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24226"/>
  <mc:AlternateContent xmlns:mc="http://schemas.openxmlformats.org/markup-compatibility/2006">
    <mc:Choice Requires="x15">
      <x15ac:absPath xmlns:x15ac="http://schemas.microsoft.com/office/spreadsheetml/2010/11/ac" url="\\Intranet-fs1\子ども未来局\243給付係\02：給付費（利用者負担額）\01：加算申請関係\00：処遇改善等加算\20：賃金改善・処遇Ⅱ\R5\00_試算\処遇Ⅲ_算定対象人数試算\02_送付\"/>
    </mc:Choice>
  </mc:AlternateContent>
  <xr:revisionPtr revIDLastSave="0" documentId="13_ncr:1_{D12645AA-5D74-4B7B-A50A-FB7F8409D1D5}" xr6:coauthVersionLast="47" xr6:coauthVersionMax="47" xr10:uidLastSave="{00000000-0000-0000-0000-000000000000}"/>
  <workbookProtection workbookAlgorithmName="SHA-512" workbookHashValue="DLoMedhnBOOr4HAhVTiF2AWaJX7QFE19QH+8bQLVnxbWAvZUbydBnx3iXtgY8ZtB9E44ao0EJqFHrpsNPxwJnA==" workbookSaltValue="ZhZYhEmv16Z+sBgPr/WHDA==" workbookSpinCount="100000" lockStructure="1"/>
  <bookViews>
    <workbookView xWindow="-120" yWindow="-120" windowWidth="29040" windowHeight="15840" tabRatio="909" firstSheet="3" activeTab="3" xr2:uid="{00000000-000D-0000-FFFF-FFFF00000000}"/>
  </bookViews>
  <sheets>
    <sheet name="やること" sheetId="67" state="hidden" r:id="rId1"/>
    <sheet name="入力方法" sheetId="2" state="hidden" r:id="rId2"/>
    <sheet name="チェック表" sheetId="60" state="hidden" r:id="rId3"/>
    <sheet name="人数試算の手順" sheetId="76" r:id="rId4"/>
    <sheet name="全員入力" sheetId="54" r:id="rId5"/>
    <sheet name="入力（基本)" sheetId="84" r:id="rId6"/>
    <sheet name="入力（児童数-本園)" sheetId="7" r:id="rId7"/>
    <sheet name="入力（児童数-分園)" sheetId="8" r:id="rId8"/>
    <sheet name="保育所" sheetId="80" r:id="rId9"/>
    <sheet name="入力（加算）保" sheetId="9" r:id="rId10"/>
    <sheet name="【試算用】様式3(保)" sheetId="37" r:id="rId11"/>
    <sheet name="幼稚園" sheetId="83" r:id="rId12"/>
    <sheet name="入力（加算）幼" sheetId="10" r:id="rId13"/>
    <sheet name="【試算用】様式3(幼)" sheetId="38" r:id="rId14"/>
    <sheet name="認定こども園" sheetId="81" r:id="rId15"/>
    <sheet name="入力（加算）認" sheetId="11" r:id="rId16"/>
    <sheet name="【試算用】様式3(認)" sheetId="39" r:id="rId17"/>
    <sheet name="小規模A、事業所内１９" sheetId="82" r:id="rId18"/>
    <sheet name="入力（加算）A" sheetId="12" r:id="rId19"/>
    <sheet name="入力（加算）事19" sheetId="14" r:id="rId20"/>
    <sheet name="【試算用】様式3(A・事19)" sheetId="40" r:id="rId21"/>
    <sheet name="事業所内２０" sheetId="78" r:id="rId22"/>
    <sheet name="入力（加算）事20" sheetId="15" r:id="rId23"/>
    <sheet name="【試算用】様式3(事20)" sheetId="41" r:id="rId24"/>
    <sheet name="家庭的" sheetId="79" r:id="rId25"/>
    <sheet name="入力（加算）家" sheetId="13" r:id="rId26"/>
    <sheet name="【試算用】様式3(家)" sheetId="42" r:id="rId27"/>
    <sheet name="単価表" sheetId="73" state="hidden" r:id="rId28"/>
    <sheet name="保育所1" sheetId="20" state="hidden" r:id="rId29"/>
    <sheet name="保育所2" sheetId="21" state="hidden" r:id="rId30"/>
    <sheet name="保育所３" sheetId="69" state="hidden" r:id="rId31"/>
    <sheet name="幼稚園1" sheetId="22" state="hidden" r:id="rId32"/>
    <sheet name="幼稚園2" sheetId="23" state="hidden" r:id="rId33"/>
    <sheet name="幼稚園３" sheetId="70" state="hidden" r:id="rId34"/>
    <sheet name="認定こども園１号①" sheetId="24" state="hidden" r:id="rId35"/>
    <sheet name="認定こども園１号②" sheetId="25" state="hidden" r:id="rId36"/>
    <sheet name="認定子ども園１号➂" sheetId="71" state="hidden" r:id="rId37"/>
    <sheet name="認定こども園２・３号①" sheetId="26" state="hidden" r:id="rId38"/>
    <sheet name="認定こども園２・３号②" sheetId="27" state="hidden" r:id="rId39"/>
    <sheet name="認定こども絵の2・3号➂" sheetId="72" state="hidden" r:id="rId40"/>
    <sheet name="小規模A" sheetId="28" state="hidden" r:id="rId41"/>
    <sheet name="小規模A2" sheetId="29" state="hidden" r:id="rId42"/>
    <sheet name="家庭的保育事業" sheetId="30" state="hidden" r:id="rId43"/>
    <sheet name="家庭的②" sheetId="31" state="hidden" r:id="rId44"/>
    <sheet name="事業所内保育事業（19人以下A）" sheetId="32" state="hidden" r:id="rId45"/>
    <sheet name="事業所A②" sheetId="33" state="hidden" r:id="rId46"/>
    <sheet name="事業所内保育事業（20人以上）" sheetId="34" state="hidden" r:id="rId47"/>
    <sheet name="事業所20②" sheetId="35" state="hidden" r:id="rId48"/>
    <sheet name="(旧）様式6-2" sheetId="64" state="hidden" r:id="rId49"/>
  </sheets>
  <externalReferences>
    <externalReference r:id="rId50"/>
  </externalReferences>
  <definedNames>
    <definedName name="_xlnm._FilterDatabase" localSheetId="42" hidden="1">家庭的保育事業!$A$3:$AJ$9</definedName>
    <definedName name="_xlnm._FilterDatabase" localSheetId="44" hidden="1">'事業所内保育事業（19人以下A）'!$A$4:$AS$12</definedName>
    <definedName name="_xlnm._FilterDatabase" localSheetId="46" hidden="1">'事業所内保育事業（20人以上）'!$A$4:$AR$16</definedName>
    <definedName name="_xlnm._FilterDatabase" localSheetId="40" hidden="1">小規模A!$A$4:$BF$10</definedName>
    <definedName name="_xlnm._FilterDatabase" localSheetId="37" hidden="1">認定こども園２・３号①!$A$7:$BP$78</definedName>
    <definedName name="_xlnm._FilterDatabase" localSheetId="28" hidden="1">保育所1!$A$7:$BA$74</definedName>
    <definedName name="a">#REF!</definedName>
    <definedName name="aaaa" localSheetId="48">#REF!</definedName>
    <definedName name="aaaa">#REF!</definedName>
    <definedName name="b">#REF!</definedName>
    <definedName name="d">#REF!</definedName>
    <definedName name="_xlnm.Print_Area" localSheetId="48">'(旧）様式6-2'!$A$1:$AZ$83</definedName>
    <definedName name="_xlnm.Print_Area" localSheetId="20">'【試算用】様式3(A・事19)'!$A$1:$J$34</definedName>
    <definedName name="_xlnm.Print_Area" localSheetId="26">'【試算用】様式3(家)'!$A$1:$J$24</definedName>
    <definedName name="_xlnm.Print_Area" localSheetId="23">'【試算用】様式3(事20)'!$A$1:$J$33</definedName>
    <definedName name="_xlnm.Print_Area" localSheetId="16">'【試算用】様式3(認)'!$A$1:$L$70</definedName>
    <definedName name="_xlnm.Print_Area" localSheetId="10">'【試算用】様式3(保)'!$A$1:$L$45</definedName>
    <definedName name="_xlnm.Print_Area" localSheetId="13">'【試算用】様式3(幼)'!$A$1:$I$40</definedName>
    <definedName name="_xlnm.Print_Area" localSheetId="2">チェック表!$A$1:$E$36</definedName>
    <definedName name="_xlnm.Print_Area" localSheetId="42">家庭的保育事業!$A$1:$AL$9</definedName>
    <definedName name="_xlnm.Print_Area" localSheetId="44">'事業所内保育事業（19人以下A）'!$A$1:$BH$30</definedName>
    <definedName name="_xlnm.Print_Area" localSheetId="46">'事業所内保育事業（20人以上）'!$A$1:$BG$46</definedName>
    <definedName name="_xlnm.Print_Area" localSheetId="40">小規模A!$A$1:$BE$22</definedName>
    <definedName name="_xlnm.Print_Area" localSheetId="41">小規模A2!$A$1:$W$31</definedName>
    <definedName name="_xlnm.Print_Area" localSheetId="18">'入力（加算）A'!$A$1:$Q$66</definedName>
    <definedName name="_xlnm.Print_Area" localSheetId="25">'入力（加算）家'!$A$1:$Q$57</definedName>
    <definedName name="_xlnm.Print_Area" localSheetId="19">'入力（加算）事19'!$A$1:$Q$62</definedName>
    <definedName name="_xlnm.Print_Area" localSheetId="22">'入力（加算）事20'!$A$1:$Q$62</definedName>
    <definedName name="_xlnm.Print_Area" localSheetId="15">'入力（加算）認'!$A$1:$V$92</definedName>
    <definedName name="_xlnm.Print_Area" localSheetId="9">'入力（加算）保'!$A$1:$R$72</definedName>
    <definedName name="_xlnm.Print_Area" localSheetId="12">'入力（加算）幼'!$A$1:$U$54</definedName>
    <definedName name="_xlnm.Print_Area" localSheetId="5">'入力（基本)'!$A$1:$H$17</definedName>
    <definedName name="_xlnm.Print_Area" localSheetId="7">'入力（児童数-分園)'!$A$1:$Q$71</definedName>
    <definedName name="_xlnm.Print_Area" localSheetId="6">'入力（児童数-本園)'!$A$1:$Q$89</definedName>
    <definedName name="_xlnm.Print_Area" localSheetId="1">入力方法!$A$2:$C$14</definedName>
    <definedName name="_xlnm.Print_Area" localSheetId="34">認定こども園１号①!$A$1:$BJ$43</definedName>
    <definedName name="_xlnm.Print_Area" localSheetId="35">認定こども園１号②!$A$1:$W$61</definedName>
    <definedName name="_xlnm.Print_Area" localSheetId="37">認定こども園２・３号①!$A$1:$BR$78</definedName>
    <definedName name="_xlnm.Print_Area" localSheetId="38">認定こども園２・３号②!$A$1:$W$53</definedName>
    <definedName name="_xlnm.Print_Area" localSheetId="39">認定こども絵の2・3号➂!$A$1:$V$583</definedName>
    <definedName name="_xlnm.Print_Area" localSheetId="28">保育所1!$A$1:$BF$74</definedName>
    <definedName name="_xlnm.Print_Area" localSheetId="29">保育所2!$A$1:$W$55</definedName>
    <definedName name="_xlnm.Print_Area" localSheetId="30">保育所３!$A$1:$U$551</definedName>
    <definedName name="_xlnm.Print_Area" localSheetId="31">幼稚園1!$A$1:$BB$40</definedName>
    <definedName name="_xlnm.Print_Area" localSheetId="32">幼稚園2!$A$1:$W$72</definedName>
    <definedName name="_xlnm.Print_Area" localSheetId="33">幼稚園３!$A$1:$U$279</definedName>
    <definedName name="_xlnm.Print_Titles" localSheetId="42">家庭的保育事業!$A:$C,家庭的保育事業!$1:$5</definedName>
    <definedName name="_xlnm.Print_Titles" localSheetId="44">'事業所内保育事業（19人以下A）'!$A:$D,'事業所内保育事業（19人以下A）'!$1:$6</definedName>
    <definedName name="_xlnm.Print_Titles" localSheetId="46">'事業所内保育事業（20人以上）'!$A:$D,'事業所内保育事業（20人以上）'!$1:$6</definedName>
    <definedName name="_xlnm.Print_Titles" localSheetId="40">小規模A!$A:$D,小規模A!$1:$6</definedName>
    <definedName name="_xlnm.Print_Titles" localSheetId="7">'入力（児童数-分園)'!$1:$4</definedName>
    <definedName name="_xlnm.Print_Titles" localSheetId="6">'入力（児童数-本園)'!$1:$4</definedName>
    <definedName name="_xlnm.Print_Titles" localSheetId="37">認定こども園２・３号①!$A:$D,認定こども園２・３号①!$1:$6</definedName>
    <definedName name="_xlnm.Print_Titles" localSheetId="39">認定こども絵の2・3号➂!$3:$7</definedName>
    <definedName name="_xlnm.Print_Titles" localSheetId="36">認定子ども園１号➂!$3:$7</definedName>
    <definedName name="_xlnm.Print_Titles" localSheetId="28">保育所1!$A:$D,保育所1!$1:$6</definedName>
    <definedName name="_xlnm.Print_Titles" localSheetId="30">保育所３!$3:$7</definedName>
    <definedName name="_xlnm.Print_Titles" localSheetId="33">幼稚園３!$3:$7</definedName>
    <definedName name="Z_2E52E5FF_9846_4DC5_A671_268FE925398C_.wvu.Cols" localSheetId="48" hidden="1">'(旧）様式6-2'!#REF!</definedName>
    <definedName name="Z_2E52E5FF_9846_4DC5_A671_268FE925398C_.wvu.Cols" localSheetId="18" hidden="1">'入力（加算）A'!$R:$AD</definedName>
    <definedName name="Z_2E52E5FF_9846_4DC5_A671_268FE925398C_.wvu.Cols" localSheetId="25" hidden="1">'入力（加算）家'!$R:$AB</definedName>
    <definedName name="Z_2E52E5FF_9846_4DC5_A671_268FE925398C_.wvu.Cols" localSheetId="19" hidden="1">'入力（加算）事19'!$R:$AD</definedName>
    <definedName name="Z_2E52E5FF_9846_4DC5_A671_268FE925398C_.wvu.Cols" localSheetId="22" hidden="1">'入力（加算）事20'!$R:$AD</definedName>
    <definedName name="Z_2E52E5FF_9846_4DC5_A671_268FE925398C_.wvu.Cols" localSheetId="15" hidden="1">'入力（加算）認'!$W:$AR</definedName>
    <definedName name="Z_2E52E5FF_9846_4DC5_A671_268FE925398C_.wvu.Cols" localSheetId="9" hidden="1">'入力（加算）保'!$S:$AK</definedName>
    <definedName name="Z_2E52E5FF_9846_4DC5_A671_268FE925398C_.wvu.FilterData" localSheetId="42" hidden="1">家庭的保育事業!$A$3:$AJ$9</definedName>
    <definedName name="Z_2E52E5FF_9846_4DC5_A671_268FE925398C_.wvu.FilterData" localSheetId="44" hidden="1">'事業所内保育事業（19人以下A）'!$A$4:$AS$12</definedName>
    <definedName name="Z_2E52E5FF_9846_4DC5_A671_268FE925398C_.wvu.FilterData" localSheetId="46" hidden="1">'事業所内保育事業（20人以上）'!$A$4:$AR$16</definedName>
    <definedName name="Z_2E52E5FF_9846_4DC5_A671_268FE925398C_.wvu.FilterData" localSheetId="40" hidden="1">小規模A!$A$4:$BF$10</definedName>
    <definedName name="Z_2E52E5FF_9846_4DC5_A671_268FE925398C_.wvu.FilterData" localSheetId="37" hidden="1">認定こども園２・３号①!$A$7:$BP$78</definedName>
    <definedName name="Z_2E52E5FF_9846_4DC5_A671_268FE925398C_.wvu.FilterData" localSheetId="28" hidden="1">保育所1!$A$7:$BA$74</definedName>
    <definedName name="Z_2E52E5FF_9846_4DC5_A671_268FE925398C_.wvu.PrintArea" localSheetId="48" hidden="1">'(旧）様式6-2'!$A$1:$AZ$63</definedName>
    <definedName name="Z_2E52E5FF_9846_4DC5_A671_268FE925398C_.wvu.PrintArea" localSheetId="20" hidden="1">'【試算用】様式3(A・事19)'!$A$1:$I$33</definedName>
    <definedName name="Z_2E52E5FF_9846_4DC5_A671_268FE925398C_.wvu.PrintArea" localSheetId="26" hidden="1">'【試算用】様式3(家)'!$A$1:$I$9</definedName>
    <definedName name="Z_2E52E5FF_9846_4DC5_A671_268FE925398C_.wvu.PrintArea" localSheetId="23" hidden="1">'【試算用】様式3(事20)'!$A$1:$I$32</definedName>
    <definedName name="Z_2E52E5FF_9846_4DC5_A671_268FE925398C_.wvu.PrintArea" localSheetId="16" hidden="1">'【試算用】様式3(認)'!$A$1:$L$68</definedName>
    <definedName name="Z_2E52E5FF_9846_4DC5_A671_268FE925398C_.wvu.PrintArea" localSheetId="10" hidden="1">'【試算用】様式3(保)'!$A$1:$L$45</definedName>
    <definedName name="Z_2E52E5FF_9846_4DC5_A671_268FE925398C_.wvu.PrintArea" localSheetId="13" hidden="1">'【試算用】様式3(幼)'!$A$1:$I$40</definedName>
    <definedName name="Z_2E52E5FF_9846_4DC5_A671_268FE925398C_.wvu.PrintArea" localSheetId="42" hidden="1">家庭的保育事業!$A$1:$AL$9</definedName>
    <definedName name="Z_2E52E5FF_9846_4DC5_A671_268FE925398C_.wvu.PrintArea" localSheetId="44" hidden="1">'事業所内保育事業（19人以下A）'!$A$1:$BG$30</definedName>
    <definedName name="Z_2E52E5FF_9846_4DC5_A671_268FE925398C_.wvu.PrintArea" localSheetId="46" hidden="1">'事業所内保育事業（20人以上）'!$A$1:$BG$46</definedName>
    <definedName name="Z_2E52E5FF_9846_4DC5_A671_268FE925398C_.wvu.PrintArea" localSheetId="40" hidden="1">小規模A!$A$1:$BE$22</definedName>
    <definedName name="Z_2E52E5FF_9846_4DC5_A671_268FE925398C_.wvu.PrintArea" localSheetId="41" hidden="1">小規模A2!$A$1:$W$31</definedName>
    <definedName name="Z_2E52E5FF_9846_4DC5_A671_268FE925398C_.wvu.PrintArea" localSheetId="18" hidden="1">'入力（加算）A'!$A$1:$Q$51</definedName>
    <definedName name="Z_2E52E5FF_9846_4DC5_A671_268FE925398C_.wvu.PrintArea" localSheetId="25" hidden="1">'入力（加算）家'!$A$1:$Q$46</definedName>
    <definedName name="Z_2E52E5FF_9846_4DC5_A671_268FE925398C_.wvu.PrintArea" localSheetId="19" hidden="1">'入力（加算）事19'!$A$1:$Q$52</definedName>
    <definedName name="Z_2E52E5FF_9846_4DC5_A671_268FE925398C_.wvu.PrintArea" localSheetId="22" hidden="1">'入力（加算）事20'!$A$1:$Q$52</definedName>
    <definedName name="Z_2E52E5FF_9846_4DC5_A671_268FE925398C_.wvu.PrintArea" localSheetId="15" hidden="1">'入力（加算）認'!$A$1:$U$88</definedName>
    <definedName name="Z_2E52E5FF_9846_4DC5_A671_268FE925398C_.wvu.PrintArea" localSheetId="9" hidden="1">'入力（加算）保'!$A$1:$R$70</definedName>
    <definedName name="Z_2E52E5FF_9846_4DC5_A671_268FE925398C_.wvu.PrintArea" localSheetId="12" hidden="1">'入力（加算）幼'!$A$1:$U$46</definedName>
    <definedName name="Z_2E52E5FF_9846_4DC5_A671_268FE925398C_.wvu.PrintArea" localSheetId="7" hidden="1">'入力（児童数-分園)'!$A$1:$Q$71</definedName>
    <definedName name="Z_2E52E5FF_9846_4DC5_A671_268FE925398C_.wvu.PrintArea" localSheetId="6" hidden="1">'入力（児童数-本園)'!$A$1:$Q$89</definedName>
    <definedName name="Z_2E52E5FF_9846_4DC5_A671_268FE925398C_.wvu.PrintArea" localSheetId="1" hidden="1">入力方法!$B$2:$C$24</definedName>
    <definedName name="Z_2E52E5FF_9846_4DC5_A671_268FE925398C_.wvu.PrintArea" localSheetId="34" hidden="1">認定こども園１号①!$A$1:$BJ$43</definedName>
    <definedName name="Z_2E52E5FF_9846_4DC5_A671_268FE925398C_.wvu.PrintArea" localSheetId="35" hidden="1">認定こども園１号②!$A$1:$W$61</definedName>
    <definedName name="Z_2E52E5FF_9846_4DC5_A671_268FE925398C_.wvu.PrintArea" localSheetId="37" hidden="1">認定こども園２・３号①!$A$1:$BR$78</definedName>
    <definedName name="Z_2E52E5FF_9846_4DC5_A671_268FE925398C_.wvu.PrintArea" localSheetId="38" hidden="1">認定こども園２・３号②!$A$1:$W$53</definedName>
    <definedName name="Z_2E52E5FF_9846_4DC5_A671_268FE925398C_.wvu.PrintArea" localSheetId="28" hidden="1">保育所1!$A$1:$BF$74</definedName>
    <definedName name="Z_2E52E5FF_9846_4DC5_A671_268FE925398C_.wvu.PrintArea" localSheetId="31" hidden="1">幼稚園1!$A$1:$BB$40</definedName>
    <definedName name="Z_2E52E5FF_9846_4DC5_A671_268FE925398C_.wvu.PrintArea" localSheetId="32" hidden="1">幼稚園2!$A$1:$W$72</definedName>
    <definedName name="Z_2E52E5FF_9846_4DC5_A671_268FE925398C_.wvu.PrintTitles" localSheetId="42" hidden="1">家庭的保育事業!$A:$C,家庭的保育事業!$1:$5</definedName>
    <definedName name="Z_2E52E5FF_9846_4DC5_A671_268FE925398C_.wvu.PrintTitles" localSheetId="44" hidden="1">'事業所内保育事業（19人以下A）'!$A:$D,'事業所内保育事業（19人以下A）'!$1:$6</definedName>
    <definedName name="Z_2E52E5FF_9846_4DC5_A671_268FE925398C_.wvu.PrintTitles" localSheetId="46" hidden="1">'事業所内保育事業（20人以上）'!$A:$D,'事業所内保育事業（20人以上）'!$1:$6</definedName>
    <definedName name="Z_2E52E5FF_9846_4DC5_A671_268FE925398C_.wvu.PrintTitles" localSheetId="40" hidden="1">小規模A!$A:$D,小規模A!$1:$6</definedName>
    <definedName name="Z_2E52E5FF_9846_4DC5_A671_268FE925398C_.wvu.PrintTitles" localSheetId="7" hidden="1">'入力（児童数-分園)'!$1:$5</definedName>
    <definedName name="Z_2E52E5FF_9846_4DC5_A671_268FE925398C_.wvu.PrintTitles" localSheetId="6" hidden="1">'入力（児童数-本園)'!$1:$5</definedName>
    <definedName name="Z_2E52E5FF_9846_4DC5_A671_268FE925398C_.wvu.PrintTitles" localSheetId="37" hidden="1">認定こども園２・３号①!$A:$D,認定こども園２・３号①!$1:$6</definedName>
    <definedName name="Z_2E52E5FF_9846_4DC5_A671_268FE925398C_.wvu.PrintTitles" localSheetId="28" hidden="1">保育所1!$A:$D,保育所1!$1:$6</definedName>
    <definedName name="Z_2E52E5FF_9846_4DC5_A671_268FE925398C_.wvu.Rows" localSheetId="35" hidden="1">認定こども園１号②!$3:$6</definedName>
    <definedName name="Z_2E52E5FF_9846_4DC5_A671_268FE925398C_.wvu.Rows" localSheetId="32" hidden="1">幼稚園2!$50:$56</definedName>
    <definedName name="Z_BADA99B3_B36A_4925_87A7_F72FC97D3DBA_.wvu.Cols" localSheetId="48" hidden="1">'(旧）様式6-2'!#REF!</definedName>
    <definedName name="Z_BADA99B3_B36A_4925_87A7_F72FC97D3DBA_.wvu.FilterData" localSheetId="42" hidden="1">家庭的保育事業!$A$3:$AJ$9</definedName>
    <definedName name="Z_BADA99B3_B36A_4925_87A7_F72FC97D3DBA_.wvu.FilterData" localSheetId="44" hidden="1">'事業所内保育事業（19人以下A）'!$A$4:$AS$12</definedName>
    <definedName name="Z_BADA99B3_B36A_4925_87A7_F72FC97D3DBA_.wvu.FilterData" localSheetId="46" hidden="1">'事業所内保育事業（20人以上）'!$A$4:$AR$16</definedName>
    <definedName name="Z_BADA99B3_B36A_4925_87A7_F72FC97D3DBA_.wvu.FilterData" localSheetId="40" hidden="1">小規模A!$A$4:$BF$10</definedName>
    <definedName name="Z_BADA99B3_B36A_4925_87A7_F72FC97D3DBA_.wvu.FilterData" localSheetId="37" hidden="1">認定こども園２・３号①!$A$7:$BP$78</definedName>
    <definedName name="Z_BADA99B3_B36A_4925_87A7_F72FC97D3DBA_.wvu.FilterData" localSheetId="28" hidden="1">保育所1!$A$7:$BA$74</definedName>
    <definedName name="Z_BADA99B3_B36A_4925_87A7_F72FC97D3DBA_.wvu.PrintArea" localSheetId="48" hidden="1">'(旧）様式6-2'!$A$1:$AZ$63</definedName>
    <definedName name="Z_BADA99B3_B36A_4925_87A7_F72FC97D3DBA_.wvu.PrintArea" localSheetId="20" hidden="1">'【試算用】様式3(A・事19)'!$A$1:$I$33</definedName>
    <definedName name="Z_BADA99B3_B36A_4925_87A7_F72FC97D3DBA_.wvu.PrintArea" localSheetId="26" hidden="1">'【試算用】様式3(家)'!$A$1:$I$9</definedName>
    <definedName name="Z_BADA99B3_B36A_4925_87A7_F72FC97D3DBA_.wvu.PrintArea" localSheetId="23" hidden="1">'【試算用】様式3(事20)'!$A$1:$I$32</definedName>
    <definedName name="Z_BADA99B3_B36A_4925_87A7_F72FC97D3DBA_.wvu.PrintArea" localSheetId="16" hidden="1">'【試算用】様式3(認)'!$A$1:$L$68</definedName>
    <definedName name="Z_BADA99B3_B36A_4925_87A7_F72FC97D3DBA_.wvu.PrintArea" localSheetId="10" hidden="1">'【試算用】様式3(保)'!$A$1:$L$45</definedName>
    <definedName name="Z_BADA99B3_B36A_4925_87A7_F72FC97D3DBA_.wvu.PrintArea" localSheetId="13" hidden="1">'【試算用】様式3(幼)'!$A$1:$I$40</definedName>
    <definedName name="Z_BADA99B3_B36A_4925_87A7_F72FC97D3DBA_.wvu.PrintArea" localSheetId="42" hidden="1">家庭的保育事業!$A$1:$AL$9</definedName>
    <definedName name="Z_BADA99B3_B36A_4925_87A7_F72FC97D3DBA_.wvu.PrintArea" localSheetId="44" hidden="1">'事業所内保育事業（19人以下A）'!$A$1:$BG$30</definedName>
    <definedName name="Z_BADA99B3_B36A_4925_87A7_F72FC97D3DBA_.wvu.PrintArea" localSheetId="46" hidden="1">'事業所内保育事業（20人以上）'!$A$1:$BG$46</definedName>
    <definedName name="Z_BADA99B3_B36A_4925_87A7_F72FC97D3DBA_.wvu.PrintArea" localSheetId="40" hidden="1">小規模A!$A$1:$BE$22</definedName>
    <definedName name="Z_BADA99B3_B36A_4925_87A7_F72FC97D3DBA_.wvu.PrintArea" localSheetId="41" hidden="1">小規模A2!$A$1:$W$31</definedName>
    <definedName name="Z_BADA99B3_B36A_4925_87A7_F72FC97D3DBA_.wvu.PrintArea" localSheetId="18" hidden="1">'入力（加算）A'!$A$1:$Q$51</definedName>
    <definedName name="Z_BADA99B3_B36A_4925_87A7_F72FC97D3DBA_.wvu.PrintArea" localSheetId="25" hidden="1">'入力（加算）家'!$A$1:$Q$46</definedName>
    <definedName name="Z_BADA99B3_B36A_4925_87A7_F72FC97D3DBA_.wvu.PrintArea" localSheetId="19" hidden="1">'入力（加算）事19'!$A$1:$Q$52</definedName>
    <definedName name="Z_BADA99B3_B36A_4925_87A7_F72FC97D3DBA_.wvu.PrintArea" localSheetId="22" hidden="1">'入力（加算）事20'!$A$1:$Q$52</definedName>
    <definedName name="Z_BADA99B3_B36A_4925_87A7_F72FC97D3DBA_.wvu.PrintArea" localSheetId="15" hidden="1">'入力（加算）認'!$A$1:$U$88</definedName>
    <definedName name="Z_BADA99B3_B36A_4925_87A7_F72FC97D3DBA_.wvu.PrintArea" localSheetId="9" hidden="1">'入力（加算）保'!$A$1:$R$70</definedName>
    <definedName name="Z_BADA99B3_B36A_4925_87A7_F72FC97D3DBA_.wvu.PrintArea" localSheetId="12" hidden="1">'入力（加算）幼'!$A$1:$U$46</definedName>
    <definedName name="Z_BADA99B3_B36A_4925_87A7_F72FC97D3DBA_.wvu.PrintArea" localSheetId="7" hidden="1">'入力（児童数-分園)'!$A$1:$Q$71</definedName>
    <definedName name="Z_BADA99B3_B36A_4925_87A7_F72FC97D3DBA_.wvu.PrintArea" localSheetId="6" hidden="1">'入力（児童数-本園)'!$A$1:$Q$89</definedName>
    <definedName name="Z_BADA99B3_B36A_4925_87A7_F72FC97D3DBA_.wvu.PrintArea" localSheetId="1" hidden="1">入力方法!$B$2:$C$24</definedName>
    <definedName name="Z_BADA99B3_B36A_4925_87A7_F72FC97D3DBA_.wvu.PrintArea" localSheetId="34" hidden="1">認定こども園１号①!$A$1:$BJ$43</definedName>
    <definedName name="Z_BADA99B3_B36A_4925_87A7_F72FC97D3DBA_.wvu.PrintArea" localSheetId="35" hidden="1">認定こども園１号②!$A$1:$W$61</definedName>
    <definedName name="Z_BADA99B3_B36A_4925_87A7_F72FC97D3DBA_.wvu.PrintArea" localSheetId="37" hidden="1">認定こども園２・３号①!$A$1:$BR$78</definedName>
    <definedName name="Z_BADA99B3_B36A_4925_87A7_F72FC97D3DBA_.wvu.PrintArea" localSheetId="38" hidden="1">認定こども園２・３号②!$A$1:$W$53</definedName>
    <definedName name="Z_BADA99B3_B36A_4925_87A7_F72FC97D3DBA_.wvu.PrintArea" localSheetId="28" hidden="1">保育所1!$A$1:$BF$74</definedName>
    <definedName name="Z_BADA99B3_B36A_4925_87A7_F72FC97D3DBA_.wvu.PrintArea" localSheetId="31" hidden="1">幼稚園1!$A$1:$BB$40</definedName>
    <definedName name="Z_BADA99B3_B36A_4925_87A7_F72FC97D3DBA_.wvu.PrintArea" localSheetId="32" hidden="1">幼稚園2!$A$1:$W$72</definedName>
    <definedName name="Z_BADA99B3_B36A_4925_87A7_F72FC97D3DBA_.wvu.PrintTitles" localSheetId="42" hidden="1">家庭的保育事業!$A:$C,家庭的保育事業!$1:$5</definedName>
    <definedName name="Z_BADA99B3_B36A_4925_87A7_F72FC97D3DBA_.wvu.PrintTitles" localSheetId="44" hidden="1">'事業所内保育事業（19人以下A）'!$A:$D,'事業所内保育事業（19人以下A）'!$1:$6</definedName>
    <definedName name="Z_BADA99B3_B36A_4925_87A7_F72FC97D3DBA_.wvu.PrintTitles" localSheetId="46" hidden="1">'事業所内保育事業（20人以上）'!$A:$D,'事業所内保育事業（20人以上）'!$1:$6</definedName>
    <definedName name="Z_BADA99B3_B36A_4925_87A7_F72FC97D3DBA_.wvu.PrintTitles" localSheetId="40" hidden="1">小規模A!$A:$D,小規模A!$1:$6</definedName>
    <definedName name="Z_BADA99B3_B36A_4925_87A7_F72FC97D3DBA_.wvu.PrintTitles" localSheetId="7" hidden="1">'入力（児童数-分園)'!$1:$5</definedName>
    <definedName name="Z_BADA99B3_B36A_4925_87A7_F72FC97D3DBA_.wvu.PrintTitles" localSheetId="6" hidden="1">'入力（児童数-本園)'!$1:$5</definedName>
    <definedName name="Z_BADA99B3_B36A_4925_87A7_F72FC97D3DBA_.wvu.PrintTitles" localSheetId="37" hidden="1">認定こども園２・３号①!$A:$D,認定こども園２・３号①!$1:$6</definedName>
    <definedName name="Z_BADA99B3_B36A_4925_87A7_F72FC97D3DBA_.wvu.PrintTitles" localSheetId="28" hidden="1">保育所1!$A:$D,保育所1!$1:$6</definedName>
    <definedName name="Z_BADA99B3_B36A_4925_87A7_F72FC97D3DBA_.wvu.Rows" localSheetId="35" hidden="1">認定こども園１号②!$3:$6</definedName>
    <definedName name="Z_BADA99B3_B36A_4925_87A7_F72FC97D3DBA_.wvu.Rows" localSheetId="32" hidden="1">幼稚園2!$50:$56</definedName>
    <definedName name="あり" localSheetId="40">#REF!</definedName>
    <definedName name="なし" localSheetId="40">#REF!</definedName>
    <definedName name="家庭的" localSheetId="48">#REF!</definedName>
    <definedName name="家庭的" localSheetId="7">#REF!</definedName>
    <definedName name="家庭的">#REF!</definedName>
    <definedName name="家庭的保育">#REF!</definedName>
    <definedName name="概算交付申出書">#REF!</definedName>
    <definedName name="区分１">#REF!</definedName>
    <definedName name="区分２">#REF!</definedName>
    <definedName name="区分３">#REF!</definedName>
    <definedName name="雇用形態" localSheetId="48">#REF!</definedName>
    <definedName name="雇用形態" localSheetId="7">#REF!</definedName>
    <definedName name="雇用形態">#REF!</definedName>
    <definedName name="雇用形態②" localSheetId="48">#REF!</definedName>
    <definedName name="雇用形態②" localSheetId="7">#REF!</definedName>
    <definedName name="雇用形態②">#REF!</definedName>
    <definedName name="公設民営">#REF!</definedName>
    <definedName name="厚別区01私立01保育所" localSheetId="48">#REF!</definedName>
    <definedName name="厚別区01私立01保育所">#REF!</definedName>
    <definedName name="厚別区01私立02幼稚園" localSheetId="48">#REF!</definedName>
    <definedName name="厚別区01私立02幼稚園">#REF!</definedName>
    <definedName name="厚別区01私立03認定こども園" localSheetId="48">#REF!</definedName>
    <definedName name="厚別区01私立03認定こども園">#REF!</definedName>
    <definedName name="厚別区01私立04小規模A・B・C" localSheetId="48">#REF!</definedName>
    <definedName name="厚別区01私立04小規模A・B・C">#REF!</definedName>
    <definedName name="厚別区03公立02幼稚園" localSheetId="48">#REF!</definedName>
    <definedName name="厚別区03公立02幼稚園">#REF!</definedName>
    <definedName name="札幌市あけぼの保育園" localSheetId="48">#REF!</definedName>
    <definedName name="札幌市あけぼの保育園">#REF!</definedName>
    <definedName name="札幌市外01私立01保育所" localSheetId="48">#REF!</definedName>
    <definedName name="札幌市外01私立01保育所">#REF!</definedName>
    <definedName name="札幌市外01私立02幼稚園" localSheetId="48">#REF!</definedName>
    <definedName name="札幌市外01私立02幼稚園">#REF!</definedName>
    <definedName name="札幌市外01私立03認定こども園" localSheetId="48">#REF!</definedName>
    <definedName name="札幌市外01私立03認定こども園">#REF!</definedName>
    <definedName name="札幌市外01私立04小規模A・B・C" localSheetId="48">#REF!</definedName>
    <definedName name="札幌市外01私立04小規模A・B・C">#REF!</definedName>
    <definedName name="札幌市外01私立06事業所内" localSheetId="48">#REF!</definedName>
    <definedName name="札幌市外01私立06事業所内">#REF!</definedName>
    <definedName name="札幌市外02公設民営01保育所" localSheetId="48">#REF!</definedName>
    <definedName name="札幌市外02公設民営01保育所">#REF!</definedName>
    <definedName name="札幌市外03公立01保育所" localSheetId="48">#REF!</definedName>
    <definedName name="札幌市外03公立01保育所">#REF!</definedName>
    <definedName name="札幌市外03公立03認定こども園" localSheetId="48">#REF!</definedName>
    <definedName name="札幌市外03公立03認定こども園">#REF!</definedName>
    <definedName name="施設種別" localSheetId="48">#REF!</definedName>
    <definedName name="施設種別" localSheetId="7">#REF!</definedName>
    <definedName name="施設種別">#REF!</definedName>
    <definedName name="事⑳０">'事業所内保育事業（20人以上）'!$B$12:$BG$16</definedName>
    <definedName name="事⑳１">'事業所内保育事業（20人以上）'!$B$7:$BG$11</definedName>
    <definedName name="事Ａ０">'事業所内保育事業（19人以下A）'!$B$10:$BG$12</definedName>
    <definedName name="事Ａ１">'事業所内保育事業（19人以下A）'!$B$7:$BG$9</definedName>
    <definedName name="事業所内_19人以下Ａ" localSheetId="48">#REF!</definedName>
    <definedName name="事業所内_19人以下Ａ" localSheetId="7">#REF!</definedName>
    <definedName name="事業所内_19人以下Ａ">#REF!</definedName>
    <definedName name="事業所内_20人以上" localSheetId="48">#REF!</definedName>
    <definedName name="事業所内_20人以上" localSheetId="7">#REF!</definedName>
    <definedName name="事業所内_20人以上">#REF!</definedName>
    <definedName name="事業所内保育">#REF!</definedName>
    <definedName name="手稲区01私立01保育所" localSheetId="48">#REF!</definedName>
    <definedName name="手稲区01私立01保育所">#REF!</definedName>
    <definedName name="手稲区01私立02幼稚園" localSheetId="48">#REF!</definedName>
    <definedName name="手稲区01私立02幼稚園">#REF!</definedName>
    <definedName name="手稲区01私立03認定こども園" localSheetId="48">#REF!</definedName>
    <definedName name="手稲区01私立03認定こども園">#REF!</definedName>
    <definedName name="手稲区01私立04小規模A・B・C" localSheetId="48">#REF!</definedName>
    <definedName name="手稲区01私立04小規模A・B・C">#REF!</definedName>
    <definedName name="手稲区01私立05家庭的" localSheetId="48">#REF!</definedName>
    <definedName name="手稲区01私立05家庭的">#REF!</definedName>
    <definedName name="手稲区03公立01保育所" localSheetId="48">#REF!</definedName>
    <definedName name="手稲区03公立01保育所">#REF!</definedName>
    <definedName name="手稲区03公立02幼稚園" localSheetId="48">#REF!</definedName>
    <definedName name="手稲区03公立02幼稚園">#REF!</definedName>
    <definedName name="修正後施設マスタ">#REF!</definedName>
    <definedName name="小Ａ０">小規模A!$B$9:$BE$10</definedName>
    <definedName name="小Ａ１">小規模A!$B$7:$BE$8</definedName>
    <definedName name="小Ｂ０" localSheetId="48">#REF!</definedName>
    <definedName name="小Ｂ０" localSheetId="7">#REF!</definedName>
    <definedName name="小Ｂ０">#REF!</definedName>
    <definedName name="小Ｂ１" localSheetId="48">#REF!</definedName>
    <definedName name="小Ｂ１" localSheetId="7">#REF!</definedName>
    <definedName name="小Ｂ１">#REF!</definedName>
    <definedName name="小規模Ａ型" localSheetId="48">#REF!</definedName>
    <definedName name="小規模Ａ型" localSheetId="7">#REF!</definedName>
    <definedName name="小規模Ａ型">#REF!</definedName>
    <definedName name="小規模Ｂ" localSheetId="48">#REF!</definedName>
    <definedName name="小規模Ｂ" localSheetId="7">#REF!</definedName>
    <definedName name="小規模Ｂ">#REF!</definedName>
    <definedName name="小規模保育">#REF!</definedName>
    <definedName name="職員種類" localSheetId="48">#REF!</definedName>
    <definedName name="職員種類" localSheetId="7">#REF!</definedName>
    <definedName name="職員種類">#REF!</definedName>
    <definedName name="職種" localSheetId="48">#REF!</definedName>
    <definedName name="職種" localSheetId="7">#REF!</definedName>
    <definedName name="職種">#REF!</definedName>
    <definedName name="清田区01私立01保育所" localSheetId="48">#REF!</definedName>
    <definedName name="清田区01私立01保育所">#REF!</definedName>
    <definedName name="清田区01私立02幼稚園" localSheetId="48">#REF!</definedName>
    <definedName name="清田区01私立02幼稚園">#REF!</definedName>
    <definedName name="清田区01私立03認定こども園" localSheetId="48">#REF!</definedName>
    <definedName name="清田区01私立03認定こども園">#REF!</definedName>
    <definedName name="清田区01私立04小規模A・B・C" localSheetId="48">#REF!</definedName>
    <definedName name="清田区01私立04小規模A・B・C">#REF!</definedName>
    <definedName name="清田区01私立05家庭的" localSheetId="48">#REF!</definedName>
    <definedName name="清田区01私立05家庭的">#REF!</definedName>
    <definedName name="清田区03公立03認定こども園" localSheetId="48">#REF!</definedName>
    <definedName name="清田区03公立03認定こども園">#REF!</definedName>
    <definedName name="西区01私立01保育所" localSheetId="48">#REF!</definedName>
    <definedName name="西区01私立01保育所">#REF!</definedName>
    <definedName name="西区01私立02幼稚園" localSheetId="48">#REF!</definedName>
    <definedName name="西区01私立02幼稚園">#REF!</definedName>
    <definedName name="西区01私立03認定こども園" localSheetId="48">#REF!</definedName>
    <definedName name="西区01私立03認定こども園">#REF!</definedName>
    <definedName name="西区01私立04小規模A・B・C" localSheetId="48">#REF!</definedName>
    <definedName name="西区01私立04小規模A・B・C">#REF!</definedName>
    <definedName name="西区01私立05家庭的" localSheetId="48">#REF!</definedName>
    <definedName name="西区01私立05家庭的">#REF!</definedName>
    <definedName name="西区01私立06事業所内" localSheetId="48">#REF!</definedName>
    <definedName name="西区01私立06事業所内">#REF!</definedName>
    <definedName name="西区02公設民営01保育所" localSheetId="48">#REF!</definedName>
    <definedName name="西区02公設民営01保育所">#REF!</definedName>
    <definedName name="西区03公立01保育所" localSheetId="48">#REF!</definedName>
    <definedName name="西区03公立01保育所">#REF!</definedName>
    <definedName name="西区03公立02幼稚園" localSheetId="48">#REF!</definedName>
    <definedName name="西区03公立02幼稚園">#REF!</definedName>
    <definedName name="請求書">#REF!</definedName>
    <definedName name="中央区01私立01保育所" localSheetId="48">#REF!</definedName>
    <definedName name="中央区01私立01保育所">#REF!</definedName>
    <definedName name="中央区01私立02幼稚園" localSheetId="48">#REF!</definedName>
    <definedName name="中央区01私立02幼稚園">#REF!</definedName>
    <definedName name="中央区01私立03認定こども園" localSheetId="48">#REF!</definedName>
    <definedName name="中央区01私立03認定こども園">#REF!</definedName>
    <definedName name="中央区01私立04小規模A・B・C" localSheetId="48">#REF!</definedName>
    <definedName name="中央区01私立04小規模A・B・C">#REF!</definedName>
    <definedName name="中央区02公設民営01保育所" localSheetId="48">#REF!</definedName>
    <definedName name="中央区02公設民営01保育所">#REF!</definedName>
    <definedName name="中央区03公立01保育所" localSheetId="48">#REF!</definedName>
    <definedName name="中央区03公立01保育所">#REF!</definedName>
    <definedName name="中央区03公立02幼稚園" localSheetId="48">#REF!</definedName>
    <definedName name="中央区03公立02幼稚園">#REF!</definedName>
    <definedName name="中央区私立保育所">#REF!</definedName>
    <definedName name="適用" localSheetId="48">#REF!</definedName>
    <definedName name="適用" localSheetId="7">#REF!</definedName>
    <definedName name="適用">#REF!</definedName>
    <definedName name="東区01私立01保育所" localSheetId="48">#REF!</definedName>
    <definedName name="東区01私立01保育所">#REF!</definedName>
    <definedName name="東区01私立02幼稚園" localSheetId="48">#REF!</definedName>
    <definedName name="東区01私立02幼稚園">#REF!</definedName>
    <definedName name="東区01私立03認定こども園" localSheetId="48">#REF!</definedName>
    <definedName name="東区01私立03認定こども園">#REF!</definedName>
    <definedName name="東区01私立04小規模A・B・C" localSheetId="48">#REF!</definedName>
    <definedName name="東区01私立04小規模A・B・C">#REF!</definedName>
    <definedName name="東区01私立05家庭的" localSheetId="48">#REF!</definedName>
    <definedName name="東区01私立05家庭的">#REF!</definedName>
    <definedName name="東区01私立06事業所内" localSheetId="48">#REF!</definedName>
    <definedName name="東区01私立06事業所内">#REF!</definedName>
    <definedName name="東区03公立01保育所" localSheetId="48">#REF!</definedName>
    <definedName name="東区03公立01保育所">#REF!</definedName>
    <definedName name="東区03公立02幼稚園" localSheetId="48">#REF!</definedName>
    <definedName name="東区03公立02幼稚園">#REF!</definedName>
    <definedName name="東区私立保育所">#REF!</definedName>
    <definedName name="南区01私立01保育所" localSheetId="48">#REF!</definedName>
    <definedName name="南区01私立01保育所">#REF!</definedName>
    <definedName name="南区01私立02幼稚園" localSheetId="48">#REF!</definedName>
    <definedName name="南区01私立02幼稚園">#REF!</definedName>
    <definedName name="南区01私立03認定こども園" localSheetId="48">#REF!</definedName>
    <definedName name="南区01私立03認定こども園">#REF!</definedName>
    <definedName name="南区01私立04小規模A・B・C" localSheetId="48">#REF!</definedName>
    <definedName name="南区01私立04小規模A・B・C">#REF!</definedName>
    <definedName name="南区01私立05家庭的" localSheetId="48">#REF!</definedName>
    <definedName name="南区01私立05家庭的">#REF!</definedName>
    <definedName name="南区01私立06事業所内" localSheetId="48">#REF!</definedName>
    <definedName name="南区01私立06事業所内">#REF!</definedName>
    <definedName name="南区03公立01保育所" localSheetId="48">#REF!</definedName>
    <definedName name="南区03公立01保育所">#REF!</definedName>
    <definedName name="南区03公立02幼稚園" localSheetId="48">#REF!</definedName>
    <definedName name="南区03公立02幼稚園">#REF!</definedName>
    <definedName name="南区03公立04小規模A・B・C" localSheetId="48">#REF!</definedName>
    <definedName name="南区03公立04小規模A・B・C">#REF!</definedName>
    <definedName name="南区私立保育所">#REF!</definedName>
    <definedName name="認定こども園" localSheetId="48">#REF!</definedName>
    <definedName name="認定こども園" localSheetId="7">#REF!</definedName>
    <definedName name="認定こども園">#REF!</definedName>
    <definedName name="認定区分">#REF!</definedName>
    <definedName name="認保０">認定こども園２・３号①!$B$61:$BP$78</definedName>
    <definedName name="認保１">認定こども園２・３号①!$B$43:$BP$60</definedName>
    <definedName name="認保３">認定こども園２・３号①!$B$25:$BP$42</definedName>
    <definedName name="認保４">認定こども園２・３号①!$B$7:$BP$24</definedName>
    <definedName name="認幼３" localSheetId="48">#REF!</definedName>
    <definedName name="認幼３" localSheetId="7">#REF!</definedName>
    <definedName name="認幼３">#REF!</definedName>
    <definedName name="認幼４" localSheetId="48">#REF!</definedName>
    <definedName name="認幼４" localSheetId="7">#REF!</definedName>
    <definedName name="認幼４">#REF!</definedName>
    <definedName name="白石区01私立01保育所" localSheetId="48">#REF!</definedName>
    <definedName name="白石区01私立01保育所">#REF!</definedName>
    <definedName name="白石区01私立02幼稚園" localSheetId="48">#REF!</definedName>
    <definedName name="白石区01私立02幼稚園">#REF!</definedName>
    <definedName name="白石区01私立03認定こども園" localSheetId="48">#REF!</definedName>
    <definedName name="白石区01私立03認定こども園">#REF!</definedName>
    <definedName name="白石区01私立04小規模A・B・C" localSheetId="48">#REF!</definedName>
    <definedName name="白石区01私立04小規模A・B・C">#REF!</definedName>
    <definedName name="白石区01私立05家庭的" localSheetId="48">#REF!</definedName>
    <definedName name="白石区01私立05家庭的">#REF!</definedName>
    <definedName name="白石区01私立06事業所内" localSheetId="48">#REF!</definedName>
    <definedName name="白石区01私立06事業所内">#REF!</definedName>
    <definedName name="白石区03公立01保育所" localSheetId="48">#REF!</definedName>
    <definedName name="白石区03公立01保育所">#REF!</definedName>
    <definedName name="白石区03公立02幼稚園" localSheetId="48">#REF!</definedName>
    <definedName name="白石区03公立02幼稚園">#REF!</definedName>
    <definedName name="保０">保育所1!$B$58:$BA$74</definedName>
    <definedName name="保１">保育所1!$B$41:$BA$57</definedName>
    <definedName name="保３">保育所1!$B$24:$BA$40</definedName>
    <definedName name="保４">保育所1!$B$7:$BA$23</definedName>
    <definedName name="保育園連絡先">#REF!</definedName>
    <definedName name="保育所" localSheetId="48">#REF!</definedName>
    <definedName name="保育所" localSheetId="7">#REF!</definedName>
    <definedName name="保育所">#REF!</definedName>
    <definedName name="保育所別民改費担当者一覧" localSheetId="48">#REF!</definedName>
    <definedName name="保育所別民改費担当者一覧">#REF!</definedName>
    <definedName name="豊平区01私立01保育所" localSheetId="48">#REF!</definedName>
    <definedName name="豊平区01私立01保育所">#REF!</definedName>
    <definedName name="豊平区01私立02幼稚園" localSheetId="48">#REF!</definedName>
    <definedName name="豊平区01私立02幼稚園">#REF!</definedName>
    <definedName name="豊平区01私立03認定こども園" localSheetId="48">#REF!</definedName>
    <definedName name="豊平区01私立03認定こども園">#REF!</definedName>
    <definedName name="豊平区01私立04小規模A・B・C" localSheetId="48">#REF!</definedName>
    <definedName name="豊平区01私立04小規模A・B・C">#REF!</definedName>
    <definedName name="豊平区01私立05家庭的" localSheetId="48">#REF!</definedName>
    <definedName name="豊平区01私立05家庭的">#REF!</definedName>
    <definedName name="豊平区01私立06事業所内" localSheetId="48">#REF!</definedName>
    <definedName name="豊平区01私立06事業所内">#REF!</definedName>
    <definedName name="豊平区03公立01保育所" localSheetId="48">#REF!</definedName>
    <definedName name="豊平区03公立01保育所">#REF!</definedName>
    <definedName name="豊平区03公立02幼稚園" localSheetId="48">#REF!</definedName>
    <definedName name="豊平区03公立02幼稚園">#REF!</definedName>
    <definedName name="北区01私立01保育所" localSheetId="48">#REF!</definedName>
    <definedName name="北区01私立01保育所">#REF!</definedName>
    <definedName name="北区01私立02幼稚園" localSheetId="48">#REF!</definedName>
    <definedName name="北区01私立02幼稚園">#REF!</definedName>
    <definedName name="北区01私立03認定こども園" localSheetId="48">#REF!</definedName>
    <definedName name="北区01私立03認定こども園">#REF!</definedName>
    <definedName name="北区01私立04小規模A・B・C" localSheetId="48">#REF!</definedName>
    <definedName name="北区01私立04小規模A・B・C">#REF!</definedName>
    <definedName name="北区01私立05家庭的" localSheetId="48">#REF!</definedName>
    <definedName name="北区01私立05家庭的">#REF!</definedName>
    <definedName name="北区03公立01保育所" localSheetId="48">#REF!</definedName>
    <definedName name="北区03公立01保育所">#REF!</definedName>
    <definedName name="北区03公立02幼稚園" localSheetId="48">#REF!</definedName>
    <definedName name="北区03公立02幼稚園">#REF!</definedName>
    <definedName name="名前１">#REF!</definedName>
    <definedName name="名前２">#REF!</definedName>
    <definedName name="幼３歳児" localSheetId="48">#REF!</definedName>
    <definedName name="幼３歳児" localSheetId="7">#REF!</definedName>
    <definedName name="幼３歳児">#REF!</definedName>
    <definedName name="幼４歳以上" localSheetId="48">#REF!</definedName>
    <definedName name="幼４歳以上" localSheetId="7">#REF!</definedName>
    <definedName name="幼４歳以上">#REF!</definedName>
    <definedName name="幼稚園" localSheetId="48">#REF!</definedName>
    <definedName name="幼稚園" localSheetId="7">#REF!</definedName>
    <definedName name="幼稚園">#REF!</definedName>
    <definedName name="様式３">#REF!</definedName>
    <definedName name="様式４">#REF!</definedName>
    <definedName name="和暦">'[1]様式２-1(1)'!$AL$3:$AL$4</definedName>
  </definedNames>
  <calcPr calcId="191029"/>
  <customWorkbookViews>
    <customWorkbookView name="393.水内　梨加 - 個人用ビュー" guid="{2E52E5FF-9846-4DC5-A671-268FE925398C}" mergeInterval="0" personalView="1" maximized="1" xWindow="-8" yWindow="-8" windowWidth="1936" windowHeight="1056" tabRatio="909" activeSheetId="4" showComments="commIndAndComment"/>
    <customWorkbookView name="395.横山　雄基 - 個人用ビュー" guid="{BADA99B3-B36A-4925-87A7-F72FC97D3DBA}" mergeInterval="0" personalView="1" maximized="1" xWindow="-8" yWindow="-8" windowWidth="1936" windowHeight="1056" tabRatio="909" activeSheetId="16"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3" i="39" l="1"/>
  <c r="F22" i="39"/>
  <c r="F20" i="39"/>
  <c r="F19" i="39"/>
  <c r="E40" i="39"/>
  <c r="E39" i="37"/>
  <c r="L61" i="39"/>
  <c r="H12" i="42" l="1"/>
  <c r="H25" i="41"/>
  <c r="H20" i="41" a="1"/>
  <c r="H20" i="41" s="1"/>
  <c r="G17" i="41"/>
  <c r="H21" i="40" a="1"/>
  <c r="H21" i="40" s="1"/>
  <c r="G17" i="40"/>
  <c r="I62" i="39"/>
  <c r="L41" i="39"/>
  <c r="L35" i="39"/>
  <c r="H35" i="39"/>
  <c r="F57" i="39"/>
  <c r="H57" i="39"/>
  <c r="H55" i="39"/>
  <c r="H54" i="39"/>
  <c r="H53" i="39"/>
  <c r="H50" i="39" a="1"/>
  <c r="H50" i="39" s="1"/>
  <c r="H49" i="39"/>
  <c r="H48" i="39"/>
  <c r="H46" i="39"/>
  <c r="G32" i="39"/>
  <c r="G37" i="39"/>
  <c r="H37" i="39" s="1"/>
  <c r="G38" i="39"/>
  <c r="H38" i="39" s="1"/>
  <c r="F39" i="39"/>
  <c r="G39" i="39" s="1"/>
  <c r="H39" i="39" s="1"/>
  <c r="F38" i="39"/>
  <c r="F37" i="39"/>
  <c r="F36" i="39"/>
  <c r="G36" i="39" s="1"/>
  <c r="H36" i="39" s="1"/>
  <c r="H41" i="39" l="1"/>
  <c r="E62" i="39" s="1"/>
  <c r="J32" i="39"/>
  <c r="J31" i="39"/>
  <c r="F32" i="39"/>
  <c r="F31" i="39"/>
  <c r="F17" i="39"/>
  <c r="F16" i="39"/>
  <c r="F15" i="39"/>
  <c r="G14" i="39"/>
  <c r="F14" i="39" l="1"/>
  <c r="F29" i="38" l="1"/>
  <c r="F28" i="38"/>
  <c r="F27" i="38"/>
  <c r="F25" i="38"/>
  <c r="F24" i="38"/>
  <c r="F23" i="38"/>
  <c r="F21" i="38"/>
  <c r="L37" i="37"/>
  <c r="H37" i="37"/>
  <c r="H30" i="37"/>
  <c r="D8" i="14"/>
  <c r="D8" i="13"/>
  <c r="D8" i="15"/>
  <c r="D7" i="12"/>
  <c r="D12" i="11"/>
  <c r="D9" i="11"/>
  <c r="D8" i="11"/>
  <c r="D7" i="11"/>
  <c r="D8" i="10"/>
  <c r="D11" i="9"/>
  <c r="D8" i="9"/>
  <c r="D7" i="9"/>
  <c r="A2" i="37"/>
  <c r="H1" i="42"/>
  <c r="N1" i="13"/>
  <c r="H1" i="41"/>
  <c r="N1" i="15"/>
  <c r="G1" i="40"/>
  <c r="N8" i="40" s="1"/>
  <c r="V8" i="40" s="1"/>
  <c r="N1" i="14"/>
  <c r="N1" i="12"/>
  <c r="J1" i="39"/>
  <c r="S1" i="11"/>
  <c r="G1" i="38"/>
  <c r="R1" i="10"/>
  <c r="J1" i="37"/>
  <c r="O1" i="9"/>
  <c r="O1" i="8"/>
  <c r="O1" i="7"/>
  <c r="D8" i="42" l="1" a="1"/>
  <c r="D8" i="42" s="1"/>
  <c r="E15" i="42"/>
  <c r="H15" i="42" s="1"/>
  <c r="E14" i="42"/>
  <c r="H14" i="42" s="1"/>
  <c r="E13" i="42"/>
  <c r="F13" i="42" s="1"/>
  <c r="H13" i="42" s="1"/>
  <c r="E12" i="42"/>
  <c r="E24" i="41"/>
  <c r="H24" i="41" s="1"/>
  <c r="V6" i="40"/>
  <c r="V7" i="40"/>
  <c r="F12" i="42" l="1"/>
  <c r="H17" i="42"/>
  <c r="H18" i="42" l="1"/>
  <c r="E22" i="42" s="1"/>
  <c r="G22" i="42" s="1"/>
  <c r="H22" i="40" l="1"/>
  <c r="H36" i="37"/>
  <c r="E36" i="37"/>
  <c r="I35" i="37"/>
  <c r="H34" i="37"/>
  <c r="E34" i="37"/>
  <c r="H32" i="37"/>
  <c r="H31" i="37" a="1"/>
  <c r="H31" i="37" s="1"/>
  <c r="F33" i="37"/>
  <c r="E29" i="37"/>
  <c r="H29" i="37" s="1"/>
  <c r="E30" i="37"/>
  <c r="E31" i="37"/>
  <c r="E33" i="37"/>
  <c r="H33" i="37" s="1"/>
  <c r="E23" i="37"/>
  <c r="I60" i="39"/>
  <c r="E59" i="39"/>
  <c r="D30" i="38" l="1"/>
  <c r="F30" i="38" s="1"/>
  <c r="D29" i="38"/>
  <c r="D28" i="38"/>
  <c r="D27" i="38"/>
  <c r="F26" i="38"/>
  <c r="D26" i="38"/>
  <c r="D24" i="38"/>
  <c r="H59" i="39"/>
  <c r="E58" i="39" l="1"/>
  <c r="H58" i="39" l="1"/>
  <c r="F58" i="39"/>
  <c r="E52" i="39"/>
  <c r="H52" i="39" s="1"/>
  <c r="H51" i="39"/>
  <c r="F10" i="39"/>
  <c r="E49" i="39"/>
  <c r="D8" i="41"/>
  <c r="G12" i="39"/>
  <c r="F11" i="39"/>
  <c r="F12" i="39"/>
  <c r="D8" i="40"/>
  <c r="D21" i="12"/>
  <c r="E7" i="38" a="1"/>
  <c r="E7" i="38" s="1"/>
  <c r="O40" i="37"/>
  <c r="G7" i="37"/>
  <c r="F7" i="37"/>
  <c r="H61" i="39" l="1"/>
  <c r="H43" i="39"/>
  <c r="F6" i="37"/>
  <c r="L35" i="37" s="1"/>
  <c r="I39" i="37"/>
  <c r="F32" i="38"/>
  <c r="H42" i="39"/>
  <c r="F9" i="39"/>
  <c r="E61" i="39" s="1"/>
  <c r="D9" i="9"/>
  <c r="H24" i="9" s="1"/>
  <c r="H25" i="9" s="1"/>
  <c r="H26" i="9" s="1"/>
  <c r="H27" i="9" s="1"/>
  <c r="D12" i="9"/>
  <c r="AF2" i="9"/>
  <c r="K22" i="37" l="1"/>
  <c r="L27" i="37"/>
  <c r="H30" i="9"/>
  <c r="H31" i="9" s="1"/>
  <c r="H32" i="9" s="1"/>
  <c r="H37" i="9"/>
  <c r="H43" i="9"/>
  <c r="H44" i="9" s="1"/>
  <c r="H45" i="9" s="1"/>
  <c r="H46" i="9" s="1"/>
  <c r="C6" i="20"/>
  <c r="D6" i="20"/>
  <c r="E6" i="20"/>
  <c r="F6" i="20"/>
  <c r="G6" i="20"/>
  <c r="H6" i="20"/>
  <c r="I6" i="20"/>
  <c r="J6" i="20"/>
  <c r="K6" i="20"/>
  <c r="L6" i="20"/>
  <c r="M6" i="20"/>
  <c r="N6" i="20"/>
  <c r="O6" i="20"/>
  <c r="P6" i="20"/>
  <c r="Q6" i="20"/>
  <c r="R6" i="20"/>
  <c r="S6" i="20"/>
  <c r="T6" i="20"/>
  <c r="U6" i="20"/>
  <c r="V6" i="20"/>
  <c r="W6" i="20"/>
  <c r="X6" i="20"/>
  <c r="Y6" i="20"/>
  <c r="Z6" i="20"/>
  <c r="AA6" i="20"/>
  <c r="AB6" i="20"/>
  <c r="AC6" i="20"/>
  <c r="AD6" i="20"/>
  <c r="AE6" i="20"/>
  <c r="AF6" i="20"/>
  <c r="AG6" i="20"/>
  <c r="AH6" i="20"/>
  <c r="AI6" i="20"/>
  <c r="AJ6" i="20"/>
  <c r="AK6" i="20"/>
  <c r="AL6" i="20"/>
  <c r="AM6" i="20"/>
  <c r="AN6" i="20"/>
  <c r="AO6" i="20"/>
  <c r="AP6" i="20"/>
  <c r="AQ6" i="20"/>
  <c r="AR6" i="20"/>
  <c r="AS6" i="20"/>
  <c r="AT6" i="20"/>
  <c r="AU6" i="20"/>
  <c r="AV6" i="20"/>
  <c r="AW6" i="20"/>
  <c r="AX6" i="20"/>
  <c r="AY6" i="20"/>
  <c r="AZ6" i="20"/>
  <c r="BA6" i="20"/>
  <c r="BB6" i="20"/>
  <c r="BC6" i="20"/>
  <c r="BD6" i="20"/>
  <c r="BE6" i="20"/>
  <c r="BF6" i="20"/>
  <c r="B6" i="20"/>
  <c r="C149" i="20"/>
  <c r="H33" i="9" l="1"/>
  <c r="H38" i="9"/>
  <c r="H39" i="9" s="1"/>
  <c r="H40" i="9" s="1"/>
  <c r="CG5" i="64" l="1"/>
  <c r="Y6" i="64"/>
  <c r="BG6" i="64" s="1"/>
  <c r="AO80" i="64"/>
  <c r="AD79" i="64"/>
  <c r="S78" i="64" s="1"/>
  <c r="U79" i="64"/>
  <c r="R6" i="40"/>
  <c r="S6" i="40"/>
  <c r="T6" i="40"/>
  <c r="U6" i="40"/>
  <c r="A52" i="9"/>
  <c r="BD34" i="64"/>
  <c r="BD15" i="64"/>
  <c r="BD16" i="64"/>
  <c r="BD17" i="64"/>
  <c r="BD18" i="64"/>
  <c r="BD19" i="64"/>
  <c r="BD20" i="64"/>
  <c r="BD21" i="64"/>
  <c r="BD22" i="64"/>
  <c r="BD23" i="64"/>
  <c r="BD24" i="64"/>
  <c r="BD25" i="64"/>
  <c r="BD26" i="64"/>
  <c r="BD27" i="64"/>
  <c r="BD28" i="64"/>
  <c r="BD29" i="64"/>
  <c r="BD30" i="64"/>
  <c r="BD31" i="64"/>
  <c r="BD32" i="64"/>
  <c r="BD33" i="64"/>
  <c r="BD35" i="64"/>
  <c r="O39" i="42"/>
  <c r="O38" i="42"/>
  <c r="O46" i="39"/>
  <c r="O45" i="39"/>
  <c r="O36" i="38"/>
  <c r="O35" i="38"/>
  <c r="O41" i="37"/>
  <c r="BX20" i="64"/>
  <c r="O71" i="64"/>
  <c r="CH6" i="64"/>
  <c r="CG6" i="64"/>
  <c r="BD36" i="64"/>
  <c r="BD37" i="64"/>
  <c r="BD38" i="64"/>
  <c r="BD39" i="64"/>
  <c r="BD40" i="64"/>
  <c r="BD41" i="64"/>
  <c r="BD42" i="64"/>
  <c r="BD43" i="64"/>
  <c r="BD44" i="64"/>
  <c r="BD45" i="64"/>
  <c r="BD46" i="64"/>
  <c r="BD47" i="64"/>
  <c r="BD48" i="64"/>
  <c r="BD49" i="64"/>
  <c r="BD50" i="64"/>
  <c r="BE6" i="64"/>
  <c r="BD8" i="64"/>
  <c r="BD9" i="64"/>
  <c r="BD11" i="64"/>
  <c r="BD12" i="64"/>
  <c r="BD14" i="64"/>
  <c r="BD13" i="64"/>
  <c r="BD10" i="64"/>
  <c r="BD7" i="64"/>
  <c r="BJ50" i="64"/>
  <c r="BI50" i="64"/>
  <c r="BE50" i="64"/>
  <c r="Y50" i="64"/>
  <c r="BG50" i="64" s="1"/>
  <c r="BJ49" i="64"/>
  <c r="BI49" i="64"/>
  <c r="BE49" i="64"/>
  <c r="Y49" i="64"/>
  <c r="BB49" i="64" s="1"/>
  <c r="BJ48" i="64"/>
  <c r="BI48" i="64"/>
  <c r="BE48" i="64"/>
  <c r="Y48" i="64"/>
  <c r="BG48" i="64" s="1"/>
  <c r="BJ47" i="64"/>
  <c r="BI47" i="64"/>
  <c r="BN47" i="64" s="1"/>
  <c r="BE47" i="64"/>
  <c r="Y47" i="64"/>
  <c r="BF47" i="64" s="1"/>
  <c r="BJ46" i="64"/>
  <c r="BI46" i="64"/>
  <c r="BE46" i="64"/>
  <c r="Y46" i="64"/>
  <c r="BJ45" i="64"/>
  <c r="BI45" i="64"/>
  <c r="BE45" i="64"/>
  <c r="Y45" i="64"/>
  <c r="BF45" i="64" s="1"/>
  <c r="BJ44" i="64"/>
  <c r="BV44" i="64" s="1"/>
  <c r="BI44" i="64"/>
  <c r="BE44" i="64"/>
  <c r="Y44" i="64"/>
  <c r="BF44" i="64" s="1"/>
  <c r="BJ43" i="64"/>
  <c r="BI43" i="64"/>
  <c r="BE43" i="64"/>
  <c r="Y43" i="64"/>
  <c r="BJ42" i="64"/>
  <c r="BI42" i="64"/>
  <c r="BE42" i="64"/>
  <c r="Y42" i="64"/>
  <c r="BF42" i="64" s="1"/>
  <c r="BJ41" i="64"/>
  <c r="BR41" i="64" s="1"/>
  <c r="BI41" i="64"/>
  <c r="BE41" i="64"/>
  <c r="Y41" i="64"/>
  <c r="BB41" i="64" s="1"/>
  <c r="BJ40" i="64"/>
  <c r="BI40" i="64"/>
  <c r="BE40" i="64"/>
  <c r="Y40" i="64"/>
  <c r="BF40" i="64" s="1"/>
  <c r="BJ39" i="64"/>
  <c r="BI39" i="64"/>
  <c r="BE39" i="64"/>
  <c r="Y39" i="64"/>
  <c r="BJ38" i="64"/>
  <c r="BI38" i="64"/>
  <c r="BE38" i="64"/>
  <c r="Y38" i="64"/>
  <c r="BF38" i="64" s="1"/>
  <c r="BJ37" i="64"/>
  <c r="BI37" i="64"/>
  <c r="AQ37" i="64" s="1"/>
  <c r="BE37" i="64"/>
  <c r="Y37" i="64"/>
  <c r="BF37" i="64" s="1"/>
  <c r="BJ36" i="64"/>
  <c r="BI36" i="64"/>
  <c r="BE36" i="64"/>
  <c r="Y36" i="64"/>
  <c r="BF36" i="64" s="1"/>
  <c r="BJ35" i="64"/>
  <c r="BI35" i="64"/>
  <c r="BE35" i="64"/>
  <c r="Y35" i="64"/>
  <c r="BF35" i="64" s="1"/>
  <c r="BJ34" i="64"/>
  <c r="BI34" i="64"/>
  <c r="BR34" i="64" s="1"/>
  <c r="BE34" i="64"/>
  <c r="Y34" i="64"/>
  <c r="BF34" i="64" s="1"/>
  <c r="BJ33" i="64"/>
  <c r="BS33" i="64"/>
  <c r="BI33" i="64"/>
  <c r="BE33" i="64"/>
  <c r="Y33" i="64"/>
  <c r="BG33" i="64" s="1"/>
  <c r="BJ32" i="64"/>
  <c r="BI32" i="64"/>
  <c r="BE32" i="64"/>
  <c r="Y32" i="64"/>
  <c r="BG32" i="64" s="1"/>
  <c r="BJ31" i="64"/>
  <c r="BI31" i="64"/>
  <c r="BM31" i="64" s="1"/>
  <c r="BE31" i="64"/>
  <c r="Y31" i="64"/>
  <c r="BJ30" i="64"/>
  <c r="BK30" i="64" s="1"/>
  <c r="BI30" i="64"/>
  <c r="BE30" i="64"/>
  <c r="Y30" i="64"/>
  <c r="BJ29" i="64"/>
  <c r="AQ29" i="64"/>
  <c r="BI29" i="64"/>
  <c r="BE29" i="64"/>
  <c r="Y29" i="64"/>
  <c r="BJ28" i="64"/>
  <c r="BI28" i="64"/>
  <c r="BN28" i="64" s="1"/>
  <c r="BE28" i="64"/>
  <c r="Y28" i="64"/>
  <c r="BF28" i="64" s="1"/>
  <c r="BJ27" i="64"/>
  <c r="BV27" i="64"/>
  <c r="BI27" i="64"/>
  <c r="BE27" i="64"/>
  <c r="Y27" i="64"/>
  <c r="BG27" i="64" s="1"/>
  <c r="BJ26" i="64"/>
  <c r="BI26" i="64"/>
  <c r="BE26" i="64"/>
  <c r="Y26" i="64"/>
  <c r="BF26" i="64" s="1"/>
  <c r="BJ25" i="64"/>
  <c r="BI25" i="64"/>
  <c r="BV25" i="64" s="1"/>
  <c r="BE25" i="64"/>
  <c r="Y25" i="64"/>
  <c r="BF25" i="64" s="1"/>
  <c r="BJ24" i="64"/>
  <c r="BS24" i="64" s="1"/>
  <c r="BI24" i="64"/>
  <c r="BE24" i="64"/>
  <c r="Y24" i="64"/>
  <c r="BF24" i="64" s="1"/>
  <c r="BJ23" i="64"/>
  <c r="AQ23" i="64" s="1"/>
  <c r="BR23" i="64"/>
  <c r="BI23" i="64"/>
  <c r="BE23" i="64"/>
  <c r="Y23" i="64"/>
  <c r="BJ22" i="64"/>
  <c r="BI22" i="64"/>
  <c r="BE22" i="64"/>
  <c r="Y22" i="64"/>
  <c r="BG22" i="64" s="1"/>
  <c r="BJ21" i="64"/>
  <c r="BL21" i="64"/>
  <c r="BI21" i="64"/>
  <c r="BE21" i="64"/>
  <c r="Y21" i="64"/>
  <c r="BF21" i="64" s="1"/>
  <c r="BJ20" i="64"/>
  <c r="BI20" i="64"/>
  <c r="BE20" i="64"/>
  <c r="Y20" i="64"/>
  <c r="BF20" i="64" s="1"/>
  <c r="BJ19" i="64"/>
  <c r="BV19" i="64" s="1"/>
  <c r="BI19" i="64"/>
  <c r="BE19" i="64"/>
  <c r="Y19" i="64"/>
  <c r="BF19" i="64" s="1"/>
  <c r="BJ18" i="64"/>
  <c r="BI18" i="64"/>
  <c r="BV18" i="64" s="1"/>
  <c r="BE18" i="64"/>
  <c r="Y18" i="64"/>
  <c r="BG18" i="64" s="1"/>
  <c r="BJ17" i="64"/>
  <c r="BI17" i="64"/>
  <c r="BE17" i="64"/>
  <c r="Y17" i="64"/>
  <c r="BJ16" i="64"/>
  <c r="BS16" i="64" s="1"/>
  <c r="BI16" i="64"/>
  <c r="BE16" i="64"/>
  <c r="Y16" i="64"/>
  <c r="BG16" i="64" s="1"/>
  <c r="BJ15" i="64"/>
  <c r="BI15" i="64"/>
  <c r="BV15" i="64" s="1"/>
  <c r="BE15" i="64"/>
  <c r="Y15" i="64"/>
  <c r="BG15" i="64" s="1"/>
  <c r="BJ14" i="64"/>
  <c r="BI14" i="64"/>
  <c r="BE14" i="64"/>
  <c r="Y14" i="64"/>
  <c r="BG14" i="64" s="1"/>
  <c r="BJ13" i="64"/>
  <c r="BT13" i="64" s="1"/>
  <c r="BI13" i="64"/>
  <c r="BE13" i="64"/>
  <c r="Y13" i="64"/>
  <c r="BB13" i="64" s="1"/>
  <c r="BJ12" i="64"/>
  <c r="BI12" i="64"/>
  <c r="BS12" i="64" s="1"/>
  <c r="BE12" i="64"/>
  <c r="Y12" i="64"/>
  <c r="BG12" i="64" s="1"/>
  <c r="BJ11" i="64"/>
  <c r="BI11" i="64"/>
  <c r="BE11" i="64"/>
  <c r="Y11" i="64"/>
  <c r="BJ10" i="64"/>
  <c r="BN10" i="64" s="1"/>
  <c r="BI10" i="64"/>
  <c r="BE10" i="64"/>
  <c r="Y10" i="64"/>
  <c r="BG10" i="64" s="1"/>
  <c r="BJ9" i="64"/>
  <c r="BL9" i="64" s="1"/>
  <c r="BI9" i="64"/>
  <c r="BN9" i="64" s="1"/>
  <c r="BE9" i="64"/>
  <c r="Y9" i="64"/>
  <c r="BG9" i="64" s="1"/>
  <c r="BJ8" i="64"/>
  <c r="BI8" i="64"/>
  <c r="BO8" i="64" s="1"/>
  <c r="BE8" i="64"/>
  <c r="Y8" i="64"/>
  <c r="BF8" i="64" s="1"/>
  <c r="BJ7" i="64"/>
  <c r="BI7" i="64"/>
  <c r="BE7" i="64"/>
  <c r="Y7" i="64"/>
  <c r="BG7" i="64" s="1"/>
  <c r="BJ6" i="64"/>
  <c r="BI6" i="64"/>
  <c r="BN6" i="64" s="1"/>
  <c r="CA5" i="64"/>
  <c r="CA6" i="64" s="1"/>
  <c r="C67" i="64" s="1"/>
  <c r="S67" i="64" s="1"/>
  <c r="BZ5" i="64"/>
  <c r="BZ6" i="64" s="1"/>
  <c r="BX5" i="64"/>
  <c r="BX13" i="64" s="1"/>
  <c r="BY13" i="64" s="1"/>
  <c r="BR38" i="64"/>
  <c r="AQ10" i="64"/>
  <c r="BK19" i="64"/>
  <c r="BS35" i="64"/>
  <c r="BL42" i="64"/>
  <c r="BM35" i="64"/>
  <c r="BL44" i="64"/>
  <c r="BM49" i="64"/>
  <c r="BL13" i="64"/>
  <c r="AQ16" i="64"/>
  <c r="AQ38" i="64"/>
  <c r="BN23" i="64"/>
  <c r="BR19" i="64"/>
  <c r="BM37" i="64"/>
  <c r="BU45" i="64"/>
  <c r="BT48" i="64"/>
  <c r="BR36" i="64"/>
  <c r="BV42" i="64"/>
  <c r="BL49" i="64"/>
  <c r="BO10" i="64"/>
  <c r="BR10" i="64"/>
  <c r="BO15" i="64"/>
  <c r="BN35" i="64"/>
  <c r="BO41" i="64"/>
  <c r="BR16" i="64"/>
  <c r="BQ38" i="64"/>
  <c r="BN42" i="64"/>
  <c r="BR44" i="64"/>
  <c r="BO13" i="64"/>
  <c r="BU13" i="64"/>
  <c r="BL16" i="64"/>
  <c r="AQ27" i="64"/>
  <c r="BL38" i="64"/>
  <c r="AQ42" i="64"/>
  <c r="BT42" i="64"/>
  <c r="BR48" i="64"/>
  <c r="AQ25" i="64"/>
  <c r="BQ18" i="64"/>
  <c r="BR29" i="64"/>
  <c r="BU35" i="64"/>
  <c r="BS47" i="64"/>
  <c r="BQ49" i="64"/>
  <c r="BV13" i="64"/>
  <c r="AQ8" i="64"/>
  <c r="BU16" i="64"/>
  <c r="BN13" i="64"/>
  <c r="BK16" i="64"/>
  <c r="BV23" i="64"/>
  <c r="BU29" i="64"/>
  <c r="BO35" i="64"/>
  <c r="BU41" i="64"/>
  <c r="BM42" i="64"/>
  <c r="BQ44" i="64"/>
  <c r="BS48" i="64"/>
  <c r="BT49" i="64"/>
  <c r="BL50" i="64"/>
  <c r="BP13" i="64"/>
  <c r="BM16" i="64"/>
  <c r="BU19" i="64"/>
  <c r="AQ21" i="64"/>
  <c r="BS23" i="64"/>
  <c r="BR37" i="64"/>
  <c r="BV38" i="64"/>
  <c r="BN41" i="64"/>
  <c r="BQ42" i="64"/>
  <c r="AQ9" i="64"/>
  <c r="BP15" i="64"/>
  <c r="BT23" i="64"/>
  <c r="BQ29" i="64"/>
  <c r="AQ35" i="64"/>
  <c r="BR42" i="64"/>
  <c r="BT45" i="64"/>
  <c r="AQ47" i="64"/>
  <c r="AQ48" i="64"/>
  <c r="AQ49" i="64"/>
  <c r="BN49" i="64"/>
  <c r="BO16" i="64"/>
  <c r="BM23" i="64"/>
  <c r="BK38" i="64"/>
  <c r="BK42" i="64"/>
  <c r="BS42" i="64"/>
  <c r="BK44" i="64"/>
  <c r="BM48" i="64"/>
  <c r="BR49" i="64"/>
  <c r="BT47" i="64"/>
  <c r="BN48" i="64"/>
  <c r="BS49" i="64"/>
  <c r="BV22" i="64"/>
  <c r="BS6" i="64"/>
  <c r="BU9" i="64"/>
  <c r="BV10" i="64"/>
  <c r="BP10" i="64"/>
  <c r="BT10" i="64"/>
  <c r="BQ10" i="64"/>
  <c r="BR12" i="64"/>
  <c r="BK17" i="64"/>
  <c r="BT19" i="64"/>
  <c r="BN19" i="64"/>
  <c r="BM21" i="64"/>
  <c r="AQ22" i="64"/>
  <c r="BP25" i="64"/>
  <c r="BK34" i="64"/>
  <c r="BO34" i="64"/>
  <c r="BV34" i="64"/>
  <c r="BT34" i="64"/>
  <c r="BK12" i="64"/>
  <c r="BS15" i="64"/>
  <c r="BM15" i="64"/>
  <c r="BQ15" i="64"/>
  <c r="BQ25" i="64"/>
  <c r="BT31" i="64"/>
  <c r="BU31" i="64"/>
  <c r="AQ31" i="64"/>
  <c r="BL31" i="64"/>
  <c r="BK31" i="64"/>
  <c r="BO9" i="64"/>
  <c r="BK10" i="64"/>
  <c r="BS10" i="64"/>
  <c r="BS13" i="64"/>
  <c r="BM13" i="64"/>
  <c r="BQ13" i="64"/>
  <c r="BK13" i="64"/>
  <c r="BR13" i="64"/>
  <c r="AQ15" i="64"/>
  <c r="BT15" i="64"/>
  <c r="BL19" i="64"/>
  <c r="BS20" i="64"/>
  <c r="BP8" i="64"/>
  <c r="BM6" i="64"/>
  <c r="AQ6" i="64"/>
  <c r="BL10" i="64"/>
  <c r="BU10" i="64"/>
  <c r="BR11" i="64"/>
  <c r="AQ12" i="64"/>
  <c r="BM12" i="64"/>
  <c r="AQ13" i="64"/>
  <c r="BU15" i="64"/>
  <c r="BV16" i="64"/>
  <c r="BP16" i="64"/>
  <c r="BT16" i="64"/>
  <c r="BQ16" i="64"/>
  <c r="BN17" i="64"/>
  <c r="BP19" i="64"/>
  <c r="BV9" i="64"/>
  <c r="BV6" i="64"/>
  <c r="BQ9" i="64"/>
  <c r="BK9" i="64"/>
  <c r="BR9" i="64"/>
  <c r="BM10" i="64"/>
  <c r="BP14" i="64"/>
  <c r="AQ19" i="64"/>
  <c r="BQ19" i="64"/>
  <c r="BN25" i="64"/>
  <c r="BO25" i="64"/>
  <c r="BM25" i="64"/>
  <c r="BL25" i="64"/>
  <c r="BK25" i="64"/>
  <c r="BR32" i="64"/>
  <c r="BT9" i="64"/>
  <c r="BV12" i="64"/>
  <c r="BQ12" i="64"/>
  <c r="BN18" i="64"/>
  <c r="BT18" i="64"/>
  <c r="BM19" i="64"/>
  <c r="BS19" i="64"/>
  <c r="BO23" i="64"/>
  <c r="BN24" i="64"/>
  <c r="BP27" i="64"/>
  <c r="BS29" i="64"/>
  <c r="BV33" i="64"/>
  <c r="AQ34" i="64"/>
  <c r="BT41" i="64"/>
  <c r="BP23" i="64"/>
  <c r="BQ27" i="64"/>
  <c r="BT29" i="64"/>
  <c r="BL33" i="64"/>
  <c r="BR35" i="64"/>
  <c r="BL35" i="64"/>
  <c r="BQ35" i="64"/>
  <c r="BK35" i="64"/>
  <c r="BV35" i="64"/>
  <c r="BP35" i="64"/>
  <c r="BT35" i="64"/>
  <c r="BO18" i="64"/>
  <c r="BU18" i="64"/>
  <c r="BP18" i="64"/>
  <c r="BO19" i="64"/>
  <c r="BS27" i="64"/>
  <c r="BS41" i="64"/>
  <c r="BM41" i="64"/>
  <c r="BQ41" i="64"/>
  <c r="BK41" i="64"/>
  <c r="AQ41" i="64"/>
  <c r="BV41" i="64"/>
  <c r="BV29" i="64"/>
  <c r="BO29" i="64"/>
  <c r="BP45" i="64"/>
  <c r="BV45" i="64"/>
  <c r="AQ45" i="64"/>
  <c r="BK45" i="64"/>
  <c r="BQ45" i="64"/>
  <c r="BO47" i="64"/>
  <c r="BU47" i="64"/>
  <c r="BN37" i="64"/>
  <c r="BM38" i="64"/>
  <c r="BS38" i="64"/>
  <c r="BO42" i="64"/>
  <c r="BU42" i="64"/>
  <c r="BM44" i="64"/>
  <c r="BS44" i="64"/>
  <c r="BL45" i="64"/>
  <c r="BR45" i="64"/>
  <c r="BQ46" i="64"/>
  <c r="BP47" i="64"/>
  <c r="BV47" i="64"/>
  <c r="BO48" i="64"/>
  <c r="BU48" i="64"/>
  <c r="BV36" i="64"/>
  <c r="BO37" i="64"/>
  <c r="BU37" i="64"/>
  <c r="BN38" i="64"/>
  <c r="BT38" i="64"/>
  <c r="BP42" i="64"/>
  <c r="BN44" i="64"/>
  <c r="BT44" i="64"/>
  <c r="BM45" i="64"/>
  <c r="BS45" i="64"/>
  <c r="BR46" i="64"/>
  <c r="BK47" i="64"/>
  <c r="BQ47" i="64"/>
  <c r="BP48" i="64"/>
  <c r="BV48" i="64"/>
  <c r="BO49" i="64"/>
  <c r="BU49" i="64"/>
  <c r="BP37" i="64"/>
  <c r="BV37" i="64"/>
  <c r="BO38" i="64"/>
  <c r="BU38" i="64"/>
  <c r="BV43" i="64"/>
  <c r="BO44" i="64"/>
  <c r="BU44" i="64"/>
  <c r="BN45" i="64"/>
  <c r="BL47" i="64"/>
  <c r="BR47" i="64"/>
  <c r="BK48" i="64"/>
  <c r="BQ48" i="64"/>
  <c r="BP49" i="64"/>
  <c r="BV49" i="64"/>
  <c r="BO50" i="64"/>
  <c r="BK37" i="64"/>
  <c r="BP38" i="64"/>
  <c r="BP44" i="64"/>
  <c r="BO45" i="64"/>
  <c r="BM47" i="64"/>
  <c r="BL48" i="64"/>
  <c r="BK49" i="64"/>
  <c r="P36" i="42"/>
  <c r="E20" i="41"/>
  <c r="E22" i="41"/>
  <c r="H22" i="41" s="1"/>
  <c r="E23" i="41"/>
  <c r="H23" i="41" s="1"/>
  <c r="C32" i="28"/>
  <c r="AQ89" i="20"/>
  <c r="BH82" i="26"/>
  <c r="BI82" i="26"/>
  <c r="BJ82" i="26"/>
  <c r="BH83" i="26"/>
  <c r="BI83" i="26"/>
  <c r="BJ83" i="26"/>
  <c r="BH84" i="26"/>
  <c r="BI84" i="26"/>
  <c r="BJ84" i="26"/>
  <c r="BH85" i="26"/>
  <c r="BI85" i="26"/>
  <c r="BJ85" i="26"/>
  <c r="BH86" i="26"/>
  <c r="BI86" i="26"/>
  <c r="BJ86" i="26"/>
  <c r="BH87" i="26"/>
  <c r="BI87" i="26"/>
  <c r="BJ87" i="26"/>
  <c r="BH88" i="26"/>
  <c r="BI88" i="26"/>
  <c r="BJ88" i="26"/>
  <c r="BH89" i="26"/>
  <c r="BI89" i="26"/>
  <c r="BJ89" i="26"/>
  <c r="BH90" i="26"/>
  <c r="BI90" i="26"/>
  <c r="BJ90" i="26"/>
  <c r="BH91" i="26"/>
  <c r="BI91" i="26"/>
  <c r="BJ91" i="26"/>
  <c r="BH92" i="26"/>
  <c r="BI92" i="26"/>
  <c r="BJ92" i="26"/>
  <c r="BH93" i="26"/>
  <c r="BI93" i="26"/>
  <c r="BJ93" i="26"/>
  <c r="BH94" i="26"/>
  <c r="BI94" i="26"/>
  <c r="BJ94" i="26"/>
  <c r="BH95" i="26"/>
  <c r="BI95" i="26"/>
  <c r="BJ95" i="26"/>
  <c r="BH96" i="26"/>
  <c r="BI96" i="26"/>
  <c r="BJ96" i="26"/>
  <c r="BH97" i="26"/>
  <c r="BI97" i="26"/>
  <c r="BJ97" i="26"/>
  <c r="BH98" i="26"/>
  <c r="BI98" i="26"/>
  <c r="BJ98" i="26"/>
  <c r="BH81" i="26"/>
  <c r="BI81" i="26"/>
  <c r="BJ81" i="26"/>
  <c r="BG98" i="26"/>
  <c r="BG97" i="26"/>
  <c r="BG96" i="26"/>
  <c r="BG95" i="26"/>
  <c r="BG94" i="26"/>
  <c r="BG93" i="26"/>
  <c r="BG92" i="26"/>
  <c r="BG91" i="26"/>
  <c r="BG90" i="26"/>
  <c r="BG89" i="26"/>
  <c r="BG88" i="26"/>
  <c r="BG87" i="26"/>
  <c r="BG86" i="26"/>
  <c r="BG85" i="26"/>
  <c r="BG84" i="26"/>
  <c r="BG83" i="26"/>
  <c r="BG82" i="26"/>
  <c r="BG81" i="26"/>
  <c r="BA77" i="20"/>
  <c r="BL81" i="26"/>
  <c r="C161" i="26"/>
  <c r="F43" i="22"/>
  <c r="G43" i="22"/>
  <c r="H43" i="22"/>
  <c r="I43" i="22"/>
  <c r="J43" i="22"/>
  <c r="K43" i="22"/>
  <c r="F44" i="22"/>
  <c r="G44" i="22"/>
  <c r="H44" i="22"/>
  <c r="I44" i="22"/>
  <c r="J44" i="22"/>
  <c r="K44" i="22"/>
  <c r="F45" i="22"/>
  <c r="G45" i="22"/>
  <c r="H45" i="22"/>
  <c r="I45" i="22"/>
  <c r="J45" i="22"/>
  <c r="K45" i="22"/>
  <c r="F46" i="22"/>
  <c r="G46" i="22"/>
  <c r="H46" i="22"/>
  <c r="I46" i="22"/>
  <c r="J46" i="22"/>
  <c r="K46" i="22"/>
  <c r="F47" i="22"/>
  <c r="G47" i="22"/>
  <c r="H47" i="22"/>
  <c r="I47" i="22"/>
  <c r="J47" i="22"/>
  <c r="K47" i="22"/>
  <c r="F48" i="22"/>
  <c r="G48" i="22"/>
  <c r="H48" i="22"/>
  <c r="I48" i="22"/>
  <c r="J48" i="22"/>
  <c r="K48" i="22"/>
  <c r="F49" i="22"/>
  <c r="G49" i="22"/>
  <c r="H49" i="22"/>
  <c r="I49" i="22"/>
  <c r="J49" i="22"/>
  <c r="K49" i="22"/>
  <c r="F50" i="22"/>
  <c r="G50" i="22"/>
  <c r="H50" i="22"/>
  <c r="I50" i="22"/>
  <c r="J50" i="22"/>
  <c r="K50" i="22"/>
  <c r="F51" i="22"/>
  <c r="G51" i="22"/>
  <c r="H51" i="22"/>
  <c r="I51" i="22"/>
  <c r="J51" i="22"/>
  <c r="K51" i="22"/>
  <c r="F52" i="22"/>
  <c r="G52" i="22"/>
  <c r="H52" i="22"/>
  <c r="I52" i="22"/>
  <c r="J52" i="22"/>
  <c r="K52" i="22"/>
  <c r="F53" i="22"/>
  <c r="G53" i="22"/>
  <c r="H53" i="22"/>
  <c r="I53" i="22"/>
  <c r="J53" i="22"/>
  <c r="K53" i="22"/>
  <c r="F54" i="22"/>
  <c r="G54" i="22"/>
  <c r="H54" i="22"/>
  <c r="I54" i="22"/>
  <c r="J54" i="22"/>
  <c r="K54" i="22"/>
  <c r="F55" i="22"/>
  <c r="G55" i="22"/>
  <c r="H55" i="22"/>
  <c r="I55" i="22"/>
  <c r="J55" i="22"/>
  <c r="K55" i="22"/>
  <c r="F56" i="22"/>
  <c r="G56" i="22"/>
  <c r="H56" i="22"/>
  <c r="I56" i="22"/>
  <c r="J56" i="22"/>
  <c r="K56" i="22"/>
  <c r="F57" i="22"/>
  <c r="G57" i="22"/>
  <c r="H57" i="22"/>
  <c r="I57" i="22"/>
  <c r="J57" i="22"/>
  <c r="K57" i="22"/>
  <c r="F58" i="22"/>
  <c r="G58" i="22"/>
  <c r="H58" i="22"/>
  <c r="I58" i="22"/>
  <c r="J58" i="22"/>
  <c r="K58" i="22"/>
  <c r="F59" i="22"/>
  <c r="G59" i="22"/>
  <c r="H59" i="22"/>
  <c r="I59" i="22"/>
  <c r="J59" i="22"/>
  <c r="K59" i="22"/>
  <c r="F61" i="22"/>
  <c r="G61" i="22"/>
  <c r="H61" i="22"/>
  <c r="I61" i="22"/>
  <c r="J61" i="22"/>
  <c r="K61" i="22"/>
  <c r="F62" i="22"/>
  <c r="G62" i="22"/>
  <c r="H62" i="22"/>
  <c r="I62" i="22"/>
  <c r="J62" i="22"/>
  <c r="K62" i="22"/>
  <c r="F63" i="22"/>
  <c r="G63" i="22"/>
  <c r="H63" i="22"/>
  <c r="I63" i="22"/>
  <c r="J63" i="22"/>
  <c r="K63" i="22"/>
  <c r="F64" i="22"/>
  <c r="G64" i="22"/>
  <c r="H64" i="22"/>
  <c r="I64" i="22"/>
  <c r="J64" i="22"/>
  <c r="K64" i="22"/>
  <c r="F65" i="22"/>
  <c r="G65" i="22"/>
  <c r="H65" i="22"/>
  <c r="I65" i="22"/>
  <c r="J65" i="22"/>
  <c r="K65" i="22"/>
  <c r="F66" i="22"/>
  <c r="G66" i="22"/>
  <c r="H66" i="22"/>
  <c r="I66" i="22"/>
  <c r="J66" i="22"/>
  <c r="K66" i="22"/>
  <c r="F67" i="22"/>
  <c r="G67" i="22"/>
  <c r="H67" i="22"/>
  <c r="I67" i="22"/>
  <c r="J67" i="22"/>
  <c r="K67" i="22"/>
  <c r="F68" i="22"/>
  <c r="G68" i="22"/>
  <c r="H68" i="22"/>
  <c r="I68" i="22"/>
  <c r="J68" i="22"/>
  <c r="K68" i="22"/>
  <c r="F69" i="22"/>
  <c r="G69" i="22"/>
  <c r="H69" i="22"/>
  <c r="I69" i="22"/>
  <c r="J69" i="22"/>
  <c r="K69" i="22"/>
  <c r="F70" i="22"/>
  <c r="G70" i="22"/>
  <c r="H70" i="22"/>
  <c r="I70" i="22"/>
  <c r="J70" i="22"/>
  <c r="K70" i="22"/>
  <c r="F71" i="22"/>
  <c r="G71" i="22"/>
  <c r="H71" i="22"/>
  <c r="I71" i="22"/>
  <c r="J71" i="22"/>
  <c r="K71" i="22"/>
  <c r="F72" i="22"/>
  <c r="G72" i="22"/>
  <c r="H72" i="22"/>
  <c r="I72" i="22"/>
  <c r="J72" i="22"/>
  <c r="K72" i="22"/>
  <c r="F73" i="22"/>
  <c r="G73" i="22"/>
  <c r="H73" i="22"/>
  <c r="I73" i="22"/>
  <c r="J73" i="22"/>
  <c r="K73" i="22"/>
  <c r="F74" i="22"/>
  <c r="G74" i="22"/>
  <c r="H74" i="22"/>
  <c r="I74" i="22"/>
  <c r="J74" i="22"/>
  <c r="K74" i="22"/>
  <c r="F75" i="22"/>
  <c r="G75" i="22"/>
  <c r="H75" i="22"/>
  <c r="I75" i="22"/>
  <c r="J75" i="22"/>
  <c r="K75" i="22"/>
  <c r="F76" i="22"/>
  <c r="G76" i="22"/>
  <c r="H76" i="22"/>
  <c r="I76" i="22"/>
  <c r="J76" i="22"/>
  <c r="K76" i="22"/>
  <c r="F77" i="22"/>
  <c r="G77" i="22"/>
  <c r="H77" i="22"/>
  <c r="I77" i="22"/>
  <c r="J77" i="22"/>
  <c r="K77" i="22"/>
  <c r="R77" i="20"/>
  <c r="S77" i="20"/>
  <c r="R78" i="20"/>
  <c r="S78" i="20"/>
  <c r="R79" i="20"/>
  <c r="S79" i="20"/>
  <c r="R80" i="20"/>
  <c r="S80" i="20"/>
  <c r="R81" i="20"/>
  <c r="S81" i="20"/>
  <c r="R82" i="20"/>
  <c r="S82" i="20"/>
  <c r="R83" i="20"/>
  <c r="S83" i="20"/>
  <c r="R84" i="20"/>
  <c r="S84" i="20"/>
  <c r="R85" i="20"/>
  <c r="S85" i="20"/>
  <c r="R86" i="20"/>
  <c r="S86" i="20"/>
  <c r="R87" i="20"/>
  <c r="S87" i="20"/>
  <c r="R88" i="20"/>
  <c r="S88" i="20"/>
  <c r="R89" i="20"/>
  <c r="S89" i="20"/>
  <c r="R90" i="20"/>
  <c r="S90" i="20"/>
  <c r="R91" i="20"/>
  <c r="S91" i="20"/>
  <c r="R92" i="20"/>
  <c r="S92" i="20"/>
  <c r="R93" i="20"/>
  <c r="S93" i="20"/>
  <c r="R95" i="20"/>
  <c r="S95" i="20"/>
  <c r="R96" i="20"/>
  <c r="S96" i="20"/>
  <c r="R97" i="20"/>
  <c r="S97" i="20"/>
  <c r="R98" i="20"/>
  <c r="S98" i="20"/>
  <c r="R99" i="20"/>
  <c r="S99" i="20"/>
  <c r="R100" i="20"/>
  <c r="S100" i="20"/>
  <c r="R101" i="20"/>
  <c r="S101" i="20"/>
  <c r="R102" i="20"/>
  <c r="S102" i="20"/>
  <c r="R103" i="20"/>
  <c r="S103" i="20"/>
  <c r="R104" i="20"/>
  <c r="S104" i="20"/>
  <c r="R105" i="20"/>
  <c r="S105" i="20"/>
  <c r="R106" i="20"/>
  <c r="S106" i="20"/>
  <c r="R107" i="20"/>
  <c r="S107" i="20"/>
  <c r="R108" i="20"/>
  <c r="S108" i="20"/>
  <c r="R109" i="20"/>
  <c r="S109" i="20"/>
  <c r="R110" i="20"/>
  <c r="S110" i="20"/>
  <c r="R111" i="20"/>
  <c r="S111" i="20"/>
  <c r="R113" i="20"/>
  <c r="S113" i="20"/>
  <c r="R114" i="20"/>
  <c r="S114" i="20"/>
  <c r="R115" i="20"/>
  <c r="S115" i="20"/>
  <c r="R116" i="20"/>
  <c r="S116" i="20"/>
  <c r="R117" i="20"/>
  <c r="S117" i="20"/>
  <c r="R118" i="20"/>
  <c r="S118" i="20"/>
  <c r="R119" i="20"/>
  <c r="S119" i="20"/>
  <c r="R120" i="20"/>
  <c r="S120" i="20"/>
  <c r="R121" i="20"/>
  <c r="S121" i="20"/>
  <c r="R122" i="20"/>
  <c r="S122" i="20"/>
  <c r="R123" i="20"/>
  <c r="S123" i="20"/>
  <c r="R124" i="20"/>
  <c r="S124" i="20"/>
  <c r="R125" i="20"/>
  <c r="S125" i="20"/>
  <c r="R126" i="20"/>
  <c r="S126" i="20"/>
  <c r="R127" i="20"/>
  <c r="S127" i="20"/>
  <c r="R128" i="20"/>
  <c r="S128" i="20"/>
  <c r="R129" i="20"/>
  <c r="S129" i="20"/>
  <c r="R131" i="20"/>
  <c r="S131" i="20"/>
  <c r="R132" i="20"/>
  <c r="S132" i="20"/>
  <c r="R133" i="20"/>
  <c r="S133" i="20"/>
  <c r="R134" i="20"/>
  <c r="S134" i="20"/>
  <c r="R135" i="20"/>
  <c r="S135" i="20"/>
  <c r="R136" i="20"/>
  <c r="S136" i="20"/>
  <c r="R137" i="20"/>
  <c r="S137" i="20"/>
  <c r="R138" i="20"/>
  <c r="S138" i="20"/>
  <c r="R139" i="20"/>
  <c r="S139" i="20"/>
  <c r="R140" i="20"/>
  <c r="S140" i="20"/>
  <c r="R141" i="20"/>
  <c r="S141" i="20"/>
  <c r="R142" i="20"/>
  <c r="S142" i="20"/>
  <c r="R143" i="20"/>
  <c r="S143" i="20"/>
  <c r="R144" i="20"/>
  <c r="S144" i="20"/>
  <c r="R145" i="20"/>
  <c r="S145" i="20"/>
  <c r="R146" i="20"/>
  <c r="S146" i="20"/>
  <c r="R147" i="20"/>
  <c r="S147" i="20"/>
  <c r="H51" i="11"/>
  <c r="H52" i="11" s="1"/>
  <c r="H53" i="11" s="1"/>
  <c r="H54" i="11" s="1"/>
  <c r="B39" i="10"/>
  <c r="G38" i="11"/>
  <c r="G39" i="11" s="1"/>
  <c r="G40" i="11" s="1"/>
  <c r="G41" i="11" s="1"/>
  <c r="G43" i="9"/>
  <c r="G44" i="9" s="1"/>
  <c r="G45" i="9" s="1"/>
  <c r="G46" i="9" s="1"/>
  <c r="G37" i="9"/>
  <c r="G38" i="9" s="1"/>
  <c r="G39" i="9" s="1"/>
  <c r="G40" i="9" s="1"/>
  <c r="G30" i="9"/>
  <c r="G31" i="9" s="1"/>
  <c r="G32" i="9" s="1"/>
  <c r="G33" i="9" s="1"/>
  <c r="G24" i="9"/>
  <c r="H44" i="12"/>
  <c r="H45" i="12"/>
  <c r="H43" i="12"/>
  <c r="H38" i="12"/>
  <c r="H37" i="12"/>
  <c r="H36" i="12"/>
  <c r="E50" i="39"/>
  <c r="AD2" i="14"/>
  <c r="K34" i="14" s="1"/>
  <c r="P24" i="14"/>
  <c r="P23" i="14"/>
  <c r="P19" i="14"/>
  <c r="Q19" i="14" s="1"/>
  <c r="I54" i="14" s="1"/>
  <c r="P18" i="14"/>
  <c r="P28" i="12"/>
  <c r="P27" i="12"/>
  <c r="P23" i="12"/>
  <c r="P22" i="12"/>
  <c r="I57" i="11"/>
  <c r="I58" i="11" s="1"/>
  <c r="I59" i="11" s="1"/>
  <c r="I60" i="11" s="1"/>
  <c r="I51" i="11"/>
  <c r="I52" i="11" s="1"/>
  <c r="I53" i="11" s="1"/>
  <c r="I54" i="11" s="1"/>
  <c r="L42" i="14"/>
  <c r="L43" i="14" s="1"/>
  <c r="L35" i="14"/>
  <c r="L38" i="14" s="1"/>
  <c r="I31" i="13"/>
  <c r="I32" i="13" s="1"/>
  <c r="H35" i="12"/>
  <c r="G44" i="11"/>
  <c r="G45" i="11" s="1"/>
  <c r="G46" i="11" s="1"/>
  <c r="G47" i="11" s="1"/>
  <c r="I38" i="11"/>
  <c r="I39" i="11" s="1"/>
  <c r="I40" i="11" s="1"/>
  <c r="I41" i="11" s="1"/>
  <c r="N18" i="10"/>
  <c r="H36" i="14"/>
  <c r="H35" i="14"/>
  <c r="E47" i="39"/>
  <c r="H47" i="39" s="1"/>
  <c r="E28" i="37"/>
  <c r="H28" i="37" s="1"/>
  <c r="A15" i="60"/>
  <c r="A16" i="60"/>
  <c r="A51" i="15"/>
  <c r="J56" i="14"/>
  <c r="H21" i="13"/>
  <c r="H25" i="13" s="1"/>
  <c r="J47" i="13"/>
  <c r="B51" i="12"/>
  <c r="F21" i="13"/>
  <c r="J56" i="12"/>
  <c r="E2" i="60"/>
  <c r="E4" i="60"/>
  <c r="AQ2" i="11"/>
  <c r="Q32" i="11" s="1"/>
  <c r="B68" i="11"/>
  <c r="I23" i="37"/>
  <c r="P37" i="42"/>
  <c r="L7" i="42"/>
  <c r="L8" i="42"/>
  <c r="E46" i="39"/>
  <c r="E48" i="39"/>
  <c r="E33" i="39"/>
  <c r="E34" i="39"/>
  <c r="I34" i="39" s="1"/>
  <c r="E45" i="39"/>
  <c r="H45" i="39" s="1"/>
  <c r="E56" i="39"/>
  <c r="H56" i="39" s="1"/>
  <c r="E57" i="39"/>
  <c r="D22" i="38"/>
  <c r="F22" i="38" s="1"/>
  <c r="Q19" i="7"/>
  <c r="P18" i="15"/>
  <c r="P19" i="15"/>
  <c r="P23" i="15"/>
  <c r="P24" i="15"/>
  <c r="R7" i="40"/>
  <c r="U7" i="40"/>
  <c r="T7" i="40"/>
  <c r="S7" i="40"/>
  <c r="E27" i="11"/>
  <c r="D31" i="38"/>
  <c r="E55" i="39"/>
  <c r="E54" i="39"/>
  <c r="E53" i="39"/>
  <c r="G58" i="8"/>
  <c r="D25" i="38"/>
  <c r="D23" i="38"/>
  <c r="D21" i="38"/>
  <c r="D20" i="38"/>
  <c r="D19" i="38"/>
  <c r="E71" i="7"/>
  <c r="O24" i="12"/>
  <c r="D24" i="12"/>
  <c r="E24" i="12"/>
  <c r="F24" i="12"/>
  <c r="G24" i="12"/>
  <c r="H24" i="12"/>
  <c r="I24" i="12"/>
  <c r="J24" i="12"/>
  <c r="K24" i="12"/>
  <c r="L24" i="12"/>
  <c r="M24" i="12"/>
  <c r="N24" i="12"/>
  <c r="O29" i="12"/>
  <c r="D29" i="12"/>
  <c r="E29" i="12"/>
  <c r="F29" i="12"/>
  <c r="G29" i="12"/>
  <c r="H29" i="12"/>
  <c r="I29" i="12"/>
  <c r="J29" i="12"/>
  <c r="K29" i="12"/>
  <c r="L29" i="12"/>
  <c r="M29" i="12"/>
  <c r="N29" i="12"/>
  <c r="P70" i="8"/>
  <c r="O70" i="8"/>
  <c r="N70" i="8"/>
  <c r="M70" i="8"/>
  <c r="L70" i="8"/>
  <c r="K70" i="8"/>
  <c r="J70" i="8"/>
  <c r="I70" i="8"/>
  <c r="H70" i="8"/>
  <c r="G70" i="8"/>
  <c r="F70" i="8"/>
  <c r="E70" i="8"/>
  <c r="P64" i="8"/>
  <c r="O64" i="8"/>
  <c r="N64" i="8"/>
  <c r="M64" i="8"/>
  <c r="L64" i="8"/>
  <c r="K64" i="8"/>
  <c r="J64" i="8"/>
  <c r="I64" i="8"/>
  <c r="H64" i="8"/>
  <c r="G64" i="8"/>
  <c r="F64" i="8"/>
  <c r="E64" i="8"/>
  <c r="F35" i="8"/>
  <c r="G35" i="8"/>
  <c r="H35" i="8"/>
  <c r="I35" i="8"/>
  <c r="J35" i="8"/>
  <c r="K35" i="8"/>
  <c r="L35" i="8"/>
  <c r="M35" i="8"/>
  <c r="N35" i="8"/>
  <c r="O35" i="8"/>
  <c r="O39" i="8"/>
  <c r="P35" i="8"/>
  <c r="F36" i="8"/>
  <c r="G36" i="8"/>
  <c r="H36" i="8"/>
  <c r="I36" i="8"/>
  <c r="J36" i="8"/>
  <c r="K36" i="8"/>
  <c r="L36" i="8"/>
  <c r="M36" i="8"/>
  <c r="N36" i="8"/>
  <c r="O36" i="8"/>
  <c r="P36" i="8"/>
  <c r="F37" i="8"/>
  <c r="G37" i="8"/>
  <c r="H37" i="8"/>
  <c r="I37" i="8"/>
  <c r="J37" i="8"/>
  <c r="K37" i="8"/>
  <c r="L37" i="8"/>
  <c r="M37" i="8"/>
  <c r="N37" i="8"/>
  <c r="O37" i="8"/>
  <c r="P37" i="8"/>
  <c r="F38" i="8"/>
  <c r="G38" i="8"/>
  <c r="H38" i="8"/>
  <c r="I38" i="8"/>
  <c r="J38" i="8"/>
  <c r="K38" i="8"/>
  <c r="L38" i="8"/>
  <c r="M38" i="8"/>
  <c r="N38" i="8"/>
  <c r="O38" i="8"/>
  <c r="P38" i="8"/>
  <c r="E39" i="8"/>
  <c r="F29" i="8"/>
  <c r="Q29" i="8" s="1"/>
  <c r="G29" i="8"/>
  <c r="H29" i="8"/>
  <c r="I29" i="8"/>
  <c r="J29" i="8"/>
  <c r="K29" i="8"/>
  <c r="L29" i="8"/>
  <c r="M29" i="8"/>
  <c r="N29" i="8"/>
  <c r="O29" i="8"/>
  <c r="P29" i="8"/>
  <c r="F30" i="8"/>
  <c r="Q30" i="8" s="1"/>
  <c r="G30" i="8"/>
  <c r="H30" i="8"/>
  <c r="I30" i="8"/>
  <c r="J30" i="8"/>
  <c r="K30" i="8"/>
  <c r="L30" i="8"/>
  <c r="M30" i="8"/>
  <c r="N30" i="8"/>
  <c r="O30" i="8"/>
  <c r="P30" i="8"/>
  <c r="F31" i="8"/>
  <c r="Q31" i="8" s="1"/>
  <c r="G31" i="8"/>
  <c r="H31" i="8"/>
  <c r="I31" i="8"/>
  <c r="J31" i="8"/>
  <c r="K31" i="8"/>
  <c r="L31" i="8"/>
  <c r="M31" i="8"/>
  <c r="N31" i="8"/>
  <c r="O31" i="8"/>
  <c r="P31" i="8"/>
  <c r="F32" i="8"/>
  <c r="Q32" i="8" s="1"/>
  <c r="G32" i="8"/>
  <c r="H32" i="8"/>
  <c r="I32" i="8"/>
  <c r="J32" i="8"/>
  <c r="K32" i="8"/>
  <c r="L32" i="8"/>
  <c r="M32" i="8"/>
  <c r="N32" i="8"/>
  <c r="O32" i="8"/>
  <c r="P32" i="8"/>
  <c r="L33" i="8"/>
  <c r="E33" i="8"/>
  <c r="Q17" i="8"/>
  <c r="Q19" i="8"/>
  <c r="Q21" i="8"/>
  <c r="Q23" i="8"/>
  <c r="P25" i="8"/>
  <c r="O25" i="8"/>
  <c r="N25" i="8"/>
  <c r="M25" i="8"/>
  <c r="L25" i="8"/>
  <c r="K25" i="8"/>
  <c r="J25" i="8"/>
  <c r="I25" i="8"/>
  <c r="H25" i="8"/>
  <c r="G25" i="8"/>
  <c r="F25" i="8"/>
  <c r="E25" i="8"/>
  <c r="P24" i="8"/>
  <c r="O24" i="8"/>
  <c r="N24" i="8"/>
  <c r="M24" i="8"/>
  <c r="L24" i="8"/>
  <c r="K24" i="8"/>
  <c r="J24" i="8"/>
  <c r="I24" i="8"/>
  <c r="H24" i="8"/>
  <c r="G24" i="8"/>
  <c r="F24" i="8"/>
  <c r="P22" i="8"/>
  <c r="O22" i="8"/>
  <c r="N22" i="8"/>
  <c r="M22" i="8"/>
  <c r="L22" i="8"/>
  <c r="K22" i="8"/>
  <c r="J22" i="8"/>
  <c r="I22" i="8"/>
  <c r="H22" i="8"/>
  <c r="G22" i="8"/>
  <c r="F22" i="8"/>
  <c r="P20" i="8"/>
  <c r="O20" i="8"/>
  <c r="N20" i="8"/>
  <c r="M20" i="8"/>
  <c r="L20" i="8"/>
  <c r="K20" i="8"/>
  <c r="J20" i="8"/>
  <c r="I20" i="8"/>
  <c r="H20" i="8"/>
  <c r="G20" i="8"/>
  <c r="F20" i="8"/>
  <c r="P18" i="8"/>
  <c r="O18" i="8"/>
  <c r="N18" i="8"/>
  <c r="M18" i="8"/>
  <c r="L18" i="8"/>
  <c r="K18" i="8"/>
  <c r="J18" i="8"/>
  <c r="I18" i="8"/>
  <c r="H18" i="8"/>
  <c r="G18" i="8"/>
  <c r="F18" i="8"/>
  <c r="Q7" i="8"/>
  <c r="Q9" i="8"/>
  <c r="Q11" i="8"/>
  <c r="Q13" i="8"/>
  <c r="P15" i="8"/>
  <c r="O15" i="8"/>
  <c r="N15" i="8"/>
  <c r="M15" i="8"/>
  <c r="L15" i="8"/>
  <c r="K15" i="8"/>
  <c r="J15" i="8"/>
  <c r="I15" i="8"/>
  <c r="H15" i="8"/>
  <c r="G15" i="8"/>
  <c r="F15" i="8"/>
  <c r="E15" i="8"/>
  <c r="P14" i="8"/>
  <c r="O14" i="8"/>
  <c r="N14" i="8"/>
  <c r="M14" i="8"/>
  <c r="L14" i="8"/>
  <c r="K14" i="8"/>
  <c r="J14" i="8"/>
  <c r="I14" i="8"/>
  <c r="H14" i="8"/>
  <c r="G14" i="8"/>
  <c r="F14" i="8"/>
  <c r="P12" i="8"/>
  <c r="O12" i="8"/>
  <c r="N12" i="8"/>
  <c r="M12" i="8"/>
  <c r="L12" i="8"/>
  <c r="K12" i="8"/>
  <c r="J12" i="8"/>
  <c r="I12" i="8"/>
  <c r="H12" i="8"/>
  <c r="G12" i="8"/>
  <c r="F12" i="8"/>
  <c r="P10" i="8"/>
  <c r="O10" i="8"/>
  <c r="N10" i="8"/>
  <c r="M10" i="8"/>
  <c r="L10" i="8"/>
  <c r="K10" i="8"/>
  <c r="J10" i="8"/>
  <c r="I10" i="8"/>
  <c r="H10" i="8"/>
  <c r="G10" i="8"/>
  <c r="F10" i="8"/>
  <c r="P8" i="8"/>
  <c r="O8" i="8"/>
  <c r="N8" i="8"/>
  <c r="M8" i="8"/>
  <c r="L8" i="8"/>
  <c r="K8" i="8"/>
  <c r="J8" i="8"/>
  <c r="I8" i="8"/>
  <c r="H8" i="8"/>
  <c r="G8" i="8"/>
  <c r="F8" i="8"/>
  <c r="P88" i="7"/>
  <c r="O88" i="7"/>
  <c r="N88" i="7"/>
  <c r="M88" i="7"/>
  <c r="L88" i="7"/>
  <c r="K88" i="7"/>
  <c r="J88" i="7"/>
  <c r="I88" i="7"/>
  <c r="H88" i="7"/>
  <c r="G88" i="7"/>
  <c r="F88" i="7"/>
  <c r="E88" i="7"/>
  <c r="F8" i="7"/>
  <c r="F37" i="7" s="1"/>
  <c r="G8" i="7"/>
  <c r="G37" i="7" s="1"/>
  <c r="H8" i="7"/>
  <c r="H37" i="7"/>
  <c r="I8" i="7"/>
  <c r="I37" i="7"/>
  <c r="J8" i="7"/>
  <c r="J37" i="7" s="1"/>
  <c r="K8" i="7"/>
  <c r="K37" i="7"/>
  <c r="L8" i="7"/>
  <c r="L37" i="7"/>
  <c r="M8" i="7"/>
  <c r="M37" i="7" s="1"/>
  <c r="N8" i="7"/>
  <c r="N37" i="7"/>
  <c r="O8" i="7"/>
  <c r="O37" i="7"/>
  <c r="P8" i="7"/>
  <c r="P37" i="7" s="1"/>
  <c r="F20" i="7"/>
  <c r="F44" i="7"/>
  <c r="G20" i="7"/>
  <c r="G44" i="7"/>
  <c r="H20" i="7"/>
  <c r="H44" i="7"/>
  <c r="I20" i="7"/>
  <c r="I44" i="7"/>
  <c r="J20" i="7"/>
  <c r="J44" i="7"/>
  <c r="P82" i="7"/>
  <c r="O82" i="7"/>
  <c r="N82" i="7"/>
  <c r="M82" i="7"/>
  <c r="L82" i="7"/>
  <c r="K82" i="7"/>
  <c r="J82" i="7"/>
  <c r="I82" i="7"/>
  <c r="H82" i="7"/>
  <c r="G82" i="7"/>
  <c r="F82" i="7"/>
  <c r="E82" i="7"/>
  <c r="F32" i="7"/>
  <c r="F51" i="7"/>
  <c r="G32" i="7"/>
  <c r="G51" i="7"/>
  <c r="H32" i="7"/>
  <c r="H51" i="7"/>
  <c r="I32" i="7"/>
  <c r="I51" i="7"/>
  <c r="J32" i="7"/>
  <c r="J51" i="7"/>
  <c r="K32" i="7"/>
  <c r="K51" i="7"/>
  <c r="L32" i="7"/>
  <c r="L51" i="7"/>
  <c r="M32" i="7"/>
  <c r="M51" i="7"/>
  <c r="N32" i="7"/>
  <c r="N51" i="7"/>
  <c r="O32" i="7"/>
  <c r="O51" i="7"/>
  <c r="P32" i="7"/>
  <c r="P51" i="7"/>
  <c r="F33" i="7"/>
  <c r="G33" i="7"/>
  <c r="H33" i="7"/>
  <c r="I33" i="7"/>
  <c r="J33" i="7"/>
  <c r="K33" i="7"/>
  <c r="L33" i="7"/>
  <c r="M33" i="7"/>
  <c r="N33" i="7"/>
  <c r="O33" i="7"/>
  <c r="P33" i="7"/>
  <c r="P76" i="7"/>
  <c r="O76" i="7"/>
  <c r="N76" i="7"/>
  <c r="M76" i="7"/>
  <c r="L76" i="7"/>
  <c r="K76" i="7"/>
  <c r="J76" i="7"/>
  <c r="I76" i="7"/>
  <c r="H76" i="7"/>
  <c r="G76" i="7"/>
  <c r="F76" i="7"/>
  <c r="E76" i="7"/>
  <c r="Q7" i="7"/>
  <c r="Q9" i="7"/>
  <c r="Q11" i="7"/>
  <c r="F13" i="7"/>
  <c r="G13" i="7"/>
  <c r="H13" i="7"/>
  <c r="I13" i="7"/>
  <c r="J13" i="7"/>
  <c r="K13" i="7"/>
  <c r="L13" i="7"/>
  <c r="M13" i="7"/>
  <c r="N13" i="7"/>
  <c r="O13" i="7"/>
  <c r="P13" i="7"/>
  <c r="E13" i="7"/>
  <c r="Q15" i="7"/>
  <c r="Q17" i="7"/>
  <c r="Q21" i="7"/>
  <c r="F23" i="7"/>
  <c r="G23" i="7"/>
  <c r="H23" i="7"/>
  <c r="I23" i="7"/>
  <c r="J23" i="7"/>
  <c r="K23" i="7"/>
  <c r="L23" i="7"/>
  <c r="M23" i="7"/>
  <c r="N23" i="7"/>
  <c r="O23" i="7"/>
  <c r="P23" i="7"/>
  <c r="E23" i="7"/>
  <c r="E33" i="7"/>
  <c r="Q25" i="7"/>
  <c r="Q27" i="7"/>
  <c r="Q29" i="7"/>
  <c r="Q31" i="7"/>
  <c r="F18" i="7"/>
  <c r="F43" i="7" s="1"/>
  <c r="G18" i="7"/>
  <c r="G43" i="7" s="1"/>
  <c r="H18" i="7"/>
  <c r="H43" i="7"/>
  <c r="I18" i="7"/>
  <c r="I43" i="7" s="1"/>
  <c r="J18" i="7"/>
  <c r="J43" i="7"/>
  <c r="K18" i="7"/>
  <c r="K43" i="7"/>
  <c r="L18" i="7"/>
  <c r="L43" i="7" s="1"/>
  <c r="M18" i="7"/>
  <c r="M43" i="7"/>
  <c r="N18" i="7"/>
  <c r="N43" i="7"/>
  <c r="O18" i="7"/>
  <c r="O43" i="7" s="1"/>
  <c r="P18" i="7"/>
  <c r="P43" i="7"/>
  <c r="E52" i="7"/>
  <c r="E46" i="7"/>
  <c r="E40" i="7"/>
  <c r="P26" i="7"/>
  <c r="P48" i="7" s="1"/>
  <c r="P28" i="7"/>
  <c r="P49" i="7" s="1"/>
  <c r="P30" i="7"/>
  <c r="P50" i="7"/>
  <c r="O26" i="7"/>
  <c r="O48" i="7" s="1"/>
  <c r="O28" i="7"/>
  <c r="O49" i="7"/>
  <c r="O30" i="7"/>
  <c r="O50" i="7"/>
  <c r="N26" i="7"/>
  <c r="N48" i="7" s="1"/>
  <c r="N28" i="7"/>
  <c r="N49" i="7" s="1"/>
  <c r="N30" i="7"/>
  <c r="N50" i="7" s="1"/>
  <c r="M26" i="7"/>
  <c r="M48" i="7" s="1"/>
  <c r="M28" i="7"/>
  <c r="M49" i="7"/>
  <c r="M30" i="7"/>
  <c r="M50" i="7"/>
  <c r="L26" i="7"/>
  <c r="L48" i="7" s="1"/>
  <c r="L28" i="7"/>
  <c r="L49" i="7" s="1"/>
  <c r="L30" i="7"/>
  <c r="L50" i="7"/>
  <c r="K26" i="7"/>
  <c r="K48" i="7" s="1"/>
  <c r="K28" i="7"/>
  <c r="K49" i="7"/>
  <c r="K30" i="7"/>
  <c r="K50" i="7"/>
  <c r="J26" i="7"/>
  <c r="J48" i="7" s="1"/>
  <c r="J28" i="7"/>
  <c r="J49" i="7"/>
  <c r="J30" i="7"/>
  <c r="J50" i="7"/>
  <c r="I26" i="7"/>
  <c r="I48" i="7" s="1"/>
  <c r="I28" i="7"/>
  <c r="I49" i="7"/>
  <c r="I30" i="7"/>
  <c r="I50" i="7" s="1"/>
  <c r="H26" i="7"/>
  <c r="H48" i="7" s="1"/>
  <c r="H28" i="7"/>
  <c r="H49" i="7" s="1"/>
  <c r="H30" i="7"/>
  <c r="H50" i="7" s="1"/>
  <c r="G26" i="7"/>
  <c r="G48" i="7" s="1"/>
  <c r="G28" i="7"/>
  <c r="G49" i="7" s="1"/>
  <c r="G30" i="7"/>
  <c r="G50" i="7" s="1"/>
  <c r="F26" i="7"/>
  <c r="F48" i="7" s="1"/>
  <c r="F28" i="7"/>
  <c r="F49" i="7" s="1"/>
  <c r="F30" i="7"/>
  <c r="F50" i="7" s="1"/>
  <c r="P16" i="7"/>
  <c r="P42" i="7" s="1"/>
  <c r="P20" i="7"/>
  <c r="P44" i="7" s="1"/>
  <c r="O16" i="7"/>
  <c r="O42" i="7"/>
  <c r="O20" i="7"/>
  <c r="O44" i="7" s="1"/>
  <c r="N16" i="7"/>
  <c r="N42" i="7"/>
  <c r="N20" i="7"/>
  <c r="N44" i="7" s="1"/>
  <c r="M16" i="7"/>
  <c r="M42" i="7" s="1"/>
  <c r="M20" i="7"/>
  <c r="M44" i="7" s="1"/>
  <c r="L16" i="7"/>
  <c r="L42" i="7"/>
  <c r="L20" i="7"/>
  <c r="L44" i="7" s="1"/>
  <c r="K16" i="7"/>
  <c r="K42" i="7"/>
  <c r="K20" i="7"/>
  <c r="K44" i="7" s="1"/>
  <c r="J16" i="7"/>
  <c r="J42" i="7" s="1"/>
  <c r="I16" i="7"/>
  <c r="I42" i="7"/>
  <c r="H16" i="7"/>
  <c r="H42" i="7"/>
  <c r="G16" i="7"/>
  <c r="G42" i="7" s="1"/>
  <c r="F16" i="7"/>
  <c r="F42" i="7"/>
  <c r="P22" i="7"/>
  <c r="P45" i="7"/>
  <c r="O22" i="7"/>
  <c r="O45" i="7"/>
  <c r="N22" i="7"/>
  <c r="N45" i="7" s="1"/>
  <c r="M22" i="7"/>
  <c r="M45" i="7"/>
  <c r="L22" i="7"/>
  <c r="L45" i="7"/>
  <c r="K22" i="7"/>
  <c r="K45" i="7" s="1"/>
  <c r="J22" i="7"/>
  <c r="J45" i="7"/>
  <c r="I22" i="7"/>
  <c r="I45" i="7"/>
  <c r="H22" i="7"/>
  <c r="H45" i="7" s="1"/>
  <c r="G22" i="7"/>
  <c r="G45" i="7"/>
  <c r="F22" i="7"/>
  <c r="F45" i="7"/>
  <c r="F10" i="7"/>
  <c r="F38" i="7" s="1"/>
  <c r="G10" i="7"/>
  <c r="G38" i="7" s="1"/>
  <c r="H10" i="7"/>
  <c r="H38" i="7"/>
  <c r="I10" i="7"/>
  <c r="I38" i="7" s="1"/>
  <c r="J10" i="7"/>
  <c r="J38" i="7"/>
  <c r="K10" i="7"/>
  <c r="K38" i="7"/>
  <c r="L10" i="7"/>
  <c r="L38" i="7"/>
  <c r="M10" i="7"/>
  <c r="M38" i="7"/>
  <c r="N10" i="7"/>
  <c r="N38" i="7"/>
  <c r="O10" i="7"/>
  <c r="O38" i="7" s="1"/>
  <c r="P10" i="7"/>
  <c r="P38" i="7" s="1"/>
  <c r="F12" i="7"/>
  <c r="F39" i="7" s="1"/>
  <c r="G12" i="7"/>
  <c r="G39" i="7"/>
  <c r="H12" i="7"/>
  <c r="H39" i="7"/>
  <c r="I12" i="7"/>
  <c r="I39" i="7" s="1"/>
  <c r="J12" i="7"/>
  <c r="J39" i="7"/>
  <c r="K12" i="7"/>
  <c r="K39" i="7"/>
  <c r="L12" i="7"/>
  <c r="L39" i="7" s="1"/>
  <c r="M12" i="7"/>
  <c r="M39" i="7"/>
  <c r="N12" i="7"/>
  <c r="N39" i="7"/>
  <c r="O12" i="7"/>
  <c r="O39" i="7" s="1"/>
  <c r="P12" i="7"/>
  <c r="P39" i="7"/>
  <c r="N27" i="11"/>
  <c r="M51" i="11" s="1"/>
  <c r="M52" i="11" s="1"/>
  <c r="M53" i="11" s="1"/>
  <c r="M54" i="11" s="1"/>
  <c r="O16" i="11"/>
  <c r="G51" i="11"/>
  <c r="H27" i="11"/>
  <c r="D99" i="24"/>
  <c r="D98" i="24"/>
  <c r="D97" i="24"/>
  <c r="D96" i="24"/>
  <c r="D95" i="24"/>
  <c r="D94" i="24"/>
  <c r="D93" i="24"/>
  <c r="D92" i="24"/>
  <c r="D91" i="24"/>
  <c r="D90" i="24"/>
  <c r="D89" i="24"/>
  <c r="D88" i="24"/>
  <c r="D87" i="24"/>
  <c r="D86" i="24"/>
  <c r="D85" i="24"/>
  <c r="D84" i="24"/>
  <c r="D83" i="24"/>
  <c r="AH53" i="24"/>
  <c r="AH52" i="24"/>
  <c r="AH51" i="24"/>
  <c r="AH50" i="24"/>
  <c r="AH49" i="24"/>
  <c r="AH48" i="24"/>
  <c r="Q27" i="11"/>
  <c r="H38" i="15"/>
  <c r="H36" i="15"/>
  <c r="H35" i="15"/>
  <c r="G42" i="15"/>
  <c r="G43" i="15" s="1"/>
  <c r="G44" i="15" s="1"/>
  <c r="G45" i="15" s="1"/>
  <c r="G35" i="15"/>
  <c r="G36" i="15" s="1"/>
  <c r="G37" i="15" s="1"/>
  <c r="G38" i="15" s="1"/>
  <c r="G42" i="14"/>
  <c r="G43" i="14" s="1"/>
  <c r="G44" i="14" s="1"/>
  <c r="G45" i="14" s="1"/>
  <c r="G35" i="14"/>
  <c r="G36" i="14" s="1"/>
  <c r="G37" i="14" s="1"/>
  <c r="G38" i="14" s="1"/>
  <c r="D35" i="13"/>
  <c r="D36" i="13" s="1"/>
  <c r="H36" i="13"/>
  <c r="H35" i="13"/>
  <c r="D31" i="13"/>
  <c r="D32" i="13"/>
  <c r="H32" i="13"/>
  <c r="H31" i="13"/>
  <c r="H37" i="15"/>
  <c r="D20" i="15"/>
  <c r="E20" i="15"/>
  <c r="F20" i="15"/>
  <c r="G20" i="15"/>
  <c r="H20" i="15"/>
  <c r="I20" i="15"/>
  <c r="J20" i="15"/>
  <c r="K20" i="15"/>
  <c r="L20" i="15"/>
  <c r="M20" i="15"/>
  <c r="N20" i="15"/>
  <c r="O20" i="15"/>
  <c r="G35" i="12"/>
  <c r="G36" i="12" s="1"/>
  <c r="G37" i="12" s="1"/>
  <c r="G38" i="12" s="1"/>
  <c r="BA77" i="22"/>
  <c r="AY77" i="22"/>
  <c r="AV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L77" i="22"/>
  <c r="E77" i="22"/>
  <c r="D77" i="22"/>
  <c r="BA76" i="22"/>
  <c r="AY76" i="22"/>
  <c r="AV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L76" i="22"/>
  <c r="E76" i="22"/>
  <c r="D76" i="22"/>
  <c r="BA75" i="22"/>
  <c r="AY75" i="22"/>
  <c r="AV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L75" i="22"/>
  <c r="E75" i="22"/>
  <c r="D75" i="22"/>
  <c r="BA74" i="22"/>
  <c r="AY74" i="22"/>
  <c r="AV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L74" i="22"/>
  <c r="E74" i="22"/>
  <c r="D74" i="22"/>
  <c r="BA73" i="22"/>
  <c r="AY73" i="22"/>
  <c r="AV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L73" i="22"/>
  <c r="E73" i="22"/>
  <c r="D73" i="22"/>
  <c r="BA72" i="22"/>
  <c r="AY72" i="22"/>
  <c r="AV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L72" i="22"/>
  <c r="E72" i="22"/>
  <c r="D72" i="22"/>
  <c r="BA71" i="22"/>
  <c r="AY71" i="22"/>
  <c r="AV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L71" i="22"/>
  <c r="E71" i="22"/>
  <c r="D71" i="22"/>
  <c r="BA70" i="22"/>
  <c r="AY70" i="22"/>
  <c r="AV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L70" i="22"/>
  <c r="E70" i="22"/>
  <c r="D70" i="22"/>
  <c r="BA69" i="22"/>
  <c r="AY69" i="22"/>
  <c r="AV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L69" i="22"/>
  <c r="E69" i="22"/>
  <c r="D69" i="22"/>
  <c r="BA68" i="22"/>
  <c r="AY68" i="22"/>
  <c r="AV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L68" i="22"/>
  <c r="E68" i="22"/>
  <c r="D68" i="22"/>
  <c r="BA67" i="22"/>
  <c r="AY67" i="22"/>
  <c r="AV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L67" i="22"/>
  <c r="E67" i="22"/>
  <c r="D67" i="22"/>
  <c r="BA66" i="22"/>
  <c r="AY66" i="22"/>
  <c r="AV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L66" i="22"/>
  <c r="E66" i="22"/>
  <c r="D66" i="22"/>
  <c r="BA65" i="22"/>
  <c r="AY65" i="22"/>
  <c r="AV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L65" i="22"/>
  <c r="E65" i="22"/>
  <c r="D65" i="22"/>
  <c r="BA64" i="22"/>
  <c r="AY64" i="22"/>
  <c r="AV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L64" i="22"/>
  <c r="E64" i="22"/>
  <c r="D64" i="22"/>
  <c r="BA63" i="22"/>
  <c r="AY63" i="22"/>
  <c r="AV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L63" i="22"/>
  <c r="E63" i="22"/>
  <c r="D63" i="22"/>
  <c r="BA62" i="22"/>
  <c r="AY62" i="22"/>
  <c r="AV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L62" i="22"/>
  <c r="E62" i="22"/>
  <c r="D62" i="22"/>
  <c r="BA61" i="22"/>
  <c r="AY61" i="22"/>
  <c r="AV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L61" i="22"/>
  <c r="E61" i="22"/>
  <c r="D61" i="22"/>
  <c r="BB59" i="22"/>
  <c r="BA59" i="22"/>
  <c r="AZ59" i="22"/>
  <c r="AY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R59" i="22"/>
  <c r="Q59" i="22"/>
  <c r="P59" i="22"/>
  <c r="O59" i="22"/>
  <c r="N59" i="22"/>
  <c r="M59" i="22"/>
  <c r="L59" i="22"/>
  <c r="E59" i="22"/>
  <c r="D59" i="22"/>
  <c r="BB58" i="22"/>
  <c r="BA58" i="22"/>
  <c r="AZ58" i="22"/>
  <c r="AY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R58" i="22"/>
  <c r="Q58" i="22"/>
  <c r="P58" i="22"/>
  <c r="O58" i="22"/>
  <c r="N58" i="22"/>
  <c r="M58" i="22"/>
  <c r="L58" i="22"/>
  <c r="E58" i="22"/>
  <c r="D58" i="22"/>
  <c r="BB57" i="22"/>
  <c r="BA57" i="22"/>
  <c r="AZ57" i="22"/>
  <c r="AY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R57" i="22"/>
  <c r="Q57" i="22"/>
  <c r="P57" i="22"/>
  <c r="O57" i="22"/>
  <c r="N57" i="22"/>
  <c r="M57" i="22"/>
  <c r="L57" i="22"/>
  <c r="E57" i="22"/>
  <c r="D57" i="22"/>
  <c r="BB56" i="22"/>
  <c r="BA56" i="22"/>
  <c r="AZ56" i="22"/>
  <c r="AY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R56" i="22"/>
  <c r="Q56" i="22"/>
  <c r="P56" i="22"/>
  <c r="O56" i="22"/>
  <c r="N56" i="22"/>
  <c r="M56" i="22"/>
  <c r="L56" i="22"/>
  <c r="E56" i="22"/>
  <c r="D56" i="22"/>
  <c r="BB55" i="22"/>
  <c r="BA55" i="22"/>
  <c r="AZ55" i="22"/>
  <c r="AY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R55" i="22"/>
  <c r="Q55" i="22"/>
  <c r="P55" i="22"/>
  <c r="O55" i="22"/>
  <c r="N55" i="22"/>
  <c r="M55" i="22"/>
  <c r="L55" i="22"/>
  <c r="E55" i="22"/>
  <c r="D55" i="22"/>
  <c r="BB54" i="22"/>
  <c r="BA54" i="22"/>
  <c r="AZ54" i="22"/>
  <c r="AY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R54" i="22"/>
  <c r="Q54" i="22"/>
  <c r="P54" i="22"/>
  <c r="O54" i="22"/>
  <c r="N54" i="22"/>
  <c r="M54" i="22"/>
  <c r="L54" i="22"/>
  <c r="E54" i="22"/>
  <c r="D54" i="22"/>
  <c r="BB53" i="22"/>
  <c r="BA53" i="22"/>
  <c r="AZ53" i="22"/>
  <c r="AY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R53" i="22"/>
  <c r="Q53" i="22"/>
  <c r="P53" i="22"/>
  <c r="O53" i="22"/>
  <c r="N53" i="22"/>
  <c r="M53" i="22"/>
  <c r="L53" i="22"/>
  <c r="E53" i="22"/>
  <c r="D53" i="22"/>
  <c r="BB52" i="22"/>
  <c r="BA52" i="22"/>
  <c r="AZ52" i="22"/>
  <c r="AY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R52" i="22"/>
  <c r="Q52" i="22"/>
  <c r="P52" i="22"/>
  <c r="O52" i="22"/>
  <c r="N52" i="22"/>
  <c r="M52" i="22"/>
  <c r="L52" i="22"/>
  <c r="E52" i="22"/>
  <c r="D52" i="22"/>
  <c r="BB51" i="22"/>
  <c r="BA51" i="22"/>
  <c r="AZ51" i="22"/>
  <c r="AY51" i="22"/>
  <c r="AV51" i="22"/>
  <c r="AU51" i="22"/>
  <c r="AT51" i="22"/>
  <c r="AS51" i="22"/>
  <c r="AR51" i="22"/>
  <c r="AQ51" i="22"/>
  <c r="AP51" i="22"/>
  <c r="AO51" i="22"/>
  <c r="AN51" i="22"/>
  <c r="AM51" i="22"/>
  <c r="AL51" i="22"/>
  <c r="AK51" i="22"/>
  <c r="AJ51" i="22"/>
  <c r="AI51" i="22"/>
  <c r="AH51" i="22"/>
  <c r="AG51" i="22"/>
  <c r="AF51" i="22"/>
  <c r="AE51" i="22"/>
  <c r="AC51" i="22"/>
  <c r="AA51" i="22"/>
  <c r="Z51" i="22"/>
  <c r="Y51" i="22"/>
  <c r="X51" i="22"/>
  <c r="W51" i="22"/>
  <c r="R51" i="22"/>
  <c r="Q51" i="22"/>
  <c r="P51" i="22"/>
  <c r="O51" i="22"/>
  <c r="N51" i="22"/>
  <c r="M51" i="22"/>
  <c r="L51" i="22"/>
  <c r="E51" i="22"/>
  <c r="D51" i="22"/>
  <c r="BB50" i="22"/>
  <c r="BA50" i="22"/>
  <c r="AZ50" i="22"/>
  <c r="AY50" i="22"/>
  <c r="AV50" i="22"/>
  <c r="AU50" i="22"/>
  <c r="AT50" i="22"/>
  <c r="AS50" i="22"/>
  <c r="AR50" i="22"/>
  <c r="AQ50" i="22"/>
  <c r="AP50" i="22"/>
  <c r="AO50" i="22"/>
  <c r="AN50" i="22"/>
  <c r="AM50" i="22"/>
  <c r="AL50" i="22"/>
  <c r="AK50" i="22"/>
  <c r="AJ50" i="22"/>
  <c r="AI50" i="22"/>
  <c r="AH50" i="22"/>
  <c r="AG50" i="22"/>
  <c r="AF50" i="22"/>
  <c r="AE50" i="22"/>
  <c r="AC50" i="22"/>
  <c r="AA50" i="22"/>
  <c r="Z50" i="22"/>
  <c r="Y50" i="22"/>
  <c r="X50" i="22"/>
  <c r="W50" i="22"/>
  <c r="R50" i="22"/>
  <c r="Q50" i="22"/>
  <c r="P50" i="22"/>
  <c r="O50" i="22"/>
  <c r="N50" i="22"/>
  <c r="M50" i="22"/>
  <c r="L50" i="22"/>
  <c r="E50" i="22"/>
  <c r="D50" i="22"/>
  <c r="BB49" i="22"/>
  <c r="BA49" i="22"/>
  <c r="AZ49" i="22"/>
  <c r="AY49" i="22"/>
  <c r="AV49" i="22"/>
  <c r="AU49" i="22"/>
  <c r="AT49" i="22"/>
  <c r="AS49" i="22"/>
  <c r="AR49" i="22"/>
  <c r="AQ49" i="22"/>
  <c r="AP49" i="22"/>
  <c r="AO49" i="22"/>
  <c r="AN49" i="22"/>
  <c r="AM49" i="22"/>
  <c r="AL49" i="22"/>
  <c r="AK49" i="22"/>
  <c r="AJ49" i="22"/>
  <c r="AI49" i="22"/>
  <c r="AH49" i="22"/>
  <c r="AG49" i="22"/>
  <c r="AF49" i="22"/>
  <c r="AE49" i="22"/>
  <c r="AC49" i="22"/>
  <c r="AA49" i="22"/>
  <c r="Z49" i="22"/>
  <c r="Y49" i="22"/>
  <c r="X49" i="22"/>
  <c r="W49" i="22"/>
  <c r="R49" i="22"/>
  <c r="Q49" i="22"/>
  <c r="P49" i="22"/>
  <c r="O49" i="22"/>
  <c r="N49" i="22"/>
  <c r="M49" i="22"/>
  <c r="L49" i="22"/>
  <c r="E49" i="22"/>
  <c r="D49" i="22"/>
  <c r="BB48" i="22"/>
  <c r="BA48" i="22"/>
  <c r="AZ48" i="22"/>
  <c r="AY48" i="22"/>
  <c r="AV48" i="22"/>
  <c r="AU48" i="22"/>
  <c r="AT48" i="22"/>
  <c r="AS48" i="22"/>
  <c r="AR48" i="22"/>
  <c r="AQ48" i="22"/>
  <c r="AP48" i="22"/>
  <c r="AO48" i="22"/>
  <c r="AN48" i="22"/>
  <c r="AM48" i="22"/>
  <c r="AL48" i="22"/>
  <c r="AK48" i="22"/>
  <c r="AJ48" i="22"/>
  <c r="AI48" i="22"/>
  <c r="AH48" i="22"/>
  <c r="AG48" i="22"/>
  <c r="AF48" i="22"/>
  <c r="AE48" i="22"/>
  <c r="AC48" i="22"/>
  <c r="AA48" i="22"/>
  <c r="Z48" i="22"/>
  <c r="Y48" i="22"/>
  <c r="X48" i="22"/>
  <c r="W48" i="22"/>
  <c r="R48" i="22"/>
  <c r="Q48" i="22"/>
  <c r="P48" i="22"/>
  <c r="O48" i="22"/>
  <c r="N48" i="22"/>
  <c r="M48" i="22"/>
  <c r="L48" i="22"/>
  <c r="E48" i="22"/>
  <c r="D48" i="22"/>
  <c r="BB47" i="22"/>
  <c r="BA47" i="22"/>
  <c r="AZ47" i="22"/>
  <c r="AY47" i="22"/>
  <c r="AV47" i="22"/>
  <c r="AU47" i="22"/>
  <c r="AT47" i="22"/>
  <c r="AS47" i="22"/>
  <c r="AR47" i="22"/>
  <c r="AQ47" i="22"/>
  <c r="AP47" i="22"/>
  <c r="AO47" i="22"/>
  <c r="AN47" i="22"/>
  <c r="AM47" i="22"/>
  <c r="AL47" i="22"/>
  <c r="AK47" i="22"/>
  <c r="AJ47" i="22"/>
  <c r="AI47" i="22"/>
  <c r="AH47" i="22"/>
  <c r="AG47" i="22"/>
  <c r="AF47" i="22"/>
  <c r="AE47" i="22"/>
  <c r="AC47" i="22"/>
  <c r="AA47" i="22"/>
  <c r="Z47" i="22"/>
  <c r="Y47" i="22"/>
  <c r="X47" i="22"/>
  <c r="W47" i="22"/>
  <c r="R47" i="22"/>
  <c r="Q47" i="22"/>
  <c r="P47" i="22"/>
  <c r="O47" i="22"/>
  <c r="N47" i="22"/>
  <c r="M47" i="22"/>
  <c r="L47" i="22"/>
  <c r="E47" i="22"/>
  <c r="D47" i="22"/>
  <c r="BB46" i="22"/>
  <c r="BA46" i="22"/>
  <c r="AZ46" i="22"/>
  <c r="AY46" i="22"/>
  <c r="AV46" i="22"/>
  <c r="AU46" i="22"/>
  <c r="AT46" i="22"/>
  <c r="AS46" i="22"/>
  <c r="AR46" i="22"/>
  <c r="AQ46" i="22"/>
  <c r="AP46" i="22"/>
  <c r="AO46" i="22"/>
  <c r="AN46" i="22"/>
  <c r="AM46" i="22"/>
  <c r="AL46" i="22"/>
  <c r="AK46" i="22"/>
  <c r="AJ46" i="22"/>
  <c r="AI46" i="22"/>
  <c r="AH46" i="22"/>
  <c r="AG46" i="22"/>
  <c r="AF46" i="22"/>
  <c r="AE46" i="22"/>
  <c r="AC46" i="22"/>
  <c r="AA46" i="22"/>
  <c r="Z46" i="22"/>
  <c r="Y46" i="22"/>
  <c r="X46" i="22"/>
  <c r="W46" i="22"/>
  <c r="R46" i="22"/>
  <c r="Q46" i="22"/>
  <c r="P46" i="22"/>
  <c r="O46" i="22"/>
  <c r="N46" i="22"/>
  <c r="M46" i="22"/>
  <c r="L46" i="22"/>
  <c r="E46" i="22"/>
  <c r="D46" i="22"/>
  <c r="BB45" i="22"/>
  <c r="BA45" i="22"/>
  <c r="AZ45" i="22"/>
  <c r="AY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R45" i="22"/>
  <c r="Q45" i="22"/>
  <c r="P45" i="22"/>
  <c r="O45" i="22"/>
  <c r="N45" i="22"/>
  <c r="M45" i="22"/>
  <c r="L45" i="22"/>
  <c r="E45" i="22"/>
  <c r="D45" i="22"/>
  <c r="BB44" i="22"/>
  <c r="BA44" i="22"/>
  <c r="AZ44" i="22"/>
  <c r="AY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R44" i="22"/>
  <c r="Q44" i="22"/>
  <c r="P44" i="22"/>
  <c r="O44" i="22"/>
  <c r="N44" i="22"/>
  <c r="M44" i="22"/>
  <c r="L44" i="22"/>
  <c r="E44" i="22"/>
  <c r="D44" i="22"/>
  <c r="BB43" i="22"/>
  <c r="BA43" i="22"/>
  <c r="AZ43" i="22"/>
  <c r="AY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R43" i="22"/>
  <c r="Q43" i="22"/>
  <c r="P43" i="22"/>
  <c r="O43" i="22"/>
  <c r="N43" i="22"/>
  <c r="M43" i="22"/>
  <c r="L43" i="22"/>
  <c r="E43" i="22"/>
  <c r="D43" i="22"/>
  <c r="BI80" i="24"/>
  <c r="BG80" i="24"/>
  <c r="BE80" i="24"/>
  <c r="BA80" i="24"/>
  <c r="AZ80" i="24"/>
  <c r="AW80" i="24"/>
  <c r="AU80" i="24"/>
  <c r="AS80" i="24"/>
  <c r="AQ80" i="24"/>
  <c r="AP80" i="24"/>
  <c r="AO80" i="24"/>
  <c r="AN80" i="24"/>
  <c r="AM80" i="24"/>
  <c r="AL80" i="24"/>
  <c r="AK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D80" i="24"/>
  <c r="BI79" i="24"/>
  <c r="BG79" i="24"/>
  <c r="BE79" i="24"/>
  <c r="BA79" i="24"/>
  <c r="AZ79" i="24"/>
  <c r="AW79" i="24"/>
  <c r="AU79" i="24"/>
  <c r="AS79" i="24"/>
  <c r="AQ79" i="24"/>
  <c r="AP79" i="24"/>
  <c r="AO79" i="24"/>
  <c r="AN79" i="24"/>
  <c r="AM79" i="24"/>
  <c r="AL79" i="24"/>
  <c r="AK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G79" i="24"/>
  <c r="F79" i="24"/>
  <c r="E79" i="24"/>
  <c r="D79" i="24"/>
  <c r="BI78" i="24"/>
  <c r="BG78" i="24"/>
  <c r="BE78" i="24"/>
  <c r="BA78" i="24"/>
  <c r="AZ78" i="24"/>
  <c r="AW78" i="24"/>
  <c r="AU78" i="24"/>
  <c r="AS78" i="24"/>
  <c r="AQ78" i="24"/>
  <c r="AP78" i="24"/>
  <c r="AO78" i="24"/>
  <c r="AN78" i="24"/>
  <c r="AM78" i="24"/>
  <c r="AL78" i="24"/>
  <c r="AK78" i="24"/>
  <c r="AI78" i="24"/>
  <c r="AH78" i="24"/>
  <c r="AG78" i="24"/>
  <c r="AF78" i="24"/>
  <c r="AE78" i="24"/>
  <c r="AD78" i="24"/>
  <c r="AC78" i="24"/>
  <c r="AB78" i="24"/>
  <c r="AA78" i="24"/>
  <c r="Z78" i="24"/>
  <c r="Y78" i="24"/>
  <c r="X78" i="24"/>
  <c r="W78" i="24"/>
  <c r="V78" i="24"/>
  <c r="U78" i="24"/>
  <c r="T78" i="24"/>
  <c r="S78" i="24"/>
  <c r="R78" i="24"/>
  <c r="Q78" i="24"/>
  <c r="P78" i="24"/>
  <c r="O78" i="24"/>
  <c r="N78" i="24"/>
  <c r="M78" i="24"/>
  <c r="L78" i="24"/>
  <c r="K78" i="24"/>
  <c r="J78" i="24"/>
  <c r="I78" i="24"/>
  <c r="H78" i="24"/>
  <c r="G78" i="24"/>
  <c r="F78" i="24"/>
  <c r="E78" i="24"/>
  <c r="D78" i="24"/>
  <c r="BI77" i="24"/>
  <c r="BG77" i="24"/>
  <c r="BE77" i="24"/>
  <c r="BA77" i="24"/>
  <c r="AZ77" i="24"/>
  <c r="AW77" i="24"/>
  <c r="AU77" i="24"/>
  <c r="AS77" i="24"/>
  <c r="AQ77" i="24"/>
  <c r="AP77" i="24"/>
  <c r="AO77" i="24"/>
  <c r="AN77" i="24"/>
  <c r="AM77" i="24"/>
  <c r="AL77" i="24"/>
  <c r="AK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G77" i="24"/>
  <c r="F77" i="24"/>
  <c r="E77" i="24"/>
  <c r="D77" i="24"/>
  <c r="BI76" i="24"/>
  <c r="BG76" i="24"/>
  <c r="BE76" i="24"/>
  <c r="BA76" i="24"/>
  <c r="AZ76" i="24"/>
  <c r="AW76" i="24"/>
  <c r="AU76" i="24"/>
  <c r="AS76" i="24"/>
  <c r="AQ76" i="24"/>
  <c r="AP76" i="24"/>
  <c r="AO76" i="24"/>
  <c r="AN76" i="24"/>
  <c r="AM76" i="24"/>
  <c r="AL76" i="24"/>
  <c r="AK76" i="24"/>
  <c r="AI76" i="24"/>
  <c r="AH76" i="24"/>
  <c r="AG76" i="24"/>
  <c r="AF76" i="24"/>
  <c r="AE76" i="24"/>
  <c r="AD76" i="24"/>
  <c r="AC76" i="24"/>
  <c r="AB76" i="24"/>
  <c r="AA76" i="24"/>
  <c r="Z76" i="24"/>
  <c r="Y76" i="24"/>
  <c r="X76" i="24"/>
  <c r="W76" i="24"/>
  <c r="V76" i="24"/>
  <c r="U76" i="24"/>
  <c r="T76" i="24"/>
  <c r="S76" i="24"/>
  <c r="R76" i="24"/>
  <c r="Q76" i="24"/>
  <c r="P76" i="24"/>
  <c r="O76" i="24"/>
  <c r="N76" i="24"/>
  <c r="M76" i="24"/>
  <c r="L76" i="24"/>
  <c r="K76" i="24"/>
  <c r="J76" i="24"/>
  <c r="I76" i="24"/>
  <c r="H76" i="24"/>
  <c r="G76" i="24"/>
  <c r="F76" i="24"/>
  <c r="E76" i="24"/>
  <c r="D76" i="24"/>
  <c r="BI75" i="24"/>
  <c r="BG75" i="24"/>
  <c r="BE75" i="24"/>
  <c r="BA75" i="24"/>
  <c r="AZ75" i="24"/>
  <c r="AW75" i="24"/>
  <c r="AU75" i="24"/>
  <c r="AS75" i="24"/>
  <c r="AQ75" i="24"/>
  <c r="AP75" i="24"/>
  <c r="AO75" i="24"/>
  <c r="AN75" i="24"/>
  <c r="AM75" i="24"/>
  <c r="AL75" i="24"/>
  <c r="AK75" i="24"/>
  <c r="AI75" i="24"/>
  <c r="AH75" i="24"/>
  <c r="AG75" i="24"/>
  <c r="AF75" i="24"/>
  <c r="AE75" i="24"/>
  <c r="AD75" i="24"/>
  <c r="AC75" i="24"/>
  <c r="AB75" i="24"/>
  <c r="AA75" i="24"/>
  <c r="Z75" i="24"/>
  <c r="Y75" i="24"/>
  <c r="X75" i="24"/>
  <c r="W75" i="24"/>
  <c r="V75" i="24"/>
  <c r="U75" i="24"/>
  <c r="T75" i="24"/>
  <c r="S75" i="24"/>
  <c r="R75" i="24"/>
  <c r="Q75" i="24"/>
  <c r="P75" i="24"/>
  <c r="O75" i="24"/>
  <c r="N75" i="24"/>
  <c r="M75" i="24"/>
  <c r="L75" i="24"/>
  <c r="K75" i="24"/>
  <c r="J75" i="24"/>
  <c r="I75" i="24"/>
  <c r="H75" i="24"/>
  <c r="G75" i="24"/>
  <c r="F75" i="24"/>
  <c r="E75" i="24"/>
  <c r="D75" i="24"/>
  <c r="BI74" i="24"/>
  <c r="BG74" i="24"/>
  <c r="BE74" i="24"/>
  <c r="BA74" i="24"/>
  <c r="AZ74" i="24"/>
  <c r="AW74" i="24"/>
  <c r="AU74" i="24"/>
  <c r="AS74" i="24"/>
  <c r="AQ74" i="24"/>
  <c r="AP74" i="24"/>
  <c r="AO74" i="24"/>
  <c r="AN74" i="24"/>
  <c r="AM74" i="24"/>
  <c r="AL74" i="24"/>
  <c r="AK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G74" i="24"/>
  <c r="F74" i="24"/>
  <c r="E74" i="24"/>
  <c r="D74" i="24"/>
  <c r="BI73" i="24"/>
  <c r="BG73" i="24"/>
  <c r="BE73" i="24"/>
  <c r="BA73" i="24"/>
  <c r="AZ73" i="24"/>
  <c r="AW73" i="24"/>
  <c r="AU73" i="24"/>
  <c r="AS73" i="24"/>
  <c r="AQ73" i="24"/>
  <c r="AP73" i="24"/>
  <c r="AO73" i="24"/>
  <c r="AN73" i="24"/>
  <c r="AM73" i="24"/>
  <c r="AL73" i="24"/>
  <c r="AK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I73" i="24"/>
  <c r="H73" i="24"/>
  <c r="G73" i="24"/>
  <c r="F73" i="24"/>
  <c r="E73" i="24"/>
  <c r="D73" i="24"/>
  <c r="BI72" i="24"/>
  <c r="BG72" i="24"/>
  <c r="BE72" i="24"/>
  <c r="BA72" i="24"/>
  <c r="AZ72" i="24"/>
  <c r="AW72" i="24"/>
  <c r="AU72" i="24"/>
  <c r="AS72" i="24"/>
  <c r="AQ72" i="24"/>
  <c r="AP72" i="24"/>
  <c r="AO72" i="24"/>
  <c r="AN72" i="24"/>
  <c r="AM72" i="24"/>
  <c r="AL72" i="24"/>
  <c r="AK72" i="24"/>
  <c r="AI72" i="24"/>
  <c r="AH72" i="24"/>
  <c r="AG72" i="24"/>
  <c r="AF72" i="24"/>
  <c r="AE72" i="24"/>
  <c r="AD72" i="24"/>
  <c r="AC72" i="24"/>
  <c r="AB72" i="24"/>
  <c r="AA72" i="24"/>
  <c r="Z72" i="24"/>
  <c r="Y72" i="24"/>
  <c r="X72" i="24"/>
  <c r="W72" i="24"/>
  <c r="V72" i="24"/>
  <c r="U72" i="24"/>
  <c r="T72" i="24"/>
  <c r="S72" i="24"/>
  <c r="R72" i="24"/>
  <c r="Q72" i="24"/>
  <c r="P72" i="24"/>
  <c r="O72" i="24"/>
  <c r="N72" i="24"/>
  <c r="M72" i="24"/>
  <c r="L72" i="24"/>
  <c r="K72" i="24"/>
  <c r="J72" i="24"/>
  <c r="I72" i="24"/>
  <c r="H72" i="24"/>
  <c r="G72" i="24"/>
  <c r="F72" i="24"/>
  <c r="E72" i="24"/>
  <c r="D72" i="24"/>
  <c r="BI71" i="24"/>
  <c r="BG71" i="24"/>
  <c r="BE71" i="24"/>
  <c r="BA71" i="24"/>
  <c r="AZ71" i="24"/>
  <c r="AW71" i="24"/>
  <c r="AU71" i="24"/>
  <c r="AS71" i="24"/>
  <c r="AQ71" i="24"/>
  <c r="AP71" i="24"/>
  <c r="AO71" i="24"/>
  <c r="AN71" i="24"/>
  <c r="AM71" i="24"/>
  <c r="AL71" i="24"/>
  <c r="AK71" i="24"/>
  <c r="AI71" i="24"/>
  <c r="AH71" i="24"/>
  <c r="AG71"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G71" i="24"/>
  <c r="F71" i="24"/>
  <c r="E71" i="24"/>
  <c r="D71" i="24"/>
  <c r="BI70" i="24"/>
  <c r="BG70" i="24"/>
  <c r="BE70" i="24"/>
  <c r="BA70" i="24"/>
  <c r="AZ70" i="24"/>
  <c r="AW70" i="24"/>
  <c r="AU70" i="24"/>
  <c r="AS70" i="24"/>
  <c r="AQ70" i="24"/>
  <c r="AP70" i="24"/>
  <c r="AO70" i="24"/>
  <c r="AN70" i="24"/>
  <c r="AM70" i="24"/>
  <c r="AL70" i="24"/>
  <c r="AK70" i="24"/>
  <c r="AI70" i="24"/>
  <c r="AH70" i="24"/>
  <c r="AG70" i="24"/>
  <c r="AF70" i="24"/>
  <c r="AE70" i="24"/>
  <c r="AD70" i="24"/>
  <c r="AC70" i="24"/>
  <c r="AB70" i="24"/>
  <c r="AA70" i="24"/>
  <c r="Z70" i="24"/>
  <c r="Y70" i="24"/>
  <c r="X70" i="24"/>
  <c r="W70" i="24"/>
  <c r="V70" i="24"/>
  <c r="U70" i="24"/>
  <c r="T70" i="24"/>
  <c r="S70" i="24"/>
  <c r="R70" i="24"/>
  <c r="Q70" i="24"/>
  <c r="P70" i="24"/>
  <c r="O70" i="24"/>
  <c r="N70" i="24"/>
  <c r="M70" i="24"/>
  <c r="L70" i="24"/>
  <c r="K70" i="24"/>
  <c r="J70" i="24"/>
  <c r="I70" i="24"/>
  <c r="H70" i="24"/>
  <c r="G70" i="24"/>
  <c r="F70" i="24"/>
  <c r="E70" i="24"/>
  <c r="D70" i="24"/>
  <c r="BI69" i="24"/>
  <c r="BG69" i="24"/>
  <c r="BE69" i="24"/>
  <c r="BA69" i="24"/>
  <c r="AZ69" i="24"/>
  <c r="AW69" i="24"/>
  <c r="AU69" i="24"/>
  <c r="AS69" i="24"/>
  <c r="AQ69" i="24"/>
  <c r="AP69" i="24"/>
  <c r="AO69" i="24"/>
  <c r="AN69" i="24"/>
  <c r="AM69" i="24"/>
  <c r="AL69" i="24"/>
  <c r="AK69" i="24"/>
  <c r="AI69" i="24"/>
  <c r="AH69" i="24"/>
  <c r="AG69" i="24"/>
  <c r="AF69" i="24"/>
  <c r="AE69" i="24"/>
  <c r="AD69" i="24"/>
  <c r="AC69" i="24"/>
  <c r="AB69" i="24"/>
  <c r="AA69" i="24"/>
  <c r="Z69" i="24"/>
  <c r="Y69" i="24"/>
  <c r="X69" i="24"/>
  <c r="W69" i="24"/>
  <c r="V69" i="24"/>
  <c r="U69" i="24"/>
  <c r="T69" i="24"/>
  <c r="S69" i="24"/>
  <c r="R69" i="24"/>
  <c r="Q69" i="24"/>
  <c r="P69" i="24"/>
  <c r="O69" i="24"/>
  <c r="N69" i="24"/>
  <c r="M69" i="24"/>
  <c r="L69" i="24"/>
  <c r="K69" i="24"/>
  <c r="J69" i="24"/>
  <c r="I69" i="24"/>
  <c r="H69" i="24"/>
  <c r="G69" i="24"/>
  <c r="F69" i="24"/>
  <c r="E69" i="24"/>
  <c r="D69" i="24"/>
  <c r="BI68" i="24"/>
  <c r="BG68" i="24"/>
  <c r="BE68" i="24"/>
  <c r="BA68" i="24"/>
  <c r="AZ68" i="24"/>
  <c r="AW68" i="24"/>
  <c r="AU68" i="24"/>
  <c r="AS68" i="24"/>
  <c r="AQ68" i="24"/>
  <c r="AP68" i="24"/>
  <c r="AO68" i="24"/>
  <c r="AN68" i="24"/>
  <c r="AM68" i="24"/>
  <c r="AL68" i="24"/>
  <c r="AK68" i="24"/>
  <c r="AI68" i="24"/>
  <c r="AH68" i="24"/>
  <c r="AG68" i="24"/>
  <c r="AF68" i="24"/>
  <c r="AE68" i="24"/>
  <c r="AD68" i="24"/>
  <c r="AC68" i="24"/>
  <c r="AB68" i="24"/>
  <c r="AA68" i="24"/>
  <c r="Z68" i="24"/>
  <c r="Y68" i="24"/>
  <c r="X68" i="24"/>
  <c r="W68" i="24"/>
  <c r="V68" i="24"/>
  <c r="U68" i="24"/>
  <c r="T68" i="24"/>
  <c r="S68" i="24"/>
  <c r="R68" i="24"/>
  <c r="Q68" i="24"/>
  <c r="P68" i="24"/>
  <c r="O68" i="24"/>
  <c r="N68" i="24"/>
  <c r="M68" i="24"/>
  <c r="L68" i="24"/>
  <c r="K68" i="24"/>
  <c r="J68" i="24"/>
  <c r="I68" i="24"/>
  <c r="H68" i="24"/>
  <c r="G68" i="24"/>
  <c r="F68" i="24"/>
  <c r="E68" i="24"/>
  <c r="D68" i="24"/>
  <c r="BI67" i="24"/>
  <c r="BG67" i="24"/>
  <c r="BE67" i="24"/>
  <c r="BA67" i="24"/>
  <c r="AZ67" i="24"/>
  <c r="AW67" i="24"/>
  <c r="AU67" i="24"/>
  <c r="AS67" i="24"/>
  <c r="AQ67" i="24"/>
  <c r="AP67" i="24"/>
  <c r="AO67" i="24"/>
  <c r="AN67" i="24"/>
  <c r="AM67" i="24"/>
  <c r="AL67" i="24"/>
  <c r="AK67" i="24"/>
  <c r="AI67" i="24"/>
  <c r="AH67" i="24"/>
  <c r="AG67" i="24"/>
  <c r="AF67" i="24"/>
  <c r="AE67" i="24"/>
  <c r="AD67" i="24"/>
  <c r="AC67" i="24"/>
  <c r="AB67" i="24"/>
  <c r="AA67" i="24"/>
  <c r="Z67" i="24"/>
  <c r="Y67" i="24"/>
  <c r="X67" i="24"/>
  <c r="W67" i="24"/>
  <c r="V67" i="24"/>
  <c r="U67" i="24"/>
  <c r="T67" i="24"/>
  <c r="S67" i="24"/>
  <c r="R67" i="24"/>
  <c r="Q67" i="24"/>
  <c r="P67" i="24"/>
  <c r="O67" i="24"/>
  <c r="N67" i="24"/>
  <c r="M67" i="24"/>
  <c r="L67" i="24"/>
  <c r="K67" i="24"/>
  <c r="J67" i="24"/>
  <c r="I67" i="24"/>
  <c r="H67" i="24"/>
  <c r="G67" i="24"/>
  <c r="F67" i="24"/>
  <c r="E67" i="24"/>
  <c r="D67" i="24"/>
  <c r="BI66" i="24"/>
  <c r="BG66" i="24"/>
  <c r="BE66" i="24"/>
  <c r="BA66" i="24"/>
  <c r="AZ66" i="24"/>
  <c r="AW66" i="24"/>
  <c r="AU66" i="24"/>
  <c r="AS66" i="24"/>
  <c r="AQ66" i="24"/>
  <c r="AP66" i="24"/>
  <c r="AO66" i="24"/>
  <c r="AN66" i="24"/>
  <c r="AM66" i="24"/>
  <c r="AL66" i="24"/>
  <c r="AK66" i="24"/>
  <c r="AI66" i="24"/>
  <c r="AH66" i="24"/>
  <c r="AG66" i="24"/>
  <c r="AF66" i="24"/>
  <c r="AE66" i="24"/>
  <c r="AD66" i="24"/>
  <c r="AC66" i="24"/>
  <c r="AB66" i="24"/>
  <c r="AA66" i="24"/>
  <c r="Z66" i="24"/>
  <c r="Y66" i="24"/>
  <c r="X66" i="24"/>
  <c r="W66" i="24"/>
  <c r="V66" i="24"/>
  <c r="U66" i="24"/>
  <c r="T66" i="24"/>
  <c r="S66" i="24"/>
  <c r="R66" i="24"/>
  <c r="Q66" i="24"/>
  <c r="P66" i="24"/>
  <c r="O66" i="24"/>
  <c r="N66" i="24"/>
  <c r="M66" i="24"/>
  <c r="L66" i="24"/>
  <c r="K66" i="24"/>
  <c r="J66" i="24"/>
  <c r="I66" i="24"/>
  <c r="H66" i="24"/>
  <c r="G66" i="24"/>
  <c r="F66" i="24"/>
  <c r="E66" i="24"/>
  <c r="D66" i="24"/>
  <c r="BI65" i="24"/>
  <c r="BG65" i="24"/>
  <c r="BE65" i="24"/>
  <c r="BA65" i="24"/>
  <c r="AZ65" i="24"/>
  <c r="AW65" i="24"/>
  <c r="AU65" i="24"/>
  <c r="AS65" i="24"/>
  <c r="AQ65" i="24"/>
  <c r="AP65" i="24"/>
  <c r="AO65" i="24"/>
  <c r="AN65" i="24"/>
  <c r="AM65" i="24"/>
  <c r="AL65" i="24"/>
  <c r="AK65" i="24"/>
  <c r="AI65" i="24"/>
  <c r="AH65" i="24"/>
  <c r="AG65" i="24"/>
  <c r="AF65" i="24"/>
  <c r="AE65" i="24"/>
  <c r="AD65" i="24"/>
  <c r="AC65" i="24"/>
  <c r="AB65" i="24"/>
  <c r="AA65" i="24"/>
  <c r="Z65" i="24"/>
  <c r="Y65" i="24"/>
  <c r="X65" i="24"/>
  <c r="W65" i="24"/>
  <c r="V65" i="24"/>
  <c r="U65" i="24"/>
  <c r="T65" i="24"/>
  <c r="S65" i="24"/>
  <c r="R65" i="24"/>
  <c r="Q65" i="24"/>
  <c r="P65" i="24"/>
  <c r="O65" i="24"/>
  <c r="N65" i="24"/>
  <c r="M65" i="24"/>
  <c r="L65" i="24"/>
  <c r="K65" i="24"/>
  <c r="J65" i="24"/>
  <c r="I65" i="24"/>
  <c r="H65" i="24"/>
  <c r="G65" i="24"/>
  <c r="F65" i="24"/>
  <c r="E65" i="24"/>
  <c r="D65" i="24"/>
  <c r="BI64" i="24"/>
  <c r="BG64" i="24"/>
  <c r="BE64" i="24"/>
  <c r="BA64" i="24"/>
  <c r="AZ64" i="24"/>
  <c r="AW64" i="24"/>
  <c r="AU64" i="24"/>
  <c r="AS64" i="24"/>
  <c r="AQ64" i="24"/>
  <c r="AP64" i="24"/>
  <c r="AO64" i="24"/>
  <c r="AN64" i="24"/>
  <c r="AM64" i="24"/>
  <c r="AL64" i="24"/>
  <c r="AK64" i="24"/>
  <c r="AI64" i="24"/>
  <c r="AH64" i="24"/>
  <c r="AG64" i="24"/>
  <c r="AF64" i="24"/>
  <c r="AE64" i="24"/>
  <c r="AD64" i="24"/>
  <c r="AC64" i="24"/>
  <c r="AB64" i="24"/>
  <c r="AA64" i="24"/>
  <c r="Z64" i="24"/>
  <c r="Y64" i="24"/>
  <c r="X64" i="24"/>
  <c r="W64" i="24"/>
  <c r="V64" i="24"/>
  <c r="U64" i="24"/>
  <c r="T64" i="24"/>
  <c r="S64" i="24"/>
  <c r="R64" i="24"/>
  <c r="Q64" i="24"/>
  <c r="P64" i="24"/>
  <c r="O64" i="24"/>
  <c r="N64" i="24"/>
  <c r="M64" i="24"/>
  <c r="L64" i="24"/>
  <c r="K64" i="24"/>
  <c r="J64" i="24"/>
  <c r="I64" i="24"/>
  <c r="H64" i="24"/>
  <c r="G64" i="24"/>
  <c r="F64" i="24"/>
  <c r="E64" i="24"/>
  <c r="D64" i="24"/>
  <c r="BJ61" i="24"/>
  <c r="BI61" i="24"/>
  <c r="BH61" i="24"/>
  <c r="BG61" i="24"/>
  <c r="BF61" i="24"/>
  <c r="BE61" i="24"/>
  <c r="BD61" i="24"/>
  <c r="BA61" i="24"/>
  <c r="AZ61" i="24"/>
  <c r="AX61" i="24"/>
  <c r="AW61" i="24"/>
  <c r="AV61" i="24"/>
  <c r="AU61" i="24"/>
  <c r="AT61" i="24"/>
  <c r="AS61" i="24"/>
  <c r="AR61" i="24"/>
  <c r="AQ61" i="24"/>
  <c r="AP61" i="24"/>
  <c r="AO61" i="24"/>
  <c r="AN61" i="24"/>
  <c r="AM61" i="24"/>
  <c r="AL61" i="24"/>
  <c r="AK61" i="24"/>
  <c r="AI61" i="24"/>
  <c r="AH61" i="24"/>
  <c r="AG61"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G61" i="24"/>
  <c r="F61" i="24"/>
  <c r="E61" i="24"/>
  <c r="D61" i="24"/>
  <c r="BJ60" i="24"/>
  <c r="BI60" i="24"/>
  <c r="BH60" i="24"/>
  <c r="BG60" i="24"/>
  <c r="BF60" i="24"/>
  <c r="BE60" i="24"/>
  <c r="BD60" i="24"/>
  <c r="BA60" i="24"/>
  <c r="AZ60" i="24"/>
  <c r="AX60" i="24"/>
  <c r="AW60" i="24"/>
  <c r="AV60" i="24"/>
  <c r="AU60" i="24"/>
  <c r="AT60" i="24"/>
  <c r="AS60" i="24"/>
  <c r="AR60" i="24"/>
  <c r="AQ60" i="24"/>
  <c r="AP60" i="24"/>
  <c r="AO60" i="24"/>
  <c r="AN60" i="24"/>
  <c r="AM60" i="24"/>
  <c r="AL60" i="24"/>
  <c r="AK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G60" i="24"/>
  <c r="F60" i="24"/>
  <c r="E60" i="24"/>
  <c r="D60" i="24"/>
  <c r="BJ59" i="24"/>
  <c r="BI59" i="24"/>
  <c r="BH59" i="24"/>
  <c r="BG59" i="24"/>
  <c r="BF59" i="24"/>
  <c r="BE59" i="24"/>
  <c r="BD59" i="24"/>
  <c r="BA59" i="24"/>
  <c r="AZ59" i="24"/>
  <c r="AX59" i="24"/>
  <c r="AW59" i="24"/>
  <c r="AV59" i="24"/>
  <c r="AU59" i="24"/>
  <c r="AT59" i="24"/>
  <c r="AS59" i="24"/>
  <c r="AR59" i="24"/>
  <c r="AQ59" i="24"/>
  <c r="AP59" i="24"/>
  <c r="AO59" i="24"/>
  <c r="AN59" i="24"/>
  <c r="AM59" i="24"/>
  <c r="AL59" i="24"/>
  <c r="AK59" i="24"/>
  <c r="AI59" i="24"/>
  <c r="AH59" i="24"/>
  <c r="AG59"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G59" i="24"/>
  <c r="F59" i="24"/>
  <c r="E59" i="24"/>
  <c r="D59" i="24"/>
  <c r="BJ58" i="24"/>
  <c r="BI58" i="24"/>
  <c r="BH58" i="24"/>
  <c r="BG58" i="24"/>
  <c r="BF58" i="24"/>
  <c r="BE58" i="24"/>
  <c r="BD58" i="24"/>
  <c r="BA58" i="24"/>
  <c r="AZ58" i="24"/>
  <c r="AX58" i="24"/>
  <c r="AW58" i="24"/>
  <c r="AV58" i="24"/>
  <c r="AU58" i="24"/>
  <c r="AT58" i="24"/>
  <c r="AS58" i="24"/>
  <c r="AR58" i="24"/>
  <c r="AQ58" i="24"/>
  <c r="AP58" i="24"/>
  <c r="AO58" i="24"/>
  <c r="AN58" i="24"/>
  <c r="AM58" i="24"/>
  <c r="AL58" i="24"/>
  <c r="AK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G58" i="24"/>
  <c r="F58" i="24"/>
  <c r="E58" i="24"/>
  <c r="D58" i="24"/>
  <c r="BJ57" i="24"/>
  <c r="BI57" i="24"/>
  <c r="BH57" i="24"/>
  <c r="BG57" i="24"/>
  <c r="BF57" i="24"/>
  <c r="BE57" i="24"/>
  <c r="BD57" i="24"/>
  <c r="BA57" i="24"/>
  <c r="AZ57" i="24"/>
  <c r="AX57" i="24"/>
  <c r="AW57" i="24"/>
  <c r="AV57" i="24"/>
  <c r="AU57" i="24"/>
  <c r="AT57" i="24"/>
  <c r="AS57" i="24"/>
  <c r="AR57" i="24"/>
  <c r="AQ57" i="24"/>
  <c r="AP57" i="24"/>
  <c r="AO57" i="24"/>
  <c r="AN57" i="24"/>
  <c r="AM57" i="24"/>
  <c r="AL57" i="24"/>
  <c r="AK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G57" i="24"/>
  <c r="F57" i="24"/>
  <c r="E57" i="24"/>
  <c r="D57" i="24"/>
  <c r="BJ56" i="24"/>
  <c r="BI56" i="24"/>
  <c r="BH56" i="24"/>
  <c r="BG56" i="24"/>
  <c r="BF56" i="24"/>
  <c r="BE56" i="24"/>
  <c r="BD56" i="24"/>
  <c r="BA56" i="24"/>
  <c r="AZ56" i="24"/>
  <c r="AX56" i="24"/>
  <c r="AW56" i="24"/>
  <c r="AV56" i="24"/>
  <c r="AU56" i="24"/>
  <c r="AT56" i="24"/>
  <c r="AS56" i="24"/>
  <c r="AR56" i="24"/>
  <c r="AQ56" i="24"/>
  <c r="AP56" i="24"/>
  <c r="AO56" i="24"/>
  <c r="AN56" i="24"/>
  <c r="AM56" i="24"/>
  <c r="AL56" i="24"/>
  <c r="AK56" i="24"/>
  <c r="AI56" i="24"/>
  <c r="AH56" i="24"/>
  <c r="AG56" i="24"/>
  <c r="AF56" i="24"/>
  <c r="AE56" i="24"/>
  <c r="AD56" i="24"/>
  <c r="AC56" i="24"/>
  <c r="AB56" i="24"/>
  <c r="AA56" i="24"/>
  <c r="Z56" i="24"/>
  <c r="Y56" i="24"/>
  <c r="X56" i="24"/>
  <c r="W56" i="24"/>
  <c r="V56" i="24"/>
  <c r="U56" i="24"/>
  <c r="T56" i="24"/>
  <c r="S56" i="24"/>
  <c r="R56" i="24"/>
  <c r="Q56" i="24"/>
  <c r="P56" i="24"/>
  <c r="O56" i="24"/>
  <c r="N56" i="24"/>
  <c r="M56" i="24"/>
  <c r="L56" i="24"/>
  <c r="K56" i="24"/>
  <c r="J56" i="24"/>
  <c r="I56" i="24"/>
  <c r="H56" i="24"/>
  <c r="G56" i="24"/>
  <c r="F56" i="24"/>
  <c r="E56" i="24"/>
  <c r="D56" i="24"/>
  <c r="BJ55" i="24"/>
  <c r="BI55" i="24"/>
  <c r="BH55" i="24"/>
  <c r="BG55" i="24"/>
  <c r="BF55" i="24"/>
  <c r="BE55" i="24"/>
  <c r="BD55" i="24"/>
  <c r="BA55" i="24"/>
  <c r="AZ55" i="24"/>
  <c r="AX55" i="24"/>
  <c r="AW55" i="24"/>
  <c r="AV55" i="24"/>
  <c r="AU55" i="24"/>
  <c r="AT55" i="24"/>
  <c r="AS55" i="24"/>
  <c r="AR55" i="24"/>
  <c r="AQ55" i="24"/>
  <c r="AP55" i="24"/>
  <c r="AO55" i="24"/>
  <c r="AN55" i="24"/>
  <c r="AM55" i="24"/>
  <c r="AL55" i="24"/>
  <c r="AK55" i="24"/>
  <c r="AI55" i="24"/>
  <c r="AH55" i="24"/>
  <c r="AG55" i="24"/>
  <c r="AF55" i="24"/>
  <c r="AE55" i="24"/>
  <c r="AD55" i="24"/>
  <c r="AC55" i="24"/>
  <c r="AB55" i="24"/>
  <c r="AA55" i="24"/>
  <c r="Z55" i="24"/>
  <c r="Y55" i="24"/>
  <c r="X55" i="24"/>
  <c r="W55" i="24"/>
  <c r="V55" i="24"/>
  <c r="U55" i="24"/>
  <c r="T55" i="24"/>
  <c r="S55" i="24"/>
  <c r="R55" i="24"/>
  <c r="Q55" i="24"/>
  <c r="P55" i="24"/>
  <c r="O55" i="24"/>
  <c r="N55" i="24"/>
  <c r="M55" i="24"/>
  <c r="L55" i="24"/>
  <c r="K55" i="24"/>
  <c r="J55" i="24"/>
  <c r="I55" i="24"/>
  <c r="H55" i="24"/>
  <c r="G55" i="24"/>
  <c r="F55" i="24"/>
  <c r="E55" i="24"/>
  <c r="D55" i="24"/>
  <c r="BJ54" i="24"/>
  <c r="BI54" i="24"/>
  <c r="BH54" i="24"/>
  <c r="BG54" i="24"/>
  <c r="BF54" i="24"/>
  <c r="BE54" i="24"/>
  <c r="BD54" i="24"/>
  <c r="BA54" i="24"/>
  <c r="AZ54" i="24"/>
  <c r="AX54" i="24"/>
  <c r="AW54" i="24"/>
  <c r="AV54" i="24"/>
  <c r="AU54" i="24"/>
  <c r="AT54" i="24"/>
  <c r="AS54" i="24"/>
  <c r="AR54" i="24"/>
  <c r="AQ54" i="24"/>
  <c r="AP54" i="24"/>
  <c r="AO54" i="24"/>
  <c r="AN54" i="24"/>
  <c r="AM54" i="24"/>
  <c r="AL54" i="24"/>
  <c r="AK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H54" i="24"/>
  <c r="G54" i="24"/>
  <c r="F54" i="24"/>
  <c r="E54" i="24"/>
  <c r="D54" i="24"/>
  <c r="BJ53" i="24"/>
  <c r="BI53" i="24"/>
  <c r="BH53" i="24"/>
  <c r="BG53" i="24"/>
  <c r="BF53" i="24"/>
  <c r="BE53" i="24"/>
  <c r="BD53" i="24"/>
  <c r="BA53" i="24"/>
  <c r="AZ53" i="24"/>
  <c r="AX53" i="24"/>
  <c r="AW53" i="24"/>
  <c r="AV53" i="24"/>
  <c r="AU53" i="24"/>
  <c r="AT53" i="24"/>
  <c r="AS53" i="24"/>
  <c r="AR53" i="24"/>
  <c r="AQ53" i="24"/>
  <c r="AP53" i="24"/>
  <c r="AO53" i="24"/>
  <c r="AN53" i="24"/>
  <c r="AM53" i="24"/>
  <c r="AL53" i="24"/>
  <c r="AK53" i="24"/>
  <c r="AI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G53" i="24"/>
  <c r="F53" i="24"/>
  <c r="E53" i="24"/>
  <c r="D53" i="24"/>
  <c r="BJ52" i="24"/>
  <c r="BI52" i="24"/>
  <c r="BH52" i="24"/>
  <c r="BG52" i="24"/>
  <c r="BF52" i="24"/>
  <c r="BE52" i="24"/>
  <c r="BD52" i="24"/>
  <c r="BA52" i="24"/>
  <c r="AZ52" i="24"/>
  <c r="AX52" i="24"/>
  <c r="AW52" i="24"/>
  <c r="AV52" i="24"/>
  <c r="AU52" i="24"/>
  <c r="AT52" i="24"/>
  <c r="AS52" i="24"/>
  <c r="AR52" i="24"/>
  <c r="AQ52" i="24"/>
  <c r="AP52" i="24"/>
  <c r="AO52" i="24"/>
  <c r="AN52" i="24"/>
  <c r="AM52" i="24"/>
  <c r="AL52" i="24"/>
  <c r="AK52" i="24"/>
  <c r="AI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H52" i="24"/>
  <c r="G52" i="24"/>
  <c r="F52" i="24"/>
  <c r="E52" i="24"/>
  <c r="D52" i="24"/>
  <c r="BJ51" i="24"/>
  <c r="BI51" i="24"/>
  <c r="BH51" i="24"/>
  <c r="BG51" i="24"/>
  <c r="BF51" i="24"/>
  <c r="BE51" i="24"/>
  <c r="BD51" i="24"/>
  <c r="BA51" i="24"/>
  <c r="AZ51" i="24"/>
  <c r="AX51" i="24"/>
  <c r="AW51" i="24"/>
  <c r="AV51" i="24"/>
  <c r="AU51" i="24"/>
  <c r="AT51" i="24"/>
  <c r="AS51" i="24"/>
  <c r="AR51" i="24"/>
  <c r="AQ51" i="24"/>
  <c r="AP51" i="24"/>
  <c r="AO51" i="24"/>
  <c r="AN51" i="24"/>
  <c r="AM51" i="24"/>
  <c r="AL51" i="24"/>
  <c r="AK51" i="24"/>
  <c r="AI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H51" i="24"/>
  <c r="G51" i="24"/>
  <c r="F51" i="24"/>
  <c r="E51" i="24"/>
  <c r="D51" i="24"/>
  <c r="BJ50" i="24"/>
  <c r="BI50" i="24"/>
  <c r="BH50" i="24"/>
  <c r="BG50" i="24"/>
  <c r="BF50" i="24"/>
  <c r="BE50" i="24"/>
  <c r="BD50" i="24"/>
  <c r="BA50" i="24"/>
  <c r="AZ50" i="24"/>
  <c r="AX50" i="24"/>
  <c r="AW50" i="24"/>
  <c r="AV50" i="24"/>
  <c r="AU50" i="24"/>
  <c r="AT50" i="24"/>
  <c r="AS50" i="24"/>
  <c r="AR50" i="24"/>
  <c r="AQ50" i="24"/>
  <c r="AP50" i="24"/>
  <c r="AO50" i="24"/>
  <c r="AN50" i="24"/>
  <c r="AM50" i="24"/>
  <c r="AL50" i="24"/>
  <c r="AK50" i="24"/>
  <c r="AI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G50" i="24"/>
  <c r="F50" i="24"/>
  <c r="E50" i="24"/>
  <c r="D50" i="24"/>
  <c r="BJ49" i="24"/>
  <c r="BI49" i="24"/>
  <c r="BH49" i="24"/>
  <c r="BG49" i="24"/>
  <c r="BF49" i="24"/>
  <c r="BE49" i="24"/>
  <c r="BD49" i="24"/>
  <c r="BA49" i="24"/>
  <c r="AZ49" i="24"/>
  <c r="AX49" i="24"/>
  <c r="AW49" i="24"/>
  <c r="AV49" i="24"/>
  <c r="AU49" i="24"/>
  <c r="AT49" i="24"/>
  <c r="AS49" i="24"/>
  <c r="AR49" i="24"/>
  <c r="AQ49" i="24"/>
  <c r="AP49" i="24"/>
  <c r="AO49" i="24"/>
  <c r="AN49" i="24"/>
  <c r="AM49" i="24"/>
  <c r="AL49" i="24"/>
  <c r="AK49" i="24"/>
  <c r="AI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G49" i="24"/>
  <c r="F49" i="24"/>
  <c r="E49" i="24"/>
  <c r="D49" i="24"/>
  <c r="BJ48" i="24"/>
  <c r="BI48" i="24"/>
  <c r="BH48" i="24"/>
  <c r="BG48" i="24"/>
  <c r="BF48" i="24"/>
  <c r="BE48" i="24"/>
  <c r="BD48" i="24"/>
  <c r="BA48" i="24"/>
  <c r="AZ48" i="24"/>
  <c r="AX48" i="24"/>
  <c r="AW48" i="24"/>
  <c r="AV48" i="24"/>
  <c r="AU48" i="24"/>
  <c r="AT48" i="24"/>
  <c r="AS48" i="24"/>
  <c r="AR48" i="24"/>
  <c r="AQ48" i="24"/>
  <c r="AP48" i="24"/>
  <c r="AO48" i="24"/>
  <c r="AN48" i="24"/>
  <c r="AM48" i="24"/>
  <c r="AL48" i="24"/>
  <c r="AK48" i="24"/>
  <c r="AI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G48" i="24"/>
  <c r="F48" i="24"/>
  <c r="E48" i="24"/>
  <c r="D48" i="24"/>
  <c r="BJ47" i="24"/>
  <c r="BI47" i="24"/>
  <c r="BH47" i="24"/>
  <c r="BG47" i="24"/>
  <c r="BF47" i="24"/>
  <c r="BE47" i="24"/>
  <c r="BD47" i="24"/>
  <c r="BA47" i="24"/>
  <c r="AZ47" i="24"/>
  <c r="AX47" i="24"/>
  <c r="AW47" i="24"/>
  <c r="AV47" i="24"/>
  <c r="AU47" i="24"/>
  <c r="AT47" i="24"/>
  <c r="AS47" i="24"/>
  <c r="AR47" i="24"/>
  <c r="AQ47" i="24"/>
  <c r="AP47" i="24"/>
  <c r="AO47" i="24"/>
  <c r="AN47" i="24"/>
  <c r="AM47" i="24"/>
  <c r="AL47" i="24"/>
  <c r="AK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E47" i="24"/>
  <c r="D47" i="24"/>
  <c r="BJ46" i="24"/>
  <c r="BI46" i="24"/>
  <c r="BH46" i="24"/>
  <c r="BG46" i="24"/>
  <c r="BF46" i="24"/>
  <c r="BE46" i="24"/>
  <c r="BD46" i="24"/>
  <c r="BA46" i="24"/>
  <c r="AZ46" i="24"/>
  <c r="AX46" i="24"/>
  <c r="AW46" i="24"/>
  <c r="AV46" i="24"/>
  <c r="AU46" i="24"/>
  <c r="AT46" i="24"/>
  <c r="AS46" i="24"/>
  <c r="AR46" i="24"/>
  <c r="AQ46" i="24"/>
  <c r="AP46" i="24"/>
  <c r="AO46" i="24"/>
  <c r="AN46" i="24"/>
  <c r="AM46" i="24"/>
  <c r="AL46" i="24"/>
  <c r="AK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D46" i="24"/>
  <c r="BJ45" i="24"/>
  <c r="BI45" i="24"/>
  <c r="BH45" i="24"/>
  <c r="BG45" i="24"/>
  <c r="BF45" i="24"/>
  <c r="BE45" i="24"/>
  <c r="BD45" i="24"/>
  <c r="BA45" i="24"/>
  <c r="AZ45" i="24"/>
  <c r="AX45" i="24"/>
  <c r="AW45" i="24"/>
  <c r="AV45" i="24"/>
  <c r="AU45" i="24"/>
  <c r="AT45" i="24"/>
  <c r="AS45" i="24"/>
  <c r="AR45" i="24"/>
  <c r="AQ45" i="24"/>
  <c r="AP45" i="24"/>
  <c r="AO45" i="24"/>
  <c r="AN45" i="24"/>
  <c r="AM45" i="24"/>
  <c r="AL45" i="24"/>
  <c r="AK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E45" i="24"/>
  <c r="D45" i="24"/>
  <c r="BG54" i="34"/>
  <c r="BG53" i="34"/>
  <c r="BG52" i="34"/>
  <c r="BG51" i="34"/>
  <c r="BG50" i="34"/>
  <c r="BB50" i="34"/>
  <c r="BC50" i="34"/>
  <c r="BD50" i="34"/>
  <c r="BE50" i="34"/>
  <c r="BC51" i="34"/>
  <c r="BD51" i="34"/>
  <c r="BE51" i="34"/>
  <c r="BC52" i="34"/>
  <c r="BD52" i="34"/>
  <c r="BE52" i="34"/>
  <c r="BC53" i="34"/>
  <c r="BD53" i="34"/>
  <c r="BE53" i="34"/>
  <c r="BC54" i="34"/>
  <c r="BD54" i="34"/>
  <c r="BE54" i="34"/>
  <c r="BB54" i="34"/>
  <c r="BB53" i="34"/>
  <c r="BB52" i="34"/>
  <c r="BB51" i="34"/>
  <c r="AZ54" i="34"/>
  <c r="AZ53" i="34"/>
  <c r="AZ52" i="34"/>
  <c r="AZ51" i="34"/>
  <c r="AZ50" i="34"/>
  <c r="AV54" i="34"/>
  <c r="AV53" i="34"/>
  <c r="AV52" i="34"/>
  <c r="AV51" i="34"/>
  <c r="AV50" i="34"/>
  <c r="BG34" i="32"/>
  <c r="BG33" i="32"/>
  <c r="AZ35" i="32"/>
  <c r="AZ34" i="32"/>
  <c r="AZ33" i="32"/>
  <c r="AV35" i="32"/>
  <c r="AV34" i="32"/>
  <c r="AV33" i="32"/>
  <c r="BC33" i="32"/>
  <c r="BD33" i="32"/>
  <c r="BE33" i="32"/>
  <c r="BB33" i="32"/>
  <c r="BC34" i="32"/>
  <c r="BD34" i="32"/>
  <c r="BE34" i="32"/>
  <c r="BB34" i="32"/>
  <c r="BB35" i="32"/>
  <c r="BC35" i="32"/>
  <c r="BD35" i="32"/>
  <c r="BE35" i="32"/>
  <c r="C41" i="32"/>
  <c r="C42" i="32"/>
  <c r="C43" i="32"/>
  <c r="C44" i="32"/>
  <c r="C45" i="32"/>
  <c r="C46" i="32"/>
  <c r="C47" i="32"/>
  <c r="C48" i="32"/>
  <c r="C49" i="32"/>
  <c r="C50" i="32"/>
  <c r="C51" i="32"/>
  <c r="C52" i="32"/>
  <c r="C53" i="32"/>
  <c r="C54" i="32"/>
  <c r="E31" i="13"/>
  <c r="E32" i="13"/>
  <c r="O27" i="11"/>
  <c r="G57" i="11"/>
  <c r="C169" i="26"/>
  <c r="BQ91" i="26"/>
  <c r="BO91" i="26"/>
  <c r="BM91" i="26"/>
  <c r="BK91" i="26"/>
  <c r="BF91" i="26"/>
  <c r="BE91" i="26"/>
  <c r="BD91" i="26"/>
  <c r="BC91" i="26"/>
  <c r="BB91" i="26"/>
  <c r="BA91" i="26"/>
  <c r="AX91" i="26"/>
  <c r="AW91" i="26"/>
  <c r="AV91" i="26"/>
  <c r="AU91" i="26"/>
  <c r="AT91" i="26"/>
  <c r="AS91" i="26"/>
  <c r="AR91" i="26"/>
  <c r="AQ91" i="26"/>
  <c r="AP91" i="26"/>
  <c r="AG91" i="26"/>
  <c r="AF91" i="26"/>
  <c r="AE91" i="26"/>
  <c r="AD91" i="26"/>
  <c r="AC91" i="26"/>
  <c r="AB91" i="26"/>
  <c r="AA91" i="26"/>
  <c r="Z91" i="26"/>
  <c r="Y91" i="26"/>
  <c r="X91" i="26"/>
  <c r="W91" i="26"/>
  <c r="V91" i="26"/>
  <c r="U91" i="26"/>
  <c r="T91" i="26"/>
  <c r="S91" i="26"/>
  <c r="R91" i="26"/>
  <c r="Q91" i="26"/>
  <c r="P91" i="26"/>
  <c r="O91" i="26"/>
  <c r="N91" i="26"/>
  <c r="M91" i="26"/>
  <c r="L91" i="26"/>
  <c r="K91" i="26"/>
  <c r="J91" i="26"/>
  <c r="I91" i="26"/>
  <c r="H91" i="26"/>
  <c r="G91" i="26"/>
  <c r="F91" i="26"/>
  <c r="E91" i="26"/>
  <c r="D91" i="26"/>
  <c r="BA26" i="28"/>
  <c r="BB26" i="28"/>
  <c r="BC26" i="28"/>
  <c r="BA27" i="28"/>
  <c r="BB27" i="28"/>
  <c r="BC27" i="28"/>
  <c r="AZ27" i="28"/>
  <c r="AZ26" i="28"/>
  <c r="BE27" i="28"/>
  <c r="BE26" i="28"/>
  <c r="AT27" i="28"/>
  <c r="AT26" i="28"/>
  <c r="AX27" i="28"/>
  <c r="AX26" i="28"/>
  <c r="G42" i="12"/>
  <c r="G43" i="12" s="1"/>
  <c r="AI26" i="28"/>
  <c r="C33" i="28"/>
  <c r="C153" i="20"/>
  <c r="BF93" i="20"/>
  <c r="BF92" i="20"/>
  <c r="BF91" i="20"/>
  <c r="BF90" i="20"/>
  <c r="BF89" i="20"/>
  <c r="BF88" i="20"/>
  <c r="BF87" i="20"/>
  <c r="BF86" i="20"/>
  <c r="BF85" i="20"/>
  <c r="BF84" i="20"/>
  <c r="BF83" i="20"/>
  <c r="BF82" i="20"/>
  <c r="BF81" i="20"/>
  <c r="BF80" i="20"/>
  <c r="BF79" i="20"/>
  <c r="BF78" i="20"/>
  <c r="BF77" i="20"/>
  <c r="AU85" i="20"/>
  <c r="AJ95" i="20"/>
  <c r="AK95" i="20"/>
  <c r="AL95" i="20"/>
  <c r="AM95" i="20"/>
  <c r="AN95" i="20"/>
  <c r="AJ96" i="20"/>
  <c r="AK96" i="20"/>
  <c r="AL96" i="20"/>
  <c r="AM96" i="20"/>
  <c r="AN96" i="20"/>
  <c r="BB77" i="20"/>
  <c r="BC77" i="20"/>
  <c r="BD77" i="20"/>
  <c r="BB78" i="20"/>
  <c r="BC78" i="20"/>
  <c r="BD78" i="20"/>
  <c r="BB79" i="20"/>
  <c r="BC79" i="20"/>
  <c r="BD79" i="20"/>
  <c r="BB80" i="20"/>
  <c r="BC80" i="20"/>
  <c r="BD80" i="20"/>
  <c r="BB81" i="20"/>
  <c r="BC81" i="20"/>
  <c r="BD81" i="20"/>
  <c r="BB82" i="20"/>
  <c r="BC82" i="20"/>
  <c r="BD82" i="20"/>
  <c r="BB83" i="20"/>
  <c r="BC83" i="20"/>
  <c r="BD83" i="20"/>
  <c r="BB84" i="20"/>
  <c r="BC84" i="20"/>
  <c r="BD84" i="20"/>
  <c r="BB85" i="20"/>
  <c r="BC85" i="20"/>
  <c r="BD85" i="20"/>
  <c r="BB86" i="20"/>
  <c r="BC86" i="20"/>
  <c r="BD86" i="20"/>
  <c r="BB87" i="20"/>
  <c r="BC87" i="20"/>
  <c r="BD87" i="20"/>
  <c r="BB88" i="20"/>
  <c r="BC88" i="20"/>
  <c r="BD88" i="20"/>
  <c r="BB89" i="20"/>
  <c r="BC89" i="20"/>
  <c r="BD89" i="20"/>
  <c r="BB90" i="20"/>
  <c r="BC90" i="20"/>
  <c r="BD90" i="20"/>
  <c r="BB91" i="20"/>
  <c r="BC91" i="20"/>
  <c r="BD91" i="20"/>
  <c r="BB92" i="20"/>
  <c r="BC92" i="20"/>
  <c r="BD92" i="20"/>
  <c r="BB93" i="20"/>
  <c r="BC93" i="20"/>
  <c r="BD93" i="20"/>
  <c r="BA93" i="20"/>
  <c r="BA92" i="20"/>
  <c r="BA91" i="20"/>
  <c r="BA90" i="20"/>
  <c r="BA89" i="20"/>
  <c r="BA88" i="20"/>
  <c r="BA87" i="20"/>
  <c r="BA86" i="20"/>
  <c r="BA85" i="20"/>
  <c r="BA84" i="20"/>
  <c r="BA83" i="20"/>
  <c r="BA82" i="20"/>
  <c r="BA81" i="20"/>
  <c r="BA80" i="20"/>
  <c r="BA79" i="20"/>
  <c r="BA78" i="20"/>
  <c r="AY93" i="20"/>
  <c r="AY92" i="20"/>
  <c r="AY91" i="20"/>
  <c r="AY90" i="20"/>
  <c r="AY89" i="20"/>
  <c r="AY88" i="20"/>
  <c r="AY87" i="20"/>
  <c r="AY86" i="20"/>
  <c r="AY85" i="20"/>
  <c r="AY84" i="20"/>
  <c r="AY83" i="20"/>
  <c r="AY82" i="20"/>
  <c r="AY81" i="20"/>
  <c r="AY80" i="20"/>
  <c r="AY79" i="20"/>
  <c r="AY78" i="20"/>
  <c r="AY77" i="20"/>
  <c r="AW93" i="20"/>
  <c r="AW92" i="20"/>
  <c r="AW91" i="20"/>
  <c r="AW90" i="20"/>
  <c r="AW89" i="20"/>
  <c r="AW88" i="20"/>
  <c r="AW87" i="20"/>
  <c r="AW86" i="20"/>
  <c r="AW85" i="20"/>
  <c r="AW84" i="20"/>
  <c r="AW83" i="20"/>
  <c r="AW82" i="20"/>
  <c r="AW81" i="20"/>
  <c r="AW80" i="20"/>
  <c r="AW79" i="20"/>
  <c r="AW78" i="20"/>
  <c r="AW77" i="20"/>
  <c r="AG4" i="10"/>
  <c r="A1" i="15"/>
  <c r="A1" i="11"/>
  <c r="A1" i="10"/>
  <c r="A1" i="12"/>
  <c r="A1" i="13"/>
  <c r="A1" i="14"/>
  <c r="A1" i="9"/>
  <c r="C172" i="26"/>
  <c r="C173" i="26"/>
  <c r="C174" i="26"/>
  <c r="C162" i="26"/>
  <c r="C163" i="26"/>
  <c r="C164" i="26"/>
  <c r="C165" i="26"/>
  <c r="C166" i="26"/>
  <c r="C167" i="26"/>
  <c r="C168" i="26"/>
  <c r="C170" i="26"/>
  <c r="C171" i="26"/>
  <c r="E141" i="26"/>
  <c r="F141" i="26"/>
  <c r="G141" i="26"/>
  <c r="H141" i="26"/>
  <c r="I141" i="26"/>
  <c r="J141" i="26"/>
  <c r="K141" i="26"/>
  <c r="L141" i="26"/>
  <c r="M141" i="26"/>
  <c r="N141" i="26"/>
  <c r="O141" i="26"/>
  <c r="P141" i="26"/>
  <c r="Q141" i="26"/>
  <c r="R141" i="26"/>
  <c r="S141" i="26"/>
  <c r="T141" i="26"/>
  <c r="U141" i="26"/>
  <c r="V141" i="26"/>
  <c r="W141" i="26"/>
  <c r="X141" i="26"/>
  <c r="Y141" i="26"/>
  <c r="Z141" i="26"/>
  <c r="AA141" i="26"/>
  <c r="AB141" i="26"/>
  <c r="AC141" i="26"/>
  <c r="AD141" i="26"/>
  <c r="AE141" i="26"/>
  <c r="AF141" i="26"/>
  <c r="AG141" i="26"/>
  <c r="AP141" i="26"/>
  <c r="AQ141" i="26"/>
  <c r="AR141" i="26"/>
  <c r="AS141" i="26"/>
  <c r="AT141" i="26"/>
  <c r="AU141" i="26"/>
  <c r="AV141" i="26"/>
  <c r="AW141" i="26"/>
  <c r="AX141" i="26"/>
  <c r="BA141" i="26"/>
  <c r="BB141" i="26"/>
  <c r="BC141" i="26"/>
  <c r="BD141" i="26"/>
  <c r="BE141" i="26"/>
  <c r="BF141" i="26"/>
  <c r="BG141" i="26"/>
  <c r="BK141" i="26"/>
  <c r="BM141" i="26"/>
  <c r="BO141" i="26"/>
  <c r="BQ141" i="26"/>
  <c r="E142" i="26"/>
  <c r="F142" i="26"/>
  <c r="G142" i="26"/>
  <c r="H142" i="26"/>
  <c r="I142" i="26"/>
  <c r="J142" i="26"/>
  <c r="K142" i="26"/>
  <c r="L142" i="26"/>
  <c r="M142" i="26"/>
  <c r="N142" i="26"/>
  <c r="O142" i="26"/>
  <c r="P142" i="26"/>
  <c r="Q142" i="26"/>
  <c r="R142" i="26"/>
  <c r="S142" i="26"/>
  <c r="T142" i="26"/>
  <c r="U142" i="26"/>
  <c r="V142" i="26"/>
  <c r="W142" i="26"/>
  <c r="X142" i="26"/>
  <c r="Y142" i="26"/>
  <c r="Z142" i="26"/>
  <c r="AA142" i="26"/>
  <c r="AB142" i="26"/>
  <c r="AC142" i="26"/>
  <c r="AD142" i="26"/>
  <c r="AE142" i="26"/>
  <c r="AF142" i="26"/>
  <c r="AG142" i="26"/>
  <c r="AP142" i="26"/>
  <c r="AQ142" i="26"/>
  <c r="AR142" i="26"/>
  <c r="AS142" i="26"/>
  <c r="AT142" i="26"/>
  <c r="AU142" i="26"/>
  <c r="AV142" i="26"/>
  <c r="AW142" i="26"/>
  <c r="AX142" i="26"/>
  <c r="BA142" i="26"/>
  <c r="BB142" i="26"/>
  <c r="BC142" i="26"/>
  <c r="BD142" i="26"/>
  <c r="BE142" i="26"/>
  <c r="BF142" i="26"/>
  <c r="BG142" i="26"/>
  <c r="BK142" i="26"/>
  <c r="BM142" i="26"/>
  <c r="BO142" i="26"/>
  <c r="BQ142" i="26"/>
  <c r="E143" i="26"/>
  <c r="F143" i="26"/>
  <c r="G143" i="26"/>
  <c r="H143" i="26"/>
  <c r="I143" i="26"/>
  <c r="J143" i="26"/>
  <c r="K143" i="26"/>
  <c r="L143" i="26"/>
  <c r="M143" i="26"/>
  <c r="N143" i="26"/>
  <c r="O143" i="26"/>
  <c r="P143" i="26"/>
  <c r="Q143" i="26"/>
  <c r="R143" i="26"/>
  <c r="S143" i="26"/>
  <c r="T143" i="26"/>
  <c r="U143" i="26"/>
  <c r="V143" i="26"/>
  <c r="W143" i="26"/>
  <c r="X143" i="26"/>
  <c r="Y143" i="26"/>
  <c r="Z143" i="26"/>
  <c r="AA143" i="26"/>
  <c r="AB143" i="26"/>
  <c r="AC143" i="26"/>
  <c r="AD143" i="26"/>
  <c r="AE143" i="26"/>
  <c r="AF143" i="26"/>
  <c r="AG143" i="26"/>
  <c r="AP143" i="26"/>
  <c r="AQ143" i="26"/>
  <c r="AR143" i="26"/>
  <c r="AS143" i="26"/>
  <c r="AT143" i="26"/>
  <c r="AU143" i="26"/>
  <c r="AV143" i="26"/>
  <c r="AW143" i="26"/>
  <c r="AX143" i="26"/>
  <c r="BA143" i="26"/>
  <c r="BB143" i="26"/>
  <c r="BC143" i="26"/>
  <c r="BD143" i="26"/>
  <c r="BE143" i="26"/>
  <c r="BF143" i="26"/>
  <c r="BG143" i="26"/>
  <c r="BK143" i="26"/>
  <c r="BM143" i="26"/>
  <c r="BO143" i="26"/>
  <c r="BQ143" i="26"/>
  <c r="E144" i="26"/>
  <c r="F144" i="26"/>
  <c r="G144" i="26"/>
  <c r="H144" i="26"/>
  <c r="I144" i="26"/>
  <c r="J144" i="26"/>
  <c r="K144" i="26"/>
  <c r="L144" i="26"/>
  <c r="M144" i="26"/>
  <c r="N144" i="26"/>
  <c r="O144" i="26"/>
  <c r="P144" i="26"/>
  <c r="Q144" i="26"/>
  <c r="R144" i="26"/>
  <c r="S144" i="26"/>
  <c r="T144" i="26"/>
  <c r="U144" i="26"/>
  <c r="V144" i="26"/>
  <c r="W144" i="26"/>
  <c r="X144" i="26"/>
  <c r="Y144" i="26"/>
  <c r="Z144" i="26"/>
  <c r="AA144" i="26"/>
  <c r="AB144" i="26"/>
  <c r="AC144" i="26"/>
  <c r="AD144" i="26"/>
  <c r="AE144" i="26"/>
  <c r="AF144" i="26"/>
  <c r="AG144" i="26"/>
  <c r="AP144" i="26"/>
  <c r="AQ144" i="26"/>
  <c r="AR144" i="26"/>
  <c r="AS144" i="26"/>
  <c r="AT144" i="26"/>
  <c r="AU144" i="26"/>
  <c r="AV144" i="26"/>
  <c r="AW144" i="26"/>
  <c r="AX144" i="26"/>
  <c r="BA144" i="26"/>
  <c r="BB144" i="26"/>
  <c r="BC144" i="26"/>
  <c r="BD144" i="26"/>
  <c r="BE144" i="26"/>
  <c r="BF144" i="26"/>
  <c r="BG144" i="26"/>
  <c r="BK144" i="26"/>
  <c r="BM144" i="26"/>
  <c r="BO144" i="26"/>
  <c r="BQ144" i="26"/>
  <c r="E145" i="26"/>
  <c r="F145" i="26"/>
  <c r="G145" i="26"/>
  <c r="H145" i="26"/>
  <c r="I145" i="26"/>
  <c r="J145" i="26"/>
  <c r="K145" i="26"/>
  <c r="L145" i="26"/>
  <c r="M145" i="26"/>
  <c r="N145" i="26"/>
  <c r="O145" i="26"/>
  <c r="P145" i="26"/>
  <c r="Q145" i="26"/>
  <c r="R145" i="26"/>
  <c r="S145" i="26"/>
  <c r="T145" i="26"/>
  <c r="U145" i="26"/>
  <c r="V145" i="26"/>
  <c r="W145" i="26"/>
  <c r="X145" i="26"/>
  <c r="Y145" i="26"/>
  <c r="Z145" i="26"/>
  <c r="AA145" i="26"/>
  <c r="AB145" i="26"/>
  <c r="AC145" i="26"/>
  <c r="AD145" i="26"/>
  <c r="AE145" i="26"/>
  <c r="AF145" i="26"/>
  <c r="AG145" i="26"/>
  <c r="AP145" i="26"/>
  <c r="AQ145" i="26"/>
  <c r="AR145" i="26"/>
  <c r="AS145" i="26"/>
  <c r="AT145" i="26"/>
  <c r="AU145" i="26"/>
  <c r="AV145" i="26"/>
  <c r="AW145" i="26"/>
  <c r="AX145" i="26"/>
  <c r="BA145" i="26"/>
  <c r="BB145" i="26"/>
  <c r="BC145" i="26"/>
  <c r="BD145" i="26"/>
  <c r="BE145" i="26"/>
  <c r="BF145" i="26"/>
  <c r="BG145" i="26"/>
  <c r="BK145" i="26"/>
  <c r="BM145" i="26"/>
  <c r="BO145" i="26"/>
  <c r="BQ145" i="26"/>
  <c r="E146" i="26"/>
  <c r="F146" i="26"/>
  <c r="G146" i="26"/>
  <c r="H146" i="26"/>
  <c r="I146" i="26"/>
  <c r="J146" i="26"/>
  <c r="K146" i="26"/>
  <c r="L146" i="26"/>
  <c r="M146" i="26"/>
  <c r="N146" i="26"/>
  <c r="O146" i="26"/>
  <c r="P146" i="26"/>
  <c r="Q146" i="26"/>
  <c r="R146" i="26"/>
  <c r="S146" i="26"/>
  <c r="T146" i="26"/>
  <c r="U146" i="26"/>
  <c r="V146" i="26"/>
  <c r="W146" i="26"/>
  <c r="X146" i="26"/>
  <c r="Y146" i="26"/>
  <c r="Z146" i="26"/>
  <c r="AA146" i="26"/>
  <c r="AB146" i="26"/>
  <c r="AC146" i="26"/>
  <c r="AD146" i="26"/>
  <c r="AE146" i="26"/>
  <c r="AF146" i="26"/>
  <c r="AG146" i="26"/>
  <c r="AP146" i="26"/>
  <c r="AQ146" i="26"/>
  <c r="AR146" i="26"/>
  <c r="AS146" i="26"/>
  <c r="AT146" i="26"/>
  <c r="AU146" i="26"/>
  <c r="AV146" i="26"/>
  <c r="AW146" i="26"/>
  <c r="AX146" i="26"/>
  <c r="BA146" i="26"/>
  <c r="BB146" i="26"/>
  <c r="BC146" i="26"/>
  <c r="BD146" i="26"/>
  <c r="BE146" i="26"/>
  <c r="BF146" i="26"/>
  <c r="BG146" i="26"/>
  <c r="BK146" i="26"/>
  <c r="BM146" i="26"/>
  <c r="BO146" i="26"/>
  <c r="BQ146" i="26"/>
  <c r="E147" i="26"/>
  <c r="F147" i="26"/>
  <c r="G147" i="26"/>
  <c r="H147" i="26"/>
  <c r="I147" i="26"/>
  <c r="J147" i="26"/>
  <c r="K147" i="26"/>
  <c r="L147" i="26"/>
  <c r="M147" i="26"/>
  <c r="N147" i="26"/>
  <c r="O147" i="26"/>
  <c r="P147" i="26"/>
  <c r="Q147" i="26"/>
  <c r="R147" i="26"/>
  <c r="S147" i="26"/>
  <c r="T147" i="26"/>
  <c r="U147" i="26"/>
  <c r="V147" i="26"/>
  <c r="W147" i="26"/>
  <c r="X147" i="26"/>
  <c r="Y147" i="26"/>
  <c r="Z147" i="26"/>
  <c r="AA147" i="26"/>
  <c r="AB147" i="26"/>
  <c r="AC147" i="26"/>
  <c r="AD147" i="26"/>
  <c r="AE147" i="26"/>
  <c r="AF147" i="26"/>
  <c r="AG147" i="26"/>
  <c r="AP147" i="26"/>
  <c r="AQ147" i="26"/>
  <c r="AR147" i="26"/>
  <c r="AS147" i="26"/>
  <c r="AT147" i="26"/>
  <c r="AU147" i="26"/>
  <c r="AV147" i="26"/>
  <c r="AW147" i="26"/>
  <c r="AX147" i="26"/>
  <c r="BA147" i="26"/>
  <c r="BB147" i="26"/>
  <c r="BC147" i="26"/>
  <c r="BD147" i="26"/>
  <c r="BE147" i="26"/>
  <c r="BF147" i="26"/>
  <c r="BG147" i="26"/>
  <c r="BK147" i="26"/>
  <c r="BM147" i="26"/>
  <c r="BO147" i="26"/>
  <c r="BQ147" i="26"/>
  <c r="E148" i="26"/>
  <c r="F148" i="26"/>
  <c r="G148" i="26"/>
  <c r="H148" i="26"/>
  <c r="I148" i="26"/>
  <c r="J148" i="26"/>
  <c r="K148" i="26"/>
  <c r="L148" i="26"/>
  <c r="M148" i="26"/>
  <c r="N148" i="26"/>
  <c r="O148" i="26"/>
  <c r="P148" i="26"/>
  <c r="Q148" i="26"/>
  <c r="R148" i="26"/>
  <c r="S148" i="26"/>
  <c r="T148" i="26"/>
  <c r="U148" i="26"/>
  <c r="V148" i="26"/>
  <c r="W148" i="26"/>
  <c r="X148" i="26"/>
  <c r="Y148" i="26"/>
  <c r="Z148" i="26"/>
  <c r="AA148" i="26"/>
  <c r="AB148" i="26"/>
  <c r="AC148" i="26"/>
  <c r="AD148" i="26"/>
  <c r="AE148" i="26"/>
  <c r="AF148" i="26"/>
  <c r="AG148" i="26"/>
  <c r="AP148" i="26"/>
  <c r="AQ148" i="26"/>
  <c r="AR148" i="26"/>
  <c r="AS148" i="26"/>
  <c r="AT148" i="26"/>
  <c r="AU148" i="26"/>
  <c r="AV148" i="26"/>
  <c r="AW148" i="26"/>
  <c r="AX148" i="26"/>
  <c r="BA148" i="26"/>
  <c r="BB148" i="26"/>
  <c r="BC148" i="26"/>
  <c r="BD148" i="26"/>
  <c r="BE148" i="26"/>
  <c r="BF148" i="26"/>
  <c r="BG148" i="26"/>
  <c r="BK148" i="26"/>
  <c r="BM148" i="26"/>
  <c r="BO148" i="26"/>
  <c r="BQ148" i="26"/>
  <c r="E149" i="26"/>
  <c r="F149" i="26"/>
  <c r="G149" i="26"/>
  <c r="H149" i="26"/>
  <c r="I149" i="26"/>
  <c r="J149" i="26"/>
  <c r="K149" i="26"/>
  <c r="L149" i="26"/>
  <c r="M149" i="26"/>
  <c r="N149" i="26"/>
  <c r="O149" i="26"/>
  <c r="P149" i="26"/>
  <c r="Q149" i="26"/>
  <c r="R149" i="26"/>
  <c r="S149" i="26"/>
  <c r="T149" i="26"/>
  <c r="U149" i="26"/>
  <c r="V149" i="26"/>
  <c r="W149" i="26"/>
  <c r="X149" i="26"/>
  <c r="Y149" i="26"/>
  <c r="Z149" i="26"/>
  <c r="AA149" i="26"/>
  <c r="AB149" i="26"/>
  <c r="AC149" i="26"/>
  <c r="AD149" i="26"/>
  <c r="AE149" i="26"/>
  <c r="AF149" i="26"/>
  <c r="AG149" i="26"/>
  <c r="AP149" i="26"/>
  <c r="AQ149" i="26"/>
  <c r="AR149" i="26"/>
  <c r="AS149" i="26"/>
  <c r="AT149" i="26"/>
  <c r="AU149" i="26"/>
  <c r="AV149" i="26"/>
  <c r="AW149" i="26"/>
  <c r="AX149" i="26"/>
  <c r="BA149" i="26"/>
  <c r="BB149" i="26"/>
  <c r="BC149" i="26"/>
  <c r="BD149" i="26"/>
  <c r="BE149" i="26"/>
  <c r="BF149" i="26"/>
  <c r="BG149" i="26"/>
  <c r="BK149" i="26"/>
  <c r="BM149" i="26"/>
  <c r="BO149" i="26"/>
  <c r="BQ149" i="26"/>
  <c r="E150" i="26"/>
  <c r="F150" i="26"/>
  <c r="G150" i="26"/>
  <c r="H150" i="26"/>
  <c r="I150" i="26"/>
  <c r="J150" i="26"/>
  <c r="K150" i="26"/>
  <c r="L150" i="26"/>
  <c r="M150" i="26"/>
  <c r="N150" i="26"/>
  <c r="O150" i="26"/>
  <c r="P150" i="26"/>
  <c r="Q150" i="26"/>
  <c r="R150" i="26"/>
  <c r="S150" i="26"/>
  <c r="T150" i="26"/>
  <c r="U150" i="26"/>
  <c r="V150" i="26"/>
  <c r="W150" i="26"/>
  <c r="X150" i="26"/>
  <c r="Y150" i="26"/>
  <c r="Z150" i="26"/>
  <c r="AA150" i="26"/>
  <c r="AB150" i="26"/>
  <c r="AC150" i="26"/>
  <c r="AD150" i="26"/>
  <c r="AE150" i="26"/>
  <c r="AF150" i="26"/>
  <c r="AG150" i="26"/>
  <c r="AP150" i="26"/>
  <c r="AQ150" i="26"/>
  <c r="AR150" i="26"/>
  <c r="AS150" i="26"/>
  <c r="AT150" i="26"/>
  <c r="AU150" i="26"/>
  <c r="AV150" i="26"/>
  <c r="AW150" i="26"/>
  <c r="AX150" i="26"/>
  <c r="BA150" i="26"/>
  <c r="BB150" i="26"/>
  <c r="BC150" i="26"/>
  <c r="BD150" i="26"/>
  <c r="BE150" i="26"/>
  <c r="BF150" i="26"/>
  <c r="BG150" i="26"/>
  <c r="BK150" i="26"/>
  <c r="BM150" i="26"/>
  <c r="BO150" i="26"/>
  <c r="BQ150" i="26"/>
  <c r="E151" i="26"/>
  <c r="F151" i="26"/>
  <c r="G151" i="26"/>
  <c r="H151" i="26"/>
  <c r="I151" i="26"/>
  <c r="J151" i="26"/>
  <c r="K151" i="26"/>
  <c r="L151" i="26"/>
  <c r="M151" i="26"/>
  <c r="N151" i="26"/>
  <c r="O151" i="26"/>
  <c r="P151" i="26"/>
  <c r="Q151" i="26"/>
  <c r="R151" i="26"/>
  <c r="S151" i="26"/>
  <c r="T151" i="26"/>
  <c r="U151" i="26"/>
  <c r="V151" i="26"/>
  <c r="W151" i="26"/>
  <c r="X151" i="26"/>
  <c r="Y151" i="26"/>
  <c r="Z151" i="26"/>
  <c r="AA151" i="26"/>
  <c r="AB151" i="26"/>
  <c r="AC151" i="26"/>
  <c r="AD151" i="26"/>
  <c r="AE151" i="26"/>
  <c r="AF151" i="26"/>
  <c r="AG151" i="26"/>
  <c r="AP151" i="26"/>
  <c r="AQ151" i="26"/>
  <c r="AR151" i="26"/>
  <c r="AS151" i="26"/>
  <c r="AT151" i="26"/>
  <c r="AU151" i="26"/>
  <c r="AV151" i="26"/>
  <c r="AW151" i="26"/>
  <c r="AX151" i="26"/>
  <c r="BA151" i="26"/>
  <c r="BB151" i="26"/>
  <c r="BC151" i="26"/>
  <c r="BD151" i="26"/>
  <c r="BE151" i="26"/>
  <c r="BF151" i="26"/>
  <c r="BG151" i="26"/>
  <c r="BK151" i="26"/>
  <c r="BM151" i="26"/>
  <c r="BO151" i="26"/>
  <c r="BQ151" i="26"/>
  <c r="E152" i="26"/>
  <c r="F152" i="26"/>
  <c r="G152" i="26"/>
  <c r="H152" i="26"/>
  <c r="I152" i="26"/>
  <c r="J152" i="26"/>
  <c r="K152" i="26"/>
  <c r="L152" i="26"/>
  <c r="M152" i="26"/>
  <c r="N152" i="26"/>
  <c r="O152" i="26"/>
  <c r="P152" i="26"/>
  <c r="Q152" i="26"/>
  <c r="R152" i="26"/>
  <c r="S152" i="26"/>
  <c r="T152" i="26"/>
  <c r="U152" i="26"/>
  <c r="V152" i="26"/>
  <c r="W152" i="26"/>
  <c r="X152" i="26"/>
  <c r="Y152" i="26"/>
  <c r="Z152" i="26"/>
  <c r="AA152" i="26"/>
  <c r="AB152" i="26"/>
  <c r="AC152" i="26"/>
  <c r="AD152" i="26"/>
  <c r="AE152" i="26"/>
  <c r="AF152" i="26"/>
  <c r="AG152" i="26"/>
  <c r="AP152" i="26"/>
  <c r="AQ152" i="26"/>
  <c r="AR152" i="26"/>
  <c r="AS152" i="26"/>
  <c r="AT152" i="26"/>
  <c r="AU152" i="26"/>
  <c r="AV152" i="26"/>
  <c r="AW152" i="26"/>
  <c r="AX152" i="26"/>
  <c r="BA152" i="26"/>
  <c r="BB152" i="26"/>
  <c r="BC152" i="26"/>
  <c r="BD152" i="26"/>
  <c r="BE152" i="26"/>
  <c r="BF152" i="26"/>
  <c r="BG152" i="26"/>
  <c r="BK152" i="26"/>
  <c r="BM152" i="26"/>
  <c r="BO152" i="26"/>
  <c r="BQ152" i="26"/>
  <c r="E153" i="26"/>
  <c r="F153" i="26"/>
  <c r="G153" i="26"/>
  <c r="H153" i="26"/>
  <c r="I153" i="26"/>
  <c r="J153" i="26"/>
  <c r="K153" i="26"/>
  <c r="L153" i="26"/>
  <c r="M153" i="26"/>
  <c r="N153" i="26"/>
  <c r="O153" i="26"/>
  <c r="P153" i="26"/>
  <c r="Q153" i="26"/>
  <c r="R153" i="26"/>
  <c r="S153" i="26"/>
  <c r="T153" i="26"/>
  <c r="U153" i="26"/>
  <c r="V153" i="26"/>
  <c r="W153" i="26"/>
  <c r="X153" i="26"/>
  <c r="Y153" i="26"/>
  <c r="Z153" i="26"/>
  <c r="AA153" i="26"/>
  <c r="AB153" i="26"/>
  <c r="AC153" i="26"/>
  <c r="AD153" i="26"/>
  <c r="AE153" i="26"/>
  <c r="AF153" i="26"/>
  <c r="AG153" i="26"/>
  <c r="AP153" i="26"/>
  <c r="AQ153" i="26"/>
  <c r="AR153" i="26"/>
  <c r="AS153" i="26"/>
  <c r="AT153" i="26"/>
  <c r="AU153" i="26"/>
  <c r="AV153" i="26"/>
  <c r="AW153" i="26"/>
  <c r="AX153" i="26"/>
  <c r="BA153" i="26"/>
  <c r="BB153" i="26"/>
  <c r="BC153" i="26"/>
  <c r="BD153" i="26"/>
  <c r="BE153" i="26"/>
  <c r="BF153" i="26"/>
  <c r="BG153" i="26"/>
  <c r="BK153" i="26"/>
  <c r="BM153" i="26"/>
  <c r="BO153" i="26"/>
  <c r="BQ153" i="26"/>
  <c r="E154" i="26"/>
  <c r="F154" i="26"/>
  <c r="G154" i="26"/>
  <c r="H154" i="26"/>
  <c r="I154" i="26"/>
  <c r="J154" i="26"/>
  <c r="K154" i="26"/>
  <c r="L154" i="26"/>
  <c r="M154" i="26"/>
  <c r="N154" i="26"/>
  <c r="O154" i="26"/>
  <c r="P154" i="26"/>
  <c r="Q154" i="26"/>
  <c r="R154" i="26"/>
  <c r="S154" i="26"/>
  <c r="T154" i="26"/>
  <c r="U154" i="26"/>
  <c r="V154" i="26"/>
  <c r="W154" i="26"/>
  <c r="X154" i="26"/>
  <c r="Y154" i="26"/>
  <c r="Z154" i="26"/>
  <c r="AA154" i="26"/>
  <c r="AB154" i="26"/>
  <c r="AC154" i="26"/>
  <c r="AD154" i="26"/>
  <c r="AE154" i="26"/>
  <c r="AF154" i="26"/>
  <c r="AG154" i="26"/>
  <c r="AP154" i="26"/>
  <c r="AQ154" i="26"/>
  <c r="AR154" i="26"/>
  <c r="AS154" i="26"/>
  <c r="AT154" i="26"/>
  <c r="AU154" i="26"/>
  <c r="AV154" i="26"/>
  <c r="AW154" i="26"/>
  <c r="AX154" i="26"/>
  <c r="BA154" i="26"/>
  <c r="BB154" i="26"/>
  <c r="BC154" i="26"/>
  <c r="BD154" i="26"/>
  <c r="BE154" i="26"/>
  <c r="BF154" i="26"/>
  <c r="BG154" i="26"/>
  <c r="BK154" i="26"/>
  <c r="BM154" i="26"/>
  <c r="BO154" i="26"/>
  <c r="BQ154" i="26"/>
  <c r="E155" i="26"/>
  <c r="F155" i="26"/>
  <c r="G155" i="26"/>
  <c r="H155" i="26"/>
  <c r="I155" i="26"/>
  <c r="J155" i="26"/>
  <c r="K155" i="26"/>
  <c r="L155" i="26"/>
  <c r="M155" i="26"/>
  <c r="N155" i="26"/>
  <c r="O155" i="26"/>
  <c r="P155" i="26"/>
  <c r="Q155" i="26"/>
  <c r="R155" i="26"/>
  <c r="S155" i="26"/>
  <c r="T155" i="26"/>
  <c r="U155" i="26"/>
  <c r="V155" i="26"/>
  <c r="W155" i="26"/>
  <c r="X155" i="26"/>
  <c r="Y155" i="26"/>
  <c r="Z155" i="26"/>
  <c r="AA155" i="26"/>
  <c r="AB155" i="26"/>
  <c r="AC155" i="26"/>
  <c r="AD155" i="26"/>
  <c r="AE155" i="26"/>
  <c r="AF155" i="26"/>
  <c r="AG155" i="26"/>
  <c r="AP155" i="26"/>
  <c r="AQ155" i="26"/>
  <c r="AR155" i="26"/>
  <c r="AS155" i="26"/>
  <c r="AT155" i="26"/>
  <c r="AU155" i="26"/>
  <c r="AV155" i="26"/>
  <c r="AW155" i="26"/>
  <c r="AX155" i="26"/>
  <c r="BA155" i="26"/>
  <c r="BB155" i="26"/>
  <c r="BC155" i="26"/>
  <c r="BD155" i="26"/>
  <c r="BE155" i="26"/>
  <c r="BF155" i="26"/>
  <c r="BG155" i="26"/>
  <c r="BK155" i="26"/>
  <c r="BM155" i="26"/>
  <c r="BO155" i="26"/>
  <c r="BQ155" i="26"/>
  <c r="E156" i="26"/>
  <c r="F156" i="26"/>
  <c r="G156" i="26"/>
  <c r="H156" i="26"/>
  <c r="I156" i="26"/>
  <c r="J156" i="26"/>
  <c r="K156" i="26"/>
  <c r="L156" i="26"/>
  <c r="M156" i="26"/>
  <c r="N156" i="26"/>
  <c r="O156" i="26"/>
  <c r="P156" i="26"/>
  <c r="Q156" i="26"/>
  <c r="R156" i="26"/>
  <c r="S156" i="26"/>
  <c r="T156" i="26"/>
  <c r="U156" i="26"/>
  <c r="V156" i="26"/>
  <c r="W156" i="26"/>
  <c r="X156" i="26"/>
  <c r="Y156" i="26"/>
  <c r="Z156" i="26"/>
  <c r="AA156" i="26"/>
  <c r="AB156" i="26"/>
  <c r="AC156" i="26"/>
  <c r="AD156" i="26"/>
  <c r="AE156" i="26"/>
  <c r="AF156" i="26"/>
  <c r="AG156" i="26"/>
  <c r="AP156" i="26"/>
  <c r="AQ156" i="26"/>
  <c r="AR156" i="26"/>
  <c r="AS156" i="26"/>
  <c r="AT156" i="26"/>
  <c r="AU156" i="26"/>
  <c r="AV156" i="26"/>
  <c r="AW156" i="26"/>
  <c r="AX156" i="26"/>
  <c r="BA156" i="26"/>
  <c r="BB156" i="26"/>
  <c r="BC156" i="26"/>
  <c r="BD156" i="26"/>
  <c r="BE156" i="26"/>
  <c r="BF156" i="26"/>
  <c r="BG156" i="26"/>
  <c r="BK156" i="26"/>
  <c r="BM156" i="26"/>
  <c r="BO156" i="26"/>
  <c r="BQ156" i="26"/>
  <c r="E157" i="26"/>
  <c r="F157" i="26"/>
  <c r="G157" i="26"/>
  <c r="H157" i="26"/>
  <c r="I157" i="26"/>
  <c r="J157" i="26"/>
  <c r="K157" i="26"/>
  <c r="L157" i="26"/>
  <c r="M157" i="26"/>
  <c r="N157" i="26"/>
  <c r="O157" i="26"/>
  <c r="P157" i="26"/>
  <c r="Q157" i="26"/>
  <c r="R157" i="26"/>
  <c r="S157" i="26"/>
  <c r="T157" i="26"/>
  <c r="U157" i="26"/>
  <c r="V157" i="26"/>
  <c r="W157" i="26"/>
  <c r="X157" i="26"/>
  <c r="Y157" i="26"/>
  <c r="Z157" i="26"/>
  <c r="AA157" i="26"/>
  <c r="AB157" i="26"/>
  <c r="AC157" i="26"/>
  <c r="AD157" i="26"/>
  <c r="AE157" i="26"/>
  <c r="AF157" i="26"/>
  <c r="AG157" i="26"/>
  <c r="AP157" i="26"/>
  <c r="AQ157" i="26"/>
  <c r="AR157" i="26"/>
  <c r="AS157" i="26"/>
  <c r="AT157" i="26"/>
  <c r="AU157" i="26"/>
  <c r="AV157" i="26"/>
  <c r="AW157" i="26"/>
  <c r="AX157" i="26"/>
  <c r="BA157" i="26"/>
  <c r="BB157" i="26"/>
  <c r="BC157" i="26"/>
  <c r="BD157" i="26"/>
  <c r="BE157" i="26"/>
  <c r="BF157" i="26"/>
  <c r="BG157" i="26"/>
  <c r="BK157" i="26"/>
  <c r="BM157" i="26"/>
  <c r="BO157" i="26"/>
  <c r="BQ157" i="26"/>
  <c r="E158" i="26"/>
  <c r="F158" i="26"/>
  <c r="G158" i="26"/>
  <c r="H158" i="26"/>
  <c r="I158" i="26"/>
  <c r="J158" i="26"/>
  <c r="K158" i="26"/>
  <c r="L158" i="26"/>
  <c r="M158" i="26"/>
  <c r="N158" i="26"/>
  <c r="O158" i="26"/>
  <c r="P158" i="26"/>
  <c r="Q158" i="26"/>
  <c r="R158" i="26"/>
  <c r="S158" i="26"/>
  <c r="T158" i="26"/>
  <c r="U158" i="26"/>
  <c r="V158" i="26"/>
  <c r="W158" i="26"/>
  <c r="X158" i="26"/>
  <c r="Y158" i="26"/>
  <c r="Z158" i="26"/>
  <c r="AA158" i="26"/>
  <c r="AB158" i="26"/>
  <c r="AC158" i="26"/>
  <c r="AD158" i="26"/>
  <c r="AE158" i="26"/>
  <c r="AF158" i="26"/>
  <c r="AG158" i="26"/>
  <c r="AP158" i="26"/>
  <c r="AQ158" i="26"/>
  <c r="AR158" i="26"/>
  <c r="AS158" i="26"/>
  <c r="AT158" i="26"/>
  <c r="AU158" i="26"/>
  <c r="AV158" i="26"/>
  <c r="AW158" i="26"/>
  <c r="AX158" i="26"/>
  <c r="BA158" i="26"/>
  <c r="BB158" i="26"/>
  <c r="BC158" i="26"/>
  <c r="BD158" i="26"/>
  <c r="BE158" i="26"/>
  <c r="BF158" i="26"/>
  <c r="BG158" i="26"/>
  <c r="BK158" i="26"/>
  <c r="BM158" i="26"/>
  <c r="BO158" i="26"/>
  <c r="BQ158" i="26"/>
  <c r="D158" i="26"/>
  <c r="D156" i="26"/>
  <c r="D157" i="26"/>
  <c r="D142" i="26"/>
  <c r="D143" i="26"/>
  <c r="D144" i="26"/>
  <c r="D145" i="26"/>
  <c r="D146" i="26"/>
  <c r="D147" i="26"/>
  <c r="D148" i="26"/>
  <c r="D149" i="26"/>
  <c r="D150" i="26"/>
  <c r="D151" i="26"/>
  <c r="D152" i="26"/>
  <c r="D153" i="26"/>
  <c r="D154" i="26"/>
  <c r="D155" i="26"/>
  <c r="D141" i="26"/>
  <c r="E121" i="26"/>
  <c r="F121" i="26"/>
  <c r="G121" i="26"/>
  <c r="H121" i="26"/>
  <c r="I121" i="26"/>
  <c r="J121" i="26"/>
  <c r="K121" i="26"/>
  <c r="L121" i="26"/>
  <c r="M121" i="26"/>
  <c r="N121" i="26"/>
  <c r="O121" i="26"/>
  <c r="P121" i="26"/>
  <c r="Q121" i="26"/>
  <c r="R121" i="26"/>
  <c r="S121" i="26"/>
  <c r="T121" i="26"/>
  <c r="U121" i="26"/>
  <c r="V121" i="26"/>
  <c r="W121" i="26"/>
  <c r="X121" i="26"/>
  <c r="Y121" i="26"/>
  <c r="Z121" i="26"/>
  <c r="AA121" i="26"/>
  <c r="AB121" i="26"/>
  <c r="AC121" i="26"/>
  <c r="AD121" i="26"/>
  <c r="AE121" i="26"/>
  <c r="AF121" i="26"/>
  <c r="AG121" i="26"/>
  <c r="AP121" i="26"/>
  <c r="AQ121" i="26"/>
  <c r="AR121" i="26"/>
  <c r="AS121" i="26"/>
  <c r="AT121" i="26"/>
  <c r="AU121" i="26"/>
  <c r="AV121" i="26"/>
  <c r="AW121" i="26"/>
  <c r="AX121" i="26"/>
  <c r="BA121" i="26"/>
  <c r="BB121" i="26"/>
  <c r="BC121" i="26"/>
  <c r="BD121" i="26"/>
  <c r="BE121" i="26"/>
  <c r="BF121" i="26"/>
  <c r="BG121" i="26"/>
  <c r="BK121" i="26"/>
  <c r="BM121" i="26"/>
  <c r="BN81" i="26"/>
  <c r="BO121" i="26"/>
  <c r="BP81" i="26"/>
  <c r="BQ121" i="26"/>
  <c r="BR81" i="26"/>
  <c r="E122" i="26"/>
  <c r="F122" i="26"/>
  <c r="G122" i="26"/>
  <c r="H122" i="26"/>
  <c r="I122" i="26"/>
  <c r="J122" i="26"/>
  <c r="K122" i="26"/>
  <c r="L122" i="26"/>
  <c r="M122" i="26"/>
  <c r="N122" i="26"/>
  <c r="O122" i="26"/>
  <c r="P122" i="26"/>
  <c r="Q122" i="26"/>
  <c r="R122" i="26"/>
  <c r="S122" i="26"/>
  <c r="T122" i="26"/>
  <c r="U122" i="26"/>
  <c r="V122" i="26"/>
  <c r="W122" i="26"/>
  <c r="X122" i="26"/>
  <c r="Y122" i="26"/>
  <c r="Z122" i="26"/>
  <c r="AA122" i="26"/>
  <c r="AB122" i="26"/>
  <c r="AC122" i="26"/>
  <c r="AD122" i="26"/>
  <c r="AE122" i="26"/>
  <c r="AF122" i="26"/>
  <c r="AG122" i="26"/>
  <c r="AP122" i="26"/>
  <c r="AQ122" i="26"/>
  <c r="AR122" i="26"/>
  <c r="AS122" i="26"/>
  <c r="AT122" i="26"/>
  <c r="AU122" i="26"/>
  <c r="AV122" i="26"/>
  <c r="AW122" i="26"/>
  <c r="AX122" i="26"/>
  <c r="BA122" i="26"/>
  <c r="BB122" i="26"/>
  <c r="BC122" i="26"/>
  <c r="BD122" i="26"/>
  <c r="BE122" i="26"/>
  <c r="BF122" i="26"/>
  <c r="BG122" i="26"/>
  <c r="BK122" i="26"/>
  <c r="BL82" i="26"/>
  <c r="BM122" i="26"/>
  <c r="BN82" i="26"/>
  <c r="BO122" i="26"/>
  <c r="BP82" i="26"/>
  <c r="BQ122" i="26"/>
  <c r="BR82" i="26"/>
  <c r="E123" i="26"/>
  <c r="F123" i="26"/>
  <c r="G123" i="26"/>
  <c r="H123" i="26"/>
  <c r="I123" i="26"/>
  <c r="J123" i="26"/>
  <c r="K123" i="26"/>
  <c r="L123" i="26"/>
  <c r="M123" i="26"/>
  <c r="N123" i="26"/>
  <c r="O123" i="26"/>
  <c r="P123" i="26"/>
  <c r="Q123" i="26"/>
  <c r="R123" i="26"/>
  <c r="S123" i="26"/>
  <c r="T123" i="26"/>
  <c r="U123" i="26"/>
  <c r="V123" i="26"/>
  <c r="W123" i="26"/>
  <c r="X123" i="26"/>
  <c r="Y123" i="26"/>
  <c r="Z123" i="26"/>
  <c r="AA123" i="26"/>
  <c r="AB123" i="26"/>
  <c r="AC123" i="26"/>
  <c r="AD123" i="26"/>
  <c r="AE123" i="26"/>
  <c r="AF123" i="26"/>
  <c r="AG123" i="26"/>
  <c r="AP123" i="26"/>
  <c r="AQ123" i="26"/>
  <c r="AR123" i="26"/>
  <c r="AS123" i="26"/>
  <c r="AT123" i="26"/>
  <c r="AU123" i="26"/>
  <c r="AV123" i="26"/>
  <c r="AW123" i="26"/>
  <c r="AX123" i="26"/>
  <c r="BA123" i="26"/>
  <c r="BB123" i="26"/>
  <c r="BC123" i="26"/>
  <c r="BD123" i="26"/>
  <c r="BE123" i="26"/>
  <c r="BF123" i="26"/>
  <c r="BG123" i="26"/>
  <c r="BK123" i="26"/>
  <c r="BL83" i="26"/>
  <c r="BM123" i="26"/>
  <c r="BN83" i="26"/>
  <c r="BO123" i="26"/>
  <c r="BP83" i="26"/>
  <c r="BQ123" i="26"/>
  <c r="BR83" i="26"/>
  <c r="E124" i="26"/>
  <c r="F124" i="26"/>
  <c r="G124" i="26"/>
  <c r="H124" i="26"/>
  <c r="I124" i="26"/>
  <c r="J124" i="26"/>
  <c r="K124" i="26"/>
  <c r="L124" i="26"/>
  <c r="M124" i="26"/>
  <c r="N124" i="26"/>
  <c r="O124" i="26"/>
  <c r="P124" i="26"/>
  <c r="Q124" i="26"/>
  <c r="R124" i="26"/>
  <c r="S124" i="26"/>
  <c r="T124" i="26"/>
  <c r="U124" i="26"/>
  <c r="V124" i="26"/>
  <c r="W124" i="26"/>
  <c r="X124" i="26"/>
  <c r="Y124" i="26"/>
  <c r="Z124" i="26"/>
  <c r="AA124" i="26"/>
  <c r="AB124" i="26"/>
  <c r="AC124" i="26"/>
  <c r="AD124" i="26"/>
  <c r="AE124" i="26"/>
  <c r="AF124" i="26"/>
  <c r="AG124" i="26"/>
  <c r="AP124" i="26"/>
  <c r="AQ124" i="26"/>
  <c r="AR124" i="26"/>
  <c r="AS124" i="26"/>
  <c r="AT124" i="26"/>
  <c r="AU124" i="26"/>
  <c r="AV124" i="26"/>
  <c r="AW124" i="26"/>
  <c r="AX124" i="26"/>
  <c r="BA124" i="26"/>
  <c r="BB124" i="26"/>
  <c r="BC124" i="26"/>
  <c r="BD124" i="26"/>
  <c r="BE124" i="26"/>
  <c r="BF124" i="26"/>
  <c r="BG124" i="26"/>
  <c r="BK124" i="26"/>
  <c r="BL84" i="26"/>
  <c r="BM124" i="26"/>
  <c r="BN84" i="26"/>
  <c r="BO124" i="26"/>
  <c r="BP84" i="26"/>
  <c r="BQ124" i="26"/>
  <c r="BR84" i="26"/>
  <c r="E125" i="26"/>
  <c r="F125" i="26"/>
  <c r="G125" i="26"/>
  <c r="H125" i="26"/>
  <c r="I125" i="26"/>
  <c r="J125" i="26"/>
  <c r="K125" i="26"/>
  <c r="L125" i="26"/>
  <c r="M125" i="26"/>
  <c r="N125" i="26"/>
  <c r="O125" i="26"/>
  <c r="P125" i="26"/>
  <c r="Q125" i="26"/>
  <c r="R125" i="26"/>
  <c r="S125" i="26"/>
  <c r="T125" i="26"/>
  <c r="U125" i="26"/>
  <c r="V125" i="26"/>
  <c r="W125" i="26"/>
  <c r="X125" i="26"/>
  <c r="Y125" i="26"/>
  <c r="Z125" i="26"/>
  <c r="AA125" i="26"/>
  <c r="AB125" i="26"/>
  <c r="AC125" i="26"/>
  <c r="AD125" i="26"/>
  <c r="AE125" i="26"/>
  <c r="AF125" i="26"/>
  <c r="AG125" i="26"/>
  <c r="AP125" i="26"/>
  <c r="AQ125" i="26"/>
  <c r="AR125" i="26"/>
  <c r="AS125" i="26"/>
  <c r="AT125" i="26"/>
  <c r="AU125" i="26"/>
  <c r="AV125" i="26"/>
  <c r="AW125" i="26"/>
  <c r="AX125" i="26"/>
  <c r="BA125" i="26"/>
  <c r="BB125" i="26"/>
  <c r="BC125" i="26"/>
  <c r="BD125" i="26"/>
  <c r="BE125" i="26"/>
  <c r="BF125" i="26"/>
  <c r="BG125" i="26"/>
  <c r="BK125" i="26"/>
  <c r="BL85" i="26"/>
  <c r="BM125" i="26"/>
  <c r="BN85" i="26"/>
  <c r="BO125" i="26"/>
  <c r="BP85" i="26"/>
  <c r="BQ125" i="26"/>
  <c r="BR85" i="26"/>
  <c r="E126" i="26"/>
  <c r="F126" i="26"/>
  <c r="G126" i="26"/>
  <c r="H126" i="26"/>
  <c r="I126" i="26"/>
  <c r="J126" i="26"/>
  <c r="K126" i="26"/>
  <c r="L126" i="26"/>
  <c r="M126" i="26"/>
  <c r="N126" i="26"/>
  <c r="O126" i="26"/>
  <c r="P126" i="26"/>
  <c r="Q126" i="26"/>
  <c r="R126" i="26"/>
  <c r="S126" i="26"/>
  <c r="T126" i="26"/>
  <c r="U126" i="26"/>
  <c r="V126" i="26"/>
  <c r="W126" i="26"/>
  <c r="X126" i="26"/>
  <c r="Y126" i="26"/>
  <c r="Z126" i="26"/>
  <c r="AA126" i="26"/>
  <c r="AB126" i="26"/>
  <c r="AC126" i="26"/>
  <c r="AD126" i="26"/>
  <c r="AE126" i="26"/>
  <c r="AF126" i="26"/>
  <c r="AG126" i="26"/>
  <c r="AP126" i="26"/>
  <c r="AQ126" i="26"/>
  <c r="AR126" i="26"/>
  <c r="AS126" i="26"/>
  <c r="AT126" i="26"/>
  <c r="AU126" i="26"/>
  <c r="AV126" i="26"/>
  <c r="AW126" i="26"/>
  <c r="AX126" i="26"/>
  <c r="BA126" i="26"/>
  <c r="BB126" i="26"/>
  <c r="BC126" i="26"/>
  <c r="BD126" i="26"/>
  <c r="BE126" i="26"/>
  <c r="BF126" i="26"/>
  <c r="BG126" i="26"/>
  <c r="BK126" i="26"/>
  <c r="BL86" i="26"/>
  <c r="BM126" i="26"/>
  <c r="BN86" i="26"/>
  <c r="BO126" i="26"/>
  <c r="BP86" i="26"/>
  <c r="BQ126" i="26"/>
  <c r="BR86" i="26"/>
  <c r="E127" i="26"/>
  <c r="F127" i="26"/>
  <c r="G127" i="26"/>
  <c r="H127" i="26"/>
  <c r="I127" i="26"/>
  <c r="J127" i="26"/>
  <c r="K127" i="26"/>
  <c r="L127" i="26"/>
  <c r="M127" i="26"/>
  <c r="N127" i="26"/>
  <c r="O127" i="26"/>
  <c r="P127" i="26"/>
  <c r="Q127" i="26"/>
  <c r="R127" i="26"/>
  <c r="S127" i="26"/>
  <c r="T127" i="26"/>
  <c r="U127" i="26"/>
  <c r="V127" i="26"/>
  <c r="W127" i="26"/>
  <c r="X127" i="26"/>
  <c r="Y127" i="26"/>
  <c r="Z127" i="26"/>
  <c r="AA127" i="26"/>
  <c r="AB127" i="26"/>
  <c r="AC127" i="26"/>
  <c r="AD127" i="26"/>
  <c r="AE127" i="26"/>
  <c r="AF127" i="26"/>
  <c r="AG127" i="26"/>
  <c r="AP127" i="26"/>
  <c r="AQ127" i="26"/>
  <c r="AR127" i="26"/>
  <c r="AS127" i="26"/>
  <c r="AT127" i="26"/>
  <c r="AU127" i="26"/>
  <c r="AV127" i="26"/>
  <c r="AW127" i="26"/>
  <c r="AX127" i="26"/>
  <c r="BA127" i="26"/>
  <c r="BB127" i="26"/>
  <c r="BC127" i="26"/>
  <c r="BD127" i="26"/>
  <c r="BE127" i="26"/>
  <c r="BF127" i="26"/>
  <c r="BG127" i="26"/>
  <c r="BK127" i="26"/>
  <c r="BL87" i="26"/>
  <c r="BM127" i="26"/>
  <c r="BN87" i="26"/>
  <c r="BO127" i="26"/>
  <c r="BP87" i="26"/>
  <c r="BQ127" i="26"/>
  <c r="BR87" i="26"/>
  <c r="E128" i="26"/>
  <c r="F128" i="26"/>
  <c r="G128" i="26"/>
  <c r="H128" i="26"/>
  <c r="I128" i="26"/>
  <c r="J128" i="26"/>
  <c r="K128" i="26"/>
  <c r="L128" i="26"/>
  <c r="M128" i="26"/>
  <c r="N128" i="26"/>
  <c r="O128" i="26"/>
  <c r="P128" i="26"/>
  <c r="Q128" i="26"/>
  <c r="R128" i="26"/>
  <c r="S128" i="26"/>
  <c r="T128" i="26"/>
  <c r="U128" i="26"/>
  <c r="V128" i="26"/>
  <c r="W128" i="26"/>
  <c r="X128" i="26"/>
  <c r="Y128" i="26"/>
  <c r="Z128" i="26"/>
  <c r="AA128" i="26"/>
  <c r="AB128" i="26"/>
  <c r="AC128" i="26"/>
  <c r="AD128" i="26"/>
  <c r="AE128" i="26"/>
  <c r="AF128" i="26"/>
  <c r="AG128" i="26"/>
  <c r="AP128" i="26"/>
  <c r="AQ128" i="26"/>
  <c r="AR128" i="26"/>
  <c r="AS128" i="26"/>
  <c r="AT128" i="26"/>
  <c r="AU128" i="26"/>
  <c r="AV128" i="26"/>
  <c r="AW128" i="26"/>
  <c r="AX128" i="26"/>
  <c r="BA128" i="26"/>
  <c r="BB128" i="26"/>
  <c r="BC128" i="26"/>
  <c r="BD128" i="26"/>
  <c r="BE128" i="26"/>
  <c r="BF128" i="26"/>
  <c r="BG128" i="26"/>
  <c r="BK128" i="26"/>
  <c r="BL88" i="26"/>
  <c r="BM128" i="26"/>
  <c r="BN88" i="26"/>
  <c r="BO128" i="26"/>
  <c r="BP88" i="26"/>
  <c r="BQ128" i="26"/>
  <c r="BR88" i="26"/>
  <c r="E129" i="26"/>
  <c r="F129" i="26"/>
  <c r="G129" i="26"/>
  <c r="H129" i="26"/>
  <c r="I129" i="26"/>
  <c r="J129" i="26"/>
  <c r="K129" i="26"/>
  <c r="L129" i="26"/>
  <c r="M129" i="26"/>
  <c r="N129" i="26"/>
  <c r="O129" i="26"/>
  <c r="P129" i="26"/>
  <c r="Q129" i="26"/>
  <c r="R129" i="26"/>
  <c r="S129" i="26"/>
  <c r="T129" i="26"/>
  <c r="U129" i="26"/>
  <c r="V129" i="26"/>
  <c r="W129" i="26"/>
  <c r="X129" i="26"/>
  <c r="Y129" i="26"/>
  <c r="Z129" i="26"/>
  <c r="AA129" i="26"/>
  <c r="AB129" i="26"/>
  <c r="AC129" i="26"/>
  <c r="AD129" i="26"/>
  <c r="AE129" i="26"/>
  <c r="AF129" i="26"/>
  <c r="AG129" i="26"/>
  <c r="AP129" i="26"/>
  <c r="AQ129" i="26"/>
  <c r="AR129" i="26"/>
  <c r="AS129" i="26"/>
  <c r="AT129" i="26"/>
  <c r="AU129" i="26"/>
  <c r="AV129" i="26"/>
  <c r="AW129" i="26"/>
  <c r="AX129" i="26"/>
  <c r="BA129" i="26"/>
  <c r="BB129" i="26"/>
  <c r="BC129" i="26"/>
  <c r="BD129" i="26"/>
  <c r="BE129" i="26"/>
  <c r="BF129" i="26"/>
  <c r="BG129" i="26"/>
  <c r="BK129" i="26"/>
  <c r="BL89" i="26"/>
  <c r="BM129" i="26"/>
  <c r="BN89" i="26"/>
  <c r="BO129" i="26"/>
  <c r="BP89" i="26"/>
  <c r="BQ129" i="26"/>
  <c r="BR89" i="26"/>
  <c r="E130" i="26"/>
  <c r="F130" i="26"/>
  <c r="G130" i="26"/>
  <c r="H130" i="26"/>
  <c r="I130" i="26"/>
  <c r="J130" i="26"/>
  <c r="K130" i="26"/>
  <c r="L130" i="26"/>
  <c r="M130" i="26"/>
  <c r="N130" i="26"/>
  <c r="O130" i="26"/>
  <c r="P130" i="26"/>
  <c r="Q130" i="26"/>
  <c r="R130" i="26"/>
  <c r="S130" i="26"/>
  <c r="T130" i="26"/>
  <c r="U130" i="26"/>
  <c r="V130" i="26"/>
  <c r="W130" i="26"/>
  <c r="X130" i="26"/>
  <c r="Y130" i="26"/>
  <c r="Z130" i="26"/>
  <c r="AA130" i="26"/>
  <c r="AB130" i="26"/>
  <c r="AC130" i="26"/>
  <c r="AD130" i="26"/>
  <c r="AE130" i="26"/>
  <c r="AF130" i="26"/>
  <c r="AG130" i="26"/>
  <c r="AP130" i="26"/>
  <c r="AQ130" i="26"/>
  <c r="AR130" i="26"/>
  <c r="AS130" i="26"/>
  <c r="AT130" i="26"/>
  <c r="AU130" i="26"/>
  <c r="AV130" i="26"/>
  <c r="AW130" i="26"/>
  <c r="AX130" i="26"/>
  <c r="BA130" i="26"/>
  <c r="BB130" i="26"/>
  <c r="BC130" i="26"/>
  <c r="BD130" i="26"/>
  <c r="BE130" i="26"/>
  <c r="BF130" i="26"/>
  <c r="BG130" i="26"/>
  <c r="BK130" i="26"/>
  <c r="BL90" i="26"/>
  <c r="BM130" i="26"/>
  <c r="BN90" i="26"/>
  <c r="BO130" i="26"/>
  <c r="BP90" i="26"/>
  <c r="BQ130" i="26"/>
  <c r="BR90" i="26"/>
  <c r="E131" i="26"/>
  <c r="F131" i="26"/>
  <c r="G131" i="26"/>
  <c r="H131" i="26"/>
  <c r="I131" i="26"/>
  <c r="J131" i="26"/>
  <c r="K131" i="26"/>
  <c r="L131" i="26"/>
  <c r="M131" i="26"/>
  <c r="N131" i="26"/>
  <c r="O131" i="26"/>
  <c r="P131" i="26"/>
  <c r="Q131" i="26"/>
  <c r="R131" i="26"/>
  <c r="S131" i="26"/>
  <c r="T131" i="26"/>
  <c r="U131" i="26"/>
  <c r="V131" i="26"/>
  <c r="W131" i="26"/>
  <c r="X131" i="26"/>
  <c r="Y131" i="26"/>
  <c r="Z131" i="26"/>
  <c r="AA131" i="26"/>
  <c r="AB131" i="26"/>
  <c r="AC131" i="26"/>
  <c r="AD131" i="26"/>
  <c r="AE131" i="26"/>
  <c r="AF131" i="26"/>
  <c r="AG131" i="26"/>
  <c r="AP131" i="26"/>
  <c r="AQ131" i="26"/>
  <c r="AR131" i="26"/>
  <c r="AS131" i="26"/>
  <c r="AT131" i="26"/>
  <c r="AU131" i="26"/>
  <c r="AV131" i="26"/>
  <c r="AW131" i="26"/>
  <c r="AX131" i="26"/>
  <c r="BA131" i="26"/>
  <c r="BB131" i="26"/>
  <c r="BC131" i="26"/>
  <c r="BD131" i="26"/>
  <c r="BE131" i="26"/>
  <c r="BF131" i="26"/>
  <c r="BG131" i="26"/>
  <c r="BK131" i="26"/>
  <c r="BL91" i="26"/>
  <c r="BM131" i="26"/>
  <c r="BN91" i="26"/>
  <c r="BO131" i="26"/>
  <c r="BP91" i="26"/>
  <c r="BQ131" i="26"/>
  <c r="BR91" i="26"/>
  <c r="E132" i="26"/>
  <c r="F132" i="26"/>
  <c r="G132" i="26"/>
  <c r="H132" i="26"/>
  <c r="I132" i="26"/>
  <c r="J132" i="26"/>
  <c r="K132" i="26"/>
  <c r="L132" i="26"/>
  <c r="M132" i="26"/>
  <c r="N132" i="26"/>
  <c r="O132" i="26"/>
  <c r="P132" i="26"/>
  <c r="Q132" i="26"/>
  <c r="R132" i="26"/>
  <c r="S132" i="26"/>
  <c r="T132" i="26"/>
  <c r="U132" i="26"/>
  <c r="V132" i="26"/>
  <c r="W132" i="26"/>
  <c r="X132" i="26"/>
  <c r="Y132" i="26"/>
  <c r="Z132" i="26"/>
  <c r="AA132" i="26"/>
  <c r="AB132" i="26"/>
  <c r="AC132" i="26"/>
  <c r="AD132" i="26"/>
  <c r="AE132" i="26"/>
  <c r="AF132" i="26"/>
  <c r="AG132" i="26"/>
  <c r="AP132" i="26"/>
  <c r="AQ132" i="26"/>
  <c r="AR132" i="26"/>
  <c r="AS132" i="26"/>
  <c r="AT132" i="26"/>
  <c r="AU132" i="26"/>
  <c r="AV132" i="26"/>
  <c r="AW132" i="26"/>
  <c r="AX132" i="26"/>
  <c r="BA132" i="26"/>
  <c r="BB132" i="26"/>
  <c r="BC132" i="26"/>
  <c r="BD132" i="26"/>
  <c r="BE132" i="26"/>
  <c r="BF132" i="26"/>
  <c r="BG132" i="26"/>
  <c r="BK132" i="26"/>
  <c r="BL92" i="26"/>
  <c r="BM132" i="26"/>
  <c r="BN92" i="26"/>
  <c r="BO132" i="26"/>
  <c r="BP92" i="26"/>
  <c r="BQ132" i="26"/>
  <c r="BR92" i="26"/>
  <c r="E133" i="26"/>
  <c r="F133" i="26"/>
  <c r="G133" i="26"/>
  <c r="H133" i="26"/>
  <c r="I133" i="26"/>
  <c r="J133" i="26"/>
  <c r="K133" i="26"/>
  <c r="L133" i="26"/>
  <c r="M133" i="26"/>
  <c r="N133" i="26"/>
  <c r="O133" i="26"/>
  <c r="P133" i="26"/>
  <c r="Q133" i="26"/>
  <c r="R133" i="26"/>
  <c r="S133" i="26"/>
  <c r="T133" i="26"/>
  <c r="U133" i="26"/>
  <c r="V133" i="26"/>
  <c r="W133" i="26"/>
  <c r="X133" i="26"/>
  <c r="Y133" i="26"/>
  <c r="Z133" i="26"/>
  <c r="AA133" i="26"/>
  <c r="AB133" i="26"/>
  <c r="AC133" i="26"/>
  <c r="AD133" i="26"/>
  <c r="AE133" i="26"/>
  <c r="AF133" i="26"/>
  <c r="AG133" i="26"/>
  <c r="AP133" i="26"/>
  <c r="AQ133" i="26"/>
  <c r="AR133" i="26"/>
  <c r="AS133" i="26"/>
  <c r="AT133" i="26"/>
  <c r="AU133" i="26"/>
  <c r="AV133" i="26"/>
  <c r="AW133" i="26"/>
  <c r="AX133" i="26"/>
  <c r="BA133" i="26"/>
  <c r="BB133" i="26"/>
  <c r="BC133" i="26"/>
  <c r="BD133" i="26"/>
  <c r="BE133" i="26"/>
  <c r="BF133" i="26"/>
  <c r="BG133" i="26"/>
  <c r="BK133" i="26"/>
  <c r="BL93" i="26"/>
  <c r="BM133" i="26"/>
  <c r="BN93" i="26"/>
  <c r="BO133" i="26"/>
  <c r="BP93" i="26"/>
  <c r="BQ133" i="26"/>
  <c r="BR93" i="26"/>
  <c r="E134" i="26"/>
  <c r="F134" i="26"/>
  <c r="G134" i="26"/>
  <c r="H134" i="26"/>
  <c r="I134" i="26"/>
  <c r="J134" i="26"/>
  <c r="K134" i="26"/>
  <c r="L134" i="26"/>
  <c r="M134" i="26"/>
  <c r="N134" i="26"/>
  <c r="O134" i="26"/>
  <c r="P134" i="26"/>
  <c r="Q134" i="26"/>
  <c r="R134" i="26"/>
  <c r="S134" i="26"/>
  <c r="T134" i="26"/>
  <c r="U134" i="26"/>
  <c r="V134" i="26"/>
  <c r="W134" i="26"/>
  <c r="X134" i="26"/>
  <c r="Y134" i="26"/>
  <c r="Z134" i="26"/>
  <c r="AA134" i="26"/>
  <c r="AB134" i="26"/>
  <c r="AC134" i="26"/>
  <c r="AD134" i="26"/>
  <c r="AE134" i="26"/>
  <c r="AF134" i="26"/>
  <c r="AG134" i="26"/>
  <c r="AP134" i="26"/>
  <c r="AQ134" i="26"/>
  <c r="AR134" i="26"/>
  <c r="AS134" i="26"/>
  <c r="AT134" i="26"/>
  <c r="AU134" i="26"/>
  <c r="AV134" i="26"/>
  <c r="AW134" i="26"/>
  <c r="AX134" i="26"/>
  <c r="BA134" i="26"/>
  <c r="BB134" i="26"/>
  <c r="BC134" i="26"/>
  <c r="BD134" i="26"/>
  <c r="BE134" i="26"/>
  <c r="BF134" i="26"/>
  <c r="BG134" i="26"/>
  <c r="BK134" i="26"/>
  <c r="BL94" i="26"/>
  <c r="BM134" i="26"/>
  <c r="BN94" i="26"/>
  <c r="BO134" i="26"/>
  <c r="BP94" i="26"/>
  <c r="BQ134" i="26"/>
  <c r="BR94" i="26"/>
  <c r="E135" i="26"/>
  <c r="F135" i="26"/>
  <c r="G135" i="26"/>
  <c r="H135" i="26"/>
  <c r="I135" i="26"/>
  <c r="J135" i="26"/>
  <c r="K135" i="26"/>
  <c r="L135" i="26"/>
  <c r="M135" i="26"/>
  <c r="N135" i="26"/>
  <c r="O135" i="26"/>
  <c r="P135" i="26"/>
  <c r="Q135" i="26"/>
  <c r="R135" i="26"/>
  <c r="S135" i="26"/>
  <c r="T135" i="26"/>
  <c r="U135" i="26"/>
  <c r="V135" i="26"/>
  <c r="W135" i="26"/>
  <c r="X135" i="26"/>
  <c r="Y135" i="26"/>
  <c r="Z135" i="26"/>
  <c r="AA135" i="26"/>
  <c r="AB135" i="26"/>
  <c r="AC135" i="26"/>
  <c r="AD135" i="26"/>
  <c r="AE135" i="26"/>
  <c r="AF135" i="26"/>
  <c r="AG135" i="26"/>
  <c r="AP135" i="26"/>
  <c r="AQ135" i="26"/>
  <c r="AR135" i="26"/>
  <c r="AS135" i="26"/>
  <c r="AT135" i="26"/>
  <c r="AU135" i="26"/>
  <c r="AV135" i="26"/>
  <c r="AW135" i="26"/>
  <c r="AX135" i="26"/>
  <c r="BA135" i="26"/>
  <c r="BB135" i="26"/>
  <c r="BC135" i="26"/>
  <c r="BD135" i="26"/>
  <c r="BE135" i="26"/>
  <c r="BF135" i="26"/>
  <c r="BG135" i="26"/>
  <c r="BK135" i="26"/>
  <c r="BL95" i="26"/>
  <c r="BM135" i="26"/>
  <c r="BN95" i="26"/>
  <c r="BO135" i="26"/>
  <c r="BP95" i="26"/>
  <c r="BQ135" i="26"/>
  <c r="BR95" i="26"/>
  <c r="E136" i="26"/>
  <c r="F136" i="26"/>
  <c r="G136" i="26"/>
  <c r="H136" i="26"/>
  <c r="I136" i="26"/>
  <c r="J136" i="26"/>
  <c r="K136" i="26"/>
  <c r="L136" i="26"/>
  <c r="M136" i="26"/>
  <c r="N136" i="26"/>
  <c r="O136" i="26"/>
  <c r="P136" i="26"/>
  <c r="Q136" i="26"/>
  <c r="R136" i="26"/>
  <c r="S136" i="26"/>
  <c r="T136" i="26"/>
  <c r="U136" i="26"/>
  <c r="V136" i="26"/>
  <c r="W136" i="26"/>
  <c r="X136" i="26"/>
  <c r="Y136" i="26"/>
  <c r="Z136" i="26"/>
  <c r="AA136" i="26"/>
  <c r="AB136" i="26"/>
  <c r="AC136" i="26"/>
  <c r="AD136" i="26"/>
  <c r="AE136" i="26"/>
  <c r="AF136" i="26"/>
  <c r="AG136" i="26"/>
  <c r="AP136" i="26"/>
  <c r="AQ136" i="26"/>
  <c r="AR136" i="26"/>
  <c r="AS136" i="26"/>
  <c r="AT136" i="26"/>
  <c r="AU136" i="26"/>
  <c r="AV136" i="26"/>
  <c r="AW136" i="26"/>
  <c r="AX136" i="26"/>
  <c r="BA136" i="26"/>
  <c r="BB136" i="26"/>
  <c r="BC136" i="26"/>
  <c r="BD136" i="26"/>
  <c r="BE136" i="26"/>
  <c r="BF136" i="26"/>
  <c r="BG136" i="26"/>
  <c r="BK136" i="26"/>
  <c r="BL96" i="26"/>
  <c r="BM136" i="26"/>
  <c r="BN96" i="26"/>
  <c r="BO136" i="26"/>
  <c r="BP96" i="26"/>
  <c r="BQ136" i="26"/>
  <c r="BR96" i="26"/>
  <c r="E137" i="26"/>
  <c r="F137" i="26"/>
  <c r="G137" i="26"/>
  <c r="H137" i="26"/>
  <c r="I137" i="26"/>
  <c r="J137" i="26"/>
  <c r="K137" i="26"/>
  <c r="L137" i="26"/>
  <c r="M137" i="26"/>
  <c r="N137" i="26"/>
  <c r="O137" i="26"/>
  <c r="P137" i="26"/>
  <c r="Q137" i="26"/>
  <c r="R137" i="26"/>
  <c r="S137" i="26"/>
  <c r="T137" i="26"/>
  <c r="U137" i="26"/>
  <c r="V137" i="26"/>
  <c r="W137" i="26"/>
  <c r="X137" i="26"/>
  <c r="Y137" i="26"/>
  <c r="Z137" i="26"/>
  <c r="AA137" i="26"/>
  <c r="AB137" i="26"/>
  <c r="AC137" i="26"/>
  <c r="AD137" i="26"/>
  <c r="AE137" i="26"/>
  <c r="AF137" i="26"/>
  <c r="AG137" i="26"/>
  <c r="AP137" i="26"/>
  <c r="AQ137" i="26"/>
  <c r="AR137" i="26"/>
  <c r="AS137" i="26"/>
  <c r="AT137" i="26"/>
  <c r="AU137" i="26"/>
  <c r="AV137" i="26"/>
  <c r="AW137" i="26"/>
  <c r="AX137" i="26"/>
  <c r="BA137" i="26"/>
  <c r="BB137" i="26"/>
  <c r="BC137" i="26"/>
  <c r="BD137" i="26"/>
  <c r="BE137" i="26"/>
  <c r="BF137" i="26"/>
  <c r="BG137" i="26"/>
  <c r="BK137" i="26"/>
  <c r="BL97" i="26"/>
  <c r="BM137" i="26"/>
  <c r="BN97" i="26"/>
  <c r="BO137" i="26"/>
  <c r="BP97" i="26"/>
  <c r="BQ137" i="26"/>
  <c r="BR97" i="26"/>
  <c r="E138" i="26"/>
  <c r="F138" i="26"/>
  <c r="G138" i="26"/>
  <c r="H138" i="26"/>
  <c r="I138" i="26"/>
  <c r="J138" i="26"/>
  <c r="K138" i="26"/>
  <c r="L138" i="26"/>
  <c r="M138" i="26"/>
  <c r="N138" i="26"/>
  <c r="O138" i="26"/>
  <c r="P138" i="26"/>
  <c r="Q138" i="26"/>
  <c r="R138" i="26"/>
  <c r="S138" i="26"/>
  <c r="T138" i="26"/>
  <c r="U138" i="26"/>
  <c r="V138" i="26"/>
  <c r="W138" i="26"/>
  <c r="X138" i="26"/>
  <c r="Y138" i="26"/>
  <c r="Z138" i="26"/>
  <c r="AA138" i="26"/>
  <c r="AB138" i="26"/>
  <c r="AC138" i="26"/>
  <c r="AD138" i="26"/>
  <c r="AE138" i="26"/>
  <c r="AF138" i="26"/>
  <c r="AG138" i="26"/>
  <c r="AP138" i="26"/>
  <c r="AQ138" i="26"/>
  <c r="AR138" i="26"/>
  <c r="AS138" i="26"/>
  <c r="AT138" i="26"/>
  <c r="AU138" i="26"/>
  <c r="AV138" i="26"/>
  <c r="AW138" i="26"/>
  <c r="AX138" i="26"/>
  <c r="BA138" i="26"/>
  <c r="BB138" i="26"/>
  <c r="BC138" i="26"/>
  <c r="BD138" i="26"/>
  <c r="BE138" i="26"/>
  <c r="BF138" i="26"/>
  <c r="BG138" i="26"/>
  <c r="BK138" i="26"/>
  <c r="BL98" i="26"/>
  <c r="BM138" i="26"/>
  <c r="BN98" i="26"/>
  <c r="BO138" i="26"/>
  <c r="BP98" i="26"/>
  <c r="BQ138" i="26"/>
  <c r="BR98" i="26"/>
  <c r="D123" i="26"/>
  <c r="D122" i="26"/>
  <c r="D124" i="26"/>
  <c r="D125" i="26"/>
  <c r="D126" i="26"/>
  <c r="D127" i="26"/>
  <c r="D128" i="26"/>
  <c r="D129" i="26"/>
  <c r="D130" i="26"/>
  <c r="D131" i="26"/>
  <c r="D132" i="26"/>
  <c r="D133" i="26"/>
  <c r="D134" i="26"/>
  <c r="D135" i="26"/>
  <c r="D136" i="26"/>
  <c r="D137" i="26"/>
  <c r="D138" i="26"/>
  <c r="D121" i="26"/>
  <c r="E101" i="26"/>
  <c r="F101" i="26"/>
  <c r="G101" i="26"/>
  <c r="H101" i="26"/>
  <c r="I101" i="26"/>
  <c r="J101" i="26"/>
  <c r="K101" i="26"/>
  <c r="L101" i="26"/>
  <c r="M101" i="26"/>
  <c r="N101" i="26"/>
  <c r="O101" i="26"/>
  <c r="P101" i="26"/>
  <c r="Q101" i="26"/>
  <c r="R101" i="26"/>
  <c r="S101" i="26"/>
  <c r="T101" i="26"/>
  <c r="U101" i="26"/>
  <c r="V101" i="26"/>
  <c r="W101" i="26"/>
  <c r="X101" i="26"/>
  <c r="Y101" i="26"/>
  <c r="Z101" i="26"/>
  <c r="AA101" i="26"/>
  <c r="AB101" i="26"/>
  <c r="AC101" i="26"/>
  <c r="AD101" i="26"/>
  <c r="AE101" i="26"/>
  <c r="AF101" i="26"/>
  <c r="AG101" i="26"/>
  <c r="AP101" i="26"/>
  <c r="AQ101" i="26"/>
  <c r="AR101" i="26"/>
  <c r="AS101" i="26"/>
  <c r="AT101" i="26"/>
  <c r="AU101" i="26"/>
  <c r="AV101" i="26"/>
  <c r="AW101" i="26"/>
  <c r="AX101" i="26"/>
  <c r="BA101" i="26"/>
  <c r="BB101" i="26"/>
  <c r="BC101" i="26"/>
  <c r="BD101" i="26"/>
  <c r="BE101" i="26"/>
  <c r="BF101" i="26"/>
  <c r="BG101" i="26"/>
  <c r="BK101" i="26"/>
  <c r="BM101" i="26"/>
  <c r="BO101" i="26"/>
  <c r="BQ101" i="26"/>
  <c r="E102" i="26"/>
  <c r="F102" i="26"/>
  <c r="G102" i="26"/>
  <c r="H102" i="26"/>
  <c r="I102" i="26"/>
  <c r="J102" i="26"/>
  <c r="K102" i="26"/>
  <c r="L102" i="26"/>
  <c r="M102" i="26"/>
  <c r="N102" i="26"/>
  <c r="O102" i="26"/>
  <c r="P102" i="26"/>
  <c r="Q102" i="26"/>
  <c r="R102" i="26"/>
  <c r="S102" i="26"/>
  <c r="T102" i="26"/>
  <c r="U102" i="26"/>
  <c r="V102" i="26"/>
  <c r="W102" i="26"/>
  <c r="X102" i="26"/>
  <c r="Y102" i="26"/>
  <c r="Z102" i="26"/>
  <c r="AA102" i="26"/>
  <c r="AB102" i="26"/>
  <c r="AC102" i="26"/>
  <c r="AD102" i="26"/>
  <c r="AE102" i="26"/>
  <c r="AF102" i="26"/>
  <c r="AG102" i="26"/>
  <c r="AP102" i="26"/>
  <c r="AQ102" i="26"/>
  <c r="AR102" i="26"/>
  <c r="AS102" i="26"/>
  <c r="AT102" i="26"/>
  <c r="AU102" i="26"/>
  <c r="AV102" i="26"/>
  <c r="AW102" i="26"/>
  <c r="AX102" i="26"/>
  <c r="BA102" i="26"/>
  <c r="BB102" i="26"/>
  <c r="BC102" i="26"/>
  <c r="BD102" i="26"/>
  <c r="BE102" i="26"/>
  <c r="BF102" i="26"/>
  <c r="BG102" i="26"/>
  <c r="BK102" i="26"/>
  <c r="BM102" i="26"/>
  <c r="BO102" i="26"/>
  <c r="BQ102" i="26"/>
  <c r="E103" i="26"/>
  <c r="F103" i="26"/>
  <c r="G103" i="26"/>
  <c r="H103" i="26"/>
  <c r="I103" i="26"/>
  <c r="J103" i="26"/>
  <c r="K103" i="26"/>
  <c r="L103" i="26"/>
  <c r="M103" i="26"/>
  <c r="N103" i="26"/>
  <c r="O103" i="26"/>
  <c r="P103" i="26"/>
  <c r="Q103" i="26"/>
  <c r="R103" i="26"/>
  <c r="S103" i="26"/>
  <c r="T103" i="26"/>
  <c r="U103" i="26"/>
  <c r="V103" i="26"/>
  <c r="W103" i="26"/>
  <c r="X103" i="26"/>
  <c r="Y103" i="26"/>
  <c r="Z103" i="26"/>
  <c r="AA103" i="26"/>
  <c r="AB103" i="26"/>
  <c r="AC103" i="26"/>
  <c r="AD103" i="26"/>
  <c r="AE103" i="26"/>
  <c r="AF103" i="26"/>
  <c r="AG103" i="26"/>
  <c r="AP103" i="26"/>
  <c r="AQ103" i="26"/>
  <c r="AR103" i="26"/>
  <c r="AS103" i="26"/>
  <c r="AT103" i="26"/>
  <c r="AU103" i="26"/>
  <c r="AV103" i="26"/>
  <c r="AW103" i="26"/>
  <c r="AX103" i="26"/>
  <c r="BA103" i="26"/>
  <c r="BB103" i="26"/>
  <c r="BC103" i="26"/>
  <c r="BD103" i="26"/>
  <c r="BE103" i="26"/>
  <c r="BF103" i="26"/>
  <c r="BG103" i="26"/>
  <c r="BK103" i="26"/>
  <c r="BM103" i="26"/>
  <c r="BO103" i="26"/>
  <c r="BQ103" i="26"/>
  <c r="E104" i="26"/>
  <c r="F104" i="26"/>
  <c r="G104" i="26"/>
  <c r="H104" i="26"/>
  <c r="I104" i="26"/>
  <c r="J104" i="26"/>
  <c r="K104" i="26"/>
  <c r="L104" i="26"/>
  <c r="M104" i="26"/>
  <c r="N104" i="26"/>
  <c r="O104" i="26"/>
  <c r="P104" i="26"/>
  <c r="Q104" i="26"/>
  <c r="R104" i="26"/>
  <c r="S104" i="26"/>
  <c r="T104" i="26"/>
  <c r="U104" i="26"/>
  <c r="V104" i="26"/>
  <c r="W104" i="26"/>
  <c r="X104" i="26"/>
  <c r="Y104" i="26"/>
  <c r="Z104" i="26"/>
  <c r="AA104" i="26"/>
  <c r="AB104" i="26"/>
  <c r="AC104" i="26"/>
  <c r="AD104" i="26"/>
  <c r="AE104" i="26"/>
  <c r="AF104" i="26"/>
  <c r="AG104" i="26"/>
  <c r="AP104" i="26"/>
  <c r="AQ104" i="26"/>
  <c r="AR104" i="26"/>
  <c r="AS104" i="26"/>
  <c r="AT104" i="26"/>
  <c r="AU104" i="26"/>
  <c r="AV104" i="26"/>
  <c r="AW104" i="26"/>
  <c r="AX104" i="26"/>
  <c r="BA104" i="26"/>
  <c r="BB104" i="26"/>
  <c r="BC104" i="26"/>
  <c r="BD104" i="26"/>
  <c r="BE104" i="26"/>
  <c r="BF104" i="26"/>
  <c r="BG104" i="26"/>
  <c r="BK104" i="26"/>
  <c r="BM104" i="26"/>
  <c r="BO104" i="26"/>
  <c r="BQ104" i="26"/>
  <c r="E105" i="26"/>
  <c r="F105" i="26"/>
  <c r="G105" i="26"/>
  <c r="H105" i="26"/>
  <c r="I105" i="26"/>
  <c r="J105" i="26"/>
  <c r="K105" i="26"/>
  <c r="L105" i="26"/>
  <c r="M105" i="26"/>
  <c r="N105" i="26"/>
  <c r="O105" i="26"/>
  <c r="P105" i="26"/>
  <c r="Q105" i="26"/>
  <c r="R105" i="26"/>
  <c r="S105" i="26"/>
  <c r="T105" i="26"/>
  <c r="U105" i="26"/>
  <c r="V105" i="26"/>
  <c r="W105" i="26"/>
  <c r="X105" i="26"/>
  <c r="Y105" i="26"/>
  <c r="Z105" i="26"/>
  <c r="AA105" i="26"/>
  <c r="AB105" i="26"/>
  <c r="AC105" i="26"/>
  <c r="AD105" i="26"/>
  <c r="AE105" i="26"/>
  <c r="AF105" i="26"/>
  <c r="AG105" i="26"/>
  <c r="AP105" i="26"/>
  <c r="AQ105" i="26"/>
  <c r="AR105" i="26"/>
  <c r="AS105" i="26"/>
  <c r="AT105" i="26"/>
  <c r="AU105" i="26"/>
  <c r="AV105" i="26"/>
  <c r="AW105" i="26"/>
  <c r="AX105" i="26"/>
  <c r="BA105" i="26"/>
  <c r="BB105" i="26"/>
  <c r="BC105" i="26"/>
  <c r="BD105" i="26"/>
  <c r="BE105" i="26"/>
  <c r="BF105" i="26"/>
  <c r="BG105" i="26"/>
  <c r="BK105" i="26"/>
  <c r="BM105" i="26"/>
  <c r="BO105" i="26"/>
  <c r="BQ105" i="26"/>
  <c r="E106" i="26"/>
  <c r="F106" i="26"/>
  <c r="G106" i="26"/>
  <c r="H106" i="26"/>
  <c r="I106" i="26"/>
  <c r="J106" i="26"/>
  <c r="K106" i="26"/>
  <c r="L106" i="26"/>
  <c r="M106" i="26"/>
  <c r="N106" i="26"/>
  <c r="O106" i="26"/>
  <c r="P106" i="26"/>
  <c r="Q106" i="26"/>
  <c r="R106" i="26"/>
  <c r="S106" i="26"/>
  <c r="T106" i="26"/>
  <c r="U106" i="26"/>
  <c r="V106" i="26"/>
  <c r="W106" i="26"/>
  <c r="X106" i="26"/>
  <c r="Y106" i="26"/>
  <c r="Z106" i="26"/>
  <c r="AA106" i="26"/>
  <c r="AB106" i="26"/>
  <c r="AC106" i="26"/>
  <c r="AD106" i="26"/>
  <c r="AE106" i="26"/>
  <c r="AF106" i="26"/>
  <c r="AG106" i="26"/>
  <c r="AP106" i="26"/>
  <c r="AQ106" i="26"/>
  <c r="AR106" i="26"/>
  <c r="AS106" i="26"/>
  <c r="AT106" i="26"/>
  <c r="AU106" i="26"/>
  <c r="AV106" i="26"/>
  <c r="AW106" i="26"/>
  <c r="AX106" i="26"/>
  <c r="BA106" i="26"/>
  <c r="BB106" i="26"/>
  <c r="BC106" i="26"/>
  <c r="BD106" i="26"/>
  <c r="BE106" i="26"/>
  <c r="BF106" i="26"/>
  <c r="BG106" i="26"/>
  <c r="BK106" i="26"/>
  <c r="BM106" i="26"/>
  <c r="BO106" i="26"/>
  <c r="BQ106" i="26"/>
  <c r="E107" i="26"/>
  <c r="F107" i="26"/>
  <c r="G107" i="26"/>
  <c r="H107" i="26"/>
  <c r="I107" i="26"/>
  <c r="J107" i="26"/>
  <c r="K107" i="26"/>
  <c r="L107" i="26"/>
  <c r="M107" i="26"/>
  <c r="N107" i="26"/>
  <c r="O107" i="26"/>
  <c r="P107" i="26"/>
  <c r="Q107" i="26"/>
  <c r="R107" i="26"/>
  <c r="S107" i="26"/>
  <c r="T107" i="26"/>
  <c r="U107" i="26"/>
  <c r="V107" i="26"/>
  <c r="W107" i="26"/>
  <c r="X107" i="26"/>
  <c r="Y107" i="26"/>
  <c r="Z107" i="26"/>
  <c r="AA107" i="26"/>
  <c r="AB107" i="26"/>
  <c r="AC107" i="26"/>
  <c r="AD107" i="26"/>
  <c r="AE107" i="26"/>
  <c r="AF107" i="26"/>
  <c r="AG107" i="26"/>
  <c r="AP107" i="26"/>
  <c r="AQ107" i="26"/>
  <c r="AR107" i="26"/>
  <c r="AS107" i="26"/>
  <c r="AT107" i="26"/>
  <c r="AU107" i="26"/>
  <c r="AV107" i="26"/>
  <c r="AW107" i="26"/>
  <c r="AX107" i="26"/>
  <c r="BA107" i="26"/>
  <c r="BB107" i="26"/>
  <c r="BC107" i="26"/>
  <c r="BD107" i="26"/>
  <c r="BE107" i="26"/>
  <c r="BF107" i="26"/>
  <c r="BG107" i="26"/>
  <c r="BK107" i="26"/>
  <c r="BM107" i="26"/>
  <c r="BO107" i="26"/>
  <c r="BQ107" i="26"/>
  <c r="E108" i="26"/>
  <c r="F108" i="26"/>
  <c r="G108" i="26"/>
  <c r="H108" i="26"/>
  <c r="I108" i="26"/>
  <c r="J108" i="26"/>
  <c r="K108" i="26"/>
  <c r="L108" i="26"/>
  <c r="M108" i="26"/>
  <c r="N108" i="26"/>
  <c r="O108" i="26"/>
  <c r="P108" i="26"/>
  <c r="Q108" i="26"/>
  <c r="R108" i="26"/>
  <c r="S108" i="26"/>
  <c r="T108" i="26"/>
  <c r="U108" i="26"/>
  <c r="V108" i="26"/>
  <c r="W108" i="26"/>
  <c r="X108" i="26"/>
  <c r="Y108" i="26"/>
  <c r="Z108" i="26"/>
  <c r="AA108" i="26"/>
  <c r="AB108" i="26"/>
  <c r="AC108" i="26"/>
  <c r="AD108" i="26"/>
  <c r="AE108" i="26"/>
  <c r="AF108" i="26"/>
  <c r="AG108" i="26"/>
  <c r="AP108" i="26"/>
  <c r="AQ108" i="26"/>
  <c r="AR108" i="26"/>
  <c r="AS108" i="26"/>
  <c r="AT108" i="26"/>
  <c r="AU108" i="26"/>
  <c r="AV108" i="26"/>
  <c r="AW108" i="26"/>
  <c r="AX108" i="26"/>
  <c r="BA108" i="26"/>
  <c r="BB108" i="26"/>
  <c r="BC108" i="26"/>
  <c r="BD108" i="26"/>
  <c r="BE108" i="26"/>
  <c r="BF108" i="26"/>
  <c r="BG108" i="26"/>
  <c r="BK108" i="26"/>
  <c r="BM108" i="26"/>
  <c r="BO108" i="26"/>
  <c r="BQ108" i="26"/>
  <c r="E109" i="26"/>
  <c r="F109" i="26"/>
  <c r="G109" i="26"/>
  <c r="H109" i="26"/>
  <c r="I109" i="26"/>
  <c r="J109" i="26"/>
  <c r="K109" i="26"/>
  <c r="L109" i="26"/>
  <c r="M109" i="26"/>
  <c r="N109" i="26"/>
  <c r="O109" i="26"/>
  <c r="P109" i="26"/>
  <c r="Q109" i="26"/>
  <c r="R109" i="26"/>
  <c r="S109" i="26"/>
  <c r="T109" i="26"/>
  <c r="U109" i="26"/>
  <c r="V109" i="26"/>
  <c r="W109" i="26"/>
  <c r="X109" i="26"/>
  <c r="Y109" i="26"/>
  <c r="Z109" i="26"/>
  <c r="AA109" i="26"/>
  <c r="AB109" i="26"/>
  <c r="AC109" i="26"/>
  <c r="AD109" i="26"/>
  <c r="AE109" i="26"/>
  <c r="AF109" i="26"/>
  <c r="AG109" i="26"/>
  <c r="AP109" i="26"/>
  <c r="AQ109" i="26"/>
  <c r="AR109" i="26"/>
  <c r="AS109" i="26"/>
  <c r="AT109" i="26"/>
  <c r="AU109" i="26"/>
  <c r="AV109" i="26"/>
  <c r="AW109" i="26"/>
  <c r="AX109" i="26"/>
  <c r="BA109" i="26"/>
  <c r="BB109" i="26"/>
  <c r="BC109" i="26"/>
  <c r="BD109" i="26"/>
  <c r="BE109" i="26"/>
  <c r="BF109" i="26"/>
  <c r="BG109" i="26"/>
  <c r="BK109" i="26"/>
  <c r="BM109" i="26"/>
  <c r="BO109" i="26"/>
  <c r="BQ109" i="26"/>
  <c r="E110" i="26"/>
  <c r="F110" i="26"/>
  <c r="G110" i="26"/>
  <c r="H110" i="26"/>
  <c r="I110" i="26"/>
  <c r="J110" i="26"/>
  <c r="K110" i="26"/>
  <c r="L110" i="26"/>
  <c r="M110" i="26"/>
  <c r="N110" i="26"/>
  <c r="O110" i="26"/>
  <c r="P110" i="26"/>
  <c r="Q110" i="26"/>
  <c r="R110" i="26"/>
  <c r="S110" i="26"/>
  <c r="T110" i="26"/>
  <c r="U110" i="26"/>
  <c r="V110" i="26"/>
  <c r="W110" i="26"/>
  <c r="X110" i="26"/>
  <c r="Y110" i="26"/>
  <c r="Z110" i="26"/>
  <c r="AA110" i="26"/>
  <c r="AB110" i="26"/>
  <c r="AC110" i="26"/>
  <c r="AD110" i="26"/>
  <c r="AE110" i="26"/>
  <c r="AF110" i="26"/>
  <c r="AG110" i="26"/>
  <c r="AP110" i="26"/>
  <c r="AQ110" i="26"/>
  <c r="AR110" i="26"/>
  <c r="AS110" i="26"/>
  <c r="AT110" i="26"/>
  <c r="AU110" i="26"/>
  <c r="AV110" i="26"/>
  <c r="AW110" i="26"/>
  <c r="AX110" i="26"/>
  <c r="BA110" i="26"/>
  <c r="BB110" i="26"/>
  <c r="BC110" i="26"/>
  <c r="BD110" i="26"/>
  <c r="BE110" i="26"/>
  <c r="BF110" i="26"/>
  <c r="BG110" i="26"/>
  <c r="BK110" i="26"/>
  <c r="BM110" i="26"/>
  <c r="BO110" i="26"/>
  <c r="BQ110" i="26"/>
  <c r="E111" i="26"/>
  <c r="F111" i="26"/>
  <c r="G111" i="26"/>
  <c r="H111" i="26"/>
  <c r="I111" i="26"/>
  <c r="J111" i="26"/>
  <c r="K111" i="26"/>
  <c r="L111" i="26"/>
  <c r="M111" i="26"/>
  <c r="N111" i="26"/>
  <c r="O111" i="26"/>
  <c r="P111" i="26"/>
  <c r="Q111" i="26"/>
  <c r="R111" i="26"/>
  <c r="S111" i="26"/>
  <c r="T111" i="26"/>
  <c r="U111" i="26"/>
  <c r="V111" i="26"/>
  <c r="W111" i="26"/>
  <c r="X111" i="26"/>
  <c r="Y111" i="26"/>
  <c r="Z111" i="26"/>
  <c r="AA111" i="26"/>
  <c r="AB111" i="26"/>
  <c r="AC111" i="26"/>
  <c r="AD111" i="26"/>
  <c r="AE111" i="26"/>
  <c r="AF111" i="26"/>
  <c r="AG111" i="26"/>
  <c r="AP111" i="26"/>
  <c r="AQ111" i="26"/>
  <c r="AR111" i="26"/>
  <c r="AS111" i="26"/>
  <c r="AT111" i="26"/>
  <c r="AU111" i="26"/>
  <c r="AV111" i="26"/>
  <c r="AW111" i="26"/>
  <c r="AX111" i="26"/>
  <c r="BA111" i="26"/>
  <c r="BB111" i="26"/>
  <c r="BC111" i="26"/>
  <c r="BD111" i="26"/>
  <c r="BE111" i="26"/>
  <c r="BF111" i="26"/>
  <c r="BG111" i="26"/>
  <c r="BK111" i="26"/>
  <c r="BM111" i="26"/>
  <c r="BO111" i="26"/>
  <c r="BQ111" i="26"/>
  <c r="E112" i="26"/>
  <c r="F112" i="26"/>
  <c r="G112" i="26"/>
  <c r="H112" i="26"/>
  <c r="I112" i="26"/>
  <c r="J112" i="26"/>
  <c r="K112" i="26"/>
  <c r="L112" i="26"/>
  <c r="M112" i="26"/>
  <c r="N112" i="26"/>
  <c r="O112" i="26"/>
  <c r="P112" i="26"/>
  <c r="Q112" i="26"/>
  <c r="R112" i="26"/>
  <c r="S112" i="26"/>
  <c r="T112" i="26"/>
  <c r="U112" i="26"/>
  <c r="V112" i="26"/>
  <c r="W112" i="26"/>
  <c r="X112" i="26"/>
  <c r="Y112" i="26"/>
  <c r="Z112" i="26"/>
  <c r="AA112" i="26"/>
  <c r="AB112" i="26"/>
  <c r="AC112" i="26"/>
  <c r="AD112" i="26"/>
  <c r="AE112" i="26"/>
  <c r="AF112" i="26"/>
  <c r="AG112" i="26"/>
  <c r="AP112" i="26"/>
  <c r="AQ112" i="26"/>
  <c r="AR112" i="26"/>
  <c r="AS112" i="26"/>
  <c r="AT112" i="26"/>
  <c r="AU112" i="26"/>
  <c r="AV112" i="26"/>
  <c r="AW112" i="26"/>
  <c r="AX112" i="26"/>
  <c r="BA112" i="26"/>
  <c r="BB112" i="26"/>
  <c r="BC112" i="26"/>
  <c r="BD112" i="26"/>
  <c r="BE112" i="26"/>
  <c r="BF112" i="26"/>
  <c r="BG112" i="26"/>
  <c r="BK112" i="26"/>
  <c r="BM112" i="26"/>
  <c r="BO112" i="26"/>
  <c r="BQ112" i="26"/>
  <c r="E113" i="26"/>
  <c r="F113" i="26"/>
  <c r="G113" i="26"/>
  <c r="H113" i="26"/>
  <c r="I113" i="26"/>
  <c r="J113" i="26"/>
  <c r="K113" i="26"/>
  <c r="L113" i="26"/>
  <c r="M113" i="26"/>
  <c r="N113" i="26"/>
  <c r="O113" i="26"/>
  <c r="P113" i="26"/>
  <c r="Q113" i="26"/>
  <c r="R113" i="26"/>
  <c r="S113" i="26"/>
  <c r="T113" i="26"/>
  <c r="U113" i="26"/>
  <c r="V113" i="26"/>
  <c r="W113" i="26"/>
  <c r="X113" i="26"/>
  <c r="Y113" i="26"/>
  <c r="Z113" i="26"/>
  <c r="AA113" i="26"/>
  <c r="AB113" i="26"/>
  <c r="AC113" i="26"/>
  <c r="AD113" i="26"/>
  <c r="AE113" i="26"/>
  <c r="AF113" i="26"/>
  <c r="AG113" i="26"/>
  <c r="AP113" i="26"/>
  <c r="AQ113" i="26"/>
  <c r="AR113" i="26"/>
  <c r="AS113" i="26"/>
  <c r="AT113" i="26"/>
  <c r="AU113" i="26"/>
  <c r="AV113" i="26"/>
  <c r="AW113" i="26"/>
  <c r="AX113" i="26"/>
  <c r="BA113" i="26"/>
  <c r="BB113" i="26"/>
  <c r="BC113" i="26"/>
  <c r="BD113" i="26"/>
  <c r="BE113" i="26"/>
  <c r="BF113" i="26"/>
  <c r="BG113" i="26"/>
  <c r="BK113" i="26"/>
  <c r="BM113" i="26"/>
  <c r="BO113" i="26"/>
  <c r="BQ113" i="26"/>
  <c r="E114" i="26"/>
  <c r="F114" i="26"/>
  <c r="G114" i="26"/>
  <c r="H114" i="26"/>
  <c r="I114" i="26"/>
  <c r="J114" i="26"/>
  <c r="K114" i="26"/>
  <c r="L114" i="26"/>
  <c r="M114" i="26"/>
  <c r="N114" i="26"/>
  <c r="O114" i="26"/>
  <c r="P114" i="26"/>
  <c r="Q114" i="26"/>
  <c r="R114" i="26"/>
  <c r="S114" i="26"/>
  <c r="T114" i="26"/>
  <c r="U114" i="26"/>
  <c r="V114" i="26"/>
  <c r="W114" i="26"/>
  <c r="X114" i="26"/>
  <c r="Y114" i="26"/>
  <c r="Z114" i="26"/>
  <c r="AA114" i="26"/>
  <c r="AB114" i="26"/>
  <c r="AC114" i="26"/>
  <c r="AD114" i="26"/>
  <c r="AE114" i="26"/>
  <c r="AF114" i="26"/>
  <c r="AG114" i="26"/>
  <c r="AP114" i="26"/>
  <c r="AQ114" i="26"/>
  <c r="AR114" i="26"/>
  <c r="AS114" i="26"/>
  <c r="AT114" i="26"/>
  <c r="AU114" i="26"/>
  <c r="AV114" i="26"/>
  <c r="AW114" i="26"/>
  <c r="AX114" i="26"/>
  <c r="BA114" i="26"/>
  <c r="BB114" i="26"/>
  <c r="BC114" i="26"/>
  <c r="BD114" i="26"/>
  <c r="BE114" i="26"/>
  <c r="BF114" i="26"/>
  <c r="BG114" i="26"/>
  <c r="BK114" i="26"/>
  <c r="BM114" i="26"/>
  <c r="BO114" i="26"/>
  <c r="BQ114" i="26"/>
  <c r="E115" i="26"/>
  <c r="F115" i="26"/>
  <c r="G115" i="26"/>
  <c r="H115" i="26"/>
  <c r="I115" i="26"/>
  <c r="J115" i="26"/>
  <c r="K115" i="26"/>
  <c r="L115" i="26"/>
  <c r="M115" i="26"/>
  <c r="N115" i="26"/>
  <c r="O115" i="26"/>
  <c r="P115" i="26"/>
  <c r="Q115" i="26"/>
  <c r="R115" i="26"/>
  <c r="S115" i="26"/>
  <c r="T115" i="26"/>
  <c r="U115" i="26"/>
  <c r="V115" i="26"/>
  <c r="W115" i="26"/>
  <c r="X115" i="26"/>
  <c r="Y115" i="26"/>
  <c r="Z115" i="26"/>
  <c r="AA115" i="26"/>
  <c r="AB115" i="26"/>
  <c r="AC115" i="26"/>
  <c r="AD115" i="26"/>
  <c r="AE115" i="26"/>
  <c r="AF115" i="26"/>
  <c r="AG115" i="26"/>
  <c r="AP115" i="26"/>
  <c r="AQ115" i="26"/>
  <c r="AR115" i="26"/>
  <c r="AS115" i="26"/>
  <c r="AT115" i="26"/>
  <c r="AU115" i="26"/>
  <c r="AV115" i="26"/>
  <c r="AW115" i="26"/>
  <c r="AX115" i="26"/>
  <c r="BA115" i="26"/>
  <c r="BB115" i="26"/>
  <c r="BC115" i="26"/>
  <c r="BD115" i="26"/>
  <c r="BE115" i="26"/>
  <c r="BF115" i="26"/>
  <c r="BG115" i="26"/>
  <c r="BK115" i="26"/>
  <c r="BM115" i="26"/>
  <c r="BO115" i="26"/>
  <c r="BQ115" i="26"/>
  <c r="E116" i="26"/>
  <c r="F116" i="26"/>
  <c r="G116" i="26"/>
  <c r="H116" i="26"/>
  <c r="I116" i="26"/>
  <c r="J116" i="26"/>
  <c r="K116" i="26"/>
  <c r="L116" i="26"/>
  <c r="M116" i="26"/>
  <c r="N116" i="26"/>
  <c r="O116" i="26"/>
  <c r="P116" i="26"/>
  <c r="Q116" i="26"/>
  <c r="R116" i="26"/>
  <c r="S116" i="26"/>
  <c r="T116" i="26"/>
  <c r="U116" i="26"/>
  <c r="V116" i="26"/>
  <c r="W116" i="26"/>
  <c r="X116" i="26"/>
  <c r="Y116" i="26"/>
  <c r="Z116" i="26"/>
  <c r="AA116" i="26"/>
  <c r="AB116" i="26"/>
  <c r="AC116" i="26"/>
  <c r="AD116" i="26"/>
  <c r="AE116" i="26"/>
  <c r="AF116" i="26"/>
  <c r="AG116" i="26"/>
  <c r="AP116" i="26"/>
  <c r="AQ116" i="26"/>
  <c r="AR116" i="26"/>
  <c r="AS116" i="26"/>
  <c r="AT116" i="26"/>
  <c r="AU116" i="26"/>
  <c r="AV116" i="26"/>
  <c r="AW116" i="26"/>
  <c r="AX116" i="26"/>
  <c r="BA116" i="26"/>
  <c r="BB116" i="26"/>
  <c r="BC116" i="26"/>
  <c r="BD116" i="26"/>
  <c r="BE116" i="26"/>
  <c r="BF116" i="26"/>
  <c r="BG116" i="26"/>
  <c r="BK116" i="26"/>
  <c r="BM116" i="26"/>
  <c r="BO116" i="26"/>
  <c r="BQ116" i="26"/>
  <c r="E117" i="26"/>
  <c r="F117" i="26"/>
  <c r="G117" i="26"/>
  <c r="H117" i="26"/>
  <c r="I117" i="26"/>
  <c r="J117" i="26"/>
  <c r="K117" i="26"/>
  <c r="L117" i="26"/>
  <c r="M117" i="26"/>
  <c r="N117" i="26"/>
  <c r="O117" i="26"/>
  <c r="P117" i="26"/>
  <c r="Q117" i="26"/>
  <c r="R117" i="26"/>
  <c r="S117" i="26"/>
  <c r="T117" i="26"/>
  <c r="U117" i="26"/>
  <c r="V117" i="26"/>
  <c r="W117" i="26"/>
  <c r="X117" i="26"/>
  <c r="Y117" i="26"/>
  <c r="Z117" i="26"/>
  <c r="AA117" i="26"/>
  <c r="AB117" i="26"/>
  <c r="AC117" i="26"/>
  <c r="AD117" i="26"/>
  <c r="AE117" i="26"/>
  <c r="AF117" i="26"/>
  <c r="AG117" i="26"/>
  <c r="AP117" i="26"/>
  <c r="AQ117" i="26"/>
  <c r="AR117" i="26"/>
  <c r="AS117" i="26"/>
  <c r="AT117" i="26"/>
  <c r="AU117" i="26"/>
  <c r="AV117" i="26"/>
  <c r="AW117" i="26"/>
  <c r="AX117" i="26"/>
  <c r="BA117" i="26"/>
  <c r="BB117" i="26"/>
  <c r="BC117" i="26"/>
  <c r="BD117" i="26"/>
  <c r="BE117" i="26"/>
  <c r="BF117" i="26"/>
  <c r="BG117" i="26"/>
  <c r="BK117" i="26"/>
  <c r="BM117" i="26"/>
  <c r="BO117" i="26"/>
  <c r="BQ117" i="26"/>
  <c r="E118" i="26"/>
  <c r="F118" i="26"/>
  <c r="G118" i="26"/>
  <c r="H118" i="26"/>
  <c r="I118" i="26"/>
  <c r="J118" i="26"/>
  <c r="K118" i="26"/>
  <c r="L118" i="26"/>
  <c r="M118" i="26"/>
  <c r="N118" i="26"/>
  <c r="O118" i="26"/>
  <c r="P118" i="26"/>
  <c r="Q118" i="26"/>
  <c r="R118" i="26"/>
  <c r="S118" i="26"/>
  <c r="T118" i="26"/>
  <c r="U118" i="26"/>
  <c r="V118" i="26"/>
  <c r="W118" i="26"/>
  <c r="X118" i="26"/>
  <c r="Y118" i="26"/>
  <c r="Z118" i="26"/>
  <c r="AA118" i="26"/>
  <c r="AB118" i="26"/>
  <c r="AC118" i="26"/>
  <c r="AD118" i="26"/>
  <c r="AE118" i="26"/>
  <c r="AF118" i="26"/>
  <c r="AG118" i="26"/>
  <c r="AP118" i="26"/>
  <c r="AQ118" i="26"/>
  <c r="AR118" i="26"/>
  <c r="AS118" i="26"/>
  <c r="AT118" i="26"/>
  <c r="AU118" i="26"/>
  <c r="AV118" i="26"/>
  <c r="AW118" i="26"/>
  <c r="AX118" i="26"/>
  <c r="BA118" i="26"/>
  <c r="BB118" i="26"/>
  <c r="BC118" i="26"/>
  <c r="BD118" i="26"/>
  <c r="BE118" i="26"/>
  <c r="BF118" i="26"/>
  <c r="BG118" i="26"/>
  <c r="BK118" i="26"/>
  <c r="BM118" i="26"/>
  <c r="BO118" i="26"/>
  <c r="BQ118" i="26"/>
  <c r="D102" i="26"/>
  <c r="D103" i="26"/>
  <c r="D104" i="26"/>
  <c r="D105" i="26"/>
  <c r="D106" i="26"/>
  <c r="D107" i="26"/>
  <c r="D108" i="26"/>
  <c r="D109" i="26"/>
  <c r="D110" i="26"/>
  <c r="D111" i="26"/>
  <c r="D112" i="26"/>
  <c r="D113" i="26"/>
  <c r="D114" i="26"/>
  <c r="D115" i="26"/>
  <c r="D116" i="26"/>
  <c r="D117" i="26"/>
  <c r="D118" i="26"/>
  <c r="D101" i="26"/>
  <c r="E81" i="26"/>
  <c r="F81" i="26"/>
  <c r="G81" i="26"/>
  <c r="H81" i="26"/>
  <c r="I81" i="26"/>
  <c r="J81" i="26"/>
  <c r="K81" i="26"/>
  <c r="L81" i="26"/>
  <c r="M81" i="26"/>
  <c r="N81" i="26"/>
  <c r="O81" i="26"/>
  <c r="P81" i="26"/>
  <c r="Q81" i="26"/>
  <c r="R81" i="26"/>
  <c r="S81" i="26"/>
  <c r="T81" i="26"/>
  <c r="U81" i="26"/>
  <c r="V81" i="26"/>
  <c r="W81" i="26"/>
  <c r="X81" i="26"/>
  <c r="Y81" i="26"/>
  <c r="Z81" i="26"/>
  <c r="AA81" i="26"/>
  <c r="AB81" i="26"/>
  <c r="AC81" i="26"/>
  <c r="AD81" i="26"/>
  <c r="AE81" i="26"/>
  <c r="AF81" i="26"/>
  <c r="AG81" i="26"/>
  <c r="AP81" i="26"/>
  <c r="AQ81" i="26"/>
  <c r="AR81" i="26"/>
  <c r="AS81" i="26"/>
  <c r="AT81" i="26"/>
  <c r="AU81" i="26"/>
  <c r="AV81" i="26"/>
  <c r="AW81" i="26"/>
  <c r="AX81" i="26"/>
  <c r="BA81" i="26"/>
  <c r="BB81" i="26"/>
  <c r="BC81" i="26"/>
  <c r="BD81" i="26"/>
  <c r="BE81" i="26"/>
  <c r="BF81" i="26"/>
  <c r="BK81" i="26"/>
  <c r="BM81" i="26"/>
  <c r="BO81" i="26"/>
  <c r="BQ81" i="26"/>
  <c r="E82" i="26"/>
  <c r="F82" i="26"/>
  <c r="G82" i="26"/>
  <c r="H82" i="26"/>
  <c r="I82" i="26"/>
  <c r="J82" i="26"/>
  <c r="K82" i="26"/>
  <c r="L82" i="26"/>
  <c r="M82" i="26"/>
  <c r="N82" i="26"/>
  <c r="O82" i="26"/>
  <c r="P82" i="26"/>
  <c r="Q82" i="26"/>
  <c r="R82" i="26"/>
  <c r="S82" i="26"/>
  <c r="T82" i="26"/>
  <c r="U82" i="26"/>
  <c r="V82" i="26"/>
  <c r="W82" i="26"/>
  <c r="X82" i="26"/>
  <c r="Y82" i="26"/>
  <c r="Z82" i="26"/>
  <c r="AA82" i="26"/>
  <c r="AB82" i="26"/>
  <c r="AC82" i="26"/>
  <c r="AD82" i="26"/>
  <c r="AE82" i="26"/>
  <c r="AF82" i="26"/>
  <c r="AG82" i="26"/>
  <c r="AP82" i="26"/>
  <c r="AQ82" i="26"/>
  <c r="AR82" i="26"/>
  <c r="AS82" i="26"/>
  <c r="AT82" i="26"/>
  <c r="AU82" i="26"/>
  <c r="AV82" i="26"/>
  <c r="AW82" i="26"/>
  <c r="AX82" i="26"/>
  <c r="BA82" i="26"/>
  <c r="BB82" i="26"/>
  <c r="BC82" i="26"/>
  <c r="BD82" i="26"/>
  <c r="BE82" i="26"/>
  <c r="BF82" i="26"/>
  <c r="BK82" i="26"/>
  <c r="BM82" i="26"/>
  <c r="BO82" i="26"/>
  <c r="BQ82" i="26"/>
  <c r="E83" i="26"/>
  <c r="F83" i="26"/>
  <c r="G83" i="26"/>
  <c r="H83" i="26"/>
  <c r="I83" i="26"/>
  <c r="J83" i="26"/>
  <c r="K83" i="26"/>
  <c r="L83" i="26"/>
  <c r="M83" i="26"/>
  <c r="N83" i="26"/>
  <c r="O83" i="26"/>
  <c r="P83" i="26"/>
  <c r="Q83" i="26"/>
  <c r="R83" i="26"/>
  <c r="S83" i="26"/>
  <c r="T83" i="26"/>
  <c r="U83" i="26"/>
  <c r="V83" i="26"/>
  <c r="W83" i="26"/>
  <c r="X83" i="26"/>
  <c r="Y83" i="26"/>
  <c r="Z83" i="26"/>
  <c r="AA83" i="26"/>
  <c r="AB83" i="26"/>
  <c r="AC83" i="26"/>
  <c r="AD83" i="26"/>
  <c r="AE83" i="26"/>
  <c r="AF83" i="26"/>
  <c r="AG83" i="26"/>
  <c r="AP83" i="26"/>
  <c r="AQ83" i="26"/>
  <c r="AR83" i="26"/>
  <c r="AS83" i="26"/>
  <c r="AT83" i="26"/>
  <c r="AU83" i="26"/>
  <c r="AV83" i="26"/>
  <c r="AW83" i="26"/>
  <c r="AX83" i="26"/>
  <c r="BA83" i="26"/>
  <c r="BB83" i="26"/>
  <c r="BC83" i="26"/>
  <c r="BD83" i="26"/>
  <c r="BE83" i="26"/>
  <c r="BF83" i="26"/>
  <c r="BK83" i="26"/>
  <c r="BM83" i="26"/>
  <c r="BO83" i="26"/>
  <c r="BQ83" i="26"/>
  <c r="E84" i="26"/>
  <c r="F84" i="26"/>
  <c r="G84" i="26"/>
  <c r="H84" i="26"/>
  <c r="I84" i="26"/>
  <c r="J84" i="26"/>
  <c r="K84" i="26"/>
  <c r="L84" i="26"/>
  <c r="M84" i="26"/>
  <c r="N84" i="26"/>
  <c r="O84" i="26"/>
  <c r="P84" i="26"/>
  <c r="Q84" i="26"/>
  <c r="R84" i="26"/>
  <c r="S84" i="26"/>
  <c r="T84" i="26"/>
  <c r="U84" i="26"/>
  <c r="V84" i="26"/>
  <c r="W84" i="26"/>
  <c r="X84" i="26"/>
  <c r="Y84" i="26"/>
  <c r="Z84" i="26"/>
  <c r="AA84" i="26"/>
  <c r="AB84" i="26"/>
  <c r="AC84" i="26"/>
  <c r="AD84" i="26"/>
  <c r="AE84" i="26"/>
  <c r="AF84" i="26"/>
  <c r="AG84" i="26"/>
  <c r="AP84" i="26"/>
  <c r="AQ84" i="26"/>
  <c r="AR84" i="26"/>
  <c r="AS84" i="26"/>
  <c r="AT84" i="26"/>
  <c r="AU84" i="26"/>
  <c r="AV84" i="26"/>
  <c r="AW84" i="26"/>
  <c r="AX84" i="26"/>
  <c r="BA84" i="26"/>
  <c r="BB84" i="26"/>
  <c r="BC84" i="26"/>
  <c r="BD84" i="26"/>
  <c r="BE84" i="26"/>
  <c r="BF84" i="26"/>
  <c r="BK84" i="26"/>
  <c r="BM84" i="26"/>
  <c r="BO84" i="26"/>
  <c r="BQ84" i="26"/>
  <c r="E85" i="26"/>
  <c r="F85" i="26"/>
  <c r="G85" i="26"/>
  <c r="H85" i="26"/>
  <c r="I85" i="26"/>
  <c r="J85" i="26"/>
  <c r="K85" i="26"/>
  <c r="L85" i="26"/>
  <c r="M85" i="26"/>
  <c r="N85" i="26"/>
  <c r="O85" i="26"/>
  <c r="P85" i="26"/>
  <c r="Q85" i="26"/>
  <c r="R85" i="26"/>
  <c r="S85" i="26"/>
  <c r="T85" i="26"/>
  <c r="U85" i="26"/>
  <c r="V85" i="26"/>
  <c r="W85" i="26"/>
  <c r="X85" i="26"/>
  <c r="Y85" i="26"/>
  <c r="Z85" i="26"/>
  <c r="AA85" i="26"/>
  <c r="AB85" i="26"/>
  <c r="AC85" i="26"/>
  <c r="AD85" i="26"/>
  <c r="AE85" i="26"/>
  <c r="AF85" i="26"/>
  <c r="AG85" i="26"/>
  <c r="AP85" i="26"/>
  <c r="AQ85" i="26"/>
  <c r="AR85" i="26"/>
  <c r="AS85" i="26"/>
  <c r="AT85" i="26"/>
  <c r="AU85" i="26"/>
  <c r="AV85" i="26"/>
  <c r="AW85" i="26"/>
  <c r="AX85" i="26"/>
  <c r="BA85" i="26"/>
  <c r="BB85" i="26"/>
  <c r="BC85" i="26"/>
  <c r="BD85" i="26"/>
  <c r="BE85" i="26"/>
  <c r="BF85" i="26"/>
  <c r="BK85" i="26"/>
  <c r="BM85" i="26"/>
  <c r="BO85" i="26"/>
  <c r="BQ85" i="26"/>
  <c r="E86" i="26"/>
  <c r="F86" i="26"/>
  <c r="G86" i="26"/>
  <c r="H86" i="26"/>
  <c r="I86" i="26"/>
  <c r="J86" i="26"/>
  <c r="K86" i="26"/>
  <c r="L86" i="26"/>
  <c r="M86" i="26"/>
  <c r="N86" i="26"/>
  <c r="O86" i="26"/>
  <c r="P86" i="26"/>
  <c r="Q86" i="26"/>
  <c r="R86" i="26"/>
  <c r="S86" i="26"/>
  <c r="T86" i="26"/>
  <c r="U86" i="26"/>
  <c r="V86" i="26"/>
  <c r="W86" i="26"/>
  <c r="X86" i="26"/>
  <c r="Y86" i="26"/>
  <c r="Z86" i="26"/>
  <c r="AA86" i="26"/>
  <c r="AB86" i="26"/>
  <c r="AC86" i="26"/>
  <c r="AD86" i="26"/>
  <c r="AE86" i="26"/>
  <c r="AF86" i="26"/>
  <c r="AG86" i="26"/>
  <c r="AP86" i="26"/>
  <c r="AQ86" i="26"/>
  <c r="AR86" i="26"/>
  <c r="AS86" i="26"/>
  <c r="AT86" i="26"/>
  <c r="AU86" i="26"/>
  <c r="AV86" i="26"/>
  <c r="AW86" i="26"/>
  <c r="AX86" i="26"/>
  <c r="BA86" i="26"/>
  <c r="BB86" i="26"/>
  <c r="BC86" i="26"/>
  <c r="BD86" i="26"/>
  <c r="BE86" i="26"/>
  <c r="BF86" i="26"/>
  <c r="BK86" i="26"/>
  <c r="BM86" i="26"/>
  <c r="BO86" i="26"/>
  <c r="BQ86" i="26"/>
  <c r="E87" i="26"/>
  <c r="F87" i="26"/>
  <c r="G87" i="26"/>
  <c r="H87" i="26"/>
  <c r="I87" i="26"/>
  <c r="J87" i="26"/>
  <c r="K87" i="26"/>
  <c r="L87" i="26"/>
  <c r="M87" i="26"/>
  <c r="N87" i="26"/>
  <c r="O87" i="26"/>
  <c r="P87" i="26"/>
  <c r="Q87" i="26"/>
  <c r="R87" i="26"/>
  <c r="S87" i="26"/>
  <c r="T87" i="26"/>
  <c r="U87" i="26"/>
  <c r="V87" i="26"/>
  <c r="W87" i="26"/>
  <c r="X87" i="26"/>
  <c r="Y87" i="26"/>
  <c r="Z87" i="26"/>
  <c r="AA87" i="26"/>
  <c r="AB87" i="26"/>
  <c r="AC87" i="26"/>
  <c r="AD87" i="26"/>
  <c r="AE87" i="26"/>
  <c r="AF87" i="26"/>
  <c r="AG87" i="26"/>
  <c r="AP87" i="26"/>
  <c r="AQ87" i="26"/>
  <c r="AR87" i="26"/>
  <c r="AS87" i="26"/>
  <c r="AT87" i="26"/>
  <c r="AU87" i="26"/>
  <c r="AV87" i="26"/>
  <c r="AW87" i="26"/>
  <c r="AX87" i="26"/>
  <c r="BA87" i="26"/>
  <c r="BB87" i="26"/>
  <c r="BC87" i="26"/>
  <c r="BD87" i="26"/>
  <c r="BE87" i="26"/>
  <c r="BF87" i="26"/>
  <c r="BK87" i="26"/>
  <c r="BM87" i="26"/>
  <c r="BO87" i="26"/>
  <c r="BQ87" i="26"/>
  <c r="E88" i="26"/>
  <c r="F88" i="26"/>
  <c r="G88" i="26"/>
  <c r="H88" i="26"/>
  <c r="I88" i="26"/>
  <c r="J88" i="26"/>
  <c r="K88" i="26"/>
  <c r="L88" i="26"/>
  <c r="M88" i="26"/>
  <c r="N88" i="26"/>
  <c r="O88" i="26"/>
  <c r="P88" i="26"/>
  <c r="Q88" i="26"/>
  <c r="R88" i="26"/>
  <c r="S88" i="26"/>
  <c r="T88" i="26"/>
  <c r="U88" i="26"/>
  <c r="V88" i="26"/>
  <c r="W88" i="26"/>
  <c r="X88" i="26"/>
  <c r="Y88" i="26"/>
  <c r="Z88" i="26"/>
  <c r="AA88" i="26"/>
  <c r="AB88" i="26"/>
  <c r="AC88" i="26"/>
  <c r="AD88" i="26"/>
  <c r="AE88" i="26"/>
  <c r="AF88" i="26"/>
  <c r="AG88" i="26"/>
  <c r="AP88" i="26"/>
  <c r="AQ88" i="26"/>
  <c r="AR88" i="26"/>
  <c r="AS88" i="26"/>
  <c r="AT88" i="26"/>
  <c r="AU88" i="26"/>
  <c r="AV88" i="26"/>
  <c r="AW88" i="26"/>
  <c r="AX88" i="26"/>
  <c r="BA88" i="26"/>
  <c r="BB88" i="26"/>
  <c r="BC88" i="26"/>
  <c r="BD88" i="26"/>
  <c r="BE88" i="26"/>
  <c r="BF88" i="26"/>
  <c r="BK88" i="26"/>
  <c r="BM88" i="26"/>
  <c r="BO88" i="26"/>
  <c r="BQ88" i="26"/>
  <c r="E89" i="26"/>
  <c r="F89" i="26"/>
  <c r="G89" i="26"/>
  <c r="H89" i="26"/>
  <c r="I89" i="26"/>
  <c r="J89" i="26"/>
  <c r="K89" i="26"/>
  <c r="L89" i="26"/>
  <c r="M89" i="26"/>
  <c r="N89" i="26"/>
  <c r="O89" i="26"/>
  <c r="P89" i="26"/>
  <c r="Q89" i="26"/>
  <c r="R89" i="26"/>
  <c r="S89" i="26"/>
  <c r="T89" i="26"/>
  <c r="U89" i="26"/>
  <c r="V89" i="26"/>
  <c r="W89" i="26"/>
  <c r="X89" i="26"/>
  <c r="Y89" i="26"/>
  <c r="Z89" i="26"/>
  <c r="AA89" i="26"/>
  <c r="AB89" i="26"/>
  <c r="AC89" i="26"/>
  <c r="AD89" i="26"/>
  <c r="AE89" i="26"/>
  <c r="AF89" i="26"/>
  <c r="AG89" i="26"/>
  <c r="AP89" i="26"/>
  <c r="AQ89" i="26"/>
  <c r="AR89" i="26"/>
  <c r="AS89" i="26"/>
  <c r="AT89" i="26"/>
  <c r="AU89" i="26"/>
  <c r="AV89" i="26"/>
  <c r="AW89" i="26"/>
  <c r="AX89" i="26"/>
  <c r="BA89" i="26"/>
  <c r="BB89" i="26"/>
  <c r="BC89" i="26"/>
  <c r="BD89" i="26"/>
  <c r="BE89" i="26"/>
  <c r="BF89" i="26"/>
  <c r="BK89" i="26"/>
  <c r="BM89" i="26"/>
  <c r="BO89" i="26"/>
  <c r="BQ89" i="26"/>
  <c r="E90" i="26"/>
  <c r="F90" i="26"/>
  <c r="G90" i="26"/>
  <c r="H90" i="26"/>
  <c r="I90" i="26"/>
  <c r="J90" i="26"/>
  <c r="K90" i="26"/>
  <c r="L90" i="26"/>
  <c r="M90" i="26"/>
  <c r="N90" i="26"/>
  <c r="O90" i="26"/>
  <c r="P90" i="26"/>
  <c r="Q90" i="26"/>
  <c r="R90" i="26"/>
  <c r="S90" i="26"/>
  <c r="T90" i="26"/>
  <c r="U90" i="26"/>
  <c r="V90" i="26"/>
  <c r="W90" i="26"/>
  <c r="X90" i="26"/>
  <c r="Y90" i="26"/>
  <c r="Z90" i="26"/>
  <c r="AA90" i="26"/>
  <c r="AB90" i="26"/>
  <c r="AC90" i="26"/>
  <c r="AD90" i="26"/>
  <c r="AE90" i="26"/>
  <c r="AF90" i="26"/>
  <c r="AG90" i="26"/>
  <c r="AP90" i="26"/>
  <c r="AQ90" i="26"/>
  <c r="AR90" i="26"/>
  <c r="AS90" i="26"/>
  <c r="AT90" i="26"/>
  <c r="AU90" i="26"/>
  <c r="AV90" i="26"/>
  <c r="AW90" i="26"/>
  <c r="AX90" i="26"/>
  <c r="BA90" i="26"/>
  <c r="BB90" i="26"/>
  <c r="BC90" i="26"/>
  <c r="BD90" i="26"/>
  <c r="BE90" i="26"/>
  <c r="BF90" i="26"/>
  <c r="BK90" i="26"/>
  <c r="BM90" i="26"/>
  <c r="BO90" i="26"/>
  <c r="BQ90" i="26"/>
  <c r="E92" i="26"/>
  <c r="F92" i="26"/>
  <c r="G92" i="26"/>
  <c r="H92" i="26"/>
  <c r="I92" i="26"/>
  <c r="J92" i="26"/>
  <c r="K92" i="26"/>
  <c r="L92" i="26"/>
  <c r="M92" i="26"/>
  <c r="N92" i="26"/>
  <c r="O92" i="26"/>
  <c r="P92" i="26"/>
  <c r="Q92" i="26"/>
  <c r="R92" i="26"/>
  <c r="S92" i="26"/>
  <c r="T92" i="26"/>
  <c r="U92" i="26"/>
  <c r="V92" i="26"/>
  <c r="W92" i="26"/>
  <c r="X92" i="26"/>
  <c r="Y92" i="26"/>
  <c r="Z92" i="26"/>
  <c r="AA92" i="26"/>
  <c r="AB92" i="26"/>
  <c r="AC92" i="26"/>
  <c r="AD92" i="26"/>
  <c r="AE92" i="26"/>
  <c r="AF92" i="26"/>
  <c r="AG92" i="26"/>
  <c r="AP92" i="26"/>
  <c r="AQ92" i="26"/>
  <c r="AR92" i="26"/>
  <c r="AS92" i="26"/>
  <c r="AT92" i="26"/>
  <c r="AU92" i="26"/>
  <c r="AV92" i="26"/>
  <c r="AW92" i="26"/>
  <c r="AX92" i="26"/>
  <c r="BA92" i="26"/>
  <c r="BB92" i="26"/>
  <c r="BC92" i="26"/>
  <c r="BD92" i="26"/>
  <c r="BE92" i="26"/>
  <c r="BF92" i="26"/>
  <c r="BK92" i="26"/>
  <c r="BM92" i="26"/>
  <c r="BO92" i="26"/>
  <c r="BQ92" i="26"/>
  <c r="E93" i="26"/>
  <c r="F93" i="26"/>
  <c r="G93" i="26"/>
  <c r="H93" i="26"/>
  <c r="I93" i="26"/>
  <c r="J93" i="26"/>
  <c r="K93" i="26"/>
  <c r="L93" i="26"/>
  <c r="M93" i="26"/>
  <c r="N93" i="26"/>
  <c r="O93" i="26"/>
  <c r="P93" i="26"/>
  <c r="Q93" i="26"/>
  <c r="R93" i="26"/>
  <c r="S93" i="26"/>
  <c r="T93" i="26"/>
  <c r="U93" i="26"/>
  <c r="V93" i="26"/>
  <c r="W93" i="26"/>
  <c r="X93" i="26"/>
  <c r="Y93" i="26"/>
  <c r="Z93" i="26"/>
  <c r="AA93" i="26"/>
  <c r="AB93" i="26"/>
  <c r="AC93" i="26"/>
  <c r="AD93" i="26"/>
  <c r="AE93" i="26"/>
  <c r="AF93" i="26"/>
  <c r="AG93" i="26"/>
  <c r="AP93" i="26"/>
  <c r="AQ93" i="26"/>
  <c r="AR93" i="26"/>
  <c r="AS93" i="26"/>
  <c r="AT93" i="26"/>
  <c r="AU93" i="26"/>
  <c r="AV93" i="26"/>
  <c r="AW93" i="26"/>
  <c r="AX93" i="26"/>
  <c r="BA93" i="26"/>
  <c r="BB93" i="26"/>
  <c r="BC93" i="26"/>
  <c r="BD93" i="26"/>
  <c r="BE93" i="26"/>
  <c r="BF93" i="26"/>
  <c r="BK93" i="26"/>
  <c r="BM93" i="26"/>
  <c r="BO93" i="26"/>
  <c r="BQ93" i="26"/>
  <c r="E94" i="26"/>
  <c r="F94" i="26"/>
  <c r="G94" i="26"/>
  <c r="H94" i="26"/>
  <c r="I94" i="26"/>
  <c r="J94" i="26"/>
  <c r="K94" i="26"/>
  <c r="L94" i="26"/>
  <c r="M94" i="26"/>
  <c r="N94" i="26"/>
  <c r="O94" i="26"/>
  <c r="P94" i="26"/>
  <c r="Q94" i="26"/>
  <c r="R94" i="26"/>
  <c r="S94" i="26"/>
  <c r="T94" i="26"/>
  <c r="U94" i="26"/>
  <c r="V94" i="26"/>
  <c r="W94" i="26"/>
  <c r="X94" i="26"/>
  <c r="Y94" i="26"/>
  <c r="Z94" i="26"/>
  <c r="AA94" i="26"/>
  <c r="AB94" i="26"/>
  <c r="AC94" i="26"/>
  <c r="AD94" i="26"/>
  <c r="AE94" i="26"/>
  <c r="AF94" i="26"/>
  <c r="AG94" i="26"/>
  <c r="AP94" i="26"/>
  <c r="AQ94" i="26"/>
  <c r="AR94" i="26"/>
  <c r="AS94" i="26"/>
  <c r="AT94" i="26"/>
  <c r="AU94" i="26"/>
  <c r="AV94" i="26"/>
  <c r="AW94" i="26"/>
  <c r="AX94" i="26"/>
  <c r="BA94" i="26"/>
  <c r="BB94" i="26"/>
  <c r="BC94" i="26"/>
  <c r="BD94" i="26"/>
  <c r="BE94" i="26"/>
  <c r="BF94" i="26"/>
  <c r="BK94" i="26"/>
  <c r="BM94" i="26"/>
  <c r="BO94" i="26"/>
  <c r="BQ94" i="26"/>
  <c r="E95" i="26"/>
  <c r="F95" i="26"/>
  <c r="G95" i="26"/>
  <c r="H95" i="26"/>
  <c r="I95" i="26"/>
  <c r="J95" i="26"/>
  <c r="K95" i="26"/>
  <c r="L95" i="26"/>
  <c r="M95" i="26"/>
  <c r="N95" i="26"/>
  <c r="O95" i="26"/>
  <c r="P95" i="26"/>
  <c r="Q95" i="26"/>
  <c r="R95" i="26"/>
  <c r="S95" i="26"/>
  <c r="T95" i="26"/>
  <c r="U95" i="26"/>
  <c r="V95" i="26"/>
  <c r="W95" i="26"/>
  <c r="X95" i="26"/>
  <c r="Y95" i="26"/>
  <c r="Z95" i="26"/>
  <c r="AA95" i="26"/>
  <c r="AB95" i="26"/>
  <c r="AC95" i="26"/>
  <c r="AD95" i="26"/>
  <c r="AE95" i="26"/>
  <c r="AF95" i="26"/>
  <c r="AG95" i="26"/>
  <c r="AP95" i="26"/>
  <c r="AQ95" i="26"/>
  <c r="AR95" i="26"/>
  <c r="AS95" i="26"/>
  <c r="AT95" i="26"/>
  <c r="AU95" i="26"/>
  <c r="AV95" i="26"/>
  <c r="AW95" i="26"/>
  <c r="AX95" i="26"/>
  <c r="BA95" i="26"/>
  <c r="BB95" i="26"/>
  <c r="BC95" i="26"/>
  <c r="BD95" i="26"/>
  <c r="BE95" i="26"/>
  <c r="BF95" i="26"/>
  <c r="BK95" i="26"/>
  <c r="BM95" i="26"/>
  <c r="BO95" i="26"/>
  <c r="BQ95" i="26"/>
  <c r="E96" i="26"/>
  <c r="F96" i="26"/>
  <c r="G96" i="26"/>
  <c r="H96" i="26"/>
  <c r="I96" i="26"/>
  <c r="J96" i="26"/>
  <c r="K96" i="26"/>
  <c r="L96" i="26"/>
  <c r="M96" i="26"/>
  <c r="N96" i="26"/>
  <c r="O96" i="26"/>
  <c r="P96" i="26"/>
  <c r="Q96" i="26"/>
  <c r="R96" i="26"/>
  <c r="S96" i="26"/>
  <c r="T96" i="26"/>
  <c r="U96" i="26"/>
  <c r="V96" i="26"/>
  <c r="W96" i="26"/>
  <c r="X96" i="26"/>
  <c r="Y96" i="26"/>
  <c r="Z96" i="26"/>
  <c r="AA96" i="26"/>
  <c r="AB96" i="26"/>
  <c r="AC96" i="26"/>
  <c r="AD96" i="26"/>
  <c r="AE96" i="26"/>
  <c r="AF96" i="26"/>
  <c r="AG96" i="26"/>
  <c r="AP96" i="26"/>
  <c r="AQ96" i="26"/>
  <c r="AR96" i="26"/>
  <c r="AS96" i="26"/>
  <c r="AT96" i="26"/>
  <c r="AU96" i="26"/>
  <c r="AV96" i="26"/>
  <c r="AW96" i="26"/>
  <c r="AX96" i="26"/>
  <c r="BA96" i="26"/>
  <c r="BB96" i="26"/>
  <c r="BC96" i="26"/>
  <c r="BD96" i="26"/>
  <c r="BE96" i="26"/>
  <c r="BF96" i="26"/>
  <c r="BK96" i="26"/>
  <c r="BM96" i="26"/>
  <c r="BO96" i="26"/>
  <c r="BQ96" i="26"/>
  <c r="E97" i="26"/>
  <c r="F97" i="26"/>
  <c r="G97" i="26"/>
  <c r="H97" i="26"/>
  <c r="I97" i="26"/>
  <c r="J97" i="26"/>
  <c r="K97" i="26"/>
  <c r="L97" i="26"/>
  <c r="M97" i="26"/>
  <c r="N97" i="26"/>
  <c r="O97" i="26"/>
  <c r="P97" i="26"/>
  <c r="Q97" i="26"/>
  <c r="R97" i="26"/>
  <c r="S97" i="26"/>
  <c r="T97" i="26"/>
  <c r="U97" i="26"/>
  <c r="V97" i="26"/>
  <c r="W97" i="26"/>
  <c r="X97" i="26"/>
  <c r="Y97" i="26"/>
  <c r="Z97" i="26"/>
  <c r="AA97" i="26"/>
  <c r="AB97" i="26"/>
  <c r="AC97" i="26"/>
  <c r="AD97" i="26"/>
  <c r="AE97" i="26"/>
  <c r="AF97" i="26"/>
  <c r="AG97" i="26"/>
  <c r="AP97" i="26"/>
  <c r="AQ97" i="26"/>
  <c r="AR97" i="26"/>
  <c r="AS97" i="26"/>
  <c r="AT97" i="26"/>
  <c r="AU97" i="26"/>
  <c r="AV97" i="26"/>
  <c r="AW97" i="26"/>
  <c r="AX97" i="26"/>
  <c r="BA97" i="26"/>
  <c r="BB97" i="26"/>
  <c r="BC97" i="26"/>
  <c r="BD97" i="26"/>
  <c r="BE97" i="26"/>
  <c r="BF97" i="26"/>
  <c r="BK97" i="26"/>
  <c r="BM97" i="26"/>
  <c r="BO97" i="26"/>
  <c r="BQ97" i="26"/>
  <c r="E98" i="26"/>
  <c r="F98" i="26"/>
  <c r="G98" i="26"/>
  <c r="H98" i="26"/>
  <c r="I98" i="26"/>
  <c r="J98" i="26"/>
  <c r="K98" i="26"/>
  <c r="L98" i="26"/>
  <c r="M98" i="26"/>
  <c r="N98" i="26"/>
  <c r="O98" i="26"/>
  <c r="P98" i="26"/>
  <c r="Q98" i="26"/>
  <c r="R98" i="26"/>
  <c r="S98" i="26"/>
  <c r="T98" i="26"/>
  <c r="U98" i="26"/>
  <c r="V98" i="26"/>
  <c r="W98" i="26"/>
  <c r="X98" i="26"/>
  <c r="Y98" i="26"/>
  <c r="Z98" i="26"/>
  <c r="AA98" i="26"/>
  <c r="AB98" i="26"/>
  <c r="AC98" i="26"/>
  <c r="AD98" i="26"/>
  <c r="AE98" i="26"/>
  <c r="AF98" i="26"/>
  <c r="AG98" i="26"/>
  <c r="AP98" i="26"/>
  <c r="AQ98" i="26"/>
  <c r="AR98" i="26"/>
  <c r="AS98" i="26"/>
  <c r="AT98" i="26"/>
  <c r="AU98" i="26"/>
  <c r="AV98" i="26"/>
  <c r="AW98" i="26"/>
  <c r="AX98" i="26"/>
  <c r="BA98" i="26"/>
  <c r="BB98" i="26"/>
  <c r="BC98" i="26"/>
  <c r="BD98" i="26"/>
  <c r="BE98" i="26"/>
  <c r="BF98" i="26"/>
  <c r="BK98" i="26"/>
  <c r="BM98" i="26"/>
  <c r="BO98" i="26"/>
  <c r="BQ98" i="26"/>
  <c r="D97" i="26"/>
  <c r="D82" i="26"/>
  <c r="D83" i="26"/>
  <c r="D84" i="26"/>
  <c r="D85" i="26"/>
  <c r="D86" i="26"/>
  <c r="D87" i="26"/>
  <c r="D88" i="26"/>
  <c r="D89" i="26"/>
  <c r="D90" i="26"/>
  <c r="D92" i="26"/>
  <c r="D93" i="26"/>
  <c r="D94" i="26"/>
  <c r="D95" i="26"/>
  <c r="D96" i="26"/>
  <c r="D98" i="26"/>
  <c r="D81" i="26"/>
  <c r="C150" i="20"/>
  <c r="C151" i="20"/>
  <c r="C152" i="20"/>
  <c r="C154" i="20"/>
  <c r="C155" i="20"/>
  <c r="C156" i="20"/>
  <c r="C157" i="20"/>
  <c r="C158" i="20"/>
  <c r="C159" i="20"/>
  <c r="C160" i="20"/>
  <c r="C161" i="20"/>
  <c r="C162" i="20"/>
  <c r="E131" i="20"/>
  <c r="F131" i="20"/>
  <c r="G131" i="20"/>
  <c r="H131" i="20"/>
  <c r="I131" i="20"/>
  <c r="J131" i="20"/>
  <c r="K131" i="20"/>
  <c r="L131" i="20"/>
  <c r="M131" i="20"/>
  <c r="N131" i="20"/>
  <c r="O131" i="20"/>
  <c r="P131" i="20"/>
  <c r="Q131" i="20"/>
  <c r="T131" i="20"/>
  <c r="U131" i="20"/>
  <c r="V131" i="20"/>
  <c r="W131" i="20"/>
  <c r="X131" i="20"/>
  <c r="Y131" i="20"/>
  <c r="Z131" i="20"/>
  <c r="AA131" i="20"/>
  <c r="AB131" i="20"/>
  <c r="AC131" i="20"/>
  <c r="AD131" i="20"/>
  <c r="AE131" i="20"/>
  <c r="AF131" i="20"/>
  <c r="AG131" i="20"/>
  <c r="AJ131" i="20"/>
  <c r="AK131" i="20"/>
  <c r="AL131" i="20"/>
  <c r="AM131" i="20"/>
  <c r="AN131" i="20"/>
  <c r="E132" i="20"/>
  <c r="F132" i="20"/>
  <c r="G132" i="20"/>
  <c r="H132" i="20"/>
  <c r="I132" i="20"/>
  <c r="J132" i="20"/>
  <c r="K132" i="20"/>
  <c r="L132" i="20"/>
  <c r="M132" i="20"/>
  <c r="N132" i="20"/>
  <c r="O132" i="20"/>
  <c r="P132" i="20"/>
  <c r="Q132" i="20"/>
  <c r="T132" i="20"/>
  <c r="U132" i="20"/>
  <c r="V132" i="20"/>
  <c r="W132" i="20"/>
  <c r="X132" i="20"/>
  <c r="Y132" i="20"/>
  <c r="Z132" i="20"/>
  <c r="AA132" i="20"/>
  <c r="AB132" i="20"/>
  <c r="AC132" i="20"/>
  <c r="AD132" i="20"/>
  <c r="AE132" i="20"/>
  <c r="AF132" i="20"/>
  <c r="AG132" i="20"/>
  <c r="AJ132" i="20"/>
  <c r="AK132" i="20"/>
  <c r="AL132" i="20"/>
  <c r="AM132" i="20"/>
  <c r="AN132" i="20"/>
  <c r="E133" i="20"/>
  <c r="F133" i="20"/>
  <c r="G133" i="20"/>
  <c r="H133" i="20"/>
  <c r="I133" i="20"/>
  <c r="J133" i="20"/>
  <c r="K133" i="20"/>
  <c r="L133" i="20"/>
  <c r="M133" i="20"/>
  <c r="N133" i="20"/>
  <c r="O133" i="20"/>
  <c r="P133" i="20"/>
  <c r="Q133" i="20"/>
  <c r="T133" i="20"/>
  <c r="U133" i="20"/>
  <c r="V133" i="20"/>
  <c r="W133" i="20"/>
  <c r="X133" i="20"/>
  <c r="Y133" i="20"/>
  <c r="Z133" i="20"/>
  <c r="AA133" i="20"/>
  <c r="AB133" i="20"/>
  <c r="AC133" i="20"/>
  <c r="AD133" i="20"/>
  <c r="AE133" i="20"/>
  <c r="AF133" i="20"/>
  <c r="AG133" i="20"/>
  <c r="AJ133" i="20"/>
  <c r="AK133" i="20"/>
  <c r="AL133" i="20"/>
  <c r="AM133" i="20"/>
  <c r="AN133" i="20"/>
  <c r="E134" i="20"/>
  <c r="F134" i="20"/>
  <c r="G134" i="20"/>
  <c r="H134" i="20"/>
  <c r="I134" i="20"/>
  <c r="J134" i="20"/>
  <c r="K134" i="20"/>
  <c r="L134" i="20"/>
  <c r="M134" i="20"/>
  <c r="N134" i="20"/>
  <c r="O134" i="20"/>
  <c r="P134" i="20"/>
  <c r="Q134" i="20"/>
  <c r="T134" i="20"/>
  <c r="U134" i="20"/>
  <c r="V134" i="20"/>
  <c r="W134" i="20"/>
  <c r="X134" i="20"/>
  <c r="Y134" i="20"/>
  <c r="Z134" i="20"/>
  <c r="AA134" i="20"/>
  <c r="AB134" i="20"/>
  <c r="AC134" i="20"/>
  <c r="AD134" i="20"/>
  <c r="AE134" i="20"/>
  <c r="AF134" i="20"/>
  <c r="AG134" i="20"/>
  <c r="AJ134" i="20"/>
  <c r="AK134" i="20"/>
  <c r="AL134" i="20"/>
  <c r="AM134" i="20"/>
  <c r="AN134" i="20"/>
  <c r="E135" i="20"/>
  <c r="F135" i="20"/>
  <c r="G135" i="20"/>
  <c r="H135" i="20"/>
  <c r="I135" i="20"/>
  <c r="J135" i="20"/>
  <c r="K135" i="20"/>
  <c r="L135" i="20"/>
  <c r="M135" i="20"/>
  <c r="N135" i="20"/>
  <c r="O135" i="20"/>
  <c r="P135" i="20"/>
  <c r="Q135" i="20"/>
  <c r="T135" i="20"/>
  <c r="U135" i="20"/>
  <c r="V135" i="20"/>
  <c r="W135" i="20"/>
  <c r="X135" i="20"/>
  <c r="Y135" i="20"/>
  <c r="Z135" i="20"/>
  <c r="AA135" i="20"/>
  <c r="AB135" i="20"/>
  <c r="AC135" i="20"/>
  <c r="AD135" i="20"/>
  <c r="AE135" i="20"/>
  <c r="AF135" i="20"/>
  <c r="AG135" i="20"/>
  <c r="AJ135" i="20"/>
  <c r="AK135" i="20"/>
  <c r="AL135" i="20"/>
  <c r="AM135" i="20"/>
  <c r="AN135" i="20"/>
  <c r="E136" i="20"/>
  <c r="F136" i="20"/>
  <c r="G136" i="20"/>
  <c r="H136" i="20"/>
  <c r="I136" i="20"/>
  <c r="J136" i="20"/>
  <c r="K136" i="20"/>
  <c r="L136" i="20"/>
  <c r="M136" i="20"/>
  <c r="N136" i="20"/>
  <c r="O136" i="20"/>
  <c r="P136" i="20"/>
  <c r="Q136" i="20"/>
  <c r="T136" i="20"/>
  <c r="U136" i="20"/>
  <c r="V136" i="20"/>
  <c r="W136" i="20"/>
  <c r="X136" i="20"/>
  <c r="Y136" i="20"/>
  <c r="Z136" i="20"/>
  <c r="AA136" i="20"/>
  <c r="AB136" i="20"/>
  <c r="AC136" i="20"/>
  <c r="AD136" i="20"/>
  <c r="AE136" i="20"/>
  <c r="AF136" i="20"/>
  <c r="AG136" i="20"/>
  <c r="AJ136" i="20"/>
  <c r="AK136" i="20"/>
  <c r="AL136" i="20"/>
  <c r="AM136" i="20"/>
  <c r="AN136" i="20"/>
  <c r="E137" i="20"/>
  <c r="F137" i="20"/>
  <c r="G137" i="20"/>
  <c r="H137" i="20"/>
  <c r="I137" i="20"/>
  <c r="J137" i="20"/>
  <c r="K137" i="20"/>
  <c r="L137" i="20"/>
  <c r="M137" i="20"/>
  <c r="N137" i="20"/>
  <c r="O137" i="20"/>
  <c r="P137" i="20"/>
  <c r="Q137" i="20"/>
  <c r="T137" i="20"/>
  <c r="U137" i="20"/>
  <c r="V137" i="20"/>
  <c r="W137" i="20"/>
  <c r="X137" i="20"/>
  <c r="Y137" i="20"/>
  <c r="Z137" i="20"/>
  <c r="AA137" i="20"/>
  <c r="AB137" i="20"/>
  <c r="AC137" i="20"/>
  <c r="AD137" i="20"/>
  <c r="AE137" i="20"/>
  <c r="AF137" i="20"/>
  <c r="AG137" i="20"/>
  <c r="AJ137" i="20"/>
  <c r="AK137" i="20"/>
  <c r="AL137" i="20"/>
  <c r="AM137" i="20"/>
  <c r="AN137" i="20"/>
  <c r="E138" i="20"/>
  <c r="F138" i="20"/>
  <c r="G138" i="20"/>
  <c r="H138" i="20"/>
  <c r="I138" i="20"/>
  <c r="J138" i="20"/>
  <c r="K138" i="20"/>
  <c r="L138" i="20"/>
  <c r="M138" i="20"/>
  <c r="N138" i="20"/>
  <c r="O138" i="20"/>
  <c r="P138" i="20"/>
  <c r="Q138" i="20"/>
  <c r="T138" i="20"/>
  <c r="U138" i="20"/>
  <c r="V138" i="20"/>
  <c r="W138" i="20"/>
  <c r="X138" i="20"/>
  <c r="Y138" i="20"/>
  <c r="Z138" i="20"/>
  <c r="AA138" i="20"/>
  <c r="AB138" i="20"/>
  <c r="AC138" i="20"/>
  <c r="AD138" i="20"/>
  <c r="AE138" i="20"/>
  <c r="AF138" i="20"/>
  <c r="AG138" i="20"/>
  <c r="AJ138" i="20"/>
  <c r="AK138" i="20"/>
  <c r="AL138" i="20"/>
  <c r="AM138" i="20"/>
  <c r="AN138" i="20"/>
  <c r="E139" i="20"/>
  <c r="F139" i="20"/>
  <c r="G139" i="20"/>
  <c r="H139" i="20"/>
  <c r="I139" i="20"/>
  <c r="J139" i="20"/>
  <c r="K139" i="20"/>
  <c r="L139" i="20"/>
  <c r="M139" i="20"/>
  <c r="N139" i="20"/>
  <c r="O139" i="20"/>
  <c r="P139" i="20"/>
  <c r="Q139" i="20"/>
  <c r="T139" i="20"/>
  <c r="U139" i="20"/>
  <c r="V139" i="20"/>
  <c r="W139" i="20"/>
  <c r="X139" i="20"/>
  <c r="Y139" i="20"/>
  <c r="Z139" i="20"/>
  <c r="AA139" i="20"/>
  <c r="AB139" i="20"/>
  <c r="AC139" i="20"/>
  <c r="AD139" i="20"/>
  <c r="AE139" i="20"/>
  <c r="AF139" i="20"/>
  <c r="AG139" i="20"/>
  <c r="AJ139" i="20"/>
  <c r="AK139" i="20"/>
  <c r="AL139" i="20"/>
  <c r="AM139" i="20"/>
  <c r="AN139" i="20"/>
  <c r="E140" i="20"/>
  <c r="F140" i="20"/>
  <c r="G140" i="20"/>
  <c r="H140" i="20"/>
  <c r="I140" i="20"/>
  <c r="J140" i="20"/>
  <c r="K140" i="20"/>
  <c r="L140" i="20"/>
  <c r="M140" i="20"/>
  <c r="N140" i="20"/>
  <c r="O140" i="20"/>
  <c r="P140" i="20"/>
  <c r="Q140" i="20"/>
  <c r="T140" i="20"/>
  <c r="U140" i="20"/>
  <c r="V140" i="20"/>
  <c r="W140" i="20"/>
  <c r="X140" i="20"/>
  <c r="Y140" i="20"/>
  <c r="Z140" i="20"/>
  <c r="AA140" i="20"/>
  <c r="AB140" i="20"/>
  <c r="AC140" i="20"/>
  <c r="AD140" i="20"/>
  <c r="AE140" i="20"/>
  <c r="AF140" i="20"/>
  <c r="AG140" i="20"/>
  <c r="AJ140" i="20"/>
  <c r="AK140" i="20"/>
  <c r="AL140" i="20"/>
  <c r="AM140" i="20"/>
  <c r="AN140" i="20"/>
  <c r="E141" i="20"/>
  <c r="F141" i="20"/>
  <c r="G141" i="20"/>
  <c r="H141" i="20"/>
  <c r="I141" i="20"/>
  <c r="J141" i="20"/>
  <c r="K141" i="20"/>
  <c r="L141" i="20"/>
  <c r="M141" i="20"/>
  <c r="N141" i="20"/>
  <c r="O141" i="20"/>
  <c r="P141" i="20"/>
  <c r="Q141" i="20"/>
  <c r="T141" i="20"/>
  <c r="U141" i="20"/>
  <c r="V141" i="20"/>
  <c r="W141" i="20"/>
  <c r="X141" i="20"/>
  <c r="Y141" i="20"/>
  <c r="Z141" i="20"/>
  <c r="AA141" i="20"/>
  <c r="AB141" i="20"/>
  <c r="AC141" i="20"/>
  <c r="AD141" i="20"/>
  <c r="AE141" i="20"/>
  <c r="AF141" i="20"/>
  <c r="AG141" i="20"/>
  <c r="AJ141" i="20"/>
  <c r="AK141" i="20"/>
  <c r="AL141" i="20"/>
  <c r="AM141" i="20"/>
  <c r="AN141" i="20"/>
  <c r="E142" i="20"/>
  <c r="F142" i="20"/>
  <c r="G142" i="20"/>
  <c r="H142" i="20"/>
  <c r="I142" i="20"/>
  <c r="J142" i="20"/>
  <c r="K142" i="20"/>
  <c r="L142" i="20"/>
  <c r="M142" i="20"/>
  <c r="N142" i="20"/>
  <c r="O142" i="20"/>
  <c r="P142" i="20"/>
  <c r="Q142" i="20"/>
  <c r="T142" i="20"/>
  <c r="U142" i="20"/>
  <c r="V142" i="20"/>
  <c r="W142" i="20"/>
  <c r="X142" i="20"/>
  <c r="Y142" i="20"/>
  <c r="Z142" i="20"/>
  <c r="AA142" i="20"/>
  <c r="AB142" i="20"/>
  <c r="AC142" i="20"/>
  <c r="AD142" i="20"/>
  <c r="AE142" i="20"/>
  <c r="AF142" i="20"/>
  <c r="AG142" i="20"/>
  <c r="AJ142" i="20"/>
  <c r="AK142" i="20"/>
  <c r="AL142" i="20"/>
  <c r="AM142" i="20"/>
  <c r="AN142" i="20"/>
  <c r="E143" i="20"/>
  <c r="F143" i="20"/>
  <c r="G143" i="20"/>
  <c r="H143" i="20"/>
  <c r="I143" i="20"/>
  <c r="J143" i="20"/>
  <c r="K143" i="20"/>
  <c r="L143" i="20"/>
  <c r="M143" i="20"/>
  <c r="N143" i="20"/>
  <c r="O143" i="20"/>
  <c r="P143" i="20"/>
  <c r="Q143" i="20"/>
  <c r="T143" i="20"/>
  <c r="U143" i="20"/>
  <c r="V143" i="20"/>
  <c r="W143" i="20"/>
  <c r="X143" i="20"/>
  <c r="Y143" i="20"/>
  <c r="Z143" i="20"/>
  <c r="AA143" i="20"/>
  <c r="AB143" i="20"/>
  <c r="AC143" i="20"/>
  <c r="AD143" i="20"/>
  <c r="AE143" i="20"/>
  <c r="AF143" i="20"/>
  <c r="AG143" i="20"/>
  <c r="AJ143" i="20"/>
  <c r="AK143" i="20"/>
  <c r="AL143" i="20"/>
  <c r="AM143" i="20"/>
  <c r="AN143" i="20"/>
  <c r="E144" i="20"/>
  <c r="F144" i="20"/>
  <c r="G144" i="20"/>
  <c r="H144" i="20"/>
  <c r="I144" i="20"/>
  <c r="J144" i="20"/>
  <c r="K144" i="20"/>
  <c r="L144" i="20"/>
  <c r="M144" i="20"/>
  <c r="N144" i="20"/>
  <c r="O144" i="20"/>
  <c r="P144" i="20"/>
  <c r="Q144" i="20"/>
  <c r="T144" i="20"/>
  <c r="U144" i="20"/>
  <c r="V144" i="20"/>
  <c r="W144" i="20"/>
  <c r="X144" i="20"/>
  <c r="Y144" i="20"/>
  <c r="Z144" i="20"/>
  <c r="AA144" i="20"/>
  <c r="AB144" i="20"/>
  <c r="AC144" i="20"/>
  <c r="AD144" i="20"/>
  <c r="AE144" i="20"/>
  <c r="AF144" i="20"/>
  <c r="AG144" i="20"/>
  <c r="AJ144" i="20"/>
  <c r="AK144" i="20"/>
  <c r="AL144" i="20"/>
  <c r="AM144" i="20"/>
  <c r="AN144" i="20"/>
  <c r="E145" i="20"/>
  <c r="F145" i="20"/>
  <c r="G145" i="20"/>
  <c r="H145" i="20"/>
  <c r="I145" i="20"/>
  <c r="J145" i="20"/>
  <c r="K145" i="20"/>
  <c r="L145" i="20"/>
  <c r="M145" i="20"/>
  <c r="N145" i="20"/>
  <c r="O145" i="20"/>
  <c r="P145" i="20"/>
  <c r="Q145" i="20"/>
  <c r="T145" i="20"/>
  <c r="U145" i="20"/>
  <c r="V145" i="20"/>
  <c r="W145" i="20"/>
  <c r="X145" i="20"/>
  <c r="Y145" i="20"/>
  <c r="Z145" i="20"/>
  <c r="AA145" i="20"/>
  <c r="AB145" i="20"/>
  <c r="AC145" i="20"/>
  <c r="AD145" i="20"/>
  <c r="AE145" i="20"/>
  <c r="AF145" i="20"/>
  <c r="AG145" i="20"/>
  <c r="AJ145" i="20"/>
  <c r="AK145" i="20"/>
  <c r="AL145" i="20"/>
  <c r="AM145" i="20"/>
  <c r="AN145" i="20"/>
  <c r="E146" i="20"/>
  <c r="F146" i="20"/>
  <c r="G146" i="20"/>
  <c r="H146" i="20"/>
  <c r="I146" i="20"/>
  <c r="J146" i="20"/>
  <c r="K146" i="20"/>
  <c r="L146" i="20"/>
  <c r="M146" i="20"/>
  <c r="N146" i="20"/>
  <c r="O146" i="20"/>
  <c r="P146" i="20"/>
  <c r="Q146" i="20"/>
  <c r="T146" i="20"/>
  <c r="U146" i="20"/>
  <c r="V146" i="20"/>
  <c r="W146" i="20"/>
  <c r="X146" i="20"/>
  <c r="Y146" i="20"/>
  <c r="Z146" i="20"/>
  <c r="AA146" i="20"/>
  <c r="AB146" i="20"/>
  <c r="AC146" i="20"/>
  <c r="AD146" i="20"/>
  <c r="AE146" i="20"/>
  <c r="AF146" i="20"/>
  <c r="AG146" i="20"/>
  <c r="AJ146" i="20"/>
  <c r="AK146" i="20"/>
  <c r="AL146" i="20"/>
  <c r="AM146" i="20"/>
  <c r="AN146" i="20"/>
  <c r="E147" i="20"/>
  <c r="F147" i="20"/>
  <c r="G147" i="20"/>
  <c r="H147" i="20"/>
  <c r="I147" i="20"/>
  <c r="J147" i="20"/>
  <c r="K147" i="20"/>
  <c r="L147" i="20"/>
  <c r="M147" i="20"/>
  <c r="N147" i="20"/>
  <c r="O147" i="20"/>
  <c r="P147" i="20"/>
  <c r="Q147" i="20"/>
  <c r="T147" i="20"/>
  <c r="U147" i="20"/>
  <c r="V147" i="20"/>
  <c r="W147" i="20"/>
  <c r="X147" i="20"/>
  <c r="Y147" i="20"/>
  <c r="Z147" i="20"/>
  <c r="AA147" i="20"/>
  <c r="AB147" i="20"/>
  <c r="AC147" i="20"/>
  <c r="AD147" i="20"/>
  <c r="AE147" i="20"/>
  <c r="AF147" i="20"/>
  <c r="AG147" i="20"/>
  <c r="AJ147" i="20"/>
  <c r="AK147" i="20"/>
  <c r="AL147" i="20"/>
  <c r="AM147" i="20"/>
  <c r="AN147" i="20"/>
  <c r="E113" i="20"/>
  <c r="F113" i="20"/>
  <c r="G113" i="20"/>
  <c r="H113" i="20"/>
  <c r="I113" i="20"/>
  <c r="J113" i="20"/>
  <c r="K113" i="20"/>
  <c r="L113" i="20"/>
  <c r="M113" i="20"/>
  <c r="N113" i="20"/>
  <c r="O113" i="20"/>
  <c r="P113" i="20"/>
  <c r="Q113" i="20"/>
  <c r="T113" i="20"/>
  <c r="U113" i="20"/>
  <c r="V113" i="20"/>
  <c r="W113" i="20"/>
  <c r="X113" i="20"/>
  <c r="Y113" i="20"/>
  <c r="Z113" i="20"/>
  <c r="AA113" i="20"/>
  <c r="AB113" i="20"/>
  <c r="AC113" i="20"/>
  <c r="AD113" i="20"/>
  <c r="AE113" i="20"/>
  <c r="AF113" i="20"/>
  <c r="AG113" i="20"/>
  <c r="AJ113" i="20"/>
  <c r="AK113" i="20"/>
  <c r="AL113" i="20"/>
  <c r="AM113" i="20"/>
  <c r="AN113" i="20"/>
  <c r="E114" i="20"/>
  <c r="F114" i="20"/>
  <c r="G114" i="20"/>
  <c r="H114" i="20"/>
  <c r="I114" i="20"/>
  <c r="J114" i="20"/>
  <c r="K114" i="20"/>
  <c r="L114" i="20"/>
  <c r="M114" i="20"/>
  <c r="N114" i="20"/>
  <c r="O114" i="20"/>
  <c r="P114" i="20"/>
  <c r="Q114" i="20"/>
  <c r="T114" i="20"/>
  <c r="U114" i="20"/>
  <c r="V114" i="20"/>
  <c r="W114" i="20"/>
  <c r="X114" i="20"/>
  <c r="Y114" i="20"/>
  <c r="Z114" i="20"/>
  <c r="AA114" i="20"/>
  <c r="AB114" i="20"/>
  <c r="AC114" i="20"/>
  <c r="AD114" i="20"/>
  <c r="AE114" i="20"/>
  <c r="AF114" i="20"/>
  <c r="AG114" i="20"/>
  <c r="AJ114" i="20"/>
  <c r="AK114" i="20"/>
  <c r="AL114" i="20"/>
  <c r="AM114" i="20"/>
  <c r="AN114" i="20"/>
  <c r="E115" i="20"/>
  <c r="F115" i="20"/>
  <c r="G115" i="20"/>
  <c r="H115" i="20"/>
  <c r="I115" i="20"/>
  <c r="J115" i="20"/>
  <c r="K115" i="20"/>
  <c r="L115" i="20"/>
  <c r="M115" i="20"/>
  <c r="N115" i="20"/>
  <c r="O115" i="20"/>
  <c r="P115" i="20"/>
  <c r="Q115" i="20"/>
  <c r="T115" i="20"/>
  <c r="U115" i="20"/>
  <c r="V115" i="20"/>
  <c r="W115" i="20"/>
  <c r="X115" i="20"/>
  <c r="Y115" i="20"/>
  <c r="Z115" i="20"/>
  <c r="AA115" i="20"/>
  <c r="AB115" i="20"/>
  <c r="AC115" i="20"/>
  <c r="AD115" i="20"/>
  <c r="AE115" i="20"/>
  <c r="AF115" i="20"/>
  <c r="AG115" i="20"/>
  <c r="AJ115" i="20"/>
  <c r="AK115" i="20"/>
  <c r="AL115" i="20"/>
  <c r="AM115" i="20"/>
  <c r="AN115" i="20"/>
  <c r="E116" i="20"/>
  <c r="F116" i="20"/>
  <c r="G116" i="20"/>
  <c r="H116" i="20"/>
  <c r="I116" i="20"/>
  <c r="J116" i="20"/>
  <c r="K116" i="20"/>
  <c r="L116" i="20"/>
  <c r="M116" i="20"/>
  <c r="N116" i="20"/>
  <c r="O116" i="20"/>
  <c r="P116" i="20"/>
  <c r="Q116" i="20"/>
  <c r="T116" i="20"/>
  <c r="U116" i="20"/>
  <c r="V116" i="20"/>
  <c r="W116" i="20"/>
  <c r="X116" i="20"/>
  <c r="Y116" i="20"/>
  <c r="Z116" i="20"/>
  <c r="AA116" i="20"/>
  <c r="AB116" i="20"/>
  <c r="AC116" i="20"/>
  <c r="AD116" i="20"/>
  <c r="AE116" i="20"/>
  <c r="AF116" i="20"/>
  <c r="AG116" i="20"/>
  <c r="AJ116" i="20"/>
  <c r="AK116" i="20"/>
  <c r="AL116" i="20"/>
  <c r="AM116" i="20"/>
  <c r="AN116" i="20"/>
  <c r="E117" i="20"/>
  <c r="F117" i="20"/>
  <c r="G117" i="20"/>
  <c r="H117" i="20"/>
  <c r="I117" i="20"/>
  <c r="J117" i="20"/>
  <c r="K117" i="20"/>
  <c r="L117" i="20"/>
  <c r="M117" i="20"/>
  <c r="N117" i="20"/>
  <c r="O117" i="20"/>
  <c r="P117" i="20"/>
  <c r="Q117" i="20"/>
  <c r="T117" i="20"/>
  <c r="U117" i="20"/>
  <c r="V117" i="20"/>
  <c r="W117" i="20"/>
  <c r="X117" i="20"/>
  <c r="Y117" i="20"/>
  <c r="Z117" i="20"/>
  <c r="AA117" i="20"/>
  <c r="AB117" i="20"/>
  <c r="AC117" i="20"/>
  <c r="AD117" i="20"/>
  <c r="AE117" i="20"/>
  <c r="AF117" i="20"/>
  <c r="AG117" i="20"/>
  <c r="AJ117" i="20"/>
  <c r="AK117" i="20"/>
  <c r="AL117" i="20"/>
  <c r="AM117" i="20"/>
  <c r="AN117" i="20"/>
  <c r="E118" i="20"/>
  <c r="F118" i="20"/>
  <c r="G118" i="20"/>
  <c r="H118" i="20"/>
  <c r="I118" i="20"/>
  <c r="J118" i="20"/>
  <c r="K118" i="20"/>
  <c r="L118" i="20"/>
  <c r="M118" i="20"/>
  <c r="N118" i="20"/>
  <c r="O118" i="20"/>
  <c r="P118" i="20"/>
  <c r="Q118" i="20"/>
  <c r="T118" i="20"/>
  <c r="U118" i="20"/>
  <c r="V118" i="20"/>
  <c r="W118" i="20"/>
  <c r="X118" i="20"/>
  <c r="Y118" i="20"/>
  <c r="Z118" i="20"/>
  <c r="AA118" i="20"/>
  <c r="AB118" i="20"/>
  <c r="AC118" i="20"/>
  <c r="AD118" i="20"/>
  <c r="AE118" i="20"/>
  <c r="AF118" i="20"/>
  <c r="AG118" i="20"/>
  <c r="AJ118" i="20"/>
  <c r="AK118" i="20"/>
  <c r="AL118" i="20"/>
  <c r="AM118" i="20"/>
  <c r="AN118" i="20"/>
  <c r="E119" i="20"/>
  <c r="F119" i="20"/>
  <c r="G119" i="20"/>
  <c r="H119" i="20"/>
  <c r="I119" i="20"/>
  <c r="J119" i="20"/>
  <c r="K119" i="20"/>
  <c r="L119" i="20"/>
  <c r="M119" i="20"/>
  <c r="N119" i="20"/>
  <c r="O119" i="20"/>
  <c r="P119" i="20"/>
  <c r="Q119" i="20"/>
  <c r="T119" i="20"/>
  <c r="U119" i="20"/>
  <c r="V119" i="20"/>
  <c r="W119" i="20"/>
  <c r="X119" i="20"/>
  <c r="Y119" i="20"/>
  <c r="Z119" i="20"/>
  <c r="AA119" i="20"/>
  <c r="AB119" i="20"/>
  <c r="AC119" i="20"/>
  <c r="AD119" i="20"/>
  <c r="AE119" i="20"/>
  <c r="AF119" i="20"/>
  <c r="AG119" i="20"/>
  <c r="AJ119" i="20"/>
  <c r="AK119" i="20"/>
  <c r="AL119" i="20"/>
  <c r="AM119" i="20"/>
  <c r="AN119" i="20"/>
  <c r="E120" i="20"/>
  <c r="F120" i="20"/>
  <c r="G120" i="20"/>
  <c r="H120" i="20"/>
  <c r="I120" i="20"/>
  <c r="J120" i="20"/>
  <c r="K120" i="20"/>
  <c r="L120" i="20"/>
  <c r="M120" i="20"/>
  <c r="N120" i="20"/>
  <c r="O120" i="20"/>
  <c r="P120" i="20"/>
  <c r="Q120" i="20"/>
  <c r="T120" i="20"/>
  <c r="U120" i="20"/>
  <c r="V120" i="20"/>
  <c r="W120" i="20"/>
  <c r="X120" i="20"/>
  <c r="Y120" i="20"/>
  <c r="Z120" i="20"/>
  <c r="AA120" i="20"/>
  <c r="AB120" i="20"/>
  <c r="AC120" i="20"/>
  <c r="AD120" i="20"/>
  <c r="AE120" i="20"/>
  <c r="AF120" i="20"/>
  <c r="AG120" i="20"/>
  <c r="AJ120" i="20"/>
  <c r="AK120" i="20"/>
  <c r="AL120" i="20"/>
  <c r="AM120" i="20"/>
  <c r="AN120" i="20"/>
  <c r="E121" i="20"/>
  <c r="F121" i="20"/>
  <c r="G121" i="20"/>
  <c r="H121" i="20"/>
  <c r="I121" i="20"/>
  <c r="J121" i="20"/>
  <c r="K121" i="20"/>
  <c r="L121" i="20"/>
  <c r="M121" i="20"/>
  <c r="N121" i="20"/>
  <c r="O121" i="20"/>
  <c r="P121" i="20"/>
  <c r="Q121" i="20"/>
  <c r="T121" i="20"/>
  <c r="U121" i="20"/>
  <c r="V121" i="20"/>
  <c r="W121" i="20"/>
  <c r="X121" i="20"/>
  <c r="Y121" i="20"/>
  <c r="Z121" i="20"/>
  <c r="AA121" i="20"/>
  <c r="AB121" i="20"/>
  <c r="AC121" i="20"/>
  <c r="AD121" i="20"/>
  <c r="AE121" i="20"/>
  <c r="AF121" i="20"/>
  <c r="AG121" i="20"/>
  <c r="AJ121" i="20"/>
  <c r="AK121" i="20"/>
  <c r="AL121" i="20"/>
  <c r="AM121" i="20"/>
  <c r="AN121" i="20"/>
  <c r="E122" i="20"/>
  <c r="F122" i="20"/>
  <c r="G122" i="20"/>
  <c r="H122" i="20"/>
  <c r="I122" i="20"/>
  <c r="J122" i="20"/>
  <c r="K122" i="20"/>
  <c r="L122" i="20"/>
  <c r="M122" i="20"/>
  <c r="N122" i="20"/>
  <c r="O122" i="20"/>
  <c r="P122" i="20"/>
  <c r="Q122" i="20"/>
  <c r="T122" i="20"/>
  <c r="U122" i="20"/>
  <c r="V122" i="20"/>
  <c r="W122" i="20"/>
  <c r="X122" i="20"/>
  <c r="Y122" i="20"/>
  <c r="Z122" i="20"/>
  <c r="AA122" i="20"/>
  <c r="AB122" i="20"/>
  <c r="AC122" i="20"/>
  <c r="AD122" i="20"/>
  <c r="AE122" i="20"/>
  <c r="AF122" i="20"/>
  <c r="AG122" i="20"/>
  <c r="AJ122" i="20"/>
  <c r="AK122" i="20"/>
  <c r="AL122" i="20"/>
  <c r="AM122" i="20"/>
  <c r="AN122" i="20"/>
  <c r="E123" i="20"/>
  <c r="F123" i="20"/>
  <c r="G123" i="20"/>
  <c r="H123" i="20"/>
  <c r="I123" i="20"/>
  <c r="J123" i="20"/>
  <c r="K123" i="20"/>
  <c r="L123" i="20"/>
  <c r="M123" i="20"/>
  <c r="N123" i="20"/>
  <c r="O123" i="20"/>
  <c r="P123" i="20"/>
  <c r="Q123" i="20"/>
  <c r="T123" i="20"/>
  <c r="U123" i="20"/>
  <c r="V123" i="20"/>
  <c r="W123" i="20"/>
  <c r="X123" i="20"/>
  <c r="Y123" i="20"/>
  <c r="Z123" i="20"/>
  <c r="AA123" i="20"/>
  <c r="AB123" i="20"/>
  <c r="AC123" i="20"/>
  <c r="AD123" i="20"/>
  <c r="AE123" i="20"/>
  <c r="AF123" i="20"/>
  <c r="AG123" i="20"/>
  <c r="AJ123" i="20"/>
  <c r="AK123" i="20"/>
  <c r="AL123" i="20"/>
  <c r="AM123" i="20"/>
  <c r="AN123" i="20"/>
  <c r="E124" i="20"/>
  <c r="F124" i="20"/>
  <c r="G124" i="20"/>
  <c r="H124" i="20"/>
  <c r="I124" i="20"/>
  <c r="J124" i="20"/>
  <c r="K124" i="20"/>
  <c r="L124" i="20"/>
  <c r="M124" i="20"/>
  <c r="N124" i="20"/>
  <c r="O124" i="20"/>
  <c r="P124" i="20"/>
  <c r="Q124" i="20"/>
  <c r="T124" i="20"/>
  <c r="U124" i="20"/>
  <c r="V124" i="20"/>
  <c r="W124" i="20"/>
  <c r="X124" i="20"/>
  <c r="Y124" i="20"/>
  <c r="Z124" i="20"/>
  <c r="AA124" i="20"/>
  <c r="AB124" i="20"/>
  <c r="AC124" i="20"/>
  <c r="AD124" i="20"/>
  <c r="AE124" i="20"/>
  <c r="AF124" i="20"/>
  <c r="AG124" i="20"/>
  <c r="AJ124" i="20"/>
  <c r="AK124" i="20"/>
  <c r="AL124" i="20"/>
  <c r="AM124" i="20"/>
  <c r="AN124" i="20"/>
  <c r="E125" i="20"/>
  <c r="F125" i="20"/>
  <c r="G125" i="20"/>
  <c r="H125" i="20"/>
  <c r="I125" i="20"/>
  <c r="J125" i="20"/>
  <c r="K125" i="20"/>
  <c r="L125" i="20"/>
  <c r="M125" i="20"/>
  <c r="N125" i="20"/>
  <c r="O125" i="20"/>
  <c r="P125" i="20"/>
  <c r="Q125" i="20"/>
  <c r="T125" i="20"/>
  <c r="U125" i="20"/>
  <c r="V125" i="20"/>
  <c r="W125" i="20"/>
  <c r="X125" i="20"/>
  <c r="Y125" i="20"/>
  <c r="Z125" i="20"/>
  <c r="AA125" i="20"/>
  <c r="AB125" i="20"/>
  <c r="AC125" i="20"/>
  <c r="AD125" i="20"/>
  <c r="AE125" i="20"/>
  <c r="AF125" i="20"/>
  <c r="AG125" i="20"/>
  <c r="AJ125" i="20"/>
  <c r="AK125" i="20"/>
  <c r="AL125" i="20"/>
  <c r="AM125" i="20"/>
  <c r="AN125" i="20"/>
  <c r="E126" i="20"/>
  <c r="F126" i="20"/>
  <c r="G126" i="20"/>
  <c r="H126" i="20"/>
  <c r="I126" i="20"/>
  <c r="J126" i="20"/>
  <c r="K126" i="20"/>
  <c r="L126" i="20"/>
  <c r="M126" i="20"/>
  <c r="N126" i="20"/>
  <c r="O126" i="20"/>
  <c r="P126" i="20"/>
  <c r="Q126" i="20"/>
  <c r="T126" i="20"/>
  <c r="U126" i="20"/>
  <c r="V126" i="20"/>
  <c r="W126" i="20"/>
  <c r="X126" i="20"/>
  <c r="Y126" i="20"/>
  <c r="Z126" i="20"/>
  <c r="AA126" i="20"/>
  <c r="AB126" i="20"/>
  <c r="AC126" i="20"/>
  <c r="AD126" i="20"/>
  <c r="AE126" i="20"/>
  <c r="AF126" i="20"/>
  <c r="AG126" i="20"/>
  <c r="AJ126" i="20"/>
  <c r="AK126" i="20"/>
  <c r="AL126" i="20"/>
  <c r="AM126" i="20"/>
  <c r="AN126" i="20"/>
  <c r="E127" i="20"/>
  <c r="F127" i="20"/>
  <c r="G127" i="20"/>
  <c r="H127" i="20"/>
  <c r="I127" i="20"/>
  <c r="J127" i="20"/>
  <c r="K127" i="20"/>
  <c r="L127" i="20"/>
  <c r="M127" i="20"/>
  <c r="N127" i="20"/>
  <c r="O127" i="20"/>
  <c r="P127" i="20"/>
  <c r="Q127" i="20"/>
  <c r="T127" i="20"/>
  <c r="U127" i="20"/>
  <c r="V127" i="20"/>
  <c r="W127" i="20"/>
  <c r="X127" i="20"/>
  <c r="Y127" i="20"/>
  <c r="Z127" i="20"/>
  <c r="AA127" i="20"/>
  <c r="AB127" i="20"/>
  <c r="AC127" i="20"/>
  <c r="AD127" i="20"/>
  <c r="AE127" i="20"/>
  <c r="AF127" i="20"/>
  <c r="AG127" i="20"/>
  <c r="AJ127" i="20"/>
  <c r="AK127" i="20"/>
  <c r="AL127" i="20"/>
  <c r="AM127" i="20"/>
  <c r="AN127" i="20"/>
  <c r="E128" i="20"/>
  <c r="F128" i="20"/>
  <c r="G128" i="20"/>
  <c r="H128" i="20"/>
  <c r="I128" i="20"/>
  <c r="J128" i="20"/>
  <c r="K128" i="20"/>
  <c r="L128" i="20"/>
  <c r="M128" i="20"/>
  <c r="N128" i="20"/>
  <c r="O128" i="20"/>
  <c r="P128" i="20"/>
  <c r="Q128" i="20"/>
  <c r="T128" i="20"/>
  <c r="U128" i="20"/>
  <c r="V128" i="20"/>
  <c r="W128" i="20"/>
  <c r="X128" i="20"/>
  <c r="Y128" i="20"/>
  <c r="Z128" i="20"/>
  <c r="AA128" i="20"/>
  <c r="AB128" i="20"/>
  <c r="AC128" i="20"/>
  <c r="AD128" i="20"/>
  <c r="AE128" i="20"/>
  <c r="AF128" i="20"/>
  <c r="AG128" i="20"/>
  <c r="AJ128" i="20"/>
  <c r="AK128" i="20"/>
  <c r="AL128" i="20"/>
  <c r="AM128" i="20"/>
  <c r="AN128" i="20"/>
  <c r="E129" i="20"/>
  <c r="F129" i="20"/>
  <c r="G129" i="20"/>
  <c r="H129" i="20"/>
  <c r="I129" i="20"/>
  <c r="J129" i="20"/>
  <c r="K129" i="20"/>
  <c r="L129" i="20"/>
  <c r="M129" i="20"/>
  <c r="N129" i="20"/>
  <c r="O129" i="20"/>
  <c r="P129" i="20"/>
  <c r="Q129" i="20"/>
  <c r="T129" i="20"/>
  <c r="U129" i="20"/>
  <c r="V129" i="20"/>
  <c r="W129" i="20"/>
  <c r="X129" i="20"/>
  <c r="Y129" i="20"/>
  <c r="Z129" i="20"/>
  <c r="AA129" i="20"/>
  <c r="AB129" i="20"/>
  <c r="AC129" i="20"/>
  <c r="AD129" i="20"/>
  <c r="AE129" i="20"/>
  <c r="AF129" i="20"/>
  <c r="AG129" i="20"/>
  <c r="AJ129" i="20"/>
  <c r="AK129" i="20"/>
  <c r="AL129" i="20"/>
  <c r="AM129" i="20"/>
  <c r="AN129" i="20"/>
  <c r="D132" i="20"/>
  <c r="D133" i="20"/>
  <c r="D134" i="20"/>
  <c r="D135" i="20"/>
  <c r="D136" i="20"/>
  <c r="D137" i="20"/>
  <c r="D138" i="20"/>
  <c r="D139" i="20"/>
  <c r="D140" i="20"/>
  <c r="D141" i="20"/>
  <c r="D142" i="20"/>
  <c r="D143" i="20"/>
  <c r="D144" i="20"/>
  <c r="D145" i="20"/>
  <c r="D146" i="20"/>
  <c r="D147" i="20"/>
  <c r="D131" i="20"/>
  <c r="D124" i="20"/>
  <c r="D125" i="20"/>
  <c r="D126" i="20"/>
  <c r="D127" i="20"/>
  <c r="D128" i="20"/>
  <c r="D129" i="20"/>
  <c r="D114" i="20"/>
  <c r="D115" i="20"/>
  <c r="D116" i="20"/>
  <c r="D117" i="20"/>
  <c r="D118" i="20"/>
  <c r="D119" i="20"/>
  <c r="D120" i="20"/>
  <c r="D121" i="20"/>
  <c r="D122" i="20"/>
  <c r="D123" i="20"/>
  <c r="D113" i="20"/>
  <c r="E95" i="20"/>
  <c r="F95" i="20"/>
  <c r="G95" i="20"/>
  <c r="H95" i="20"/>
  <c r="I95" i="20"/>
  <c r="J95" i="20"/>
  <c r="K95" i="20"/>
  <c r="L95" i="20"/>
  <c r="M95" i="20"/>
  <c r="N95" i="20"/>
  <c r="O95" i="20"/>
  <c r="P95" i="20"/>
  <c r="Q95" i="20"/>
  <c r="T95" i="20"/>
  <c r="U95" i="20"/>
  <c r="V95" i="20"/>
  <c r="W95" i="20"/>
  <c r="X95" i="20"/>
  <c r="Y95" i="20"/>
  <c r="Z95" i="20"/>
  <c r="AA95" i="20"/>
  <c r="AB95" i="20"/>
  <c r="AC95" i="20"/>
  <c r="AD95" i="20"/>
  <c r="AE95" i="20"/>
  <c r="AF95" i="20"/>
  <c r="AG95" i="20"/>
  <c r="E96" i="20"/>
  <c r="F96" i="20"/>
  <c r="G96" i="20"/>
  <c r="H96" i="20"/>
  <c r="I96" i="20"/>
  <c r="J96" i="20"/>
  <c r="K96" i="20"/>
  <c r="L96" i="20"/>
  <c r="M96" i="20"/>
  <c r="N96" i="20"/>
  <c r="O96" i="20"/>
  <c r="P96" i="20"/>
  <c r="Q96" i="20"/>
  <c r="T96" i="20"/>
  <c r="U96" i="20"/>
  <c r="V96" i="20"/>
  <c r="W96" i="20"/>
  <c r="X96" i="20"/>
  <c r="Y96" i="20"/>
  <c r="Z96" i="20"/>
  <c r="AA96" i="20"/>
  <c r="AB96" i="20"/>
  <c r="AC96" i="20"/>
  <c r="AD96" i="20"/>
  <c r="AE96" i="20"/>
  <c r="AF96" i="20"/>
  <c r="AG96" i="20"/>
  <c r="E97" i="20"/>
  <c r="F97" i="20"/>
  <c r="G97" i="20"/>
  <c r="H97" i="20"/>
  <c r="I97" i="20"/>
  <c r="J97" i="20"/>
  <c r="K97" i="20"/>
  <c r="L97" i="20"/>
  <c r="M97" i="20"/>
  <c r="N97" i="20"/>
  <c r="O97" i="20"/>
  <c r="P97" i="20"/>
  <c r="Q97" i="20"/>
  <c r="T97" i="20"/>
  <c r="U97" i="20"/>
  <c r="V97" i="20"/>
  <c r="W97" i="20"/>
  <c r="X97" i="20"/>
  <c r="Y97" i="20"/>
  <c r="Z97" i="20"/>
  <c r="AA97" i="20"/>
  <c r="AB97" i="20"/>
  <c r="AC97" i="20"/>
  <c r="AD97" i="20"/>
  <c r="AE97" i="20"/>
  <c r="AF97" i="20"/>
  <c r="AG97" i="20"/>
  <c r="AJ97" i="20"/>
  <c r="AK97" i="20"/>
  <c r="AL97" i="20"/>
  <c r="AM97" i="20"/>
  <c r="AN97" i="20"/>
  <c r="E98" i="20"/>
  <c r="F98" i="20"/>
  <c r="G98" i="20"/>
  <c r="H98" i="20"/>
  <c r="I98" i="20"/>
  <c r="J98" i="20"/>
  <c r="K98" i="20"/>
  <c r="L98" i="20"/>
  <c r="M98" i="20"/>
  <c r="N98" i="20"/>
  <c r="O98" i="20"/>
  <c r="P98" i="20"/>
  <c r="Q98" i="20"/>
  <c r="T98" i="20"/>
  <c r="U98" i="20"/>
  <c r="V98" i="20"/>
  <c r="W98" i="20"/>
  <c r="X98" i="20"/>
  <c r="Y98" i="20"/>
  <c r="Z98" i="20"/>
  <c r="AA98" i="20"/>
  <c r="AB98" i="20"/>
  <c r="AC98" i="20"/>
  <c r="AD98" i="20"/>
  <c r="AE98" i="20"/>
  <c r="AF98" i="20"/>
  <c r="AG98" i="20"/>
  <c r="AJ98" i="20"/>
  <c r="AK98" i="20"/>
  <c r="AL98" i="20"/>
  <c r="AM98" i="20"/>
  <c r="AN98" i="20"/>
  <c r="E99" i="20"/>
  <c r="F99" i="20"/>
  <c r="G99" i="20"/>
  <c r="H99" i="20"/>
  <c r="I99" i="20"/>
  <c r="J99" i="20"/>
  <c r="K99" i="20"/>
  <c r="L99" i="20"/>
  <c r="M99" i="20"/>
  <c r="N99" i="20"/>
  <c r="O99" i="20"/>
  <c r="P99" i="20"/>
  <c r="Q99" i="20"/>
  <c r="T99" i="20"/>
  <c r="U99" i="20"/>
  <c r="V99" i="20"/>
  <c r="W99" i="20"/>
  <c r="X99" i="20"/>
  <c r="Y99" i="20"/>
  <c r="Z99" i="20"/>
  <c r="AA99" i="20"/>
  <c r="AB99" i="20"/>
  <c r="AC99" i="20"/>
  <c r="AD99" i="20"/>
  <c r="AE99" i="20"/>
  <c r="AF99" i="20"/>
  <c r="AG99" i="20"/>
  <c r="AJ99" i="20"/>
  <c r="AK99" i="20"/>
  <c r="AL99" i="20"/>
  <c r="AM99" i="20"/>
  <c r="AN99" i="20"/>
  <c r="E100" i="20"/>
  <c r="F100" i="20"/>
  <c r="G100" i="20"/>
  <c r="H100" i="20"/>
  <c r="I100" i="20"/>
  <c r="J100" i="20"/>
  <c r="K100" i="20"/>
  <c r="L100" i="20"/>
  <c r="M100" i="20"/>
  <c r="N100" i="20"/>
  <c r="O100" i="20"/>
  <c r="P100" i="20"/>
  <c r="Q100" i="20"/>
  <c r="T100" i="20"/>
  <c r="U100" i="20"/>
  <c r="V100" i="20"/>
  <c r="W100" i="20"/>
  <c r="X100" i="20"/>
  <c r="Y100" i="20"/>
  <c r="Z100" i="20"/>
  <c r="AA100" i="20"/>
  <c r="AB100" i="20"/>
  <c r="AC100" i="20"/>
  <c r="AD100" i="20"/>
  <c r="AE100" i="20"/>
  <c r="AF100" i="20"/>
  <c r="AG100" i="20"/>
  <c r="AJ100" i="20"/>
  <c r="AK100" i="20"/>
  <c r="AL100" i="20"/>
  <c r="AM100" i="20"/>
  <c r="AN100" i="20"/>
  <c r="E101" i="20"/>
  <c r="F101" i="20"/>
  <c r="G101" i="20"/>
  <c r="H101" i="20"/>
  <c r="I101" i="20"/>
  <c r="J101" i="20"/>
  <c r="K101" i="20"/>
  <c r="L101" i="20"/>
  <c r="M101" i="20"/>
  <c r="N101" i="20"/>
  <c r="O101" i="20"/>
  <c r="P101" i="20"/>
  <c r="Q101" i="20"/>
  <c r="T101" i="20"/>
  <c r="U101" i="20"/>
  <c r="V101" i="20"/>
  <c r="W101" i="20"/>
  <c r="X101" i="20"/>
  <c r="Y101" i="20"/>
  <c r="Z101" i="20"/>
  <c r="AA101" i="20"/>
  <c r="AB101" i="20"/>
  <c r="AC101" i="20"/>
  <c r="AD101" i="20"/>
  <c r="AE101" i="20"/>
  <c r="AF101" i="20"/>
  <c r="AG101" i="20"/>
  <c r="AJ101" i="20"/>
  <c r="AK101" i="20"/>
  <c r="AL101" i="20"/>
  <c r="AM101" i="20"/>
  <c r="AN101" i="20"/>
  <c r="E102" i="20"/>
  <c r="F102" i="20"/>
  <c r="G102" i="20"/>
  <c r="H102" i="20"/>
  <c r="I102" i="20"/>
  <c r="J102" i="20"/>
  <c r="K102" i="20"/>
  <c r="L102" i="20"/>
  <c r="M102" i="20"/>
  <c r="N102" i="20"/>
  <c r="O102" i="20"/>
  <c r="P102" i="20"/>
  <c r="Q102" i="20"/>
  <c r="T102" i="20"/>
  <c r="U102" i="20"/>
  <c r="V102" i="20"/>
  <c r="W102" i="20"/>
  <c r="X102" i="20"/>
  <c r="Y102" i="20"/>
  <c r="Z102" i="20"/>
  <c r="AA102" i="20"/>
  <c r="AB102" i="20"/>
  <c r="AC102" i="20"/>
  <c r="AD102" i="20"/>
  <c r="AE102" i="20"/>
  <c r="AF102" i="20"/>
  <c r="AG102" i="20"/>
  <c r="AJ102" i="20"/>
  <c r="AK102" i="20"/>
  <c r="AL102" i="20"/>
  <c r="AM102" i="20"/>
  <c r="AN102" i="20"/>
  <c r="E103" i="20"/>
  <c r="F103" i="20"/>
  <c r="G103" i="20"/>
  <c r="H103" i="20"/>
  <c r="I103" i="20"/>
  <c r="J103" i="20"/>
  <c r="K103" i="20"/>
  <c r="L103" i="20"/>
  <c r="M103" i="20"/>
  <c r="N103" i="20"/>
  <c r="O103" i="20"/>
  <c r="P103" i="20"/>
  <c r="Q103" i="20"/>
  <c r="T103" i="20"/>
  <c r="U103" i="20"/>
  <c r="V103" i="20"/>
  <c r="W103" i="20"/>
  <c r="X103" i="20"/>
  <c r="Y103" i="20"/>
  <c r="Z103" i="20"/>
  <c r="AA103" i="20"/>
  <c r="AB103" i="20"/>
  <c r="AC103" i="20"/>
  <c r="AD103" i="20"/>
  <c r="AE103" i="20"/>
  <c r="AF103" i="20"/>
  <c r="AG103" i="20"/>
  <c r="AJ103" i="20"/>
  <c r="AK103" i="20"/>
  <c r="AL103" i="20"/>
  <c r="AM103" i="20"/>
  <c r="AN103" i="20"/>
  <c r="E104" i="20"/>
  <c r="F104" i="20"/>
  <c r="G104" i="20"/>
  <c r="H104" i="20"/>
  <c r="I104" i="20"/>
  <c r="J104" i="20"/>
  <c r="K104" i="20"/>
  <c r="L104" i="20"/>
  <c r="M104" i="20"/>
  <c r="N104" i="20"/>
  <c r="O104" i="20"/>
  <c r="P104" i="20"/>
  <c r="Q104" i="20"/>
  <c r="T104" i="20"/>
  <c r="U104" i="20"/>
  <c r="V104" i="20"/>
  <c r="W104" i="20"/>
  <c r="X104" i="20"/>
  <c r="Y104" i="20"/>
  <c r="Z104" i="20"/>
  <c r="AA104" i="20"/>
  <c r="AB104" i="20"/>
  <c r="AC104" i="20"/>
  <c r="AD104" i="20"/>
  <c r="AE104" i="20"/>
  <c r="AF104" i="20"/>
  <c r="AG104" i="20"/>
  <c r="AJ104" i="20"/>
  <c r="AK104" i="20"/>
  <c r="AL104" i="20"/>
  <c r="AM104" i="20"/>
  <c r="AN104" i="20"/>
  <c r="E105" i="20"/>
  <c r="F105" i="20"/>
  <c r="G105" i="20"/>
  <c r="H105" i="20"/>
  <c r="I105" i="20"/>
  <c r="J105" i="20"/>
  <c r="K105" i="20"/>
  <c r="L105" i="20"/>
  <c r="M105" i="20"/>
  <c r="N105" i="20"/>
  <c r="O105" i="20"/>
  <c r="P105" i="20"/>
  <c r="Q105" i="20"/>
  <c r="T105" i="20"/>
  <c r="U105" i="20"/>
  <c r="V105" i="20"/>
  <c r="W105" i="20"/>
  <c r="X105" i="20"/>
  <c r="Y105" i="20"/>
  <c r="Z105" i="20"/>
  <c r="AA105" i="20"/>
  <c r="AB105" i="20"/>
  <c r="AC105" i="20"/>
  <c r="AD105" i="20"/>
  <c r="AE105" i="20"/>
  <c r="AF105" i="20"/>
  <c r="AG105" i="20"/>
  <c r="AJ105" i="20"/>
  <c r="AK105" i="20"/>
  <c r="AL105" i="20"/>
  <c r="AM105" i="20"/>
  <c r="AN105" i="20"/>
  <c r="E106" i="20"/>
  <c r="F106" i="20"/>
  <c r="G106" i="20"/>
  <c r="H106" i="20"/>
  <c r="I106" i="20"/>
  <c r="J106" i="20"/>
  <c r="K106" i="20"/>
  <c r="L106" i="20"/>
  <c r="M106" i="20"/>
  <c r="N106" i="20"/>
  <c r="O106" i="20"/>
  <c r="P106" i="20"/>
  <c r="Q106" i="20"/>
  <c r="T106" i="20"/>
  <c r="U106" i="20"/>
  <c r="V106" i="20"/>
  <c r="W106" i="20"/>
  <c r="X106" i="20"/>
  <c r="Y106" i="20"/>
  <c r="Z106" i="20"/>
  <c r="AA106" i="20"/>
  <c r="AB106" i="20"/>
  <c r="AC106" i="20"/>
  <c r="AD106" i="20"/>
  <c r="AE106" i="20"/>
  <c r="AF106" i="20"/>
  <c r="AG106" i="20"/>
  <c r="AJ106" i="20"/>
  <c r="AK106" i="20"/>
  <c r="AL106" i="20"/>
  <c r="AM106" i="20"/>
  <c r="AN106" i="20"/>
  <c r="E107" i="20"/>
  <c r="F107" i="20"/>
  <c r="G107" i="20"/>
  <c r="H107" i="20"/>
  <c r="I107" i="20"/>
  <c r="J107" i="20"/>
  <c r="K107" i="20"/>
  <c r="L107" i="20"/>
  <c r="M107" i="20"/>
  <c r="N107" i="20"/>
  <c r="O107" i="20"/>
  <c r="P107" i="20"/>
  <c r="Q107" i="20"/>
  <c r="T107" i="20"/>
  <c r="U107" i="20"/>
  <c r="V107" i="20"/>
  <c r="W107" i="20"/>
  <c r="X107" i="20"/>
  <c r="Y107" i="20"/>
  <c r="Z107" i="20"/>
  <c r="AA107" i="20"/>
  <c r="AB107" i="20"/>
  <c r="AC107" i="20"/>
  <c r="AD107" i="20"/>
  <c r="AE107" i="20"/>
  <c r="AF107" i="20"/>
  <c r="AG107" i="20"/>
  <c r="AJ107" i="20"/>
  <c r="AK107" i="20"/>
  <c r="AL107" i="20"/>
  <c r="AM107" i="20"/>
  <c r="AN107" i="20"/>
  <c r="E108" i="20"/>
  <c r="F108" i="20"/>
  <c r="G108" i="20"/>
  <c r="H108" i="20"/>
  <c r="I108" i="20"/>
  <c r="J108" i="20"/>
  <c r="K108" i="20"/>
  <c r="L108" i="20"/>
  <c r="M108" i="20"/>
  <c r="N108" i="20"/>
  <c r="O108" i="20"/>
  <c r="P108" i="20"/>
  <c r="Q108" i="20"/>
  <c r="T108" i="20"/>
  <c r="U108" i="20"/>
  <c r="V108" i="20"/>
  <c r="W108" i="20"/>
  <c r="X108" i="20"/>
  <c r="Y108" i="20"/>
  <c r="Z108" i="20"/>
  <c r="AA108" i="20"/>
  <c r="AB108" i="20"/>
  <c r="AC108" i="20"/>
  <c r="AD108" i="20"/>
  <c r="AE108" i="20"/>
  <c r="AF108" i="20"/>
  <c r="AG108" i="20"/>
  <c r="AJ108" i="20"/>
  <c r="AK108" i="20"/>
  <c r="AL108" i="20"/>
  <c r="AM108" i="20"/>
  <c r="AN108" i="20"/>
  <c r="E109" i="20"/>
  <c r="F109" i="20"/>
  <c r="G109" i="20"/>
  <c r="H109" i="20"/>
  <c r="I109" i="20"/>
  <c r="J109" i="20"/>
  <c r="K109" i="20"/>
  <c r="L109" i="20"/>
  <c r="M109" i="20"/>
  <c r="N109" i="20"/>
  <c r="O109" i="20"/>
  <c r="P109" i="20"/>
  <c r="Q109" i="20"/>
  <c r="T109" i="20"/>
  <c r="U109" i="20"/>
  <c r="V109" i="20"/>
  <c r="W109" i="20"/>
  <c r="X109" i="20"/>
  <c r="Y109" i="20"/>
  <c r="Z109" i="20"/>
  <c r="AA109" i="20"/>
  <c r="AB109" i="20"/>
  <c r="AC109" i="20"/>
  <c r="AD109" i="20"/>
  <c r="AE109" i="20"/>
  <c r="AF109" i="20"/>
  <c r="AG109" i="20"/>
  <c r="AJ109" i="20"/>
  <c r="AK109" i="20"/>
  <c r="AL109" i="20"/>
  <c r="AM109" i="20"/>
  <c r="AN109" i="20"/>
  <c r="E110" i="20"/>
  <c r="F110" i="20"/>
  <c r="G110" i="20"/>
  <c r="H110" i="20"/>
  <c r="I110" i="20"/>
  <c r="J110" i="20"/>
  <c r="K110" i="20"/>
  <c r="L110" i="20"/>
  <c r="M110" i="20"/>
  <c r="N110" i="20"/>
  <c r="O110" i="20"/>
  <c r="P110" i="20"/>
  <c r="Q110" i="20"/>
  <c r="T110" i="20"/>
  <c r="U110" i="20"/>
  <c r="V110" i="20"/>
  <c r="W110" i="20"/>
  <c r="X110" i="20"/>
  <c r="Y110" i="20"/>
  <c r="Z110" i="20"/>
  <c r="AA110" i="20"/>
  <c r="AB110" i="20"/>
  <c r="AC110" i="20"/>
  <c r="AD110" i="20"/>
  <c r="AE110" i="20"/>
  <c r="AF110" i="20"/>
  <c r="AG110" i="20"/>
  <c r="AJ110" i="20"/>
  <c r="AK110" i="20"/>
  <c r="AL110" i="20"/>
  <c r="AM110" i="20"/>
  <c r="AN110" i="20"/>
  <c r="E111" i="20"/>
  <c r="F111" i="20"/>
  <c r="G111" i="20"/>
  <c r="H111" i="20"/>
  <c r="I111" i="20"/>
  <c r="J111" i="20"/>
  <c r="K111" i="20"/>
  <c r="L111" i="20"/>
  <c r="M111" i="20"/>
  <c r="N111" i="20"/>
  <c r="O111" i="20"/>
  <c r="P111" i="20"/>
  <c r="Q111" i="20"/>
  <c r="T111" i="20"/>
  <c r="U111" i="20"/>
  <c r="V111" i="20"/>
  <c r="W111" i="20"/>
  <c r="X111" i="20"/>
  <c r="Y111" i="20"/>
  <c r="Z111" i="20"/>
  <c r="AA111" i="20"/>
  <c r="AB111" i="20"/>
  <c r="AC111" i="20"/>
  <c r="AD111" i="20"/>
  <c r="AE111" i="20"/>
  <c r="AF111" i="20"/>
  <c r="AG111" i="20"/>
  <c r="AJ111" i="20"/>
  <c r="AK111" i="20"/>
  <c r="AL111" i="20"/>
  <c r="AM111" i="20"/>
  <c r="AN111" i="20"/>
  <c r="D108" i="20"/>
  <c r="D109" i="20"/>
  <c r="D110" i="20"/>
  <c r="D111" i="20"/>
  <c r="D99" i="20"/>
  <c r="D100" i="20"/>
  <c r="D96" i="20"/>
  <c r="D97" i="20"/>
  <c r="D98" i="20"/>
  <c r="D101" i="20"/>
  <c r="D102" i="20"/>
  <c r="D103" i="20"/>
  <c r="D104" i="20"/>
  <c r="D105" i="20"/>
  <c r="D106" i="20"/>
  <c r="D107" i="20"/>
  <c r="D95" i="20"/>
  <c r="E77" i="20"/>
  <c r="F77" i="20"/>
  <c r="G77" i="20"/>
  <c r="H77" i="20"/>
  <c r="I77" i="20"/>
  <c r="J77" i="20"/>
  <c r="K77" i="20"/>
  <c r="L77" i="20"/>
  <c r="M77" i="20"/>
  <c r="N77" i="20"/>
  <c r="O77" i="20"/>
  <c r="P77" i="20"/>
  <c r="Q77" i="20"/>
  <c r="T77" i="20"/>
  <c r="U77" i="20"/>
  <c r="V77" i="20"/>
  <c r="W77" i="20"/>
  <c r="X77" i="20"/>
  <c r="Y77" i="20"/>
  <c r="Z77" i="20"/>
  <c r="AA77" i="20"/>
  <c r="AB77" i="20"/>
  <c r="AC77" i="20"/>
  <c r="AD77" i="20"/>
  <c r="AE77" i="20"/>
  <c r="AF77" i="20"/>
  <c r="AG77" i="20"/>
  <c r="AH77" i="20"/>
  <c r="AI77" i="20"/>
  <c r="AJ77" i="20"/>
  <c r="AK77" i="20"/>
  <c r="AL77" i="20"/>
  <c r="AM77" i="20"/>
  <c r="AN77" i="20"/>
  <c r="AO77" i="20"/>
  <c r="AP77" i="20"/>
  <c r="AQ77" i="20"/>
  <c r="AU77" i="20"/>
  <c r="BE77" i="20"/>
  <c r="E78" i="20"/>
  <c r="F78" i="20"/>
  <c r="G78" i="20"/>
  <c r="H78" i="20"/>
  <c r="I78" i="20"/>
  <c r="J78" i="20"/>
  <c r="K78" i="20"/>
  <c r="L78" i="20"/>
  <c r="M78" i="20"/>
  <c r="N78" i="20"/>
  <c r="O78" i="20"/>
  <c r="P78" i="20"/>
  <c r="Q78" i="20"/>
  <c r="T78" i="20"/>
  <c r="U78" i="20"/>
  <c r="V78" i="20"/>
  <c r="W78" i="20"/>
  <c r="X78" i="20"/>
  <c r="Y78" i="20"/>
  <c r="Z78" i="20"/>
  <c r="AA78" i="20"/>
  <c r="AB78" i="20"/>
  <c r="AC78" i="20"/>
  <c r="AD78" i="20"/>
  <c r="AE78" i="20"/>
  <c r="AF78" i="20"/>
  <c r="AG78" i="20"/>
  <c r="AH78" i="20"/>
  <c r="AI78" i="20"/>
  <c r="AJ78" i="20"/>
  <c r="AK78" i="20"/>
  <c r="AL78" i="20"/>
  <c r="AM78" i="20"/>
  <c r="AN78" i="20"/>
  <c r="AO78" i="20"/>
  <c r="AP78" i="20"/>
  <c r="AQ78" i="20"/>
  <c r="AU78" i="20"/>
  <c r="BE78" i="20"/>
  <c r="E79" i="20"/>
  <c r="F79" i="20"/>
  <c r="G79" i="20"/>
  <c r="H79" i="20"/>
  <c r="I79" i="20"/>
  <c r="J79" i="20"/>
  <c r="K79" i="20"/>
  <c r="L79" i="20"/>
  <c r="M79" i="20"/>
  <c r="N79" i="20"/>
  <c r="O79" i="20"/>
  <c r="P79" i="20"/>
  <c r="Q79" i="20"/>
  <c r="T79" i="20"/>
  <c r="U79" i="20"/>
  <c r="V79" i="20"/>
  <c r="W79" i="20"/>
  <c r="X79" i="20"/>
  <c r="Y79" i="20"/>
  <c r="Z79" i="20"/>
  <c r="AA79" i="20"/>
  <c r="AB79" i="20"/>
  <c r="AC79" i="20"/>
  <c r="AD79" i="20"/>
  <c r="AE79" i="20"/>
  <c r="AF79" i="20"/>
  <c r="AG79" i="20"/>
  <c r="AH79" i="20"/>
  <c r="AI79" i="20"/>
  <c r="AJ79" i="20"/>
  <c r="AK79" i="20"/>
  <c r="AL79" i="20"/>
  <c r="AM79" i="20"/>
  <c r="AN79" i="20"/>
  <c r="AO79" i="20"/>
  <c r="AP79" i="20"/>
  <c r="AQ79" i="20"/>
  <c r="AU79" i="20"/>
  <c r="BE79" i="20"/>
  <c r="E80" i="20"/>
  <c r="F80" i="20"/>
  <c r="G80" i="20"/>
  <c r="H80" i="20"/>
  <c r="I80" i="20"/>
  <c r="J80" i="20"/>
  <c r="K80" i="20"/>
  <c r="L80" i="20"/>
  <c r="M80" i="20"/>
  <c r="N80" i="20"/>
  <c r="O80" i="20"/>
  <c r="P80" i="20"/>
  <c r="Q80" i="20"/>
  <c r="T80" i="20"/>
  <c r="U80" i="20"/>
  <c r="V80" i="20"/>
  <c r="W80" i="20"/>
  <c r="X80" i="20"/>
  <c r="Y80" i="20"/>
  <c r="Z80" i="20"/>
  <c r="AA80" i="20"/>
  <c r="AB80" i="20"/>
  <c r="AC80" i="20"/>
  <c r="AD80" i="20"/>
  <c r="AE80" i="20"/>
  <c r="AF80" i="20"/>
  <c r="AG80" i="20"/>
  <c r="AH80" i="20"/>
  <c r="AI80" i="20"/>
  <c r="AJ80" i="20"/>
  <c r="AK80" i="20"/>
  <c r="AL80" i="20"/>
  <c r="AM80" i="20"/>
  <c r="AN80" i="20"/>
  <c r="AO80" i="20"/>
  <c r="AP80" i="20"/>
  <c r="AQ80" i="20"/>
  <c r="AU80" i="20"/>
  <c r="BE80" i="20"/>
  <c r="E81" i="20"/>
  <c r="F81" i="20"/>
  <c r="G81" i="20"/>
  <c r="H81" i="20"/>
  <c r="I81" i="20"/>
  <c r="J81" i="20"/>
  <c r="K81" i="20"/>
  <c r="L81" i="20"/>
  <c r="M81" i="20"/>
  <c r="N81" i="20"/>
  <c r="O81" i="20"/>
  <c r="P81" i="20"/>
  <c r="Q81" i="20"/>
  <c r="T81" i="20"/>
  <c r="U81" i="20"/>
  <c r="V81" i="20"/>
  <c r="W81" i="20"/>
  <c r="X81" i="20"/>
  <c r="Y81" i="20"/>
  <c r="Z81" i="20"/>
  <c r="AA81" i="20"/>
  <c r="AB81" i="20"/>
  <c r="AC81" i="20"/>
  <c r="AD81" i="20"/>
  <c r="AE81" i="20"/>
  <c r="AF81" i="20"/>
  <c r="AG81" i="20"/>
  <c r="AH81" i="20"/>
  <c r="AI81" i="20"/>
  <c r="AJ81" i="20"/>
  <c r="AK81" i="20"/>
  <c r="AL81" i="20"/>
  <c r="AM81" i="20"/>
  <c r="AN81" i="20"/>
  <c r="AO81" i="20"/>
  <c r="AP81" i="20"/>
  <c r="AQ81" i="20"/>
  <c r="AU81" i="20"/>
  <c r="BE81" i="20"/>
  <c r="E82" i="20"/>
  <c r="F82" i="20"/>
  <c r="G82" i="20"/>
  <c r="H82" i="20"/>
  <c r="I82" i="20"/>
  <c r="J82" i="20"/>
  <c r="K82" i="20"/>
  <c r="L82" i="20"/>
  <c r="M82" i="20"/>
  <c r="N82" i="20"/>
  <c r="O82" i="20"/>
  <c r="P82" i="20"/>
  <c r="Q82" i="20"/>
  <c r="T82" i="20"/>
  <c r="U82" i="20"/>
  <c r="V82" i="20"/>
  <c r="W82" i="20"/>
  <c r="X82" i="20"/>
  <c r="Y82" i="20"/>
  <c r="Z82" i="20"/>
  <c r="AA82" i="20"/>
  <c r="AB82" i="20"/>
  <c r="AC82" i="20"/>
  <c r="AD82" i="20"/>
  <c r="AE82" i="20"/>
  <c r="AF82" i="20"/>
  <c r="AG82" i="20"/>
  <c r="AH82" i="20"/>
  <c r="AI82" i="20"/>
  <c r="AJ82" i="20"/>
  <c r="AK82" i="20"/>
  <c r="AL82" i="20"/>
  <c r="AM82" i="20"/>
  <c r="AN82" i="20"/>
  <c r="AO82" i="20"/>
  <c r="AP82" i="20"/>
  <c r="AQ82" i="20"/>
  <c r="AU82" i="20"/>
  <c r="BE82" i="20"/>
  <c r="E83" i="20"/>
  <c r="F83" i="20"/>
  <c r="G83" i="20"/>
  <c r="H83" i="20"/>
  <c r="I83" i="20"/>
  <c r="J83" i="20"/>
  <c r="K83" i="20"/>
  <c r="L83" i="20"/>
  <c r="M83" i="20"/>
  <c r="N83" i="20"/>
  <c r="O83" i="20"/>
  <c r="P83" i="20"/>
  <c r="Q83" i="20"/>
  <c r="T83" i="20"/>
  <c r="U83" i="20"/>
  <c r="V83" i="20"/>
  <c r="W83" i="20"/>
  <c r="X83" i="20"/>
  <c r="Y83" i="20"/>
  <c r="Z83" i="20"/>
  <c r="AA83" i="20"/>
  <c r="AB83" i="20"/>
  <c r="AC83" i="20"/>
  <c r="AD83" i="20"/>
  <c r="AE83" i="20"/>
  <c r="AF83" i="20"/>
  <c r="AG83" i="20"/>
  <c r="AH83" i="20"/>
  <c r="AI83" i="20"/>
  <c r="AJ83" i="20"/>
  <c r="AK83" i="20"/>
  <c r="AL83" i="20"/>
  <c r="AM83" i="20"/>
  <c r="AN83" i="20"/>
  <c r="AO83" i="20"/>
  <c r="AP83" i="20"/>
  <c r="AQ83" i="20"/>
  <c r="AU83" i="20"/>
  <c r="BE83" i="20"/>
  <c r="E84" i="20"/>
  <c r="F84" i="20"/>
  <c r="G84" i="20"/>
  <c r="H84" i="20"/>
  <c r="I84" i="20"/>
  <c r="J84" i="20"/>
  <c r="K84" i="20"/>
  <c r="L84" i="20"/>
  <c r="M84" i="20"/>
  <c r="N84" i="20"/>
  <c r="O84" i="20"/>
  <c r="P84" i="20"/>
  <c r="Q84" i="20"/>
  <c r="T84" i="20"/>
  <c r="U84" i="20"/>
  <c r="V84" i="20"/>
  <c r="W84" i="20"/>
  <c r="X84" i="20"/>
  <c r="Y84" i="20"/>
  <c r="Z84" i="20"/>
  <c r="AA84" i="20"/>
  <c r="AB84" i="20"/>
  <c r="AC84" i="20"/>
  <c r="AD84" i="20"/>
  <c r="AE84" i="20"/>
  <c r="AF84" i="20"/>
  <c r="AG84" i="20"/>
  <c r="AH84" i="20"/>
  <c r="AI84" i="20"/>
  <c r="AJ84" i="20"/>
  <c r="AK84" i="20"/>
  <c r="AL84" i="20"/>
  <c r="AM84" i="20"/>
  <c r="AN84" i="20"/>
  <c r="AO84" i="20"/>
  <c r="AP84" i="20"/>
  <c r="AQ84" i="20"/>
  <c r="AU84" i="20"/>
  <c r="BE84" i="20"/>
  <c r="E85" i="20"/>
  <c r="F85" i="20"/>
  <c r="G85" i="20"/>
  <c r="H85" i="20"/>
  <c r="I85" i="20"/>
  <c r="J85" i="20"/>
  <c r="K85" i="20"/>
  <c r="L85" i="20"/>
  <c r="M85" i="20"/>
  <c r="N85" i="20"/>
  <c r="O85" i="20"/>
  <c r="P85" i="20"/>
  <c r="Q85" i="20"/>
  <c r="T85" i="20"/>
  <c r="U85" i="20"/>
  <c r="V85" i="20"/>
  <c r="W85" i="20"/>
  <c r="X85" i="20"/>
  <c r="Y85" i="20"/>
  <c r="Z85" i="20"/>
  <c r="AA85" i="20"/>
  <c r="AB85" i="20"/>
  <c r="AC85" i="20"/>
  <c r="AD85" i="20"/>
  <c r="AE85" i="20"/>
  <c r="AF85" i="20"/>
  <c r="AG85" i="20"/>
  <c r="AH85" i="20"/>
  <c r="AI85" i="20"/>
  <c r="AJ85" i="20"/>
  <c r="AK85" i="20"/>
  <c r="AL85" i="20"/>
  <c r="AM85" i="20"/>
  <c r="AN85" i="20"/>
  <c r="AO85" i="20"/>
  <c r="AP85" i="20"/>
  <c r="AQ85" i="20"/>
  <c r="BE85" i="20"/>
  <c r="E86" i="20"/>
  <c r="F86" i="20"/>
  <c r="G86" i="20"/>
  <c r="H86" i="20"/>
  <c r="I86" i="20"/>
  <c r="J86" i="20"/>
  <c r="K86" i="20"/>
  <c r="L86" i="20"/>
  <c r="M86" i="20"/>
  <c r="N86" i="20"/>
  <c r="O86" i="20"/>
  <c r="P86" i="20"/>
  <c r="Q86" i="20"/>
  <c r="T86" i="20"/>
  <c r="U86" i="20"/>
  <c r="V86" i="20"/>
  <c r="W86" i="20"/>
  <c r="X86" i="20"/>
  <c r="Y86" i="20"/>
  <c r="Z86" i="20"/>
  <c r="AA86" i="20"/>
  <c r="AB86" i="20"/>
  <c r="AC86" i="20"/>
  <c r="AD86" i="20"/>
  <c r="AE86" i="20"/>
  <c r="AF86" i="20"/>
  <c r="AG86" i="20"/>
  <c r="AH86" i="20"/>
  <c r="AI86" i="20"/>
  <c r="AJ86" i="20"/>
  <c r="AK86" i="20"/>
  <c r="AL86" i="20"/>
  <c r="AM86" i="20"/>
  <c r="AN86" i="20"/>
  <c r="AO86" i="20"/>
  <c r="AP86" i="20"/>
  <c r="AQ86" i="20"/>
  <c r="AU86" i="20"/>
  <c r="BE86" i="20"/>
  <c r="E87" i="20"/>
  <c r="F87" i="20"/>
  <c r="G87" i="20"/>
  <c r="H87" i="20"/>
  <c r="I87" i="20"/>
  <c r="J87" i="20"/>
  <c r="K87" i="20"/>
  <c r="L87" i="20"/>
  <c r="M87" i="20"/>
  <c r="N87" i="20"/>
  <c r="O87" i="20"/>
  <c r="P87" i="20"/>
  <c r="Q87" i="20"/>
  <c r="T87" i="20"/>
  <c r="U87" i="20"/>
  <c r="V87" i="20"/>
  <c r="W87" i="20"/>
  <c r="X87" i="20"/>
  <c r="Y87" i="20"/>
  <c r="Z87" i="20"/>
  <c r="AA87" i="20"/>
  <c r="AB87" i="20"/>
  <c r="AC87" i="20"/>
  <c r="AD87" i="20"/>
  <c r="AE87" i="20"/>
  <c r="AF87" i="20"/>
  <c r="AG87" i="20"/>
  <c r="AH87" i="20"/>
  <c r="AI87" i="20"/>
  <c r="AJ87" i="20"/>
  <c r="AK87" i="20"/>
  <c r="AL87" i="20"/>
  <c r="AM87" i="20"/>
  <c r="AN87" i="20"/>
  <c r="AO87" i="20"/>
  <c r="AP87" i="20"/>
  <c r="AQ87" i="20"/>
  <c r="AU87" i="20"/>
  <c r="BE87" i="20"/>
  <c r="E88" i="20"/>
  <c r="F88" i="20"/>
  <c r="G88" i="20"/>
  <c r="H88" i="20"/>
  <c r="I88" i="20"/>
  <c r="J88" i="20"/>
  <c r="K88" i="20"/>
  <c r="L88" i="20"/>
  <c r="M88" i="20"/>
  <c r="N88" i="20"/>
  <c r="O88" i="20"/>
  <c r="P88" i="20"/>
  <c r="Q88" i="20"/>
  <c r="T88" i="20"/>
  <c r="U88" i="20"/>
  <c r="V88" i="20"/>
  <c r="W88" i="20"/>
  <c r="X88" i="20"/>
  <c r="Y88" i="20"/>
  <c r="Z88" i="20"/>
  <c r="AA88" i="20"/>
  <c r="AB88" i="20"/>
  <c r="AC88" i="20"/>
  <c r="AD88" i="20"/>
  <c r="AE88" i="20"/>
  <c r="AF88" i="20"/>
  <c r="AG88" i="20"/>
  <c r="AH88" i="20"/>
  <c r="AI88" i="20"/>
  <c r="AJ88" i="20"/>
  <c r="AK88" i="20"/>
  <c r="AL88" i="20"/>
  <c r="AM88" i="20"/>
  <c r="AN88" i="20"/>
  <c r="AO88" i="20"/>
  <c r="AP88" i="20"/>
  <c r="AQ88" i="20"/>
  <c r="AU88" i="20"/>
  <c r="BE88" i="20"/>
  <c r="E89" i="20"/>
  <c r="F89" i="20"/>
  <c r="G89" i="20"/>
  <c r="H89" i="20"/>
  <c r="I89" i="20"/>
  <c r="J89" i="20"/>
  <c r="K89" i="20"/>
  <c r="L89" i="20"/>
  <c r="M89" i="20"/>
  <c r="N89" i="20"/>
  <c r="O89" i="20"/>
  <c r="P89" i="20"/>
  <c r="Q89" i="20"/>
  <c r="T89" i="20"/>
  <c r="U89" i="20"/>
  <c r="V89" i="20"/>
  <c r="W89" i="20"/>
  <c r="X89" i="20"/>
  <c r="Y89" i="20"/>
  <c r="Z89" i="20"/>
  <c r="AA89" i="20"/>
  <c r="AB89" i="20"/>
  <c r="AC89" i="20"/>
  <c r="AD89" i="20"/>
  <c r="AE89" i="20"/>
  <c r="AF89" i="20"/>
  <c r="AG89" i="20"/>
  <c r="AH89" i="20"/>
  <c r="AI89" i="20"/>
  <c r="AJ89" i="20"/>
  <c r="AK89" i="20"/>
  <c r="AL89" i="20"/>
  <c r="AM89" i="20"/>
  <c r="AN89" i="20"/>
  <c r="AO89" i="20"/>
  <c r="AP89" i="20"/>
  <c r="AU89" i="20"/>
  <c r="BE89" i="20"/>
  <c r="E90" i="20"/>
  <c r="F90" i="20"/>
  <c r="G90" i="20"/>
  <c r="H90" i="20"/>
  <c r="I90" i="20"/>
  <c r="J90" i="20"/>
  <c r="K90" i="20"/>
  <c r="L90" i="20"/>
  <c r="M90" i="20"/>
  <c r="N90" i="20"/>
  <c r="O90" i="20"/>
  <c r="P90" i="20"/>
  <c r="Q90" i="20"/>
  <c r="T90" i="20"/>
  <c r="U90" i="20"/>
  <c r="V90" i="20"/>
  <c r="W90" i="20"/>
  <c r="X90" i="20"/>
  <c r="Y90" i="20"/>
  <c r="Z90" i="20"/>
  <c r="AA90" i="20"/>
  <c r="AB90" i="20"/>
  <c r="AC90" i="20"/>
  <c r="AD90" i="20"/>
  <c r="AE90" i="20"/>
  <c r="AF90" i="20"/>
  <c r="AG90" i="20"/>
  <c r="AH90" i="20"/>
  <c r="AI90" i="20"/>
  <c r="AJ90" i="20"/>
  <c r="AK90" i="20"/>
  <c r="AL90" i="20"/>
  <c r="AM90" i="20"/>
  <c r="AN90" i="20"/>
  <c r="AO90" i="20"/>
  <c r="AP90" i="20"/>
  <c r="AQ90" i="20"/>
  <c r="AU90" i="20"/>
  <c r="BE90" i="20"/>
  <c r="E91" i="20"/>
  <c r="F91" i="20"/>
  <c r="G91" i="20"/>
  <c r="H91" i="20"/>
  <c r="I91" i="20"/>
  <c r="J91" i="20"/>
  <c r="K91" i="20"/>
  <c r="L91" i="20"/>
  <c r="M91" i="20"/>
  <c r="N91" i="20"/>
  <c r="O91" i="20"/>
  <c r="P91" i="20"/>
  <c r="Q91" i="20"/>
  <c r="T91" i="20"/>
  <c r="U91" i="20"/>
  <c r="V91" i="20"/>
  <c r="W91" i="20"/>
  <c r="X91" i="20"/>
  <c r="Y91" i="20"/>
  <c r="Z91" i="20"/>
  <c r="AA91" i="20"/>
  <c r="AB91" i="20"/>
  <c r="AC91" i="20"/>
  <c r="AD91" i="20"/>
  <c r="AE91" i="20"/>
  <c r="AF91" i="20"/>
  <c r="AG91" i="20"/>
  <c r="AH91" i="20"/>
  <c r="AI91" i="20"/>
  <c r="AJ91" i="20"/>
  <c r="AK91" i="20"/>
  <c r="AL91" i="20"/>
  <c r="AM91" i="20"/>
  <c r="AN91" i="20"/>
  <c r="AO91" i="20"/>
  <c r="AP91" i="20"/>
  <c r="AQ91" i="20"/>
  <c r="AU91" i="20"/>
  <c r="BE91" i="20"/>
  <c r="E92" i="20"/>
  <c r="F92" i="20"/>
  <c r="G92" i="20"/>
  <c r="H92" i="20"/>
  <c r="I92" i="20"/>
  <c r="J92" i="20"/>
  <c r="K92" i="20"/>
  <c r="L92" i="20"/>
  <c r="M92" i="20"/>
  <c r="N92" i="20"/>
  <c r="O92" i="20"/>
  <c r="P92" i="20"/>
  <c r="Q92" i="20"/>
  <c r="T92" i="20"/>
  <c r="U92" i="20"/>
  <c r="V92" i="20"/>
  <c r="W92" i="20"/>
  <c r="X92" i="20"/>
  <c r="Y92" i="20"/>
  <c r="Z92" i="20"/>
  <c r="AA92" i="20"/>
  <c r="AB92" i="20"/>
  <c r="AC92" i="20"/>
  <c r="AD92" i="20"/>
  <c r="AE92" i="20"/>
  <c r="AF92" i="20"/>
  <c r="AG92" i="20"/>
  <c r="AH92" i="20"/>
  <c r="AI92" i="20"/>
  <c r="AJ92" i="20"/>
  <c r="AK92" i="20"/>
  <c r="AL92" i="20"/>
  <c r="AM92" i="20"/>
  <c r="AN92" i="20"/>
  <c r="AO92" i="20"/>
  <c r="AP92" i="20"/>
  <c r="AQ92" i="20"/>
  <c r="AU92" i="20"/>
  <c r="BE92" i="20"/>
  <c r="E93" i="20"/>
  <c r="F93" i="20"/>
  <c r="G93" i="20"/>
  <c r="H93" i="20"/>
  <c r="I93" i="20"/>
  <c r="J93" i="20"/>
  <c r="K93" i="20"/>
  <c r="L93" i="20"/>
  <c r="M93" i="20"/>
  <c r="N93" i="20"/>
  <c r="O93" i="20"/>
  <c r="P93" i="20"/>
  <c r="Q93" i="20"/>
  <c r="T93" i="20"/>
  <c r="U93" i="20"/>
  <c r="V93" i="20"/>
  <c r="W93" i="20"/>
  <c r="X93" i="20"/>
  <c r="Y93" i="20"/>
  <c r="Z93" i="20"/>
  <c r="AA93" i="20"/>
  <c r="AB93" i="20"/>
  <c r="AC93" i="20"/>
  <c r="AD93" i="20"/>
  <c r="AE93" i="20"/>
  <c r="AF93" i="20"/>
  <c r="AG93" i="20"/>
  <c r="AH93" i="20"/>
  <c r="AI93" i="20"/>
  <c r="AJ93" i="20"/>
  <c r="AK93" i="20"/>
  <c r="AL93" i="20"/>
  <c r="AM93" i="20"/>
  <c r="AN93" i="20"/>
  <c r="AO93" i="20"/>
  <c r="AP93" i="20"/>
  <c r="AQ93" i="20"/>
  <c r="AU93" i="20"/>
  <c r="BE93" i="20"/>
  <c r="D78" i="20"/>
  <c r="D79" i="20"/>
  <c r="D80" i="20"/>
  <c r="D81" i="20"/>
  <c r="D82" i="20"/>
  <c r="D83" i="20"/>
  <c r="D84" i="20"/>
  <c r="D85" i="20"/>
  <c r="D86" i="20"/>
  <c r="D87" i="20"/>
  <c r="D88" i="20"/>
  <c r="D89" i="20"/>
  <c r="D90" i="20"/>
  <c r="D91" i="20"/>
  <c r="D92" i="20"/>
  <c r="D93" i="20"/>
  <c r="D77" i="20"/>
  <c r="C34" i="28"/>
  <c r="C35" i="28"/>
  <c r="C36" i="28"/>
  <c r="C37" i="28"/>
  <c r="C38" i="28"/>
  <c r="C39" i="28"/>
  <c r="C40" i="28"/>
  <c r="C41" i="28"/>
  <c r="C42" i="28"/>
  <c r="C43" i="28"/>
  <c r="C44" i="28"/>
  <c r="C45" i="28"/>
  <c r="E29" i="28"/>
  <c r="F29" i="28"/>
  <c r="G29" i="28"/>
  <c r="H29" i="28"/>
  <c r="I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J29" i="28"/>
  <c r="AK29" i="28"/>
  <c r="AL29" i="28"/>
  <c r="AM29" i="28"/>
  <c r="AN29" i="28"/>
  <c r="AO29" i="28"/>
  <c r="AP29" i="28"/>
  <c r="AQ29" i="28"/>
  <c r="AR29" i="28"/>
  <c r="AS29" i="28"/>
  <c r="AU29" i="28"/>
  <c r="BD29" i="28"/>
  <c r="E30" i="28"/>
  <c r="F30" i="28"/>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J30" i="28"/>
  <c r="AK30" i="28"/>
  <c r="AL30" i="28"/>
  <c r="AM30" i="28"/>
  <c r="AN30" i="28"/>
  <c r="AO30" i="28"/>
  <c r="AP30" i="28"/>
  <c r="AQ30" i="28"/>
  <c r="AR30" i="28"/>
  <c r="AS30" i="28"/>
  <c r="AU30" i="28"/>
  <c r="BD30" i="28"/>
  <c r="E26" i="28"/>
  <c r="F26" i="28"/>
  <c r="G26" i="28"/>
  <c r="H26" i="28"/>
  <c r="I26" i="28"/>
  <c r="J26" i="28"/>
  <c r="K26" i="28"/>
  <c r="L26" i="28"/>
  <c r="M26" i="28"/>
  <c r="N26" i="28"/>
  <c r="O26" i="28"/>
  <c r="P26" i="28"/>
  <c r="Q26" i="28"/>
  <c r="R26" i="28"/>
  <c r="S26" i="28"/>
  <c r="T26" i="28"/>
  <c r="U26" i="28"/>
  <c r="V26" i="28"/>
  <c r="W26" i="28"/>
  <c r="X26" i="28"/>
  <c r="Y26" i="28"/>
  <c r="Z26" i="28"/>
  <c r="AA26" i="28"/>
  <c r="AB26" i="28"/>
  <c r="AC26" i="28"/>
  <c r="AD26" i="28"/>
  <c r="AE26" i="28"/>
  <c r="AF26" i="28"/>
  <c r="AG26" i="28"/>
  <c r="AH26" i="28"/>
  <c r="AJ26" i="28"/>
  <c r="AK26" i="28"/>
  <c r="AL26" i="28"/>
  <c r="AM26" i="28"/>
  <c r="AN26" i="28"/>
  <c r="AO26" i="28"/>
  <c r="AP26" i="28"/>
  <c r="AQ26" i="28"/>
  <c r="AR26" i="28"/>
  <c r="AS26" i="28"/>
  <c r="AU26" i="28"/>
  <c r="BD26" i="28"/>
  <c r="E27" i="28"/>
  <c r="F27" i="28"/>
  <c r="G27" i="28"/>
  <c r="H27" i="28"/>
  <c r="I27" i="28"/>
  <c r="J27" i="28"/>
  <c r="K27" i="28"/>
  <c r="L27" i="28"/>
  <c r="M27" i="28"/>
  <c r="N27" i="28"/>
  <c r="O27" i="28"/>
  <c r="P27" i="28"/>
  <c r="Q27" i="28"/>
  <c r="R27" i="28"/>
  <c r="S27" i="28"/>
  <c r="T27" i="28"/>
  <c r="U27" i="28"/>
  <c r="V27" i="28"/>
  <c r="W27" i="28"/>
  <c r="X27" i="28"/>
  <c r="Y27" i="28"/>
  <c r="Z27" i="28"/>
  <c r="AA27" i="28"/>
  <c r="AB27" i="28"/>
  <c r="AC27" i="28"/>
  <c r="AD27" i="28"/>
  <c r="AE27" i="28"/>
  <c r="AF27" i="28"/>
  <c r="AG27" i="28"/>
  <c r="AH27" i="28"/>
  <c r="AI27" i="28"/>
  <c r="AJ27" i="28"/>
  <c r="AK27" i="28"/>
  <c r="AL27" i="28"/>
  <c r="AM27" i="28"/>
  <c r="AN27" i="28"/>
  <c r="AO27" i="28"/>
  <c r="AP27" i="28"/>
  <c r="AQ27" i="28"/>
  <c r="AR27" i="28"/>
  <c r="AS27" i="28"/>
  <c r="AU27" i="28"/>
  <c r="BD27" i="28"/>
  <c r="D30" i="28"/>
  <c r="D29" i="28"/>
  <c r="D27" i="28"/>
  <c r="D26" i="28"/>
  <c r="B30" i="28"/>
  <c r="B29" i="28"/>
  <c r="E35" i="13"/>
  <c r="E36" i="13" s="1"/>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W37" i="32"/>
  <c r="E38" i="32"/>
  <c r="F38" i="32"/>
  <c r="G38" i="32"/>
  <c r="H38" i="32"/>
  <c r="I38" i="32"/>
  <c r="J38" i="32"/>
  <c r="K38" i="32"/>
  <c r="L38" i="32"/>
  <c r="M38" i="32"/>
  <c r="N38" i="32"/>
  <c r="O38" i="32"/>
  <c r="P38" i="32"/>
  <c r="Q38" i="32"/>
  <c r="R38" i="32"/>
  <c r="S38" i="32"/>
  <c r="T38" i="32"/>
  <c r="U38" i="32"/>
  <c r="V38" i="32"/>
  <c r="W38" i="32"/>
  <c r="X38" i="32"/>
  <c r="Y38" i="32"/>
  <c r="Z38" i="32"/>
  <c r="AA38" i="32"/>
  <c r="AB38" i="32"/>
  <c r="AC38" i="32"/>
  <c r="AD38" i="32"/>
  <c r="AE38" i="32"/>
  <c r="AF38" i="32"/>
  <c r="AG38" i="32"/>
  <c r="AH38" i="32"/>
  <c r="AI38" i="32"/>
  <c r="AJ38" i="32"/>
  <c r="AK38" i="32"/>
  <c r="AL38" i="32"/>
  <c r="AM38" i="32"/>
  <c r="AN38" i="32"/>
  <c r="AO38" i="32"/>
  <c r="AP38" i="32"/>
  <c r="AQ38" i="32"/>
  <c r="AR38" i="32"/>
  <c r="AS38" i="32"/>
  <c r="AT38" i="32"/>
  <c r="AU38" i="32"/>
  <c r="AW38"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W39" i="32"/>
  <c r="E33" i="32"/>
  <c r="F33" i="32"/>
  <c r="G33" i="32"/>
  <c r="H33" i="32"/>
  <c r="I33" i="32"/>
  <c r="J33" i="32"/>
  <c r="K33" i="32"/>
  <c r="L33" i="32"/>
  <c r="M33"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W33" i="32"/>
  <c r="BF33" i="32"/>
  <c r="E34" i="32"/>
  <c r="F34" i="32"/>
  <c r="G34" i="32"/>
  <c r="H34" i="32"/>
  <c r="I34" i="32"/>
  <c r="J34" i="32"/>
  <c r="K34" i="32"/>
  <c r="L34" i="32"/>
  <c r="M34"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W34"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W35" i="32"/>
  <c r="D39" i="32"/>
  <c r="D38" i="32"/>
  <c r="D37" i="32"/>
  <c r="D35" i="32"/>
  <c r="D34" i="32"/>
  <c r="D33" i="32"/>
  <c r="B39" i="32"/>
  <c r="B38" i="32"/>
  <c r="B37" i="32"/>
  <c r="O25" i="14"/>
  <c r="N25" i="14"/>
  <c r="M25" i="14"/>
  <c r="L25" i="14"/>
  <c r="K25" i="14"/>
  <c r="J25" i="14"/>
  <c r="I25" i="14"/>
  <c r="H25" i="14"/>
  <c r="G25" i="14"/>
  <c r="F25" i="14"/>
  <c r="P25" i="14" s="1"/>
  <c r="E25" i="14"/>
  <c r="D25" i="14"/>
  <c r="O20" i="14"/>
  <c r="N20" i="14"/>
  <c r="M20" i="14"/>
  <c r="L20" i="14"/>
  <c r="K20" i="14"/>
  <c r="J20" i="14"/>
  <c r="I20" i="14"/>
  <c r="H20" i="14"/>
  <c r="G20" i="14"/>
  <c r="F20" i="14"/>
  <c r="E20" i="14"/>
  <c r="D20" i="14"/>
  <c r="C75" i="34"/>
  <c r="C74" i="34"/>
  <c r="C73" i="34"/>
  <c r="C72" i="34"/>
  <c r="C71" i="34"/>
  <c r="C70" i="34"/>
  <c r="C69" i="34"/>
  <c r="C68" i="34"/>
  <c r="C67" i="34"/>
  <c r="C66" i="34"/>
  <c r="C65" i="34"/>
  <c r="C64" i="34"/>
  <c r="C63" i="34"/>
  <c r="C62" i="34"/>
  <c r="E56" i="34"/>
  <c r="F56" i="34"/>
  <c r="G56" i="34"/>
  <c r="H56" i="34"/>
  <c r="I56" i="34"/>
  <c r="J56" i="34"/>
  <c r="K56" i="34"/>
  <c r="L56" i="34"/>
  <c r="M56" i="34"/>
  <c r="N56" i="34"/>
  <c r="O56" i="34"/>
  <c r="P56" i="34"/>
  <c r="Q56" i="34"/>
  <c r="R56" i="34"/>
  <c r="S56" i="34"/>
  <c r="T56" i="34"/>
  <c r="U56" i="34"/>
  <c r="V56" i="34"/>
  <c r="W56" i="34"/>
  <c r="X56" i="34"/>
  <c r="Y56" i="34"/>
  <c r="Z56" i="34"/>
  <c r="AA56" i="34"/>
  <c r="AB56" i="34"/>
  <c r="AC56" i="34"/>
  <c r="AD56" i="34"/>
  <c r="AE56" i="34"/>
  <c r="AF56" i="34"/>
  <c r="AG56" i="34"/>
  <c r="AH56" i="34"/>
  <c r="AI56" i="34"/>
  <c r="AJ56" i="34"/>
  <c r="AK56" i="34"/>
  <c r="AL56" i="34"/>
  <c r="AM56" i="34"/>
  <c r="AN56" i="34"/>
  <c r="AO56" i="34"/>
  <c r="AP56" i="34"/>
  <c r="AQ56" i="34"/>
  <c r="AR56" i="34"/>
  <c r="AS56" i="34"/>
  <c r="AT56" i="34"/>
  <c r="AU56" i="34"/>
  <c r="AW56" i="34"/>
  <c r="BF56" i="34"/>
  <c r="BG56" i="34"/>
  <c r="E57" i="34"/>
  <c r="F57" i="34"/>
  <c r="G57" i="34"/>
  <c r="H57" i="34"/>
  <c r="I57" i="34"/>
  <c r="J57" i="34"/>
  <c r="K57" i="34"/>
  <c r="L57" i="34"/>
  <c r="M57" i="34"/>
  <c r="N57" i="34"/>
  <c r="O57" i="34"/>
  <c r="P57" i="34"/>
  <c r="Q57" i="34"/>
  <c r="R57" i="34"/>
  <c r="S57" i="34"/>
  <c r="T57" i="34"/>
  <c r="U57" i="34"/>
  <c r="V57" i="34"/>
  <c r="W57" i="34"/>
  <c r="X57" i="34"/>
  <c r="Y57" i="34"/>
  <c r="Z57" i="34"/>
  <c r="AA57" i="34"/>
  <c r="AB57" i="34"/>
  <c r="AC57" i="34"/>
  <c r="AD57" i="34"/>
  <c r="AE57" i="34"/>
  <c r="AF57" i="34"/>
  <c r="AG57" i="34"/>
  <c r="AH57" i="34"/>
  <c r="AI57" i="34"/>
  <c r="AJ57" i="34"/>
  <c r="AK57" i="34"/>
  <c r="AL57" i="34"/>
  <c r="AM57" i="34"/>
  <c r="AN57" i="34"/>
  <c r="AO57" i="34"/>
  <c r="AP57" i="34"/>
  <c r="AQ57" i="34"/>
  <c r="AR57" i="34"/>
  <c r="AS57" i="34"/>
  <c r="AT57" i="34"/>
  <c r="AU57" i="34"/>
  <c r="AW57" i="34"/>
  <c r="BF57" i="34"/>
  <c r="BG57" i="34"/>
  <c r="E58" i="34"/>
  <c r="F58" i="34"/>
  <c r="G58" i="34"/>
  <c r="H58" i="34"/>
  <c r="I58" i="34"/>
  <c r="J58" i="34"/>
  <c r="K58" i="34"/>
  <c r="L58" i="34"/>
  <c r="M58" i="34"/>
  <c r="N58" i="34"/>
  <c r="O58" i="34"/>
  <c r="P58" i="34"/>
  <c r="Q58" i="34"/>
  <c r="R58" i="34"/>
  <c r="S58" i="34"/>
  <c r="T58" i="34"/>
  <c r="U58" i="34"/>
  <c r="V58" i="34"/>
  <c r="W58" i="34"/>
  <c r="X58" i="34"/>
  <c r="Y58" i="34"/>
  <c r="Z58" i="34"/>
  <c r="AA58" i="34"/>
  <c r="AB58" i="34"/>
  <c r="AC58" i="34"/>
  <c r="AD58" i="34"/>
  <c r="AE58" i="34"/>
  <c r="AF58" i="34"/>
  <c r="AG58" i="34"/>
  <c r="AH58" i="34"/>
  <c r="AI58" i="34"/>
  <c r="AJ58" i="34"/>
  <c r="AK58" i="34"/>
  <c r="AL58" i="34"/>
  <c r="AM58" i="34"/>
  <c r="AN58" i="34"/>
  <c r="AO58" i="34"/>
  <c r="AP58" i="34"/>
  <c r="AQ58" i="34"/>
  <c r="AR58" i="34"/>
  <c r="AS58" i="34"/>
  <c r="AT58" i="34"/>
  <c r="AU58" i="34"/>
  <c r="AW58" i="34"/>
  <c r="BF58" i="34"/>
  <c r="BG58" i="34"/>
  <c r="E59" i="34"/>
  <c r="F59" i="34"/>
  <c r="G59" i="34"/>
  <c r="H59" i="34"/>
  <c r="I59" i="34"/>
  <c r="J59" i="34"/>
  <c r="K59" i="34"/>
  <c r="L59" i="34"/>
  <c r="M59" i="34"/>
  <c r="N59" i="34"/>
  <c r="O59" i="34"/>
  <c r="P59" i="34"/>
  <c r="Q59" i="34"/>
  <c r="R59" i="34"/>
  <c r="S59" i="34"/>
  <c r="T59" i="34"/>
  <c r="U59" i="34"/>
  <c r="V59" i="34"/>
  <c r="W59" i="34"/>
  <c r="X59" i="34"/>
  <c r="Y59" i="34"/>
  <c r="Z59" i="34"/>
  <c r="AA59" i="34"/>
  <c r="AB59" i="34"/>
  <c r="AC59" i="34"/>
  <c r="AD59" i="34"/>
  <c r="AE59" i="34"/>
  <c r="AF59" i="34"/>
  <c r="AG59" i="34"/>
  <c r="AH59" i="34"/>
  <c r="AI59" i="34"/>
  <c r="AJ59" i="34"/>
  <c r="AK59" i="34"/>
  <c r="AL59" i="34"/>
  <c r="AM59" i="34"/>
  <c r="AN59" i="34"/>
  <c r="AO59" i="34"/>
  <c r="AP59" i="34"/>
  <c r="AQ59" i="34"/>
  <c r="AR59" i="34"/>
  <c r="AS59" i="34"/>
  <c r="AT59" i="34"/>
  <c r="AU59" i="34"/>
  <c r="AW59" i="34"/>
  <c r="BF59" i="34"/>
  <c r="BG59" i="34"/>
  <c r="E60" i="34"/>
  <c r="F60" i="34"/>
  <c r="G60" i="34"/>
  <c r="H60" i="34"/>
  <c r="I60" i="34"/>
  <c r="J60" i="34"/>
  <c r="K60" i="34"/>
  <c r="L60" i="34"/>
  <c r="M60" i="34"/>
  <c r="N60" i="34"/>
  <c r="O60" i="34"/>
  <c r="P60" i="34"/>
  <c r="Q60" i="34"/>
  <c r="R60" i="34"/>
  <c r="S60" i="34"/>
  <c r="T60" i="34"/>
  <c r="U60" i="34"/>
  <c r="V60" i="34"/>
  <c r="W60" i="34"/>
  <c r="X60" i="34"/>
  <c r="Y60" i="34"/>
  <c r="Z60" i="34"/>
  <c r="AA60" i="34"/>
  <c r="AB60" i="34"/>
  <c r="AC60" i="34"/>
  <c r="AD60" i="34"/>
  <c r="AE60" i="34"/>
  <c r="AF60" i="34"/>
  <c r="AG60" i="34"/>
  <c r="AH60" i="34"/>
  <c r="AI60" i="34"/>
  <c r="AJ60" i="34"/>
  <c r="AK60" i="34"/>
  <c r="AL60" i="34"/>
  <c r="AM60" i="34"/>
  <c r="AN60" i="34"/>
  <c r="AO60" i="34"/>
  <c r="AP60" i="34"/>
  <c r="AQ60" i="34"/>
  <c r="AR60" i="34"/>
  <c r="AS60" i="34"/>
  <c r="AT60" i="34"/>
  <c r="AU60" i="34"/>
  <c r="AW60" i="34"/>
  <c r="BF60" i="34"/>
  <c r="BG60" i="34"/>
  <c r="D60" i="34"/>
  <c r="D59" i="34"/>
  <c r="D58" i="34"/>
  <c r="D57" i="34"/>
  <c r="D56" i="34"/>
  <c r="G50" i="34"/>
  <c r="H50" i="34"/>
  <c r="I50" i="34"/>
  <c r="J50" i="34"/>
  <c r="K50" i="34"/>
  <c r="L50" i="34"/>
  <c r="M50" i="34"/>
  <c r="N50" i="34"/>
  <c r="O50" i="34"/>
  <c r="P50" i="34"/>
  <c r="Q50" i="34"/>
  <c r="R50" i="34"/>
  <c r="S50" i="34"/>
  <c r="T50" i="34"/>
  <c r="U50" i="34"/>
  <c r="V50" i="34"/>
  <c r="W50" i="34"/>
  <c r="X50" i="34"/>
  <c r="Y50" i="34"/>
  <c r="Z50" i="34"/>
  <c r="AA50" i="34"/>
  <c r="AB50" i="34"/>
  <c r="AC50" i="34"/>
  <c r="AD50" i="34"/>
  <c r="AE50" i="34"/>
  <c r="AF50" i="34"/>
  <c r="AG50" i="34"/>
  <c r="AH50" i="34"/>
  <c r="AI50" i="34"/>
  <c r="AJ50" i="34"/>
  <c r="AK50" i="34"/>
  <c r="AL50" i="34"/>
  <c r="AM50" i="34"/>
  <c r="AN50" i="34"/>
  <c r="AO50" i="34"/>
  <c r="AP50" i="34"/>
  <c r="AQ50" i="34"/>
  <c r="AR50" i="34"/>
  <c r="AS50" i="34"/>
  <c r="AT50" i="34"/>
  <c r="AU50" i="34"/>
  <c r="AW50" i="34"/>
  <c r="BF50" i="34"/>
  <c r="G51" i="34"/>
  <c r="H51" i="34"/>
  <c r="I51" i="34"/>
  <c r="J51" i="34"/>
  <c r="K51" i="34"/>
  <c r="L51" i="34"/>
  <c r="M51" i="34"/>
  <c r="N51" i="34"/>
  <c r="O51" i="34"/>
  <c r="P51" i="34"/>
  <c r="Q51" i="34"/>
  <c r="R51" i="34"/>
  <c r="S51" i="34"/>
  <c r="T51" i="34"/>
  <c r="U51" i="34"/>
  <c r="V51" i="34"/>
  <c r="W51" i="34"/>
  <c r="X51" i="34"/>
  <c r="Y51" i="34"/>
  <c r="Z51" i="34"/>
  <c r="AA51" i="34"/>
  <c r="AB51" i="34"/>
  <c r="AC51" i="34"/>
  <c r="AD51" i="34"/>
  <c r="AE51" i="34"/>
  <c r="AF51" i="34"/>
  <c r="AG51" i="34"/>
  <c r="AH51" i="34"/>
  <c r="AI51" i="34"/>
  <c r="AJ51" i="34"/>
  <c r="AK51" i="34"/>
  <c r="AL51" i="34"/>
  <c r="AM51" i="34"/>
  <c r="AN51" i="34"/>
  <c r="AO51" i="34"/>
  <c r="AP51" i="34"/>
  <c r="AQ51" i="34"/>
  <c r="AR51" i="34"/>
  <c r="AS51" i="34"/>
  <c r="AT51" i="34"/>
  <c r="AU51" i="34"/>
  <c r="AW51" i="34"/>
  <c r="BF51"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W52" i="34"/>
  <c r="BF52" i="34"/>
  <c r="G53" i="34"/>
  <c r="H53" i="34"/>
  <c r="I53" i="34"/>
  <c r="J53" i="34"/>
  <c r="K53" i="34"/>
  <c r="L53" i="34"/>
  <c r="M53" i="34"/>
  <c r="N53" i="34"/>
  <c r="O53" i="34"/>
  <c r="P53" i="34"/>
  <c r="Q53" i="34"/>
  <c r="R53" i="34"/>
  <c r="S53" i="34"/>
  <c r="T53" i="34"/>
  <c r="U53" i="34"/>
  <c r="V53" i="34"/>
  <c r="W53" i="34"/>
  <c r="X53" i="34"/>
  <c r="Y53" i="34"/>
  <c r="Z53" i="34"/>
  <c r="AA53" i="34"/>
  <c r="AB53" i="34"/>
  <c r="AC53" i="34"/>
  <c r="AD53" i="34"/>
  <c r="AE53" i="34"/>
  <c r="AF53" i="34"/>
  <c r="AG53" i="34"/>
  <c r="AH53" i="34"/>
  <c r="AI53" i="34"/>
  <c r="AJ53" i="34"/>
  <c r="AK53" i="34"/>
  <c r="AL53" i="34"/>
  <c r="AM53" i="34"/>
  <c r="AN53" i="34"/>
  <c r="AO53" i="34"/>
  <c r="AP53" i="34"/>
  <c r="AQ53" i="34"/>
  <c r="AR53" i="34"/>
  <c r="AS53" i="34"/>
  <c r="AT53" i="34"/>
  <c r="AU53" i="34"/>
  <c r="AW53" i="34"/>
  <c r="BF53" i="34"/>
  <c r="G54" i="34"/>
  <c r="H54" i="34"/>
  <c r="I54" i="34"/>
  <c r="J54" i="34"/>
  <c r="K54" i="34"/>
  <c r="L54" i="34"/>
  <c r="M54" i="34"/>
  <c r="N54" i="34"/>
  <c r="O54" i="34"/>
  <c r="P54" i="34"/>
  <c r="Q54" i="34"/>
  <c r="R54" i="34"/>
  <c r="S54" i="34"/>
  <c r="T54" i="34"/>
  <c r="U54" i="34"/>
  <c r="V54" i="34"/>
  <c r="W54" i="34"/>
  <c r="X54" i="34"/>
  <c r="Y54" i="34"/>
  <c r="Z54" i="34"/>
  <c r="AA54" i="34"/>
  <c r="AB54" i="34"/>
  <c r="AC54" i="34"/>
  <c r="AD54" i="34"/>
  <c r="AE54" i="34"/>
  <c r="AF54" i="34"/>
  <c r="AG54" i="34"/>
  <c r="AH54" i="34"/>
  <c r="AI54" i="34"/>
  <c r="AJ54" i="34"/>
  <c r="AK54" i="34"/>
  <c r="AL54" i="34"/>
  <c r="AM54" i="34"/>
  <c r="AN54" i="34"/>
  <c r="AO54" i="34"/>
  <c r="AP54" i="34"/>
  <c r="AQ54" i="34"/>
  <c r="AR54" i="34"/>
  <c r="AS54" i="34"/>
  <c r="AT54" i="34"/>
  <c r="AU54" i="34"/>
  <c r="AW54" i="34"/>
  <c r="BF54" i="34"/>
  <c r="D50" i="34"/>
  <c r="E50" i="34"/>
  <c r="F50" i="34"/>
  <c r="D51" i="34"/>
  <c r="E51" i="34"/>
  <c r="F51" i="34"/>
  <c r="D52" i="34"/>
  <c r="E52" i="34"/>
  <c r="F52" i="34"/>
  <c r="D53" i="34"/>
  <c r="E53" i="34"/>
  <c r="F53" i="34"/>
  <c r="D54" i="34"/>
  <c r="E54" i="34"/>
  <c r="F54" i="34"/>
  <c r="B60" i="34"/>
  <c r="B59" i="34"/>
  <c r="B58" i="34"/>
  <c r="B57" i="34"/>
  <c r="B56" i="34"/>
  <c r="P26" i="13"/>
  <c r="P22" i="13"/>
  <c r="E25" i="15"/>
  <c r="F25" i="15"/>
  <c r="G25" i="15"/>
  <c r="H25" i="15"/>
  <c r="I25" i="15"/>
  <c r="J25" i="15"/>
  <c r="K25" i="15"/>
  <c r="L25" i="15"/>
  <c r="M25" i="15"/>
  <c r="N25" i="15"/>
  <c r="O25" i="15"/>
  <c r="E27" i="13"/>
  <c r="F27" i="13"/>
  <c r="G27" i="13"/>
  <c r="H27" i="13"/>
  <c r="I27" i="13"/>
  <c r="J27" i="13"/>
  <c r="K27" i="13"/>
  <c r="L27" i="13"/>
  <c r="M27" i="13"/>
  <c r="N27" i="13"/>
  <c r="O27" i="13"/>
  <c r="D27" i="13"/>
  <c r="D25" i="15"/>
  <c r="O23" i="13"/>
  <c r="N23" i="13"/>
  <c r="M23" i="13"/>
  <c r="L23" i="13"/>
  <c r="K23" i="13"/>
  <c r="J23" i="13"/>
  <c r="I23" i="13"/>
  <c r="H23" i="13"/>
  <c r="G23" i="13"/>
  <c r="F23" i="13"/>
  <c r="P23" i="13" s="1"/>
  <c r="E23" i="13"/>
  <c r="D23" i="13"/>
  <c r="D52" i="11"/>
  <c r="D51" i="11"/>
  <c r="J51" i="11"/>
  <c r="D53" i="11"/>
  <c r="D58" i="11"/>
  <c r="D57" i="11"/>
  <c r="D54" i="11"/>
  <c r="J54" i="11"/>
  <c r="D60" i="11"/>
  <c r="D59" i="11"/>
  <c r="J52" i="11"/>
  <c r="J60" i="11"/>
  <c r="AQ3" i="11"/>
  <c r="Q43" i="11" s="1"/>
  <c r="AD2" i="15"/>
  <c r="K34" i="15" s="1"/>
  <c r="I35" i="14"/>
  <c r="I37" i="14" s="1"/>
  <c r="AD2" i="12"/>
  <c r="K41" i="12" s="1"/>
  <c r="I42" i="14"/>
  <c r="I44" i="14" s="1"/>
  <c r="I44" i="11"/>
  <c r="I45" i="11" s="1"/>
  <c r="I46" i="11" s="1"/>
  <c r="I47" i="11" s="1"/>
  <c r="J58" i="11"/>
  <c r="J59" i="11"/>
  <c r="J53" i="11"/>
  <c r="J57" i="11"/>
  <c r="H43" i="15"/>
  <c r="H42" i="15"/>
  <c r="H43" i="14"/>
  <c r="H42" i="12"/>
  <c r="H42" i="14"/>
  <c r="H44" i="14"/>
  <c r="H37" i="14"/>
  <c r="H38" i="14"/>
  <c r="H44" i="15"/>
  <c r="H45" i="15"/>
  <c r="I35" i="13"/>
  <c r="I36" i="13" s="1"/>
  <c r="H45" i="14"/>
  <c r="Q25" i="8"/>
  <c r="M33" i="8"/>
  <c r="G33" i="8"/>
  <c r="M39" i="8"/>
  <c r="J39" i="8"/>
  <c r="I39" i="8"/>
  <c r="N39" i="8"/>
  <c r="H39" i="8"/>
  <c r="N33" i="8"/>
  <c r="H33" i="8"/>
  <c r="G39" i="8"/>
  <c r="K39" i="8"/>
  <c r="O33" i="8"/>
  <c r="I33" i="8"/>
  <c r="L39" i="8"/>
  <c r="Q35" i="8"/>
  <c r="Q36" i="8"/>
  <c r="Q37" i="8"/>
  <c r="P39" i="8"/>
  <c r="Q38" i="8"/>
  <c r="X6" i="8" s="1"/>
  <c r="Q33" i="8"/>
  <c r="K33" i="8"/>
  <c r="Q15" i="8"/>
  <c r="P33" i="8"/>
  <c r="J33" i="8"/>
  <c r="F39" i="8"/>
  <c r="H57" i="11"/>
  <c r="H58" i="11" s="1"/>
  <c r="H59" i="11" s="1"/>
  <c r="H60" i="11" s="1"/>
  <c r="Q33" i="7"/>
  <c r="M37" i="10"/>
  <c r="G17" i="15"/>
  <c r="G22" i="15" s="1"/>
  <c r="J66" i="9"/>
  <c r="E22" i="38"/>
  <c r="N17" i="14"/>
  <c r="N22" i="14" s="1"/>
  <c r="F17" i="15"/>
  <c r="F22" i="15" s="1"/>
  <c r="L17" i="15"/>
  <c r="L22" i="15" s="1"/>
  <c r="AB2" i="10"/>
  <c r="T37" i="10" s="1"/>
  <c r="M17" i="14"/>
  <c r="M22" i="14" s="1"/>
  <c r="P58" i="8"/>
  <c r="E17" i="14"/>
  <c r="L58" i="8"/>
  <c r="F25" i="13"/>
  <c r="F58" i="8"/>
  <c r="M58" i="8"/>
  <c r="I58" i="8"/>
  <c r="L21" i="12"/>
  <c r="L26" i="12" s="1"/>
  <c r="N58" i="8"/>
  <c r="H58" i="8"/>
  <c r="X2" i="14"/>
  <c r="Q18" i="14" s="1"/>
  <c r="I53" i="14" s="1"/>
  <c r="H21" i="12"/>
  <c r="H26" i="12" s="1"/>
  <c r="H71" i="7"/>
  <c r="J58" i="8"/>
  <c r="E58" i="8"/>
  <c r="K17" i="15"/>
  <c r="K22" i="15" s="1"/>
  <c r="T29" i="11"/>
  <c r="P29" i="12"/>
  <c r="AD2" i="11"/>
  <c r="N75" i="11" s="1"/>
  <c r="L71" i="7"/>
  <c r="O58" i="8"/>
  <c r="K58" i="8"/>
  <c r="X2" i="12"/>
  <c r="Q49" i="12" s="1"/>
  <c r="P71" i="7"/>
  <c r="D17" i="15"/>
  <c r="D22" i="15" s="1"/>
  <c r="I17" i="15"/>
  <c r="I22" i="15" s="1"/>
  <c r="J17" i="15"/>
  <c r="J22" i="15" s="1"/>
  <c r="G17" i="14"/>
  <c r="G22" i="14" s="1"/>
  <c r="O17" i="14"/>
  <c r="O22" i="14" s="1"/>
  <c r="K21" i="12"/>
  <c r="K26" i="12" s="1"/>
  <c r="G21" i="12"/>
  <c r="G26" i="12" s="1"/>
  <c r="O71" i="7"/>
  <c r="K71" i="7"/>
  <c r="G71" i="7"/>
  <c r="M17" i="15"/>
  <c r="M22" i="15" s="1"/>
  <c r="H17" i="15"/>
  <c r="H22" i="15" s="1"/>
  <c r="E17" i="15"/>
  <c r="E22" i="15" s="1"/>
  <c r="I17" i="14"/>
  <c r="I22" i="14" s="1"/>
  <c r="D17" i="14"/>
  <c r="D22" i="14" s="1"/>
  <c r="L17" i="14"/>
  <c r="L22" i="14" s="1"/>
  <c r="O17" i="15"/>
  <c r="O22" i="15" s="1"/>
  <c r="N21" i="12"/>
  <c r="N26" i="12" s="1"/>
  <c r="J21" i="12"/>
  <c r="J26" i="12"/>
  <c r="F21" i="12"/>
  <c r="F26" i="12" s="1"/>
  <c r="O21" i="12"/>
  <c r="O26" i="12" s="1"/>
  <c r="N71" i="7"/>
  <c r="J71" i="7"/>
  <c r="F71" i="7"/>
  <c r="X2" i="15"/>
  <c r="K56" i="15" s="1"/>
  <c r="N17" i="15"/>
  <c r="N22" i="15" s="1"/>
  <c r="J17" i="14"/>
  <c r="J22" i="14" s="1"/>
  <c r="K17" i="14"/>
  <c r="K22" i="14" s="1"/>
  <c r="H17" i="14"/>
  <c r="H22" i="14" s="1"/>
  <c r="F17" i="14"/>
  <c r="F22" i="14" s="1"/>
  <c r="M21" i="12"/>
  <c r="M26" i="12" s="1"/>
  <c r="I21" i="12"/>
  <c r="I26" i="12" s="1"/>
  <c r="E21" i="12"/>
  <c r="E26" i="12" s="1"/>
  <c r="M71" i="7"/>
  <c r="I71" i="7"/>
  <c r="P20" i="14"/>
  <c r="P27" i="13"/>
  <c r="P24" i="12"/>
  <c r="A10" i="60"/>
  <c r="Q39" i="8"/>
  <c r="Q22" i="12"/>
  <c r="Q23" i="12"/>
  <c r="N37" i="10"/>
  <c r="O49" i="14"/>
  <c r="E22" i="14"/>
  <c r="D26" i="12"/>
  <c r="L44" i="11"/>
  <c r="L45" i="11" s="1"/>
  <c r="L46" i="11" s="1"/>
  <c r="L47" i="11" s="1"/>
  <c r="K49" i="14"/>
  <c r="M49" i="15"/>
  <c r="G9" i="39"/>
  <c r="I61" i="39" s="1"/>
  <c r="D13" i="11"/>
  <c r="E59" i="11"/>
  <c r="D39" i="11"/>
  <c r="K39" i="11" s="1"/>
  <c r="E46" i="11"/>
  <c r="D36" i="12"/>
  <c r="Q5" i="38"/>
  <c r="M33" i="11"/>
  <c r="M33" i="10"/>
  <c r="J21" i="10"/>
  <c r="I35" i="12"/>
  <c r="I42" i="12"/>
  <c r="G33" i="11"/>
  <c r="G34" i="11" s="1"/>
  <c r="I33" i="11"/>
  <c r="I34" i="11" s="1"/>
  <c r="I35" i="11" s="1"/>
  <c r="K33" i="11"/>
  <c r="K34" i="11" s="1"/>
  <c r="K35" i="11" s="1"/>
  <c r="J31" i="10"/>
  <c r="J32" i="10" s="1"/>
  <c r="J33" i="10" s="1"/>
  <c r="G31" i="10"/>
  <c r="F31" i="10"/>
  <c r="F32" i="10" s="1"/>
  <c r="E31" i="10"/>
  <c r="E32" i="10" s="1"/>
  <c r="E33" i="10" s="1"/>
  <c r="I42" i="15"/>
  <c r="I45" i="15" s="1"/>
  <c r="I35" i="15"/>
  <c r="I36" i="15" s="1"/>
  <c r="E40" i="11"/>
  <c r="E53" i="11"/>
  <c r="N38" i="11"/>
  <c r="N39" i="11" s="1"/>
  <c r="N40" i="11" s="1"/>
  <c r="N41" i="11" s="1"/>
  <c r="M57" i="11"/>
  <c r="M58" i="11" s="1"/>
  <c r="M59" i="11" s="1"/>
  <c r="M60" i="11" s="1"/>
  <c r="N57" i="11"/>
  <c r="N58" i="11" s="1"/>
  <c r="N59" i="11" s="1"/>
  <c r="N60" i="11" s="1"/>
  <c r="M44" i="11"/>
  <c r="M45" i="11" s="1"/>
  <c r="M46" i="11" s="1"/>
  <c r="M47" i="11" s="1"/>
  <c r="N51" i="11"/>
  <c r="N52" i="11" s="1"/>
  <c r="N53" i="11" s="1"/>
  <c r="N54" i="11" s="1"/>
  <c r="M38" i="11"/>
  <c r="M39" i="11" s="1"/>
  <c r="M40" i="11" s="1"/>
  <c r="M41" i="11" s="1"/>
  <c r="N44" i="11"/>
  <c r="N45" i="11" s="1"/>
  <c r="N46" i="11" s="1"/>
  <c r="N47" i="11" s="1"/>
  <c r="N33" i="11"/>
  <c r="N34" i="11" s="1"/>
  <c r="N35" i="11" s="1"/>
  <c r="P33" i="11"/>
  <c r="P34" i="11" s="1"/>
  <c r="P35" i="11" s="1"/>
  <c r="O33" i="11"/>
  <c r="O34" i="11" s="1"/>
  <c r="O35" i="11" s="1"/>
  <c r="I31" i="10"/>
  <c r="I32" i="10" s="1"/>
  <c r="I33" i="10" s="1"/>
  <c r="AM2" i="10"/>
  <c r="N30" i="10" s="1"/>
  <c r="L33" i="11"/>
  <c r="L34" i="11" s="1"/>
  <c r="L35" i="11" s="1"/>
  <c r="H31" i="10"/>
  <c r="H32" i="10" s="1"/>
  <c r="H33" i="10" s="1"/>
  <c r="X4" i="8"/>
  <c r="X3" i="8"/>
  <c r="L87" i="11" s="1"/>
  <c r="W3" i="8"/>
  <c r="L82" i="11" s="1"/>
  <c r="W4" i="8"/>
  <c r="X5" i="8"/>
  <c r="W5" i="8"/>
  <c r="W6" i="8"/>
  <c r="I65" i="9" s="1"/>
  <c r="I43" i="9"/>
  <c r="I37" i="9"/>
  <c r="I39" i="9"/>
  <c r="I40" i="9"/>
  <c r="I46" i="9"/>
  <c r="I45" i="9"/>
  <c r="I38" i="9"/>
  <c r="I44" i="9"/>
  <c r="J43" i="9"/>
  <c r="J44" i="9" s="1"/>
  <c r="J45" i="9" s="1"/>
  <c r="J46" i="9" s="1"/>
  <c r="J30" i="9"/>
  <c r="J31" i="9" s="1"/>
  <c r="J32" i="9" s="1"/>
  <c r="J33" i="9" s="1"/>
  <c r="J37" i="9"/>
  <c r="J38" i="9" s="1"/>
  <c r="J39" i="9" s="1"/>
  <c r="J40" i="9" s="1"/>
  <c r="J24" i="9"/>
  <c r="J25" i="9" s="1"/>
  <c r="J26" i="9" s="1"/>
  <c r="J27" i="9" s="1"/>
  <c r="L88" i="11"/>
  <c r="I68" i="9"/>
  <c r="Z3" i="8"/>
  <c r="L89" i="11"/>
  <c r="I69" i="9"/>
  <c r="E32" i="9"/>
  <c r="E26" i="9"/>
  <c r="E39" i="9"/>
  <c r="E45" i="9"/>
  <c r="L84" i="11"/>
  <c r="L83" i="11"/>
  <c r="P24" i="9"/>
  <c r="P25" i="9" s="1"/>
  <c r="P26" i="9" s="1"/>
  <c r="P27" i="9" s="1"/>
  <c r="L42" i="12"/>
  <c r="L43" i="12" s="1"/>
  <c r="L44" i="12" s="1"/>
  <c r="L45" i="12" s="1"/>
  <c r="L35" i="12"/>
  <c r="L36" i="12" s="1"/>
  <c r="L37" i="12" s="1"/>
  <c r="L38" i="12" s="1"/>
  <c r="R33" i="11"/>
  <c r="R34" i="11" s="1"/>
  <c r="R35" i="11" s="1"/>
  <c r="S51" i="11"/>
  <c r="S52" i="11" s="1"/>
  <c r="S57" i="11"/>
  <c r="S58" i="11" s="1"/>
  <c r="S59" i="11" s="1"/>
  <c r="S60" i="11" s="1"/>
  <c r="S44" i="11"/>
  <c r="S45" i="11" s="1"/>
  <c r="S46" i="11" s="1"/>
  <c r="S47" i="11" s="1"/>
  <c r="S38" i="11"/>
  <c r="S39" i="11" s="1"/>
  <c r="S40" i="11" s="1"/>
  <c r="S41" i="11" s="1"/>
  <c r="R38" i="11"/>
  <c r="R39" i="11" s="1"/>
  <c r="R40" i="11" s="1"/>
  <c r="R41" i="11" s="1"/>
  <c r="R57" i="11"/>
  <c r="R58" i="11" s="1"/>
  <c r="R59" i="11" s="1"/>
  <c r="R60" i="11" s="1"/>
  <c r="R44" i="11"/>
  <c r="R45" i="11" s="1"/>
  <c r="R46" i="11" s="1"/>
  <c r="R47" i="11" s="1"/>
  <c r="R51" i="11"/>
  <c r="R52" i="11" s="1"/>
  <c r="R53" i="11" s="1"/>
  <c r="R54" i="11" s="1"/>
  <c r="Q31" i="10"/>
  <c r="Q32" i="10" s="1"/>
  <c r="Q33" i="10" s="1"/>
  <c r="U31" i="10"/>
  <c r="U32" i="10" s="1"/>
  <c r="U33" i="10" s="1"/>
  <c r="O31" i="10"/>
  <c r="O32" i="10" s="1"/>
  <c r="O33" i="10" s="1"/>
  <c r="P31" i="10"/>
  <c r="P32" i="10" s="1"/>
  <c r="P33" i="10" s="1"/>
  <c r="S31" i="10"/>
  <c r="S32" i="10" s="1"/>
  <c r="S33" i="10" s="1"/>
  <c r="M43" i="9"/>
  <c r="M44" i="9" s="1"/>
  <c r="M45" i="9" s="1"/>
  <c r="M46" i="9" s="1"/>
  <c r="N43" i="9"/>
  <c r="N44" i="9" s="1"/>
  <c r="N45" i="9" s="1"/>
  <c r="N46" i="9" s="1"/>
  <c r="O37" i="9"/>
  <c r="O38" i="9" s="1"/>
  <c r="O39" i="9" s="1"/>
  <c r="O40" i="9" s="1"/>
  <c r="M37" i="9"/>
  <c r="M38" i="9" s="1"/>
  <c r="M39" i="9" s="1"/>
  <c r="M40" i="9" s="1"/>
  <c r="P37" i="9"/>
  <c r="P38" i="9" s="1"/>
  <c r="P39" i="9" s="1"/>
  <c r="P40" i="9" s="1"/>
  <c r="O43" i="9"/>
  <c r="O44" i="9" s="1"/>
  <c r="O45" i="9" s="1"/>
  <c r="O46" i="9" s="1"/>
  <c r="N37" i="9"/>
  <c r="N38" i="9" s="1"/>
  <c r="N39" i="9" s="1"/>
  <c r="N40" i="9" s="1"/>
  <c r="O24" i="9"/>
  <c r="O25" i="9" s="1"/>
  <c r="O26" i="9" s="1"/>
  <c r="O27" i="9" s="1"/>
  <c r="O30" i="9"/>
  <c r="O31" i="9" s="1"/>
  <c r="O32" i="9" s="1"/>
  <c r="O33" i="9" s="1"/>
  <c r="L35" i="15"/>
  <c r="L38" i="15" s="1"/>
  <c r="L42" i="15"/>
  <c r="L43" i="15" s="1"/>
  <c r="P30" i="9"/>
  <c r="P31" i="9" s="1"/>
  <c r="P32" i="9" s="1"/>
  <c r="P33" i="9" s="1"/>
  <c r="P43" i="9"/>
  <c r="P44" i="9" s="1"/>
  <c r="P45" i="9" s="1"/>
  <c r="P46" i="9" s="1"/>
  <c r="F51" i="11"/>
  <c r="F52" i="11" s="1"/>
  <c r="F53" i="11" s="1"/>
  <c r="F57" i="11"/>
  <c r="F58" i="11" s="1"/>
  <c r="F59" i="11" s="1"/>
  <c r="F60" i="11" s="1"/>
  <c r="F37" i="9"/>
  <c r="F38" i="9" s="1"/>
  <c r="F43" i="9"/>
  <c r="F44" i="9" s="1"/>
  <c r="M81" i="11"/>
  <c r="M75" i="11"/>
  <c r="M70" i="11"/>
  <c r="M86" i="11"/>
  <c r="M66" i="11"/>
  <c r="L31" i="10"/>
  <c r="L32" i="10" s="1"/>
  <c r="L33" i="10" s="1"/>
  <c r="D35" i="12"/>
  <c r="D37" i="12" s="1"/>
  <c r="J37" i="12" s="1"/>
  <c r="L36" i="14"/>
  <c r="L45" i="14"/>
  <c r="L44" i="14"/>
  <c r="E37" i="12"/>
  <c r="Q23" i="15"/>
  <c r="O56" i="15"/>
  <c r="L51" i="11"/>
  <c r="L52" i="11" s="1"/>
  <c r="L53" i="11" s="1"/>
  <c r="L54" i="11" s="1"/>
  <c r="L38" i="11"/>
  <c r="L39" i="11" s="1"/>
  <c r="L40" i="11" s="1"/>
  <c r="L41" i="11" s="1"/>
  <c r="L57" i="11"/>
  <c r="L58" i="11" s="1"/>
  <c r="L59" i="11" s="1"/>
  <c r="L60" i="11" s="1"/>
  <c r="BY26" i="64"/>
  <c r="CE26" i="64" s="1"/>
  <c r="BZ26" i="64"/>
  <c r="CG26" i="64" s="1"/>
  <c r="C74" i="64"/>
  <c r="J74" i="64" s="1"/>
  <c r="K75" i="64" s="1"/>
  <c r="K31" i="10"/>
  <c r="K32" i="10" s="1"/>
  <c r="K33" i="10" s="1"/>
  <c r="E33" i="11"/>
  <c r="E34" i="11" s="1"/>
  <c r="E35" i="11" s="1"/>
  <c r="R31" i="10"/>
  <c r="R32" i="10" s="1"/>
  <c r="R33" i="10" s="1"/>
  <c r="T31" i="10"/>
  <c r="T32" i="10" s="1"/>
  <c r="T33" i="10" s="1"/>
  <c r="R5" i="38"/>
  <c r="M32" i="10"/>
  <c r="M31" i="10"/>
  <c r="N2" i="38"/>
  <c r="M10" i="38" s="1"/>
  <c r="D33" i="10"/>
  <c r="D31" i="10"/>
  <c r="D32" i="10" s="1"/>
  <c r="BQ6" i="64"/>
  <c r="BU6" i="64"/>
  <c r="BR6" i="64"/>
  <c r="BO6" i="64"/>
  <c r="BP6" i="64"/>
  <c r="BK6" i="64"/>
  <c r="BL6" i="64"/>
  <c r="BT6" i="64"/>
  <c r="CF5" i="64"/>
  <c r="Q37" i="11"/>
  <c r="Q56" i="11"/>
  <c r="BO30" i="64"/>
  <c r="BP32" i="64"/>
  <c r="BN29" i="64"/>
  <c r="BP33" i="64"/>
  <c r="BN30" i="64"/>
  <c r="BP24" i="64"/>
  <c r="BO33" i="64"/>
  <c r="BL29" i="64"/>
  <c r="BV24" i="64"/>
  <c r="BS28" i="64"/>
  <c r="BV28" i="64"/>
  <c r="BS25" i="64"/>
  <c r="BT25" i="64"/>
  <c r="BO21" i="64"/>
  <c r="BK32" i="64"/>
  <c r="BM20" i="64"/>
  <c r="BR31" i="64"/>
  <c r="BN31" i="64"/>
  <c r="BU22" i="64"/>
  <c r="BR21" i="64"/>
  <c r="BL22" i="64"/>
  <c r="BU33" i="64"/>
  <c r="BM24" i="64"/>
  <c r="BM33" i="64"/>
  <c r="BL24" i="64"/>
  <c r="BK29" i="64"/>
  <c r="BK23" i="64"/>
  <c r="BM27" i="64"/>
  <c r="AQ33" i="64"/>
  <c r="BT21" i="64"/>
  <c r="BS32" i="64"/>
  <c r="BK27" i="64"/>
  <c r="BR33" i="64"/>
  <c r="BM29" i="64"/>
  <c r="BU24" i="64"/>
  <c r="BL27" i="64"/>
  <c r="BU23" i="64"/>
  <c r="BV31" i="64"/>
  <c r="BT28" i="64"/>
  <c r="BQ28" i="64"/>
  <c r="BU25" i="64"/>
  <c r="BP21" i="64"/>
  <c r="BN21" i="64"/>
  <c r="BN20" i="64"/>
  <c r="BS31" i="64"/>
  <c r="BR28" i="64"/>
  <c r="BU21" i="64"/>
  <c r="BS21" i="64"/>
  <c r="BP22" i="64"/>
  <c r="BR24" i="64"/>
  <c r="BN33" i="64"/>
  <c r="BP20" i="64"/>
  <c r="BL30" i="64"/>
  <c r="BL23" i="64"/>
  <c r="BO27" i="64"/>
  <c r="BK20" i="64"/>
  <c r="BQ23" i="64"/>
  <c r="BT26" i="64"/>
  <c r="BQ24" i="64"/>
  <c r="BT33" i="64"/>
  <c r="BQ33" i="64"/>
  <c r="BB31" i="64"/>
  <c r="BR27" i="64"/>
  <c r="BK21" i="64"/>
  <c r="AQ24" i="64"/>
  <c r="BR30" i="64"/>
  <c r="BT24" i="64"/>
  <c r="BN27" i="64"/>
  <c r="BP29" i="64"/>
  <c r="BP30" i="64"/>
  <c r="BM26" i="64"/>
  <c r="BV26" i="64"/>
  <c r="BM30" i="64"/>
  <c r="BU26" i="64"/>
  <c r="BP31" i="64"/>
  <c r="BU28" i="64"/>
  <c r="BR25" i="64"/>
  <c r="BO31" i="64"/>
  <c r="BL20" i="64"/>
  <c r="AQ20" i="64"/>
  <c r="BB20" i="64" s="1"/>
  <c r="BQ31" i="64"/>
  <c r="BM22" i="64"/>
  <c r="BQ21" i="64"/>
  <c r="BT27" i="64"/>
  <c r="BK33" i="64"/>
  <c r="BK24" i="64"/>
  <c r="AQ30" i="64"/>
  <c r="BB30" i="64"/>
  <c r="BU27" i="64"/>
  <c r="BU30" i="64"/>
  <c r="BV30" i="64"/>
  <c r="BV21" i="64"/>
  <c r="BG39" i="64"/>
  <c r="BB48" i="64"/>
  <c r="BB42" i="64"/>
  <c r="BB6" i="64"/>
  <c r="BB22" i="64"/>
  <c r="BG31" i="64"/>
  <c r="BG43" i="64"/>
  <c r="BG19" i="64"/>
  <c r="BF22" i="64"/>
  <c r="BF31" i="64"/>
  <c r="BB12" i="64"/>
  <c r="BF43" i="64"/>
  <c r="BB45" i="64"/>
  <c r="BF30" i="64"/>
  <c r="BB19" i="64"/>
  <c r="BF39" i="64"/>
  <c r="BB21" i="64"/>
  <c r="BG45" i="64"/>
  <c r="BF13" i="64"/>
  <c r="BF7" i="64"/>
  <c r="BG13" i="64"/>
  <c r="BB33" i="64"/>
  <c r="BF12" i="64"/>
  <c r="BF15" i="64"/>
  <c r="BF48" i="64"/>
  <c r="BG34" i="64"/>
  <c r="BG30" i="64"/>
  <c r="BG42" i="64"/>
  <c r="BF9" i="64"/>
  <c r="BB10" i="64"/>
  <c r="BF10" i="64"/>
  <c r="BB37" i="64"/>
  <c r="BG37" i="64"/>
  <c r="BF49" i="64"/>
  <c r="BG49" i="64"/>
  <c r="BG17" i="64"/>
  <c r="BF17" i="64"/>
  <c r="BF32" i="64"/>
  <c r="BG8" i="64"/>
  <c r="BG11" i="64"/>
  <c r="BB34" i="64"/>
  <c r="BF11" i="64"/>
  <c r="BB9" i="64"/>
  <c r="BG21" i="64"/>
  <c r="BB15" i="64"/>
  <c r="BF33" i="64"/>
  <c r="Z6" i="8"/>
  <c r="G23" i="39" s="1"/>
  <c r="J40" i="39" s="1"/>
  <c r="D46" i="11"/>
  <c r="K46" i="11" s="1"/>
  <c r="K21" i="13"/>
  <c r="K25" i="13" s="1"/>
  <c r="I21" i="13"/>
  <c r="I25" i="13" s="1"/>
  <c r="D21" i="13"/>
  <c r="D25" i="13" s="1"/>
  <c r="U2" i="9"/>
  <c r="M61" i="9" s="1"/>
  <c r="E21" i="13"/>
  <c r="E25" i="13" s="1"/>
  <c r="G21" i="13"/>
  <c r="G25" i="13" s="1"/>
  <c r="J21" i="13"/>
  <c r="J25" i="13" s="1"/>
  <c r="M21" i="13"/>
  <c r="M25" i="13" s="1"/>
  <c r="X2" i="13"/>
  <c r="M47" i="13" s="1"/>
  <c r="J55" i="9"/>
  <c r="J50" i="9"/>
  <c r="J61" i="9"/>
  <c r="A51" i="14"/>
  <c r="J49" i="14"/>
  <c r="J41" i="13"/>
  <c r="A43" i="13"/>
  <c r="J36" i="12"/>
  <c r="D38" i="12"/>
  <c r="J38" i="12" s="1"/>
  <c r="I43" i="14"/>
  <c r="I45" i="14"/>
  <c r="D42" i="12"/>
  <c r="D44" i="12" s="1"/>
  <c r="D43" i="12"/>
  <c r="B52" i="28"/>
  <c r="C49" i="28" s="1"/>
  <c r="D41" i="11"/>
  <c r="B181" i="26"/>
  <c r="C178" i="26" s="1"/>
  <c r="D47" i="11"/>
  <c r="D44" i="11"/>
  <c r="D45" i="11"/>
  <c r="K19" i="11"/>
  <c r="AJ9" i="11" s="1"/>
  <c r="AH2" i="11"/>
  <c r="F33" i="11" s="1"/>
  <c r="F34" i="11" s="1"/>
  <c r="F35" i="11" s="1"/>
  <c r="AG16" i="10"/>
  <c r="AG5" i="10"/>
  <c r="D10" i="11"/>
  <c r="U33" i="11" s="1"/>
  <c r="U34" i="11" s="1"/>
  <c r="U35" i="11" s="1"/>
  <c r="B100" i="24"/>
  <c r="H40" i="11"/>
  <c r="H41" i="11" s="1"/>
  <c r="D33" i="11"/>
  <c r="D34" i="11" s="1"/>
  <c r="Q34" i="11" s="1"/>
  <c r="V34" i="11" s="1"/>
  <c r="M68" i="11" s="1"/>
  <c r="H33" i="11"/>
  <c r="Q2" i="39"/>
  <c r="P9" i="39" s="1"/>
  <c r="Q50" i="11"/>
  <c r="D35" i="11"/>
  <c r="Q35" i="11" s="1"/>
  <c r="V35" i="11" s="1"/>
  <c r="M69" i="11" s="1"/>
  <c r="T33" i="11"/>
  <c r="T34" i="11" s="1"/>
  <c r="T35" i="11" s="1"/>
  <c r="D43" i="9"/>
  <c r="L36" i="9"/>
  <c r="L29" i="9"/>
  <c r="CH5" i="64"/>
  <c r="BD6" i="64" s="1"/>
  <c r="F8" i="39"/>
  <c r="I43" i="12"/>
  <c r="I44" i="12" s="1"/>
  <c r="I45" i="12" s="1"/>
  <c r="G44" i="12"/>
  <c r="G45" i="12" s="1"/>
  <c r="I36" i="12"/>
  <c r="I37" i="12" s="1"/>
  <c r="I38" i="12" s="1"/>
  <c r="I38" i="14"/>
  <c r="D43" i="14"/>
  <c r="J43" i="14" s="1"/>
  <c r="L23" i="9"/>
  <c r="AG6" i="10"/>
  <c r="AG11" i="10"/>
  <c r="AG13" i="10"/>
  <c r="AG10" i="10"/>
  <c r="AG15" i="10"/>
  <c r="AG7" i="10"/>
  <c r="AG12" i="10"/>
  <c r="D27" i="9"/>
  <c r="Q41" i="13"/>
  <c r="Q26" i="13"/>
  <c r="Q22" i="13"/>
  <c r="L22" i="37"/>
  <c r="K24" i="37"/>
  <c r="L24" i="37" s="1"/>
  <c r="K25" i="37"/>
  <c r="L25" i="37" s="1"/>
  <c r="K21" i="37"/>
  <c r="L21" i="37" s="1"/>
  <c r="D26" i="9"/>
  <c r="J33" i="11"/>
  <c r="J34" i="11" s="1"/>
  <c r="J35" i="11" s="1"/>
  <c r="H46" i="11"/>
  <c r="H47" i="11" s="1"/>
  <c r="D33" i="9"/>
  <c r="K33" i="9" s="1"/>
  <c r="D32" i="9"/>
  <c r="B169" i="20"/>
  <c r="C165" i="20" s="1"/>
  <c r="D25" i="9"/>
  <c r="D31" i="9"/>
  <c r="CF26" i="64"/>
  <c r="K36" i="12"/>
  <c r="M36" i="12" s="1"/>
  <c r="J52" i="12" s="1"/>
  <c r="W60" i="64"/>
  <c r="W70" i="64"/>
  <c r="W62" i="64"/>
  <c r="W64" i="64"/>
  <c r="W66" i="64"/>
  <c r="W61" i="64"/>
  <c r="W65" i="64"/>
  <c r="W68" i="64"/>
  <c r="W69" i="64"/>
  <c r="W63" i="64"/>
  <c r="W59" i="64"/>
  <c r="Y74" i="64"/>
  <c r="BC74" i="64" s="1"/>
  <c r="AO82" i="64" s="1"/>
  <c r="AF74" i="64" s="1"/>
  <c r="W67" i="64"/>
  <c r="C50" i="28" l="1"/>
  <c r="C47" i="28"/>
  <c r="J42" i="12"/>
  <c r="L44" i="39"/>
  <c r="L43" i="39"/>
  <c r="L42" i="39"/>
  <c r="L60" i="39"/>
  <c r="K51" i="11"/>
  <c r="Q33" i="11"/>
  <c r="V33" i="11" s="1"/>
  <c r="M67" i="11" s="1"/>
  <c r="I26" i="37"/>
  <c r="I38" i="37" s="1"/>
  <c r="E25" i="40"/>
  <c r="H25" i="40" s="1"/>
  <c r="P8" i="40"/>
  <c r="S8" i="40"/>
  <c r="E21" i="40" s="1"/>
  <c r="U8" i="40"/>
  <c r="E24" i="40" s="1"/>
  <c r="H24" i="40" s="1"/>
  <c r="T8" i="40"/>
  <c r="E23" i="40" s="1"/>
  <c r="H23" i="40" s="1"/>
  <c r="R8" i="40"/>
  <c r="E31" i="38"/>
  <c r="F31" i="38"/>
  <c r="M13" i="38"/>
  <c r="K40" i="39"/>
  <c r="L40" i="39" s="1"/>
  <c r="C24" i="38"/>
  <c r="N19" i="10"/>
  <c r="O17" i="11"/>
  <c r="D49" i="39"/>
  <c r="I33" i="39"/>
  <c r="G70" i="64"/>
  <c r="AA70" i="64" s="1"/>
  <c r="C60" i="64"/>
  <c r="S60" i="64" s="1"/>
  <c r="BG20" i="64"/>
  <c r="BG40" i="64"/>
  <c r="J73" i="64"/>
  <c r="G64" i="64"/>
  <c r="AA64" i="64" s="1"/>
  <c r="C68" i="64"/>
  <c r="S68" i="64" s="1"/>
  <c r="G61" i="64"/>
  <c r="AA61" i="64" s="1"/>
  <c r="C62" i="64"/>
  <c r="S62" i="64" s="1"/>
  <c r="BF50" i="64"/>
  <c r="G68" i="64"/>
  <c r="AA68" i="64" s="1"/>
  <c r="G66" i="64"/>
  <c r="AA66" i="64" s="1"/>
  <c r="C61" i="64"/>
  <c r="S61" i="64" s="1"/>
  <c r="BG44" i="64"/>
  <c r="G65" i="64"/>
  <c r="AA65" i="64" s="1"/>
  <c r="BG41" i="64"/>
  <c r="BF41" i="64"/>
  <c r="BG28" i="64"/>
  <c r="BG38" i="64"/>
  <c r="BG47" i="64"/>
  <c r="W71" i="64"/>
  <c r="P10" i="39"/>
  <c r="C66" i="64"/>
  <c r="S66" i="64" s="1"/>
  <c r="P17" i="39"/>
  <c r="P13" i="39"/>
  <c r="G60" i="64"/>
  <c r="AA60" i="64" s="1"/>
  <c r="G63" i="64"/>
  <c r="AA63" i="64" s="1"/>
  <c r="C64" i="64"/>
  <c r="S64" i="64" s="1"/>
  <c r="G62" i="64"/>
  <c r="AA62" i="64" s="1"/>
  <c r="G69" i="64"/>
  <c r="AA69" i="64" s="1"/>
  <c r="G59" i="64"/>
  <c r="G71" i="64" s="1"/>
  <c r="C70" i="64"/>
  <c r="S70" i="64" s="1"/>
  <c r="C59" i="64"/>
  <c r="C71" i="64" s="1"/>
  <c r="C63" i="64"/>
  <c r="S63" i="64" s="1"/>
  <c r="G67" i="64"/>
  <c r="AA67" i="64" s="1"/>
  <c r="C69" i="64"/>
  <c r="S69" i="64" s="1"/>
  <c r="C65" i="64"/>
  <c r="S65" i="64" s="1"/>
  <c r="P37" i="10"/>
  <c r="K45" i="11"/>
  <c r="Q45" i="11" s="1"/>
  <c r="V45" i="11" s="1"/>
  <c r="M77" i="11" s="1"/>
  <c r="AJ5" i="11"/>
  <c r="K44" i="11"/>
  <c r="Q44" i="11" s="1"/>
  <c r="V44" i="11" s="1"/>
  <c r="M76" i="11" s="1"/>
  <c r="K47" i="11"/>
  <c r="R37" i="10"/>
  <c r="Q49" i="7"/>
  <c r="Z4" i="7" s="1"/>
  <c r="I57" i="9" s="1"/>
  <c r="M52" i="7"/>
  <c r="H46" i="7"/>
  <c r="J46" i="7"/>
  <c r="Q50" i="7"/>
  <c r="Z5" i="7" s="1"/>
  <c r="H52" i="7"/>
  <c r="L52" i="7"/>
  <c r="I52" i="7"/>
  <c r="O52" i="7"/>
  <c r="Q48" i="7"/>
  <c r="Z3" i="7" s="1"/>
  <c r="F52" i="7"/>
  <c r="P52" i="7"/>
  <c r="J52" i="7"/>
  <c r="G52" i="7"/>
  <c r="K46" i="7"/>
  <c r="Q45" i="7"/>
  <c r="Y6" i="7" s="1"/>
  <c r="I54" i="9" s="1"/>
  <c r="N46" i="7"/>
  <c r="Q44" i="7"/>
  <c r="Y5" i="7" s="1"/>
  <c r="I53" i="9" s="1"/>
  <c r="G46" i="7"/>
  <c r="M46" i="7"/>
  <c r="P46" i="7"/>
  <c r="Q42" i="7"/>
  <c r="Y3" i="7" s="1"/>
  <c r="I51" i="9" s="1"/>
  <c r="I46" i="7"/>
  <c r="F46" i="7"/>
  <c r="O40" i="7"/>
  <c r="Q13" i="7"/>
  <c r="L40" i="7"/>
  <c r="I40" i="7"/>
  <c r="Q38" i="7"/>
  <c r="G40" i="7"/>
  <c r="J40" i="7"/>
  <c r="F40" i="7"/>
  <c r="M40" i="7"/>
  <c r="P40" i="7"/>
  <c r="BX8" i="64"/>
  <c r="BY8" i="64" s="1"/>
  <c r="BX17" i="64"/>
  <c r="BY17" i="64" s="1"/>
  <c r="BX7" i="64"/>
  <c r="BY7" i="64" s="1"/>
  <c r="BX9" i="64"/>
  <c r="BY9" i="64" s="1"/>
  <c r="BX11" i="64"/>
  <c r="BY11" i="64" s="1"/>
  <c r="BX6" i="64"/>
  <c r="BY6" i="64" s="1"/>
  <c r="BX16" i="64"/>
  <c r="BY16" i="64" s="1"/>
  <c r="BX14" i="64"/>
  <c r="BY14" i="64" s="1"/>
  <c r="BX10" i="64"/>
  <c r="BY10" i="64" s="1"/>
  <c r="BX12" i="64"/>
  <c r="BY12" i="64" s="1"/>
  <c r="G12" i="37"/>
  <c r="J25" i="37" s="1"/>
  <c r="I62" i="9"/>
  <c r="BX15" i="64"/>
  <c r="BY15" i="64" s="1"/>
  <c r="C167" i="20"/>
  <c r="I67" i="9"/>
  <c r="I27" i="37"/>
  <c r="Q58" i="8"/>
  <c r="Q68" i="8" s="1"/>
  <c r="L85" i="11"/>
  <c r="Q71" i="7"/>
  <c r="Q85" i="7" s="1"/>
  <c r="Q18" i="15"/>
  <c r="O49" i="15"/>
  <c r="Q19" i="15"/>
  <c r="E38" i="15" s="1"/>
  <c r="Q49" i="15"/>
  <c r="Q56" i="15"/>
  <c r="M56" i="15"/>
  <c r="Q24" i="15"/>
  <c r="K49" i="15"/>
  <c r="I54" i="15"/>
  <c r="CA26" i="64"/>
  <c r="CD26" i="64"/>
  <c r="CH26" i="64" s="1"/>
  <c r="K32" i="39"/>
  <c r="L32" i="39" s="1"/>
  <c r="K39" i="39"/>
  <c r="L39" i="39" s="1"/>
  <c r="O41" i="13"/>
  <c r="D45" i="14"/>
  <c r="J45" i="14" s="1"/>
  <c r="E38" i="14"/>
  <c r="L37" i="14"/>
  <c r="K56" i="14"/>
  <c r="M56" i="14"/>
  <c r="O56" i="14"/>
  <c r="Q56" i="14"/>
  <c r="M49" i="14"/>
  <c r="Q49" i="14"/>
  <c r="Q24" i="14"/>
  <c r="I61" i="14" s="1"/>
  <c r="Q23" i="14"/>
  <c r="E44" i="14" s="1"/>
  <c r="K38" i="12"/>
  <c r="M38" i="12" s="1"/>
  <c r="J54" i="12" s="1"/>
  <c r="K54" i="12" s="1"/>
  <c r="K43" i="12"/>
  <c r="K42" i="12"/>
  <c r="C48" i="28"/>
  <c r="K37" i="12"/>
  <c r="M37" i="12" s="1"/>
  <c r="J53" i="12" s="1"/>
  <c r="K53" i="12" s="1"/>
  <c r="K34" i="12"/>
  <c r="P86" i="11"/>
  <c r="Q47" i="11"/>
  <c r="V47" i="11" s="1"/>
  <c r="M79" i="11" s="1"/>
  <c r="R81" i="11"/>
  <c r="K41" i="11"/>
  <c r="Q41" i="11" s="1"/>
  <c r="V41" i="11" s="1"/>
  <c r="M74" i="11" s="1"/>
  <c r="N70" i="11"/>
  <c r="T81" i="11"/>
  <c r="T66" i="11"/>
  <c r="AJ15" i="11"/>
  <c r="AJ6" i="11"/>
  <c r="S33" i="11"/>
  <c r="S34" i="11" s="1"/>
  <c r="S35" i="11" s="1"/>
  <c r="AJ8" i="11"/>
  <c r="G52" i="11"/>
  <c r="AJ16" i="11"/>
  <c r="C179" i="26"/>
  <c r="AJ12" i="11"/>
  <c r="AJ10" i="11"/>
  <c r="AJ11" i="11"/>
  <c r="AJ13" i="11"/>
  <c r="Q39" i="11"/>
  <c r="V39" i="11" s="1"/>
  <c r="M72" i="11" s="1"/>
  <c r="AJ14" i="11"/>
  <c r="I27" i="11"/>
  <c r="AJ7" i="11"/>
  <c r="M8" i="38"/>
  <c r="N33" i="10"/>
  <c r="L40" i="10" s="1"/>
  <c r="M40" i="10" s="1"/>
  <c r="M12" i="38"/>
  <c r="M17" i="38"/>
  <c r="M11" i="38"/>
  <c r="M7" i="38"/>
  <c r="M16" i="38"/>
  <c r="M6" i="38"/>
  <c r="M9" i="38"/>
  <c r="N32" i="10"/>
  <c r="L39" i="10" s="1"/>
  <c r="M39" i="10" s="1"/>
  <c r="Q51" i="7"/>
  <c r="L46" i="7"/>
  <c r="L44" i="15"/>
  <c r="L45" i="15"/>
  <c r="K52" i="7"/>
  <c r="N52" i="7"/>
  <c r="O46" i="7"/>
  <c r="Q43" i="7"/>
  <c r="Y4" i="7" s="1"/>
  <c r="L37" i="15"/>
  <c r="Q23" i="7"/>
  <c r="L36" i="15"/>
  <c r="N40" i="7"/>
  <c r="H40" i="7"/>
  <c r="K40" i="7"/>
  <c r="Q37" i="7"/>
  <c r="K50" i="9"/>
  <c r="K66" i="9"/>
  <c r="Q55" i="9"/>
  <c r="K61" i="9"/>
  <c r="F47" i="39"/>
  <c r="C166" i="20"/>
  <c r="G25" i="9"/>
  <c r="G26" i="9" s="1"/>
  <c r="G27" i="9" s="1"/>
  <c r="K27" i="9" s="1"/>
  <c r="K26" i="9"/>
  <c r="C164" i="20"/>
  <c r="M43" i="14"/>
  <c r="J59" i="14" s="1"/>
  <c r="J44" i="12"/>
  <c r="K44" i="12"/>
  <c r="M44" i="12"/>
  <c r="J60" i="12" s="1"/>
  <c r="M42" i="12"/>
  <c r="J58" i="12" s="1"/>
  <c r="K35" i="12"/>
  <c r="M35" i="12" s="1"/>
  <c r="J51" i="12" s="1"/>
  <c r="D45" i="12"/>
  <c r="J35" i="12"/>
  <c r="M43" i="12"/>
  <c r="J59" i="12" s="1"/>
  <c r="J43" i="12"/>
  <c r="Q46" i="11"/>
  <c r="V46" i="11" s="1"/>
  <c r="M78" i="11" s="1"/>
  <c r="K57" i="11"/>
  <c r="Q57" i="11" s="1"/>
  <c r="V57" i="11" s="1"/>
  <c r="M87" i="11" s="1"/>
  <c r="N87" i="11" s="1"/>
  <c r="N31" i="10"/>
  <c r="L38" i="10" s="1"/>
  <c r="M38" i="10" s="1"/>
  <c r="K43" i="9"/>
  <c r="L43" i="9" s="1"/>
  <c r="Q43" i="9" s="1"/>
  <c r="J67" i="9" s="1"/>
  <c r="Q67" i="8"/>
  <c r="K31" i="9"/>
  <c r="BC75" i="64"/>
  <c r="BC76" i="64"/>
  <c r="BC77" i="64"/>
  <c r="S53" i="11"/>
  <c r="S54" i="11" s="1"/>
  <c r="G32" i="13"/>
  <c r="Q23" i="13"/>
  <c r="I44" i="13"/>
  <c r="G36" i="13"/>
  <c r="Q27" i="13"/>
  <c r="I50" i="13"/>
  <c r="K32" i="9"/>
  <c r="K31" i="39"/>
  <c r="L31" i="39" s="1"/>
  <c r="P15" i="39"/>
  <c r="M41" i="13"/>
  <c r="D38" i="9"/>
  <c r="K38" i="9" s="1"/>
  <c r="L38" i="9" s="1"/>
  <c r="Q38" i="9" s="1"/>
  <c r="L42" i="9"/>
  <c r="P16" i="39"/>
  <c r="P12" i="39"/>
  <c r="K47" i="13"/>
  <c r="D39" i="9"/>
  <c r="K39" i="9" s="1"/>
  <c r="D40" i="9"/>
  <c r="K40" i="9" s="1"/>
  <c r="D46" i="9"/>
  <c r="K46" i="9" s="1"/>
  <c r="D24" i="9"/>
  <c r="D30" i="9"/>
  <c r="Q51" i="11"/>
  <c r="V51" i="11" s="1"/>
  <c r="P18" i="39"/>
  <c r="P7" i="39"/>
  <c r="C177" i="26"/>
  <c r="Q47" i="13"/>
  <c r="CB26" i="64"/>
  <c r="G19" i="39"/>
  <c r="G9" i="37"/>
  <c r="P8" i="39"/>
  <c r="C176" i="26"/>
  <c r="D37" i="9"/>
  <c r="K55" i="9"/>
  <c r="M66" i="9"/>
  <c r="O50" i="9"/>
  <c r="Q61" i="9"/>
  <c r="M55" i="9"/>
  <c r="I64" i="9"/>
  <c r="Z4" i="8"/>
  <c r="D45" i="9"/>
  <c r="K45" i="9" s="1"/>
  <c r="D44" i="9"/>
  <c r="K44" i="9" s="1"/>
  <c r="L44" i="9" s="1"/>
  <c r="Q44" i="9" s="1"/>
  <c r="P11" i="39"/>
  <c r="P14" i="39"/>
  <c r="K41" i="13"/>
  <c r="O47" i="13"/>
  <c r="V6" i="39"/>
  <c r="T6" i="39"/>
  <c r="D36" i="15"/>
  <c r="D38" i="15" s="1"/>
  <c r="K38" i="15" s="1"/>
  <c r="B82" i="34"/>
  <c r="D43" i="15"/>
  <c r="D45" i="15" s="1"/>
  <c r="K45" i="15" s="1"/>
  <c r="E44" i="15"/>
  <c r="Q25" i="15"/>
  <c r="I60" i="15"/>
  <c r="F54" i="11"/>
  <c r="AG9" i="10"/>
  <c r="AG8" i="10"/>
  <c r="AG14" i="10"/>
  <c r="D36" i="14"/>
  <c r="J36" i="14" s="1"/>
  <c r="B61" i="32"/>
  <c r="Q7" i="40"/>
  <c r="Q8" i="40" s="1"/>
  <c r="N66" i="11"/>
  <c r="E45" i="14"/>
  <c r="D38" i="11"/>
  <c r="E38" i="12"/>
  <c r="I54" i="12"/>
  <c r="Q39" i="7"/>
  <c r="BS7" i="64"/>
  <c r="BK7" i="64"/>
  <c r="AQ7" i="64"/>
  <c r="BB7" i="64" s="1"/>
  <c r="BT7" i="64"/>
  <c r="BU7" i="64"/>
  <c r="BM7" i="64"/>
  <c r="BN7" i="64"/>
  <c r="BP7" i="64"/>
  <c r="AJ64" i="64" s="1"/>
  <c r="BR7" i="64"/>
  <c r="BQ7" i="64"/>
  <c r="AJ65" i="64" s="1"/>
  <c r="BV7" i="64"/>
  <c r="BO7" i="64"/>
  <c r="BL7" i="64"/>
  <c r="BK26" i="64"/>
  <c r="BO26" i="64"/>
  <c r="BS26" i="64"/>
  <c r="BQ26" i="64"/>
  <c r="BP26" i="64"/>
  <c r="BR26" i="64"/>
  <c r="BN26" i="64"/>
  <c r="AQ26" i="64"/>
  <c r="BL26" i="64"/>
  <c r="BM40" i="64"/>
  <c r="BP40" i="64"/>
  <c r="BR40" i="64"/>
  <c r="BO40" i="64"/>
  <c r="BL40" i="64"/>
  <c r="BV40" i="64"/>
  <c r="BT40" i="64"/>
  <c r="BQ40" i="64"/>
  <c r="BS40" i="64"/>
  <c r="BU40" i="64"/>
  <c r="BK40" i="64"/>
  <c r="AQ40" i="64"/>
  <c r="BB40" i="64" s="1"/>
  <c r="BN40" i="64"/>
  <c r="BU43" i="64"/>
  <c r="BS43" i="64"/>
  <c r="BM43" i="64"/>
  <c r="BQ43" i="64"/>
  <c r="BR43" i="64"/>
  <c r="BN43" i="64"/>
  <c r="BP43" i="64"/>
  <c r="BL43" i="64"/>
  <c r="BK43" i="64"/>
  <c r="BO43" i="64"/>
  <c r="BT43" i="64"/>
  <c r="AQ43" i="64"/>
  <c r="BB43" i="64" s="1"/>
  <c r="I70" i="9"/>
  <c r="L90" i="11"/>
  <c r="T86" i="11"/>
  <c r="R70" i="11"/>
  <c r="T70" i="11"/>
  <c r="R66" i="11"/>
  <c r="P66" i="11"/>
  <c r="N81" i="11"/>
  <c r="T75" i="11"/>
  <c r="R75" i="11"/>
  <c r="P70" i="11"/>
  <c r="E37" i="14"/>
  <c r="Q20" i="14"/>
  <c r="P25" i="15"/>
  <c r="D40" i="11"/>
  <c r="R74" i="64"/>
  <c r="I63" i="9"/>
  <c r="Z5" i="8"/>
  <c r="P81" i="11"/>
  <c r="I53" i="12"/>
  <c r="Q24" i="12"/>
  <c r="P20" i="15"/>
  <c r="S5" i="38"/>
  <c r="I44" i="39"/>
  <c r="I53" i="15"/>
  <c r="E37" i="15"/>
  <c r="N86" i="11"/>
  <c r="P75" i="11"/>
  <c r="R86" i="11"/>
  <c r="G58" i="11"/>
  <c r="K49" i="12"/>
  <c r="Q56" i="12"/>
  <c r="Q28" i="12"/>
  <c r="BN8" i="64"/>
  <c r="BL8" i="64"/>
  <c r="BQ8" i="64"/>
  <c r="BU8" i="64"/>
  <c r="BV8" i="64"/>
  <c r="BS8" i="64"/>
  <c r="BM8" i="64"/>
  <c r="BT8" i="64"/>
  <c r="AJ68" i="64" s="1"/>
  <c r="BR8" i="64"/>
  <c r="BP46" i="64"/>
  <c r="BT46" i="64"/>
  <c r="BO46" i="64"/>
  <c r="BV46" i="64"/>
  <c r="BM46" i="64"/>
  <c r="BN46" i="64"/>
  <c r="AQ46" i="64"/>
  <c r="BU46" i="64"/>
  <c r="BK46" i="64"/>
  <c r="BL46" i="64"/>
  <c r="BS46" i="64"/>
  <c r="BS50" i="64"/>
  <c r="BQ50" i="64"/>
  <c r="BR50" i="64"/>
  <c r="BP50" i="64"/>
  <c r="BK50" i="64"/>
  <c r="BM50" i="64"/>
  <c r="AQ50" i="64"/>
  <c r="BB50" i="64" s="1"/>
  <c r="BT50" i="64"/>
  <c r="BN50" i="64"/>
  <c r="BV50" i="64"/>
  <c r="BU50" i="64"/>
  <c r="BN22" i="64"/>
  <c r="AQ36" i="64"/>
  <c r="BU36" i="64"/>
  <c r="BL36" i="64"/>
  <c r="BQ36" i="64"/>
  <c r="BM36" i="64"/>
  <c r="BK36" i="64"/>
  <c r="BN36" i="64"/>
  <c r="BT36" i="64"/>
  <c r="BP36" i="64"/>
  <c r="BS36" i="64"/>
  <c r="BO36" i="64"/>
  <c r="BT39" i="64"/>
  <c r="BR39" i="64"/>
  <c r="AQ39" i="64"/>
  <c r="BN39" i="64"/>
  <c r="BP39" i="64"/>
  <c r="BV39" i="64"/>
  <c r="BU39" i="64"/>
  <c r="BS39" i="64"/>
  <c r="BQ39" i="64"/>
  <c r="BM39" i="64"/>
  <c r="BK39" i="64"/>
  <c r="BO39" i="64"/>
  <c r="BL39" i="64"/>
  <c r="BB8" i="64"/>
  <c r="BT22" i="64"/>
  <c r="BS22" i="64"/>
  <c r="AQ32" i="64"/>
  <c r="BB32" i="64" s="1"/>
  <c r="BV32" i="64"/>
  <c r="BU32" i="64"/>
  <c r="BQ32" i="64"/>
  <c r="BL32" i="64"/>
  <c r="BT32" i="64"/>
  <c r="BN32" i="64"/>
  <c r="BO32" i="64"/>
  <c r="BM32" i="64"/>
  <c r="M49" i="12"/>
  <c r="O56" i="12"/>
  <c r="Q27" i="12"/>
  <c r="M56" i="12"/>
  <c r="K56" i="12"/>
  <c r="O49" i="12"/>
  <c r="D35" i="14"/>
  <c r="J35" i="14" s="1"/>
  <c r="F33" i="8"/>
  <c r="BS11" i="64"/>
  <c r="BP11" i="64"/>
  <c r="BM11" i="64"/>
  <c r="BL11" i="64"/>
  <c r="BQ11" i="64"/>
  <c r="BT11" i="64"/>
  <c r="BU11" i="64"/>
  <c r="BK11" i="64"/>
  <c r="BV11" i="64"/>
  <c r="BN11" i="64"/>
  <c r="AQ11" i="64"/>
  <c r="BB11" i="64" s="1"/>
  <c r="BO11" i="64"/>
  <c r="BR14" i="64"/>
  <c r="BS14" i="64"/>
  <c r="BN14" i="64"/>
  <c r="BQ14" i="64"/>
  <c r="BL14" i="64"/>
  <c r="AQ14" i="64"/>
  <c r="BU14" i="64"/>
  <c r="BM14" i="64"/>
  <c r="BV14" i="64"/>
  <c r="BO14" i="64"/>
  <c r="BK14" i="64"/>
  <c r="BT14" i="64"/>
  <c r="BL17" i="64"/>
  <c r="BS17" i="64"/>
  <c r="BU17" i="64"/>
  <c r="AQ17" i="64"/>
  <c r="BM17" i="64"/>
  <c r="BO17" i="64"/>
  <c r="BQ17" i="64"/>
  <c r="BT17" i="64"/>
  <c r="BP17" i="64"/>
  <c r="BR17" i="64"/>
  <c r="BV17" i="64"/>
  <c r="BU20" i="64"/>
  <c r="BQ20" i="64"/>
  <c r="BO20" i="64"/>
  <c r="BT20" i="64"/>
  <c r="BV20" i="64"/>
  <c r="BR20" i="64"/>
  <c r="BO28" i="64"/>
  <c r="AQ28" i="64"/>
  <c r="BB28" i="64" s="1"/>
  <c r="BK28" i="64"/>
  <c r="BE51" i="64"/>
  <c r="AO77" i="64" s="1"/>
  <c r="BK22" i="64"/>
  <c r="BP28" i="64"/>
  <c r="O21" i="13"/>
  <c r="O25" i="13" s="1"/>
  <c r="BL41" i="64"/>
  <c r="BN12" i="64"/>
  <c r="BL28" i="64"/>
  <c r="BM9" i="64"/>
  <c r="BS34" i="64"/>
  <c r="BL15" i="64"/>
  <c r="BM34" i="64"/>
  <c r="BQ34" i="64"/>
  <c r="BQ22" i="64"/>
  <c r="BM18" i="64"/>
  <c r="BS37" i="64"/>
  <c r="BS18" i="64"/>
  <c r="BK18" i="64"/>
  <c r="AQ44" i="64"/>
  <c r="BB44" i="64" s="1"/>
  <c r="BP9" i="64"/>
  <c r="BN15" i="64"/>
  <c r="BB23" i="64"/>
  <c r="BB29" i="64"/>
  <c r="L21" i="13"/>
  <c r="L25" i="13" s="1"/>
  <c r="J49" i="15"/>
  <c r="BT37" i="64"/>
  <c r="BP41" i="64"/>
  <c r="BT30" i="64"/>
  <c r="BT12" i="64"/>
  <c r="BM28" i="64"/>
  <c r="BS9" i="64"/>
  <c r="BN16" i="64"/>
  <c r="BK8" i="64"/>
  <c r="BP34" i="64"/>
  <c r="BU12" i="64"/>
  <c r="BR15" i="64"/>
  <c r="BU34" i="64"/>
  <c r="BL34" i="64"/>
  <c r="BR22" i="64"/>
  <c r="BQ37" i="64"/>
  <c r="BL37" i="64"/>
  <c r="BR18" i="64"/>
  <c r="BS30" i="64"/>
  <c r="BO12" i="64"/>
  <c r="BB47" i="64"/>
  <c r="N21" i="13"/>
  <c r="N25" i="13" s="1"/>
  <c r="J56" i="15"/>
  <c r="BO24" i="64"/>
  <c r="BP12" i="64"/>
  <c r="BO22" i="64"/>
  <c r="BL12" i="64"/>
  <c r="BK15" i="64"/>
  <c r="BN34" i="64"/>
  <c r="AQ18" i="64"/>
  <c r="BL18" i="64"/>
  <c r="BQ30" i="64"/>
  <c r="J49" i="12"/>
  <c r="BB17" i="64"/>
  <c r="BB39" i="64"/>
  <c r="BB46" i="64"/>
  <c r="E1" i="60"/>
  <c r="AQ1" i="64"/>
  <c r="K43" i="14"/>
  <c r="D42" i="14"/>
  <c r="K42" i="14" s="1"/>
  <c r="K41" i="14"/>
  <c r="I36" i="14"/>
  <c r="D38" i="14"/>
  <c r="J38" i="14" s="1"/>
  <c r="K41" i="15"/>
  <c r="J43" i="15"/>
  <c r="D35" i="15"/>
  <c r="J35" i="15" s="1"/>
  <c r="D42" i="15"/>
  <c r="J42" i="15" s="1"/>
  <c r="M45" i="15"/>
  <c r="J61" i="15" s="1"/>
  <c r="I43" i="15"/>
  <c r="I37" i="15"/>
  <c r="I38" i="15"/>
  <c r="I44" i="15"/>
  <c r="F45" i="9"/>
  <c r="F39" i="9"/>
  <c r="O61" i="9"/>
  <c r="O66" i="9"/>
  <c r="M50" i="9"/>
  <c r="Q50" i="9"/>
  <c r="Q66" i="9"/>
  <c r="O55" i="9"/>
  <c r="BB38" i="64"/>
  <c r="BG29" i="64"/>
  <c r="BF29" i="64"/>
  <c r="BF23" i="64"/>
  <c r="BG23" i="64"/>
  <c r="BF14" i="64"/>
  <c r="BG35" i="64"/>
  <c r="BB18" i="64"/>
  <c r="BB35" i="64"/>
  <c r="BF18" i="64"/>
  <c r="BB14" i="64"/>
  <c r="BG24" i="64"/>
  <c r="BB27" i="64"/>
  <c r="BG36" i="64"/>
  <c r="BB25" i="64"/>
  <c r="BB16" i="64"/>
  <c r="BF46" i="64"/>
  <c r="BB24" i="64"/>
  <c r="BG25" i="64"/>
  <c r="BB26" i="64"/>
  <c r="BG26" i="64"/>
  <c r="BF27" i="64"/>
  <c r="BB36" i="64"/>
  <c r="BG46" i="64"/>
  <c r="BF6" i="64"/>
  <c r="BF16" i="64"/>
  <c r="BD51" i="64"/>
  <c r="AO76" i="64" s="1"/>
  <c r="I49" i="13" l="1"/>
  <c r="L77" i="11"/>
  <c r="I63" i="39"/>
  <c r="CC26" i="64"/>
  <c r="J45" i="15"/>
  <c r="BB68" i="64"/>
  <c r="AU68" i="64" s="1"/>
  <c r="BB64" i="64"/>
  <c r="AU64" i="64" s="1"/>
  <c r="BC14" i="64"/>
  <c r="AU14" i="64" s="1"/>
  <c r="BC41" i="64"/>
  <c r="AU41" i="64" s="1"/>
  <c r="AA59" i="64"/>
  <c r="AA71" i="64" s="1"/>
  <c r="S59" i="64"/>
  <c r="S71" i="64" s="1"/>
  <c r="BC38" i="64"/>
  <c r="AU38" i="64" s="1"/>
  <c r="BC22" i="64"/>
  <c r="AU22" i="64" s="1"/>
  <c r="BC17" i="64"/>
  <c r="AU17" i="64" s="1"/>
  <c r="BB65" i="64"/>
  <c r="AU65" i="64" s="1"/>
  <c r="I51" i="12"/>
  <c r="K51" i="12" s="1"/>
  <c r="L71" i="11"/>
  <c r="I51" i="14"/>
  <c r="N77" i="11"/>
  <c r="BC49" i="64"/>
  <c r="AU49" i="64" s="1"/>
  <c r="BC9" i="64"/>
  <c r="AU9" i="64" s="1"/>
  <c r="BC11" i="64"/>
  <c r="AU11" i="64" s="1"/>
  <c r="BC47" i="64"/>
  <c r="AU47" i="64" s="1"/>
  <c r="BC19" i="64"/>
  <c r="AU19" i="64" s="1"/>
  <c r="BC20" i="64"/>
  <c r="AU20" i="64" s="1"/>
  <c r="BC21" i="64"/>
  <c r="AU21" i="64" s="1"/>
  <c r="Q63" i="8"/>
  <c r="I58" i="15"/>
  <c r="L74" i="11"/>
  <c r="N74" i="11" s="1"/>
  <c r="Q74" i="7"/>
  <c r="W4" i="7" s="1"/>
  <c r="L68" i="11" s="1"/>
  <c r="N68" i="11" s="1"/>
  <c r="Q87" i="7"/>
  <c r="L73" i="11"/>
  <c r="AB7" i="7"/>
  <c r="F16" i="40" s="1"/>
  <c r="G16" i="40" s="1"/>
  <c r="H16" i="40" s="1"/>
  <c r="I51" i="15"/>
  <c r="E44" i="39"/>
  <c r="H44" i="39" s="1"/>
  <c r="I58" i="9"/>
  <c r="L78" i="11"/>
  <c r="N78" i="11" s="1"/>
  <c r="I56" i="9"/>
  <c r="L76" i="11"/>
  <c r="N76" i="11" s="1"/>
  <c r="Q46" i="7"/>
  <c r="E19" i="41"/>
  <c r="H19" i="41" s="1"/>
  <c r="Q79" i="7"/>
  <c r="Q61" i="8"/>
  <c r="BC25" i="64"/>
  <c r="AU25" i="64" s="1"/>
  <c r="BC27" i="64"/>
  <c r="AU27" i="64" s="1"/>
  <c r="BC12" i="64"/>
  <c r="AU12" i="64" s="1"/>
  <c r="BC8" i="64"/>
  <c r="AU8" i="64" s="1"/>
  <c r="Q86" i="7"/>
  <c r="Q69" i="8"/>
  <c r="Q66" i="8"/>
  <c r="BC40" i="64"/>
  <c r="AU40" i="64" s="1"/>
  <c r="BC42" i="64"/>
  <c r="AU42" i="64" s="1"/>
  <c r="BC33" i="64"/>
  <c r="AU33" i="64" s="1"/>
  <c r="BC39" i="64"/>
  <c r="AU39" i="64" s="1"/>
  <c r="AB6" i="7"/>
  <c r="F11" i="37" s="1"/>
  <c r="F24" i="37" s="1"/>
  <c r="G24" i="37" s="1"/>
  <c r="H24" i="37" s="1"/>
  <c r="Q60" i="8"/>
  <c r="Q62" i="8"/>
  <c r="BC44" i="64"/>
  <c r="AU44" i="64" s="1"/>
  <c r="BC24" i="64"/>
  <c r="AU24" i="64" s="1"/>
  <c r="BC6" i="64"/>
  <c r="AU6" i="64" s="1"/>
  <c r="BC36" i="64"/>
  <c r="AU36" i="64" s="1"/>
  <c r="I52" i="14"/>
  <c r="K67" i="9"/>
  <c r="BC34" i="64"/>
  <c r="AU34" i="64" s="1"/>
  <c r="BC45" i="64"/>
  <c r="AU45" i="64" s="1"/>
  <c r="BC26" i="64"/>
  <c r="AU26" i="64" s="1"/>
  <c r="BC10" i="64"/>
  <c r="AU10" i="64" s="1"/>
  <c r="BC31" i="64"/>
  <c r="AU31" i="64" s="1"/>
  <c r="BC35" i="64"/>
  <c r="AU35" i="64" s="1"/>
  <c r="BC29" i="64"/>
  <c r="AU29" i="64" s="1"/>
  <c r="BC43" i="64"/>
  <c r="AU43" i="64" s="1"/>
  <c r="BC16" i="64"/>
  <c r="AU16" i="64" s="1"/>
  <c r="BC13" i="64"/>
  <c r="AU13" i="64" s="1"/>
  <c r="BC37" i="64"/>
  <c r="AU37" i="64" s="1"/>
  <c r="BC32" i="64"/>
  <c r="AU32" i="64" s="1"/>
  <c r="BC28" i="64"/>
  <c r="AU28" i="64" s="1"/>
  <c r="BC18" i="64"/>
  <c r="AU18" i="64" s="1"/>
  <c r="BC15" i="64"/>
  <c r="AU15" i="64" s="1"/>
  <c r="BC46" i="64"/>
  <c r="AU46" i="64" s="1"/>
  <c r="BC23" i="64"/>
  <c r="AU23" i="64" s="1"/>
  <c r="BC50" i="64"/>
  <c r="AU50" i="64" s="1"/>
  <c r="BC30" i="64"/>
  <c r="AU30" i="64" s="1"/>
  <c r="BC7" i="64"/>
  <c r="AU7" i="64" s="1"/>
  <c r="BC48" i="64"/>
  <c r="AU48" i="64" s="1"/>
  <c r="Q80" i="7"/>
  <c r="Q73" i="7"/>
  <c r="W3" i="7" s="1"/>
  <c r="Q81" i="7"/>
  <c r="Q78" i="7"/>
  <c r="Q84" i="7"/>
  <c r="Q75" i="7"/>
  <c r="Q70" i="8"/>
  <c r="Q64" i="8"/>
  <c r="K61" i="15"/>
  <c r="Q20" i="15"/>
  <c r="E45" i="15"/>
  <c r="I61" i="15"/>
  <c r="I60" i="14"/>
  <c r="I58" i="14" s="1"/>
  <c r="Q25" i="14"/>
  <c r="M45" i="14"/>
  <c r="N61" i="14" s="1"/>
  <c r="O61" i="14" s="1"/>
  <c r="K45" i="14"/>
  <c r="P7" i="40"/>
  <c r="G53" i="11"/>
  <c r="K52" i="11"/>
  <c r="Q52" i="11" s="1"/>
  <c r="V52" i="11" s="1"/>
  <c r="Z6" i="7"/>
  <c r="Q52" i="7"/>
  <c r="I52" i="15"/>
  <c r="E27" i="37"/>
  <c r="H27" i="37" s="1"/>
  <c r="I52" i="12"/>
  <c r="K52" i="12" s="1"/>
  <c r="I43" i="13"/>
  <c r="I51" i="13" s="1"/>
  <c r="L72" i="11"/>
  <c r="N72" i="11" s="1"/>
  <c r="I52" i="9"/>
  <c r="E20" i="40"/>
  <c r="H20" i="40" s="1"/>
  <c r="K25" i="9"/>
  <c r="M43" i="15"/>
  <c r="J59" i="15" s="1"/>
  <c r="K43" i="15"/>
  <c r="L59" i="15" s="1"/>
  <c r="K35" i="14"/>
  <c r="M35" i="14" s="1"/>
  <c r="L51" i="14" s="1"/>
  <c r="M51" i="14" s="1"/>
  <c r="D37" i="14"/>
  <c r="J37" i="14" s="1"/>
  <c r="K36" i="14"/>
  <c r="M36" i="14" s="1"/>
  <c r="L52" i="14" s="1"/>
  <c r="N51" i="12"/>
  <c r="M45" i="12"/>
  <c r="J61" i="12" s="1"/>
  <c r="K61" i="12" s="1"/>
  <c r="K45" i="12"/>
  <c r="J45" i="12"/>
  <c r="J38" i="15"/>
  <c r="K36" i="15"/>
  <c r="N52" i="15" s="1"/>
  <c r="N49" i="14"/>
  <c r="A58" i="14"/>
  <c r="N59" i="14"/>
  <c r="N56" i="14"/>
  <c r="AJ66" i="64"/>
  <c r="BB66" i="64" s="1"/>
  <c r="AU66" i="64" s="1"/>
  <c r="BH21" i="64"/>
  <c r="K38" i="11"/>
  <c r="Q38" i="11" s="1"/>
  <c r="V38" i="11" s="1"/>
  <c r="O71" i="11" s="1"/>
  <c r="P71" i="11" s="1"/>
  <c r="C80" i="34"/>
  <c r="C78" i="34"/>
  <c r="C77" i="34"/>
  <c r="C79" i="34"/>
  <c r="BH17" i="64"/>
  <c r="N52" i="12"/>
  <c r="N50" i="9"/>
  <c r="N66" i="9"/>
  <c r="N61" i="9"/>
  <c r="A63" i="9"/>
  <c r="N55" i="9"/>
  <c r="J21" i="37"/>
  <c r="Q86" i="11"/>
  <c r="Q66" i="11"/>
  <c r="Q81" i="11"/>
  <c r="Q78" i="11"/>
  <c r="Q68" i="11"/>
  <c r="Q87" i="11"/>
  <c r="R87" i="11" s="1"/>
  <c r="Q70" i="11"/>
  <c r="Q77" i="11"/>
  <c r="R77" i="11" s="1"/>
  <c r="Q72" i="11"/>
  <c r="Q76" i="11"/>
  <c r="B78" i="11"/>
  <c r="Q67" i="11"/>
  <c r="Q69" i="11"/>
  <c r="Q75" i="11"/>
  <c r="N49" i="15"/>
  <c r="A58" i="15"/>
  <c r="N56" i="15"/>
  <c r="G11" i="37"/>
  <c r="J24" i="37" s="1"/>
  <c r="G22" i="39"/>
  <c r="J39" i="39" s="1"/>
  <c r="K40" i="11"/>
  <c r="Q40" i="11" s="1"/>
  <c r="V40" i="11" s="1"/>
  <c r="O73" i="11" s="1"/>
  <c r="P73" i="11" s="1"/>
  <c r="AJ60" i="64"/>
  <c r="BB60" i="64" s="1"/>
  <c r="AU60" i="64" s="1"/>
  <c r="BH9" i="64"/>
  <c r="BH13" i="64"/>
  <c r="AJ62" i="64"/>
  <c r="BB62" i="64" s="1"/>
  <c r="AU62" i="64" s="1"/>
  <c r="AJ67" i="64"/>
  <c r="BB67" i="64" s="1"/>
  <c r="AU67" i="64" s="1"/>
  <c r="BH23" i="64"/>
  <c r="K30" i="9"/>
  <c r="O7" i="40"/>
  <c r="O8" i="40" s="1"/>
  <c r="E17" i="40" s="1"/>
  <c r="F17" i="40" s="1"/>
  <c r="AJ59" i="64"/>
  <c r="BH7" i="64"/>
  <c r="N67" i="9"/>
  <c r="O67" i="9" s="1"/>
  <c r="N59" i="12"/>
  <c r="N56" i="12"/>
  <c r="N54" i="12"/>
  <c r="O54" i="12" s="1"/>
  <c r="N60" i="12"/>
  <c r="O60" i="12" s="1"/>
  <c r="N49" i="12"/>
  <c r="A59" i="12"/>
  <c r="N58" i="12"/>
  <c r="Q29" i="12"/>
  <c r="O6" i="40" s="1"/>
  <c r="P6" i="40"/>
  <c r="I60" i="12"/>
  <c r="I58" i="12" s="1"/>
  <c r="K58" i="12" s="1"/>
  <c r="E44" i="12"/>
  <c r="G59" i="11"/>
  <c r="K58" i="11"/>
  <c r="Q58" i="11" s="1"/>
  <c r="V58" i="11" s="1"/>
  <c r="O88" i="11" s="1"/>
  <c r="P88" i="11" s="1"/>
  <c r="BH15" i="64"/>
  <c r="AJ63" i="64"/>
  <c r="BB63" i="64" s="1"/>
  <c r="AU63" i="64" s="1"/>
  <c r="BH11" i="64"/>
  <c r="AJ61" i="64"/>
  <c r="BB61" i="64" s="1"/>
  <c r="AU61" i="64" s="1"/>
  <c r="W5" i="7"/>
  <c r="Q40" i="7"/>
  <c r="M82" i="11"/>
  <c r="N82" i="11" s="1"/>
  <c r="Q82" i="11"/>
  <c r="R82" i="11" s="1"/>
  <c r="K24" i="9"/>
  <c r="Q79" i="11"/>
  <c r="Q37" i="10"/>
  <c r="Q40" i="10"/>
  <c r="Q39" i="10"/>
  <c r="Q38" i="10"/>
  <c r="B48" i="10"/>
  <c r="I61" i="12"/>
  <c r="E45" i="12"/>
  <c r="Q6" i="40"/>
  <c r="AJ70" i="64"/>
  <c r="BB70" i="64" s="1"/>
  <c r="AU70" i="64" s="1"/>
  <c r="BH29" i="64"/>
  <c r="AJ69" i="64"/>
  <c r="BB69" i="64" s="1"/>
  <c r="AU69" i="64" s="1"/>
  <c r="E17" i="41"/>
  <c r="U6" i="39"/>
  <c r="W6" i="39"/>
  <c r="G10" i="37"/>
  <c r="J22" i="37" s="1"/>
  <c r="G20" i="39"/>
  <c r="K37" i="9"/>
  <c r="L37" i="9" s="1"/>
  <c r="Q37" i="9" s="1"/>
  <c r="L62" i="9" s="1"/>
  <c r="M62" i="9" s="1"/>
  <c r="K60" i="12"/>
  <c r="Q74" i="11"/>
  <c r="J36" i="15"/>
  <c r="A51" i="13"/>
  <c r="N47" i="13"/>
  <c r="N41" i="13"/>
  <c r="BH19" i="64"/>
  <c r="BH25" i="64"/>
  <c r="C58" i="32"/>
  <c r="C57" i="32"/>
  <c r="C59" i="32"/>
  <c r="C56" i="32"/>
  <c r="BH27" i="64"/>
  <c r="N53" i="12"/>
  <c r="O53" i="12" s="1"/>
  <c r="L56" i="14"/>
  <c r="L49" i="14"/>
  <c r="L59" i="14"/>
  <c r="A55" i="14"/>
  <c r="L54" i="12"/>
  <c r="M54" i="12" s="1"/>
  <c r="L59" i="12"/>
  <c r="L56" i="12"/>
  <c r="L58" i="12"/>
  <c r="L53" i="12"/>
  <c r="M53" i="12" s="1"/>
  <c r="A56" i="12"/>
  <c r="L49" i="12"/>
  <c r="L51" i="12"/>
  <c r="L52" i="12"/>
  <c r="L60" i="12"/>
  <c r="M60" i="12" s="1"/>
  <c r="L49" i="15"/>
  <c r="A55" i="15"/>
  <c r="L56" i="15"/>
  <c r="A48" i="13"/>
  <c r="L41" i="13"/>
  <c r="L47" i="13"/>
  <c r="O81" i="11"/>
  <c r="O82" i="11"/>
  <c r="P82" i="11" s="1"/>
  <c r="O86" i="11"/>
  <c r="O67" i="11"/>
  <c r="O72" i="11"/>
  <c r="O74" i="11"/>
  <c r="P74" i="11" s="1"/>
  <c r="O79" i="11"/>
  <c r="O69" i="11"/>
  <c r="O77" i="11"/>
  <c r="O66" i="11"/>
  <c r="O78" i="11"/>
  <c r="P78" i="11" s="1"/>
  <c r="O87" i="11"/>
  <c r="P87" i="11" s="1"/>
  <c r="O76" i="11"/>
  <c r="O70" i="11"/>
  <c r="B74" i="11"/>
  <c r="O75" i="11"/>
  <c r="O68" i="11"/>
  <c r="A57" i="9"/>
  <c r="L50" i="9"/>
  <c r="L61" i="9"/>
  <c r="L55" i="9"/>
  <c r="L66" i="9"/>
  <c r="L67" i="9"/>
  <c r="M67" i="9" s="1"/>
  <c r="O38" i="10"/>
  <c r="B44" i="10"/>
  <c r="O40" i="10"/>
  <c r="O37" i="10"/>
  <c r="O39" i="10"/>
  <c r="K37" i="14"/>
  <c r="M37" i="14" s="1"/>
  <c r="J53" i="14" s="1"/>
  <c r="K53" i="14" s="1"/>
  <c r="K38" i="14"/>
  <c r="M38" i="14" s="1"/>
  <c r="P54" i="14" s="1"/>
  <c r="Q54" i="14" s="1"/>
  <c r="J42" i="14"/>
  <c r="D44" i="14"/>
  <c r="M42" i="14"/>
  <c r="P58" i="14" s="1"/>
  <c r="D37" i="15"/>
  <c r="K37" i="15" s="1"/>
  <c r="L53" i="15" s="1"/>
  <c r="M53" i="15" s="1"/>
  <c r="K35" i="15"/>
  <c r="M35" i="15" s="1"/>
  <c r="J51" i="15" s="1"/>
  <c r="M42" i="15"/>
  <c r="J58" i="15" s="1"/>
  <c r="K42" i="15"/>
  <c r="L58" i="15" s="1"/>
  <c r="D44" i="15"/>
  <c r="J44" i="15" s="1"/>
  <c r="L61" i="15"/>
  <c r="M61" i="15" s="1"/>
  <c r="N61" i="15"/>
  <c r="O61" i="15" s="1"/>
  <c r="M38" i="15"/>
  <c r="J54" i="15" s="1"/>
  <c r="K54" i="15" s="1"/>
  <c r="N54" i="15"/>
  <c r="O54" i="15" s="1"/>
  <c r="L54" i="15"/>
  <c r="M54" i="15" s="1"/>
  <c r="L45" i="9"/>
  <c r="Q45" i="9" s="1"/>
  <c r="P69" i="9" s="1"/>
  <c r="Q69" i="9" s="1"/>
  <c r="F46" i="9"/>
  <c r="L46" i="9" s="1"/>
  <c r="Q46" i="9" s="1"/>
  <c r="P70" i="9" s="1"/>
  <c r="Q70" i="9" s="1"/>
  <c r="J68" i="9"/>
  <c r="K68" i="9" s="1"/>
  <c r="L68" i="9"/>
  <c r="M68" i="9" s="1"/>
  <c r="N68" i="9"/>
  <c r="O68" i="9" s="1"/>
  <c r="F40" i="9"/>
  <c r="L40" i="9" s="1"/>
  <c r="Q40" i="9" s="1"/>
  <c r="P65" i="9" s="1"/>
  <c r="Q65" i="9" s="1"/>
  <c r="L39" i="9"/>
  <c r="Q39" i="9" s="1"/>
  <c r="P64" i="9" s="1"/>
  <c r="Q64" i="9" s="1"/>
  <c r="L63" i="9"/>
  <c r="M63" i="9" s="1"/>
  <c r="J63" i="9"/>
  <c r="K63" i="9" s="1"/>
  <c r="N63" i="9"/>
  <c r="O63" i="9" s="1"/>
  <c r="BG51" i="64"/>
  <c r="AO79" i="64" s="1"/>
  <c r="BB51" i="64"/>
  <c r="AO74" i="64" s="1"/>
  <c r="BF51" i="64"/>
  <c r="AO78" i="64" s="1"/>
  <c r="S40" i="10"/>
  <c r="S39" i="10"/>
  <c r="B52" i="10"/>
  <c r="S37" i="10"/>
  <c r="S38" i="10"/>
  <c r="P50" i="9"/>
  <c r="P67" i="9"/>
  <c r="Q67" i="9" s="1"/>
  <c r="P55" i="9"/>
  <c r="P63" i="9"/>
  <c r="Q63" i="9" s="1"/>
  <c r="A68" i="9"/>
  <c r="P68" i="9"/>
  <c r="Q68" i="9" s="1"/>
  <c r="P66" i="9"/>
  <c r="P61" i="9"/>
  <c r="P61" i="15"/>
  <c r="Q61" i="15" s="1"/>
  <c r="P49" i="15"/>
  <c r="A61" i="15"/>
  <c r="P56" i="15"/>
  <c r="P54" i="15"/>
  <c r="Q54" i="15" s="1"/>
  <c r="P47" i="13"/>
  <c r="A55" i="13"/>
  <c r="P41" i="13"/>
  <c r="A63" i="12"/>
  <c r="P59" i="12"/>
  <c r="P54" i="12"/>
  <c r="Q54" i="12" s="1"/>
  <c r="P56" i="12"/>
  <c r="P52" i="12"/>
  <c r="P60" i="12"/>
  <c r="Q60" i="12" s="1"/>
  <c r="P49" i="12"/>
  <c r="P51" i="12"/>
  <c r="P53" i="12"/>
  <c r="Q53" i="12" s="1"/>
  <c r="P58" i="12"/>
  <c r="S86" i="11"/>
  <c r="S72" i="11"/>
  <c r="S78" i="11"/>
  <c r="T78" i="11" s="1"/>
  <c r="S67" i="11"/>
  <c r="S66" i="11"/>
  <c r="S87" i="11"/>
  <c r="T87" i="11" s="1"/>
  <c r="S77" i="11"/>
  <c r="S79" i="11"/>
  <c r="S75" i="11"/>
  <c r="S68" i="11"/>
  <c r="S74" i="11"/>
  <c r="S81" i="11"/>
  <c r="S69" i="11"/>
  <c r="S70" i="11"/>
  <c r="S82" i="11"/>
  <c r="T82" i="11" s="1"/>
  <c r="S76" i="11"/>
  <c r="B83" i="11"/>
  <c r="A61" i="14"/>
  <c r="P56" i="14"/>
  <c r="P49" i="14"/>
  <c r="P59" i="14"/>
  <c r="G18" i="39" l="1"/>
  <c r="Q51" i="12"/>
  <c r="T77" i="11"/>
  <c r="M51" i="12"/>
  <c r="Q58" i="14"/>
  <c r="P77" i="11"/>
  <c r="O51" i="12"/>
  <c r="AB5" i="7"/>
  <c r="L67" i="11"/>
  <c r="N67" i="11" s="1"/>
  <c r="AB4" i="7"/>
  <c r="E10" i="38" s="1"/>
  <c r="F19" i="38" s="1"/>
  <c r="K38" i="10"/>
  <c r="N38" i="10" s="1"/>
  <c r="T68" i="11"/>
  <c r="K39" i="10"/>
  <c r="N39" i="10" s="1"/>
  <c r="P68" i="11"/>
  <c r="R68" i="11"/>
  <c r="H17" i="40"/>
  <c r="K58" i="15"/>
  <c r="M58" i="15"/>
  <c r="BC51" i="64"/>
  <c r="AO75" i="64" s="1"/>
  <c r="T74" i="11"/>
  <c r="R74" i="11"/>
  <c r="F12" i="37"/>
  <c r="F25" i="37" s="1"/>
  <c r="G25" i="37" s="1"/>
  <c r="H25" i="37" s="1"/>
  <c r="Q88" i="7"/>
  <c r="P72" i="11"/>
  <c r="R76" i="11"/>
  <c r="R78" i="11"/>
  <c r="T76" i="11"/>
  <c r="P76" i="11"/>
  <c r="F16" i="41"/>
  <c r="G16" i="41" s="1"/>
  <c r="H16" i="41" s="1"/>
  <c r="T72" i="11"/>
  <c r="L61" i="14"/>
  <c r="M61" i="14" s="1"/>
  <c r="K51" i="15"/>
  <c r="F15" i="40"/>
  <c r="G15" i="40" s="1"/>
  <c r="H15" i="40" s="1"/>
  <c r="F15" i="41"/>
  <c r="G15" i="41" s="1"/>
  <c r="H15" i="41" s="1"/>
  <c r="M52" i="14"/>
  <c r="J61" i="14"/>
  <c r="K61" i="14" s="1"/>
  <c r="Q76" i="7"/>
  <c r="A23" i="60"/>
  <c r="Q82" i="7"/>
  <c r="I59" i="12"/>
  <c r="K59" i="12" s="1"/>
  <c r="AL51" i="64"/>
  <c r="R72" i="11"/>
  <c r="P61" i="14"/>
  <c r="Q61" i="14" s="1"/>
  <c r="Q83" i="11"/>
  <c r="R83" i="11" s="1"/>
  <c r="S83" i="11"/>
  <c r="T83" i="11" s="1"/>
  <c r="M83" i="11"/>
  <c r="N83" i="11" s="1"/>
  <c r="O83" i="11"/>
  <c r="P83" i="11" s="1"/>
  <c r="G54" i="11"/>
  <c r="K53" i="11"/>
  <c r="Q53" i="11" s="1"/>
  <c r="V53" i="11" s="1"/>
  <c r="I59" i="14"/>
  <c r="M59" i="14" s="1"/>
  <c r="L79" i="11"/>
  <c r="T79" i="11" s="1"/>
  <c r="I59" i="15"/>
  <c r="I62" i="15" s="1"/>
  <c r="A63" i="34" s="1"/>
  <c r="I59" i="9"/>
  <c r="M58" i="12"/>
  <c r="Q58" i="12"/>
  <c r="O52" i="15"/>
  <c r="P51" i="14"/>
  <c r="Q51" i="14" s="1"/>
  <c r="J51" i="14"/>
  <c r="K51" i="14" s="1"/>
  <c r="M52" i="12"/>
  <c r="Q52" i="12"/>
  <c r="O52" i="12"/>
  <c r="M36" i="15"/>
  <c r="J52" i="15" s="1"/>
  <c r="K52" i="15" s="1"/>
  <c r="S71" i="11"/>
  <c r="T71" i="11" s="1"/>
  <c r="P59" i="15"/>
  <c r="P52" i="15"/>
  <c r="Q52" i="15" s="1"/>
  <c r="N59" i="15"/>
  <c r="L52" i="15"/>
  <c r="M52" i="15" s="1"/>
  <c r="F10" i="37"/>
  <c r="E11" i="38"/>
  <c r="P53" i="15"/>
  <c r="Q53" i="15" s="1"/>
  <c r="M37" i="15"/>
  <c r="J53" i="15" s="1"/>
  <c r="K53" i="15" s="1"/>
  <c r="P52" i="14"/>
  <c r="Q52" i="14" s="1"/>
  <c r="N51" i="14"/>
  <c r="O51" i="14" s="1"/>
  <c r="N52" i="14"/>
  <c r="O52" i="14" s="1"/>
  <c r="J52" i="14"/>
  <c r="K52" i="14" s="1"/>
  <c r="P61" i="12"/>
  <c r="Q61" i="12" s="1"/>
  <c r="L61" i="12"/>
  <c r="M61" i="12" s="1"/>
  <c r="N61" i="12"/>
  <c r="O61" i="12" s="1"/>
  <c r="S88" i="11"/>
  <c r="T88" i="11" s="1"/>
  <c r="S73" i="11"/>
  <c r="T73" i="11" s="1"/>
  <c r="P62" i="9"/>
  <c r="Q62" i="9" s="1"/>
  <c r="K61" i="64"/>
  <c r="AF69" i="64"/>
  <c r="AO69" i="64" s="1"/>
  <c r="K69" i="64"/>
  <c r="Q73" i="11"/>
  <c r="R73" i="11" s="1"/>
  <c r="M73" i="11"/>
  <c r="N73" i="11" s="1"/>
  <c r="M71" i="11"/>
  <c r="N71" i="11" s="1"/>
  <c r="Q71" i="11"/>
  <c r="R71" i="11" s="1"/>
  <c r="O58" i="12"/>
  <c r="AJ71" i="64"/>
  <c r="BB59" i="64"/>
  <c r="G8" i="37"/>
  <c r="F31" i="13"/>
  <c r="F35" i="13"/>
  <c r="F17" i="41"/>
  <c r="H17" i="41"/>
  <c r="AF65" i="64"/>
  <c r="AO65" i="64" s="1"/>
  <c r="K65" i="64"/>
  <c r="J62" i="9"/>
  <c r="K62" i="9" s="1"/>
  <c r="N62" i="9"/>
  <c r="O62" i="9" s="1"/>
  <c r="L69" i="11"/>
  <c r="T69" i="11" s="1"/>
  <c r="K40" i="10"/>
  <c r="T40" i="10" s="1"/>
  <c r="AB3" i="7"/>
  <c r="Q88" i="11"/>
  <c r="R88" i="11" s="1"/>
  <c r="M88" i="11"/>
  <c r="N88" i="11" s="1"/>
  <c r="N53" i="15"/>
  <c r="O53" i="15" s="1"/>
  <c r="K59" i="11"/>
  <c r="Q59" i="11" s="1"/>
  <c r="V59" i="11" s="1"/>
  <c r="G60" i="11"/>
  <c r="G13" i="39"/>
  <c r="N53" i="14"/>
  <c r="O53" i="14" s="1"/>
  <c r="P53" i="14"/>
  <c r="Q53" i="14" s="1"/>
  <c r="L53" i="14"/>
  <c r="M53" i="14" s="1"/>
  <c r="J44" i="14"/>
  <c r="M44" i="14"/>
  <c r="K44" i="14"/>
  <c r="N58" i="14"/>
  <c r="O58" i="14" s="1"/>
  <c r="L58" i="14"/>
  <c r="M58" i="14" s="1"/>
  <c r="J58" i="14"/>
  <c r="K58" i="14" s="1"/>
  <c r="J54" i="14"/>
  <c r="K54" i="14" s="1"/>
  <c r="L54" i="14"/>
  <c r="M54" i="14" s="1"/>
  <c r="N54" i="14"/>
  <c r="O54" i="14" s="1"/>
  <c r="J37" i="15"/>
  <c r="P51" i="15"/>
  <c r="Q51" i="15" s="1"/>
  <c r="Q62" i="15" s="1"/>
  <c r="E60" i="15" s="1"/>
  <c r="L51" i="15"/>
  <c r="M51" i="15" s="1"/>
  <c r="M62" i="15" s="1"/>
  <c r="E54" i="15" s="1"/>
  <c r="N51" i="15"/>
  <c r="O51" i="15" s="1"/>
  <c r="O62" i="15" s="1"/>
  <c r="E57" i="15" s="1"/>
  <c r="P58" i="15"/>
  <c r="Q58" i="15" s="1"/>
  <c r="K44" i="15"/>
  <c r="P60" i="15" s="1"/>
  <c r="Q60" i="15" s="1"/>
  <c r="N58" i="15"/>
  <c r="O58" i="15" s="1"/>
  <c r="M44" i="15"/>
  <c r="J60" i="15" s="1"/>
  <c r="K60" i="15" s="1"/>
  <c r="J70" i="9"/>
  <c r="K70" i="9" s="1"/>
  <c r="N70" i="9"/>
  <c r="O70" i="9" s="1"/>
  <c r="L70" i="9"/>
  <c r="M70" i="9" s="1"/>
  <c r="J69" i="9"/>
  <c r="K69" i="9" s="1"/>
  <c r="N69" i="9"/>
  <c r="O69" i="9" s="1"/>
  <c r="L69" i="9"/>
  <c r="M69" i="9" s="1"/>
  <c r="L64" i="9"/>
  <c r="M64" i="9" s="1"/>
  <c r="J64" i="9"/>
  <c r="K64" i="9" s="1"/>
  <c r="N64" i="9"/>
  <c r="O64" i="9" s="1"/>
  <c r="J65" i="9"/>
  <c r="K65" i="9" s="1"/>
  <c r="L65" i="9"/>
  <c r="M65" i="9" s="1"/>
  <c r="N65" i="9"/>
  <c r="O65" i="9" s="1"/>
  <c r="AF61" i="64"/>
  <c r="AO61" i="64" s="1"/>
  <c r="AF68" i="64"/>
  <c r="AO68" i="64" s="1"/>
  <c r="K68" i="64"/>
  <c r="AF59" i="64"/>
  <c r="K63" i="64"/>
  <c r="AF63" i="64"/>
  <c r="AO63" i="64" s="1"/>
  <c r="K64" i="64"/>
  <c r="AF64" i="64"/>
  <c r="AO64" i="64" s="1"/>
  <c r="K60" i="64"/>
  <c r="AF60" i="64"/>
  <c r="AO60" i="64" s="1"/>
  <c r="AF70" i="64"/>
  <c r="AO70" i="64" s="1"/>
  <c r="K70" i="64"/>
  <c r="AF67" i="64"/>
  <c r="AO67" i="64" s="1"/>
  <c r="K67" i="64"/>
  <c r="K66" i="64"/>
  <c r="AF66" i="64"/>
  <c r="AO66" i="64" s="1"/>
  <c r="AF62" i="64"/>
  <c r="AO62" i="64" s="1"/>
  <c r="K62" i="64"/>
  <c r="F14" i="41" l="1"/>
  <c r="G14" i="41" s="1"/>
  <c r="H14" i="41" s="1"/>
  <c r="F14" i="40"/>
  <c r="G14" i="40" s="1"/>
  <c r="H14" i="40" s="1"/>
  <c r="P38" i="10"/>
  <c r="H32" i="39"/>
  <c r="R38" i="10"/>
  <c r="T39" i="10"/>
  <c r="R67" i="11"/>
  <c r="T38" i="10"/>
  <c r="P67" i="11"/>
  <c r="T67" i="11"/>
  <c r="R39" i="10"/>
  <c r="P39" i="10"/>
  <c r="H18" i="41"/>
  <c r="H26" i="41" s="1"/>
  <c r="H27" i="41" s="1"/>
  <c r="E31" i="41" s="1"/>
  <c r="G31" i="41" s="1"/>
  <c r="H19" i="40"/>
  <c r="H27" i="40" s="1"/>
  <c r="H28" i="40" s="1"/>
  <c r="E32" i="40" s="1"/>
  <c r="G32" i="40" s="1"/>
  <c r="F22" i="37"/>
  <c r="G22" i="37" s="1"/>
  <c r="H22" i="37" s="1"/>
  <c r="I62" i="12"/>
  <c r="A33" i="28" s="1"/>
  <c r="F42" i="12" s="1"/>
  <c r="F43" i="12" s="1"/>
  <c r="F44" i="12" s="1"/>
  <c r="F45" i="12" s="1"/>
  <c r="M59" i="12"/>
  <c r="M62" i="12" s="1"/>
  <c r="E55" i="12" s="1"/>
  <c r="Q59" i="12"/>
  <c r="Q62" i="12" s="1"/>
  <c r="E62" i="12" s="1"/>
  <c r="O59" i="15"/>
  <c r="K62" i="12"/>
  <c r="E50" i="12" s="1"/>
  <c r="O59" i="12"/>
  <c r="O62" i="12" s="1"/>
  <c r="E58" i="12" s="1"/>
  <c r="K59" i="15"/>
  <c r="K62" i="15" s="1"/>
  <c r="E50" i="15" s="1"/>
  <c r="P79" i="11"/>
  <c r="M59" i="15"/>
  <c r="Q59" i="15"/>
  <c r="Q59" i="14"/>
  <c r="O59" i="14"/>
  <c r="K54" i="11"/>
  <c r="Q54" i="11" s="1"/>
  <c r="V54" i="11" s="1"/>
  <c r="M84" i="11"/>
  <c r="N84" i="11" s="1"/>
  <c r="S84" i="11"/>
  <c r="T84" i="11" s="1"/>
  <c r="Q84" i="11"/>
  <c r="R84" i="11" s="1"/>
  <c r="O84" i="11"/>
  <c r="P84" i="11" s="1"/>
  <c r="F35" i="15"/>
  <c r="F36" i="15" s="1"/>
  <c r="F37" i="15" s="1"/>
  <c r="F38" i="15" s="1"/>
  <c r="F42" i="15"/>
  <c r="F43" i="15" s="1"/>
  <c r="F44" i="15" s="1"/>
  <c r="F45" i="15" s="1"/>
  <c r="K59" i="14"/>
  <c r="I62" i="14"/>
  <c r="A42" i="32" s="1"/>
  <c r="I71" i="9"/>
  <c r="L92" i="11"/>
  <c r="A162" i="26" s="1"/>
  <c r="N79" i="11"/>
  <c r="R79" i="11"/>
  <c r="P40" i="10"/>
  <c r="R40" i="10"/>
  <c r="M89" i="11"/>
  <c r="N89" i="11" s="1"/>
  <c r="Q89" i="11"/>
  <c r="R89" i="11" s="1"/>
  <c r="O89" i="11"/>
  <c r="P89" i="11" s="1"/>
  <c r="S89" i="11"/>
  <c r="T89" i="11" s="1"/>
  <c r="L91" i="11"/>
  <c r="N69" i="11"/>
  <c r="AU59" i="64"/>
  <c r="AU71" i="64" s="1"/>
  <c r="BB71" i="64"/>
  <c r="AO81" i="64" s="1"/>
  <c r="P69" i="11"/>
  <c r="R69" i="11"/>
  <c r="K60" i="11"/>
  <c r="Q60" i="11" s="1"/>
  <c r="V60" i="11" s="1"/>
  <c r="F13" i="41"/>
  <c r="E9" i="38"/>
  <c r="F9" i="37"/>
  <c r="F13" i="40"/>
  <c r="F36" i="13"/>
  <c r="J36" i="13" s="1"/>
  <c r="J35" i="13"/>
  <c r="N40" i="10"/>
  <c r="K41" i="10"/>
  <c r="J31" i="13"/>
  <c r="F32" i="13"/>
  <c r="J32" i="13" s="1"/>
  <c r="L60" i="14"/>
  <c r="M60" i="14" s="1"/>
  <c r="M62" i="14" s="1"/>
  <c r="E54" i="14" s="1"/>
  <c r="N60" i="14"/>
  <c r="O60" i="14" s="1"/>
  <c r="J60" i="14"/>
  <c r="K60" i="14" s="1"/>
  <c r="P60" i="14"/>
  <c r="Q60" i="14" s="1"/>
  <c r="L60" i="15"/>
  <c r="M60" i="15" s="1"/>
  <c r="N60" i="15"/>
  <c r="O60" i="15" s="1"/>
  <c r="K59" i="64"/>
  <c r="K71" i="64" s="1"/>
  <c r="AO59" i="64"/>
  <c r="AO71" i="64" s="1"/>
  <c r="AF71" i="64"/>
  <c r="F13" i="39" l="1"/>
  <c r="H19" i="39" s="1"/>
  <c r="F18" i="39"/>
  <c r="T41" i="10"/>
  <c r="E51" i="10" s="1"/>
  <c r="P41" i="10"/>
  <c r="E43" i="10" s="1"/>
  <c r="R41" i="10"/>
  <c r="E47" i="10" s="1"/>
  <c r="CA25" i="64"/>
  <c r="F35" i="12"/>
  <c r="F36" i="12" s="1"/>
  <c r="F37" i="12" s="1"/>
  <c r="F38" i="12" s="1"/>
  <c r="Q62" i="14"/>
  <c r="E60" i="14" s="1"/>
  <c r="A150" i="20"/>
  <c r="F30" i="9" s="1"/>
  <c r="M30" i="9"/>
  <c r="M31" i="9" s="1"/>
  <c r="M32" i="9" s="1"/>
  <c r="M33" i="9" s="1"/>
  <c r="N30" i="9"/>
  <c r="N31" i="9" s="1"/>
  <c r="N32" i="9" s="1"/>
  <c r="N33" i="9" s="1"/>
  <c r="M24" i="9"/>
  <c r="M25" i="9" s="1"/>
  <c r="M26" i="9" s="1"/>
  <c r="M27" i="9" s="1"/>
  <c r="N24" i="9"/>
  <c r="N25" i="9" s="1"/>
  <c r="N26" i="9" s="1"/>
  <c r="N27" i="9" s="1"/>
  <c r="O62" i="14"/>
  <c r="E57" i="14" s="1"/>
  <c r="Q85" i="11"/>
  <c r="R85" i="11" s="1"/>
  <c r="M85" i="11"/>
  <c r="N85" i="11" s="1"/>
  <c r="O85" i="11"/>
  <c r="P85" i="11" s="1"/>
  <c r="S85" i="11"/>
  <c r="T85" i="11" s="1"/>
  <c r="K62" i="14"/>
  <c r="E50" i="14" s="1"/>
  <c r="F42" i="14"/>
  <c r="F43" i="14" s="1"/>
  <c r="F44" i="14" s="1"/>
  <c r="F45" i="14" s="1"/>
  <c r="F35" i="14"/>
  <c r="F36" i="14" s="1"/>
  <c r="F37" i="14" s="1"/>
  <c r="F38" i="14" s="1"/>
  <c r="F38" i="11"/>
  <c r="F39" i="11" s="1"/>
  <c r="F40" i="11" s="1"/>
  <c r="F41" i="11" s="1"/>
  <c r="F44" i="11"/>
  <c r="F45" i="11" s="1"/>
  <c r="F46" i="11" s="1"/>
  <c r="F47" i="11" s="1"/>
  <c r="Q90" i="11"/>
  <c r="R90" i="11" s="1"/>
  <c r="M90" i="11"/>
  <c r="N90" i="11" s="1"/>
  <c r="S90" i="11"/>
  <c r="T90" i="11" s="1"/>
  <c r="O90" i="11"/>
  <c r="P90" i="11" s="1"/>
  <c r="N41" i="10"/>
  <c r="E38" i="10" s="1"/>
  <c r="G13" i="40"/>
  <c r="H13" i="40" s="1"/>
  <c r="E9" i="40"/>
  <c r="J50" i="13"/>
  <c r="K50" i="13" s="1"/>
  <c r="N50" i="13"/>
  <c r="O50" i="13" s="1"/>
  <c r="L50" i="13"/>
  <c r="M50" i="13" s="1"/>
  <c r="P50" i="13"/>
  <c r="Q50" i="13" s="1"/>
  <c r="F18" i="38"/>
  <c r="E8" i="38"/>
  <c r="F8" i="38" s="1"/>
  <c r="N44" i="13"/>
  <c r="O44" i="13" s="1"/>
  <c r="J44" i="13"/>
  <c r="K44" i="13" s="1"/>
  <c r="L44" i="13"/>
  <c r="M44" i="13" s="1"/>
  <c r="P44" i="13"/>
  <c r="Q44" i="13" s="1"/>
  <c r="G13" i="41"/>
  <c r="H13" i="41" s="1"/>
  <c r="F9" i="41"/>
  <c r="F8" i="37"/>
  <c r="H9" i="37" s="1"/>
  <c r="F21" i="37"/>
  <c r="N43" i="13"/>
  <c r="O43" i="13" s="1"/>
  <c r="J43" i="13"/>
  <c r="K43" i="13" s="1"/>
  <c r="P43" i="13"/>
  <c r="Q43" i="13" s="1"/>
  <c r="L43" i="13"/>
  <c r="M43" i="13" s="1"/>
  <c r="BZ28" i="64"/>
  <c r="CG28" i="64" s="1"/>
  <c r="N49" i="13"/>
  <c r="O49" i="13" s="1"/>
  <c r="J49" i="13"/>
  <c r="K49" i="13" s="1"/>
  <c r="L49" i="13"/>
  <c r="M49" i="13" s="1"/>
  <c r="P49" i="13"/>
  <c r="Q49" i="13" s="1"/>
  <c r="G31" i="39"/>
  <c r="H31" i="39" s="1"/>
  <c r="F17" i="38" l="1"/>
  <c r="F33" i="38" s="1"/>
  <c r="F34" i="38" s="1"/>
  <c r="D39" i="38" s="1"/>
  <c r="F39" i="38" s="1"/>
  <c r="CA28" i="64"/>
  <c r="BY28" i="64"/>
  <c r="CE28" i="64" s="1"/>
  <c r="BY27" i="64"/>
  <c r="CE27" i="64" s="1"/>
  <c r="BY25" i="64"/>
  <c r="CE25" i="64" s="1"/>
  <c r="CA27" i="64"/>
  <c r="CD27" i="64"/>
  <c r="BZ25" i="64"/>
  <c r="CG25" i="64" s="1"/>
  <c r="BZ27" i="64"/>
  <c r="CG27" i="64" s="1"/>
  <c r="G21" i="37"/>
  <c r="H21" i="37" s="1"/>
  <c r="E26" i="37" s="1"/>
  <c r="E63" i="39"/>
  <c r="E67" i="39" s="1"/>
  <c r="G67" i="39" s="1"/>
  <c r="F24" i="9"/>
  <c r="F25" i="9" s="1"/>
  <c r="N91" i="11"/>
  <c r="G67" i="11" s="1"/>
  <c r="R91" i="11"/>
  <c r="G77" i="11" s="1"/>
  <c r="P91" i="11"/>
  <c r="G73" i="11" s="1"/>
  <c r="F31" i="9"/>
  <c r="L30" i="9"/>
  <c r="Q30" i="9" s="1"/>
  <c r="T91" i="11"/>
  <c r="G82" i="11" s="1"/>
  <c r="O51" i="13"/>
  <c r="E50" i="13" s="1"/>
  <c r="K51" i="13"/>
  <c r="E42" i="13" s="1"/>
  <c r="CB28" i="64"/>
  <c r="CF28" i="64"/>
  <c r="M51" i="13"/>
  <c r="E47" i="13" s="1"/>
  <c r="Q51" i="13"/>
  <c r="E54" i="13" s="1"/>
  <c r="CD28" i="64"/>
  <c r="CD25" i="64" l="1"/>
  <c r="CB27" i="64"/>
  <c r="CC27" i="64" s="1"/>
  <c r="CB25" i="64"/>
  <c r="CC25" i="64" s="1"/>
  <c r="CF25" i="64"/>
  <c r="CH25" i="64" s="1"/>
  <c r="CF27" i="64"/>
  <c r="CH27" i="64" s="1"/>
  <c r="BZ23" i="64"/>
  <c r="CG23" i="64" s="1"/>
  <c r="L24" i="9"/>
  <c r="Q24" i="9" s="1"/>
  <c r="J51" i="9" s="1"/>
  <c r="K51" i="9" s="1"/>
  <c r="F26" i="9"/>
  <c r="L25" i="9"/>
  <c r="Q25" i="9" s="1"/>
  <c r="P56" i="9"/>
  <c r="Q56" i="9" s="1"/>
  <c r="L56" i="9"/>
  <c r="M56" i="9" s="1"/>
  <c r="J56" i="9"/>
  <c r="K56" i="9" s="1"/>
  <c r="N56" i="9"/>
  <c r="O56" i="9" s="1"/>
  <c r="F32" i="9"/>
  <c r="L31" i="9"/>
  <c r="Q31" i="9" s="1"/>
  <c r="CH28" i="64"/>
  <c r="CC28" i="64"/>
  <c r="BZ24" i="64"/>
  <c r="CG24" i="64" s="1"/>
  <c r="BY24" i="64"/>
  <c r="CE24" i="64" s="1"/>
  <c r="CB23" i="64" l="1"/>
  <c r="CF23" i="64"/>
  <c r="BY23" i="64"/>
  <c r="CE23" i="64" s="1"/>
  <c r="CA23" i="64"/>
  <c r="L51" i="9"/>
  <c r="M51" i="9" s="1"/>
  <c r="N51" i="9"/>
  <c r="O51" i="9" s="1"/>
  <c r="P51" i="9"/>
  <c r="Q51" i="9" s="1"/>
  <c r="J57" i="9"/>
  <c r="K57" i="9" s="1"/>
  <c r="N57" i="9"/>
  <c r="O57" i="9" s="1"/>
  <c r="L57" i="9"/>
  <c r="M57" i="9" s="1"/>
  <c r="P57" i="9"/>
  <c r="Q57" i="9" s="1"/>
  <c r="F33" i="9"/>
  <c r="L33" i="9" s="1"/>
  <c r="Q33" i="9" s="1"/>
  <c r="L32" i="9"/>
  <c r="Q32" i="9" s="1"/>
  <c r="J52" i="9"/>
  <c r="K52" i="9" s="1"/>
  <c r="P52" i="9"/>
  <c r="Q52" i="9" s="1"/>
  <c r="N52" i="9"/>
  <c r="O52" i="9" s="1"/>
  <c r="L52" i="9"/>
  <c r="M52" i="9" s="1"/>
  <c r="F27" i="9"/>
  <c r="L27" i="9" s="1"/>
  <c r="Q27" i="9" s="1"/>
  <c r="L26" i="9"/>
  <c r="Q26" i="9" s="1"/>
  <c r="CD24" i="64"/>
  <c r="CF24" i="64"/>
  <c r="CA24" i="64"/>
  <c r="CB24" i="64"/>
  <c r="CD23" i="64"/>
  <c r="CH23" i="64" l="1"/>
  <c r="CC23" i="64"/>
  <c r="J53" i="9"/>
  <c r="K53" i="9" s="1"/>
  <c r="P53" i="9"/>
  <c r="Q53" i="9" s="1"/>
  <c r="N53" i="9"/>
  <c r="O53" i="9" s="1"/>
  <c r="L53" i="9"/>
  <c r="M53" i="9" s="1"/>
  <c r="CC24" i="64"/>
  <c r="J54" i="9"/>
  <c r="K54" i="9" s="1"/>
  <c r="L54" i="9"/>
  <c r="M54" i="9" s="1"/>
  <c r="P54" i="9"/>
  <c r="Q54" i="9" s="1"/>
  <c r="N54" i="9"/>
  <c r="O54" i="9" s="1"/>
  <c r="J59" i="9"/>
  <c r="K59" i="9" s="1"/>
  <c r="L59" i="9"/>
  <c r="M59" i="9" s="1"/>
  <c r="P59" i="9"/>
  <c r="Q59" i="9" s="1"/>
  <c r="N59" i="9"/>
  <c r="O59" i="9" s="1"/>
  <c r="J58" i="9"/>
  <c r="K58" i="9" s="1"/>
  <c r="P58" i="9"/>
  <c r="Q58" i="9" s="1"/>
  <c r="L58" i="9"/>
  <c r="M58" i="9" s="1"/>
  <c r="N58" i="9"/>
  <c r="O58" i="9" s="1"/>
  <c r="CH24" i="64"/>
  <c r="Q71" i="9" l="1"/>
  <c r="D67" i="9" s="1"/>
  <c r="K71" i="9"/>
  <c r="D51" i="9" s="1"/>
  <c r="O71" i="9"/>
  <c r="D62" i="9" s="1"/>
  <c r="M71" i="9"/>
  <c r="D56" i="9" s="1"/>
  <c r="E43" i="37" l="1"/>
  <c r="G43" i="37" s="1"/>
  <c r="E38" i="37"/>
  <c r="BZ22" i="64" l="1"/>
  <c r="CG22" i="64" s="1"/>
  <c r="CF22" i="64"/>
  <c r="CB22" i="64"/>
  <c r="BY22" i="64" l="1"/>
  <c r="CE22" i="64" s="1"/>
  <c r="CA22" i="64" l="1"/>
  <c r="CC22" i="64" s="1"/>
  <c r="CD22" i="64"/>
  <c r="CH22"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7" authorId="0" shapeId="0" xr:uid="{00000000-0006-0000-0A00-000001000000}">
      <text>
        <r>
          <rPr>
            <sz val="14"/>
            <color indexed="81"/>
            <rFont val="ＭＳ Ｐゴシック"/>
            <family val="3"/>
            <charset val="128"/>
          </rPr>
          <t>ありの場合は、休日保育の年間延べ利用子ども数を選択してください。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<sst xmlns="http://schemas.openxmlformats.org/spreadsheetml/2006/main" count="9877" uniqueCount="1390">
  <si>
    <t>計</t>
    <rPh sb="0" eb="1">
      <t>ケイ</t>
    </rPh>
    <phoneticPr fontId="4"/>
  </si>
  <si>
    <t>平均</t>
    <rPh sb="0" eb="2">
      <t>ヘイキン</t>
    </rPh>
    <phoneticPr fontId="4"/>
  </si>
  <si>
    <t>利用定員</t>
    <rPh sb="0" eb="2">
      <t>リヨウ</t>
    </rPh>
    <rPh sb="2" eb="4">
      <t>テイイン</t>
    </rPh>
    <phoneticPr fontId="4"/>
  </si>
  <si>
    <t>施設名</t>
    <rPh sb="0" eb="2">
      <t>シセツ</t>
    </rPh>
    <rPh sb="2" eb="3">
      <t>メイ</t>
    </rPh>
    <phoneticPr fontId="4"/>
  </si>
  <si>
    <t>施設類型</t>
    <rPh sb="0" eb="2">
      <t>シセツ</t>
    </rPh>
    <rPh sb="2" eb="4">
      <t>ルイケイ</t>
    </rPh>
    <phoneticPr fontId="4"/>
  </si>
  <si>
    <t>幼稚園</t>
    <rPh sb="0" eb="3">
      <t>ヨウチエン</t>
    </rPh>
    <phoneticPr fontId="4"/>
  </si>
  <si>
    <t>満３歳</t>
    <rPh sb="0" eb="1">
      <t>マン</t>
    </rPh>
    <rPh sb="2" eb="3">
      <t>サイ</t>
    </rPh>
    <phoneticPr fontId="4"/>
  </si>
  <si>
    <t>３歳</t>
    <rPh sb="1" eb="2">
      <t>サイ</t>
    </rPh>
    <phoneticPr fontId="4"/>
  </si>
  <si>
    <t>４歳以上</t>
    <rPh sb="1" eb="2">
      <t>サイ</t>
    </rPh>
    <rPh sb="2" eb="4">
      <t>イジョウ</t>
    </rPh>
    <phoneticPr fontId="4"/>
  </si>
  <si>
    <t>基本分</t>
    <rPh sb="0" eb="2">
      <t>キホン</t>
    </rPh>
    <rPh sb="2" eb="3">
      <t>ブン</t>
    </rPh>
    <phoneticPr fontId="4"/>
  </si>
  <si>
    <t>副園長・教頭設置加算</t>
    <rPh sb="0" eb="3">
      <t>フクエンチョウ</t>
    </rPh>
    <rPh sb="4" eb="6">
      <t>キョウトウ</t>
    </rPh>
    <rPh sb="6" eb="8">
      <t>セッチ</t>
    </rPh>
    <rPh sb="8" eb="10">
      <t>カサン</t>
    </rPh>
    <phoneticPr fontId="4"/>
  </si>
  <si>
    <t>３歳児配置改善加算</t>
    <rPh sb="1" eb="3">
      <t>サイジ</t>
    </rPh>
    <rPh sb="3" eb="5">
      <t>ハイチ</t>
    </rPh>
    <rPh sb="5" eb="7">
      <t>カイゼン</t>
    </rPh>
    <rPh sb="7" eb="9">
      <t>カサン</t>
    </rPh>
    <phoneticPr fontId="4"/>
  </si>
  <si>
    <t>満３歳児対応加配加算</t>
    <rPh sb="0" eb="1">
      <t>マン</t>
    </rPh>
    <rPh sb="2" eb="4">
      <t>サイジ</t>
    </rPh>
    <rPh sb="4" eb="6">
      <t>タイオウ</t>
    </rPh>
    <rPh sb="6" eb="8">
      <t>カハイ</t>
    </rPh>
    <rPh sb="8" eb="10">
      <t>カサン</t>
    </rPh>
    <phoneticPr fontId="4"/>
  </si>
  <si>
    <t>チーム保育加配加算</t>
    <rPh sb="3" eb="5">
      <t>ホイク</t>
    </rPh>
    <rPh sb="5" eb="7">
      <t>カハイ</t>
    </rPh>
    <rPh sb="7" eb="9">
      <t>カサン</t>
    </rPh>
    <phoneticPr fontId="4"/>
  </si>
  <si>
    <t>通園送迎加算</t>
    <rPh sb="0" eb="2">
      <t>ツウエン</t>
    </rPh>
    <rPh sb="2" eb="4">
      <t>ソウゲイ</t>
    </rPh>
    <rPh sb="4" eb="6">
      <t>カサン</t>
    </rPh>
    <phoneticPr fontId="4"/>
  </si>
  <si>
    <t>主幹教諭等専任加算</t>
    <rPh sb="0" eb="2">
      <t>シュカン</t>
    </rPh>
    <rPh sb="2" eb="4">
      <t>キョウユ</t>
    </rPh>
    <rPh sb="4" eb="5">
      <t>トウ</t>
    </rPh>
    <rPh sb="5" eb="7">
      <t>センニン</t>
    </rPh>
    <rPh sb="7" eb="9">
      <t>カサン</t>
    </rPh>
    <phoneticPr fontId="4"/>
  </si>
  <si>
    <t>子育て支援活動費加算</t>
    <rPh sb="0" eb="2">
      <t>コソダ</t>
    </rPh>
    <rPh sb="3" eb="5">
      <t>シエン</t>
    </rPh>
    <rPh sb="5" eb="7">
      <t>カツドウ</t>
    </rPh>
    <rPh sb="7" eb="8">
      <t>ヒ</t>
    </rPh>
    <rPh sb="8" eb="10">
      <t>カサン</t>
    </rPh>
    <phoneticPr fontId="4"/>
  </si>
  <si>
    <t>療育支援加算</t>
    <rPh sb="0" eb="2">
      <t>リョウイク</t>
    </rPh>
    <rPh sb="2" eb="4">
      <t>シエン</t>
    </rPh>
    <rPh sb="4" eb="6">
      <t>カサン</t>
    </rPh>
    <phoneticPr fontId="4"/>
  </si>
  <si>
    <t>あり</t>
    <phoneticPr fontId="4"/>
  </si>
  <si>
    <t>なし</t>
    <phoneticPr fontId="4"/>
  </si>
  <si>
    <t>地域
区分</t>
    <rPh sb="0" eb="2">
      <t>チイキ</t>
    </rPh>
    <rPh sb="3" eb="5">
      <t>クブン</t>
    </rPh>
    <phoneticPr fontId="7"/>
  </si>
  <si>
    <t>定員区分</t>
    <rPh sb="0" eb="2">
      <t>テイイン</t>
    </rPh>
    <rPh sb="2" eb="4">
      <t>クブン</t>
    </rPh>
    <phoneticPr fontId="7"/>
  </si>
  <si>
    <t>認定
区分</t>
    <rPh sb="0" eb="2">
      <t>ニンテイ</t>
    </rPh>
    <rPh sb="3" eb="5">
      <t>クブン</t>
    </rPh>
    <phoneticPr fontId="8"/>
  </si>
  <si>
    <t>年齢区分</t>
    <rPh sb="0" eb="2">
      <t>ネンレイ</t>
    </rPh>
    <rPh sb="2" eb="4">
      <t>クブン</t>
    </rPh>
    <phoneticPr fontId="7"/>
  </si>
  <si>
    <t>３歳児配置改善加算</t>
    <rPh sb="1" eb="3">
      <t>サイジ</t>
    </rPh>
    <rPh sb="3" eb="5">
      <t>ハイチ</t>
    </rPh>
    <rPh sb="5" eb="7">
      <t>カイゼン</t>
    </rPh>
    <rPh sb="7" eb="9">
      <t>カサン</t>
    </rPh>
    <phoneticPr fontId="8"/>
  </si>
  <si>
    <t>基本分単価</t>
    <rPh sb="0" eb="2">
      <t>キホン</t>
    </rPh>
    <rPh sb="2" eb="3">
      <t>ブン</t>
    </rPh>
    <rPh sb="3" eb="4">
      <t>タン</t>
    </rPh>
    <rPh sb="4" eb="5">
      <t>アタイ</t>
    </rPh>
    <phoneticPr fontId="7"/>
  </si>
  <si>
    <t>処遇改善等加算</t>
    <rPh sb="0" eb="2">
      <t>ショグウ</t>
    </rPh>
    <rPh sb="2" eb="4">
      <t>カイゼン</t>
    </rPh>
    <rPh sb="4" eb="5">
      <t>トウ</t>
    </rPh>
    <rPh sb="5" eb="7">
      <t>カサン</t>
    </rPh>
    <phoneticPr fontId="7"/>
  </si>
  <si>
    <t>加算額</t>
    <rPh sb="0" eb="3">
      <t>カサンガク</t>
    </rPh>
    <phoneticPr fontId="8"/>
  </si>
  <si>
    <t>（注）</t>
    <rPh sb="0" eb="3">
      <t>チュウ</t>
    </rPh>
    <phoneticPr fontId="7"/>
  </si>
  <si>
    <t>標　準</t>
    <rPh sb="0" eb="1">
      <t>シルベ</t>
    </rPh>
    <rPh sb="2" eb="3">
      <t>ジュン</t>
    </rPh>
    <phoneticPr fontId="8"/>
  </si>
  <si>
    <t>都市部</t>
    <rPh sb="0" eb="3">
      <t>トシブ</t>
    </rPh>
    <phoneticPr fontId="8"/>
  </si>
  <si>
    <t>＋</t>
  </si>
  <si>
    <t>加算部分２</t>
    <rPh sb="0" eb="2">
      <t>カサン</t>
    </rPh>
    <rPh sb="2" eb="4">
      <t>ブブン</t>
    </rPh>
    <phoneticPr fontId="8"/>
  </si>
  <si>
    <t>※各月初日の利用子どもの単価に加算</t>
    <rPh sb="1" eb="3">
      <t>カクツキ</t>
    </rPh>
    <rPh sb="3" eb="5">
      <t>ショニチ</t>
    </rPh>
    <rPh sb="6" eb="8">
      <t>リヨウ</t>
    </rPh>
    <rPh sb="8" eb="9">
      <t>コ</t>
    </rPh>
    <rPh sb="12" eb="14">
      <t>タンカ</t>
    </rPh>
    <rPh sb="15" eb="17">
      <t>カサン</t>
    </rPh>
    <phoneticPr fontId="7"/>
  </si>
  <si>
    <t>※以下の区分に応じて、各月初日の利用子どもの単価に加算
　Ａ：特別児童扶養手当支給対象児童受入施設
　Ｂ：それ以外の障害児受入施設</t>
    <rPh sb="1" eb="3">
      <t>イカ</t>
    </rPh>
    <rPh sb="4" eb="6">
      <t>クブン</t>
    </rPh>
    <rPh sb="7" eb="8">
      <t>オウ</t>
    </rPh>
    <rPh sb="11" eb="13">
      <t>カクツキ</t>
    </rPh>
    <rPh sb="13" eb="15">
      <t>ショニチ</t>
    </rPh>
    <rPh sb="16" eb="18">
      <t>リヨウ</t>
    </rPh>
    <rPh sb="18" eb="19">
      <t>コ</t>
    </rPh>
    <rPh sb="22" eb="24">
      <t>タンカ</t>
    </rPh>
    <rPh sb="25" eb="27">
      <t>カサン</t>
    </rPh>
    <phoneticPr fontId="7"/>
  </si>
  <si>
    <t>※以下の区分に応じて、各月の単価に加算
　１級地から４級地：国家公務員の寒冷地手当に関する法律（昭和
　　　　　　　　　　２４年法律第２００号）第１条第１号及び第
　　　　　　　　　　２号に掲げる地域
　そ の 他  地  域：１級地から４級地以外の地域</t>
    <rPh sb="1" eb="3">
      <t>イカ</t>
    </rPh>
    <rPh sb="4" eb="6">
      <t>クブン</t>
    </rPh>
    <rPh sb="22" eb="24">
      <t>キュウチ</t>
    </rPh>
    <rPh sb="27" eb="29">
      <t>キュウチ</t>
    </rPh>
    <rPh sb="30" eb="32">
      <t>コッカ</t>
    </rPh>
    <rPh sb="32" eb="35">
      <t>コウムイン</t>
    </rPh>
    <rPh sb="36" eb="39">
      <t>カンレイチ</t>
    </rPh>
    <rPh sb="39" eb="41">
      <t>テアテ</t>
    </rPh>
    <rPh sb="42" eb="43">
      <t>カン</t>
    </rPh>
    <rPh sb="45" eb="47">
      <t>ホウリツ</t>
    </rPh>
    <rPh sb="48" eb="50">
      <t>ショウワ</t>
    </rPh>
    <rPh sb="63" eb="64">
      <t>ネン</t>
    </rPh>
    <rPh sb="64" eb="66">
      <t>ホウリツ</t>
    </rPh>
    <rPh sb="66" eb="67">
      <t>ダイ</t>
    </rPh>
    <rPh sb="70" eb="71">
      <t>ゴウ</t>
    </rPh>
    <rPh sb="72" eb="73">
      <t>ダイ</t>
    </rPh>
    <rPh sb="74" eb="75">
      <t>ジョウ</t>
    </rPh>
    <rPh sb="75" eb="76">
      <t>ダイ</t>
    </rPh>
    <rPh sb="77" eb="78">
      <t>ゴウ</t>
    </rPh>
    <rPh sb="78" eb="79">
      <t>オヨ</t>
    </rPh>
    <rPh sb="80" eb="81">
      <t>ダイ</t>
    </rPh>
    <rPh sb="93" eb="94">
      <t>ゴウ</t>
    </rPh>
    <rPh sb="95" eb="96">
      <t>カカ</t>
    </rPh>
    <rPh sb="98" eb="100">
      <t>チイキ</t>
    </rPh>
    <rPh sb="106" eb="107">
      <t>タ</t>
    </rPh>
    <rPh sb="115" eb="117">
      <t>キュウチ</t>
    </rPh>
    <rPh sb="120" eb="122">
      <t>キュウチ</t>
    </rPh>
    <rPh sb="122" eb="124">
      <t>イガイ</t>
    </rPh>
    <rPh sb="125" eb="127">
      <t>チイキ</t>
    </rPh>
    <phoneticPr fontId="7"/>
  </si>
  <si>
    <t>※３月初日の利用子どもの単価に加算</t>
    <rPh sb="3" eb="5">
      <t>ショニチ</t>
    </rPh>
    <rPh sb="6" eb="8">
      <t>リヨウ</t>
    </rPh>
    <rPh sb="8" eb="9">
      <t>コ</t>
    </rPh>
    <phoneticPr fontId="7"/>
  </si>
  <si>
    <t>副園長・教頭設置加算</t>
    <rPh sb="0" eb="3">
      <t>フクエンチョウ</t>
    </rPh>
    <rPh sb="4" eb="6">
      <t>キョウトウ</t>
    </rPh>
    <rPh sb="6" eb="8">
      <t>セッチ</t>
    </rPh>
    <rPh sb="8" eb="10">
      <t>カサン</t>
    </rPh>
    <phoneticPr fontId="8"/>
  </si>
  <si>
    <r>
      <t xml:space="preserve">学級編制調整加配加算
</t>
    </r>
    <r>
      <rPr>
        <sz val="7"/>
        <rFont val="HGｺﾞｼｯｸM"/>
        <family val="3"/>
        <charset val="128"/>
      </rPr>
      <t>※1号･2号の利用定員の合計が36人以上300人以下の場合に加算</t>
    </r>
    <rPh sb="0" eb="2">
      <t>ガッキュウ</t>
    </rPh>
    <rPh sb="2" eb="4">
      <t>ヘンセイ</t>
    </rPh>
    <rPh sb="4" eb="6">
      <t>チョウセイ</t>
    </rPh>
    <rPh sb="6" eb="8">
      <t>カハイ</t>
    </rPh>
    <rPh sb="8" eb="10">
      <t>カサン</t>
    </rPh>
    <phoneticPr fontId="8"/>
  </si>
  <si>
    <t>満３歳児対応教諭配置加算
(３歳児配置改善加算無し)</t>
    <rPh sb="0" eb="1">
      <t>マン</t>
    </rPh>
    <rPh sb="2" eb="4">
      <t>サイジ</t>
    </rPh>
    <rPh sb="4" eb="6">
      <t>タイオウ</t>
    </rPh>
    <rPh sb="6" eb="8">
      <t>キョウユ</t>
    </rPh>
    <rPh sb="8" eb="10">
      <t>ハイチ</t>
    </rPh>
    <rPh sb="10" eb="12">
      <t>カサン</t>
    </rPh>
    <rPh sb="15" eb="17">
      <t>サイジ</t>
    </rPh>
    <rPh sb="17" eb="19">
      <t>ハイチ</t>
    </rPh>
    <rPh sb="19" eb="21">
      <t>カイゼン</t>
    </rPh>
    <rPh sb="21" eb="23">
      <t>カサン</t>
    </rPh>
    <rPh sb="23" eb="24">
      <t>ナ</t>
    </rPh>
    <rPh sb="24" eb="25">
      <t>ヨウナ</t>
    </rPh>
    <phoneticPr fontId="8"/>
  </si>
  <si>
    <t>満３歳児対応教諭配置加算
(３歳児配置改善加算有り)</t>
    <rPh sb="0" eb="1">
      <t>マン</t>
    </rPh>
    <rPh sb="2" eb="4">
      <t>サイジ</t>
    </rPh>
    <rPh sb="4" eb="6">
      <t>タイオウ</t>
    </rPh>
    <rPh sb="6" eb="8">
      <t>キョウユ</t>
    </rPh>
    <rPh sb="8" eb="10">
      <t>ハイチ</t>
    </rPh>
    <rPh sb="10" eb="12">
      <t>カサン</t>
    </rPh>
    <rPh sb="15" eb="17">
      <t>サイジ</t>
    </rPh>
    <rPh sb="17" eb="19">
      <t>ハイチ</t>
    </rPh>
    <rPh sb="19" eb="21">
      <t>カイゼン</t>
    </rPh>
    <rPh sb="21" eb="23">
      <t>カサン</t>
    </rPh>
    <rPh sb="23" eb="24">
      <t>ア</t>
    </rPh>
    <phoneticPr fontId="8"/>
  </si>
  <si>
    <t>通園送迎加算</t>
    <rPh sb="0" eb="2">
      <t>ツウエン</t>
    </rPh>
    <rPh sb="2" eb="4">
      <t>ソウゲイ</t>
    </rPh>
    <rPh sb="4" eb="6">
      <t>カサン</t>
    </rPh>
    <phoneticPr fontId="8"/>
  </si>
  <si>
    <r>
      <t xml:space="preserve">外部監査費
加算
</t>
    </r>
    <r>
      <rPr>
        <sz val="6"/>
        <rFont val="HGｺﾞｼｯｸM"/>
        <family val="3"/>
        <charset val="128"/>
      </rPr>
      <t>※認定こども園全体の利用定員の区分に応じて加算
※3月分の単価に加算</t>
    </r>
    <rPh sb="0" eb="2">
      <t>ガイブ</t>
    </rPh>
    <rPh sb="2" eb="4">
      <t>カンサ</t>
    </rPh>
    <rPh sb="4" eb="5">
      <t>ヒ</t>
    </rPh>
    <rPh sb="6" eb="8">
      <t>カサン</t>
    </rPh>
    <rPh sb="24" eb="26">
      <t>クブン</t>
    </rPh>
    <rPh sb="27" eb="28">
      <t>オウ</t>
    </rPh>
    <rPh sb="30" eb="32">
      <t>カサン</t>
    </rPh>
    <phoneticPr fontId="8"/>
  </si>
  <si>
    <t>主幹教諭等の専任化により子育て支援の取り組みを実施していない場合</t>
    <rPh sb="0" eb="2">
      <t>シュカン</t>
    </rPh>
    <rPh sb="2" eb="5">
      <t>キョウユナド</t>
    </rPh>
    <rPh sb="6" eb="8">
      <t>センニン</t>
    </rPh>
    <rPh sb="8" eb="9">
      <t>カ</t>
    </rPh>
    <rPh sb="12" eb="14">
      <t>コソダ</t>
    </rPh>
    <rPh sb="15" eb="17">
      <t>シエン</t>
    </rPh>
    <rPh sb="18" eb="19">
      <t>ト</t>
    </rPh>
    <rPh sb="20" eb="21">
      <t>ク</t>
    </rPh>
    <rPh sb="23" eb="25">
      <t>ジッシ</t>
    </rPh>
    <rPh sb="30" eb="32">
      <t>バアイ</t>
    </rPh>
    <phoneticPr fontId="8"/>
  </si>
  <si>
    <t>年齢別配置基準を下回る場合</t>
    <rPh sb="0" eb="2">
      <t>ネンレイ</t>
    </rPh>
    <rPh sb="2" eb="3">
      <t>ベツ</t>
    </rPh>
    <rPh sb="3" eb="5">
      <t>ハイチ</t>
    </rPh>
    <rPh sb="5" eb="7">
      <t>キジュン</t>
    </rPh>
    <rPh sb="8" eb="10">
      <t>シタマワ</t>
    </rPh>
    <rPh sb="11" eb="13">
      <t>バアイ</t>
    </rPh>
    <phoneticPr fontId="8"/>
  </si>
  <si>
    <t>配置基準上求められる職員資格を有しない場合</t>
    <rPh sb="0" eb="2">
      <t>ハイチ</t>
    </rPh>
    <rPh sb="2" eb="4">
      <t>キジュン</t>
    </rPh>
    <rPh sb="4" eb="5">
      <t>ジョウ</t>
    </rPh>
    <rPh sb="5" eb="6">
      <t>モト</t>
    </rPh>
    <rPh sb="10" eb="12">
      <t>ショクイン</t>
    </rPh>
    <rPh sb="12" eb="14">
      <t>シカク</t>
    </rPh>
    <rPh sb="15" eb="16">
      <t>ユウ</t>
    </rPh>
    <rPh sb="19" eb="21">
      <t>バアイ</t>
    </rPh>
    <phoneticPr fontId="8"/>
  </si>
  <si>
    <t/>
  </si>
  <si>
    <t>主幹教諭等専任加算</t>
    <rPh sb="0" eb="2">
      <t>シュカン</t>
    </rPh>
    <rPh sb="2" eb="4">
      <t>キョウユ</t>
    </rPh>
    <rPh sb="4" eb="5">
      <t>トウ</t>
    </rPh>
    <rPh sb="5" eb="7">
      <t>センニン</t>
    </rPh>
    <rPh sb="7" eb="9">
      <t>カサン</t>
    </rPh>
    <phoneticPr fontId="8"/>
  </si>
  <si>
    <t>　 840人～　909人</t>
  </si>
  <si>
    <t>Ａ地域</t>
  </si>
  <si>
    <t>　資格保有者加算</t>
    <rPh sb="1" eb="3">
      <t>シカク</t>
    </rPh>
    <rPh sb="3" eb="6">
      <t>ホユウシャ</t>
    </rPh>
    <rPh sb="6" eb="8">
      <t>カサン</t>
    </rPh>
    <phoneticPr fontId="8"/>
  </si>
  <si>
    <t>　家庭的保育補助者加算</t>
    <rPh sb="1" eb="4">
      <t>カテイテキ</t>
    </rPh>
    <rPh sb="4" eb="6">
      <t>ホイク</t>
    </rPh>
    <rPh sb="6" eb="8">
      <t>ホジョ</t>
    </rPh>
    <rPh sb="8" eb="11">
      <t>シャカサン</t>
    </rPh>
    <phoneticPr fontId="8"/>
  </si>
  <si>
    <r>
      <t xml:space="preserve">　障害児保育加算
  </t>
    </r>
    <r>
      <rPr>
        <sz val="7"/>
        <rFont val="HGｺﾞｼｯｸM"/>
        <family val="3"/>
        <charset val="128"/>
      </rPr>
      <t>※特別な支援が必要な利用子ども
    の単価に加算</t>
    </r>
    <rPh sb="1" eb="4">
      <t>ショウガイジ</t>
    </rPh>
    <rPh sb="4" eb="6">
      <t>ホイク</t>
    </rPh>
    <rPh sb="6" eb="8">
      <t>カサン</t>
    </rPh>
    <phoneticPr fontId="8"/>
  </si>
  <si>
    <t>　賃借料加算</t>
    <rPh sb="1" eb="4">
      <t>チンシャクリョウ</t>
    </rPh>
    <rPh sb="4" eb="6">
      <t>カサン</t>
    </rPh>
    <phoneticPr fontId="8"/>
  </si>
  <si>
    <t>①</t>
    <phoneticPr fontId="8"/>
  </si>
  <si>
    <t>③</t>
    <phoneticPr fontId="8"/>
  </si>
  <si>
    <t>⑦</t>
    <phoneticPr fontId="8"/>
  </si>
  <si>
    <t>⑨</t>
    <phoneticPr fontId="8"/>
  </si>
  <si>
    <t>⑪</t>
    <phoneticPr fontId="8"/>
  </si>
  <si>
    <t>⑫</t>
    <phoneticPr fontId="8"/>
  </si>
  <si>
    <t>⑬</t>
    <phoneticPr fontId="8"/>
  </si>
  <si>
    <t>⑭</t>
    <phoneticPr fontId="8"/>
  </si>
  <si>
    <t>処遇改善等加算</t>
    <phoneticPr fontId="8"/>
  </si>
  <si>
    <t>（注）</t>
    <phoneticPr fontId="8"/>
  </si>
  <si>
    <t>①</t>
    <phoneticPr fontId="8"/>
  </si>
  <si>
    <t>②</t>
    <phoneticPr fontId="8"/>
  </si>
  <si>
    <t>③</t>
    <phoneticPr fontId="8"/>
  </si>
  <si>
    <t>④</t>
    <phoneticPr fontId="8"/>
  </si>
  <si>
    <t>⑤</t>
    <phoneticPr fontId="8"/>
  </si>
  <si>
    <t>⑥</t>
    <phoneticPr fontId="8"/>
  </si>
  <si>
    <t>⑦</t>
    <phoneticPr fontId="8"/>
  </si>
  <si>
    <t>⑧</t>
    <phoneticPr fontId="8"/>
  </si>
  <si>
    <t>⑨</t>
    <phoneticPr fontId="8"/>
  </si>
  <si>
    <t>⑩</t>
    <phoneticPr fontId="8"/>
  </si>
  <si>
    <t>⑩’</t>
    <phoneticPr fontId="8"/>
  </si>
  <si>
    <t>⑯</t>
    <phoneticPr fontId="8"/>
  </si>
  <si>
    <t>⑰</t>
    <phoneticPr fontId="8"/>
  </si>
  <si>
    <t>⑱</t>
    <phoneticPr fontId="8"/>
  </si>
  <si>
    <t>－</t>
    <phoneticPr fontId="8"/>
  </si>
  <si>
    <t>⑯</t>
    <phoneticPr fontId="8"/>
  </si>
  <si>
    <t>基本額</t>
    <phoneticPr fontId="7"/>
  </si>
  <si>
    <t>※各月初日の利用子どもの単価に加算</t>
    <phoneticPr fontId="8"/>
  </si>
  <si>
    <t>（</t>
    <phoneticPr fontId="7"/>
  </si>
  <si>
    <t>＋</t>
    <phoneticPr fontId="7"/>
  </si>
  <si>
    <t>）</t>
    <phoneticPr fontId="7"/>
  </si>
  <si>
    <t>÷各月初日の利用子ども数</t>
    <phoneticPr fontId="7"/>
  </si>
  <si>
    <t>合計</t>
    <rPh sb="0" eb="2">
      <t>ゴウケイ</t>
    </rPh>
    <phoneticPr fontId="4"/>
  </si>
  <si>
    <t>認定こども園</t>
    <rPh sb="0" eb="2">
      <t>ニンテイ</t>
    </rPh>
    <rPh sb="5" eb="6">
      <t>エン</t>
    </rPh>
    <phoneticPr fontId="4"/>
  </si>
  <si>
    <t>３号</t>
    <rPh sb="1" eb="2">
      <t>ゴウ</t>
    </rPh>
    <phoneticPr fontId="4"/>
  </si>
  <si>
    <t>１、２歳</t>
    <rPh sb="3" eb="4">
      <t>サイ</t>
    </rPh>
    <phoneticPr fontId="4"/>
  </si>
  <si>
    <t>０歳</t>
    <rPh sb="1" eb="2">
      <t>サイ</t>
    </rPh>
    <phoneticPr fontId="4"/>
  </si>
  <si>
    <t>３歳児配置改善加算</t>
    <rPh sb="1" eb="2">
      <t>サイ</t>
    </rPh>
    <rPh sb="2" eb="3">
      <t>ジ</t>
    </rPh>
    <rPh sb="3" eb="5">
      <t>ハイチ</t>
    </rPh>
    <rPh sb="5" eb="7">
      <t>カイゼン</t>
    </rPh>
    <rPh sb="7" eb="9">
      <t>カサン</t>
    </rPh>
    <phoneticPr fontId="4"/>
  </si>
  <si>
    <t>年齢別配置基準を下回る場合</t>
    <rPh sb="0" eb="2">
      <t>ネンレイ</t>
    </rPh>
    <rPh sb="2" eb="3">
      <t>ベツ</t>
    </rPh>
    <rPh sb="3" eb="5">
      <t>ハイチ</t>
    </rPh>
    <rPh sb="5" eb="7">
      <t>キジュン</t>
    </rPh>
    <rPh sb="8" eb="10">
      <t>シタマワ</t>
    </rPh>
    <rPh sb="11" eb="13">
      <t>バアイ</t>
    </rPh>
    <phoneticPr fontId="4"/>
  </si>
  <si>
    <t>休日保育加算</t>
    <rPh sb="0" eb="2">
      <t>キュウジツ</t>
    </rPh>
    <rPh sb="2" eb="4">
      <t>ホイク</t>
    </rPh>
    <rPh sb="4" eb="6">
      <t>カサン</t>
    </rPh>
    <phoneticPr fontId="4"/>
  </si>
  <si>
    <t>夜間保育加算</t>
    <rPh sb="0" eb="2">
      <t>ヤカン</t>
    </rPh>
    <rPh sb="2" eb="4">
      <t>ホイク</t>
    </rPh>
    <rPh sb="4" eb="6">
      <t>カサン</t>
    </rPh>
    <phoneticPr fontId="4"/>
  </si>
  <si>
    <t>分園の場合</t>
    <rPh sb="0" eb="2">
      <t>ブンエン</t>
    </rPh>
    <rPh sb="3" eb="5">
      <t>バアイ</t>
    </rPh>
    <phoneticPr fontId="4"/>
  </si>
  <si>
    <t>常態的に土曜日に閉所する場合</t>
    <rPh sb="0" eb="2">
      <t>ジョウタイ</t>
    </rPh>
    <rPh sb="2" eb="3">
      <t>テキ</t>
    </rPh>
    <rPh sb="4" eb="7">
      <t>ドヨウビ</t>
    </rPh>
    <rPh sb="8" eb="10">
      <t>ヘイショ</t>
    </rPh>
    <rPh sb="12" eb="14">
      <t>バアイ</t>
    </rPh>
    <phoneticPr fontId="4"/>
  </si>
  <si>
    <t>保育所</t>
    <rPh sb="0" eb="2">
      <t>ホイク</t>
    </rPh>
    <rPh sb="2" eb="3">
      <t>ショ</t>
    </rPh>
    <phoneticPr fontId="4"/>
  </si>
  <si>
    <t>主任保育士専任加算</t>
    <rPh sb="0" eb="2">
      <t>シュニン</t>
    </rPh>
    <rPh sb="2" eb="5">
      <t>ホイクシ</t>
    </rPh>
    <rPh sb="5" eb="7">
      <t>センニン</t>
    </rPh>
    <rPh sb="7" eb="9">
      <t>カサン</t>
    </rPh>
    <phoneticPr fontId="4"/>
  </si>
  <si>
    <t>保育標準時間認定</t>
    <rPh sb="0" eb="2">
      <t>ホイク</t>
    </rPh>
    <rPh sb="2" eb="4">
      <t>ヒョウジュン</t>
    </rPh>
    <rPh sb="4" eb="6">
      <t>ジカン</t>
    </rPh>
    <rPh sb="6" eb="8">
      <t>ニンテイ</t>
    </rPh>
    <phoneticPr fontId="4"/>
  </si>
  <si>
    <t>保育短時間認定</t>
    <rPh sb="0" eb="2">
      <t>ホイク</t>
    </rPh>
    <rPh sb="2" eb="5">
      <t>タンジカン</t>
    </rPh>
    <rPh sb="5" eb="7">
      <t>ニンテイ</t>
    </rPh>
    <phoneticPr fontId="4"/>
  </si>
  <si>
    <t>保育標準時間</t>
    <rPh sb="0" eb="2">
      <t>ホイク</t>
    </rPh>
    <rPh sb="2" eb="4">
      <t>ヒョウジュン</t>
    </rPh>
    <rPh sb="4" eb="6">
      <t>ジカン</t>
    </rPh>
    <phoneticPr fontId="4"/>
  </si>
  <si>
    <t>保育短時間</t>
    <rPh sb="0" eb="2">
      <t>ホイク</t>
    </rPh>
    <rPh sb="2" eb="5">
      <t>タンジカン</t>
    </rPh>
    <phoneticPr fontId="4"/>
  </si>
  <si>
    <t>３号認定子ども</t>
    <rPh sb="1" eb="2">
      <t>ゴウ</t>
    </rPh>
    <rPh sb="2" eb="4">
      <t>ニンテイ</t>
    </rPh>
    <rPh sb="4" eb="5">
      <t>コ</t>
    </rPh>
    <phoneticPr fontId="4"/>
  </si>
  <si>
    <t>障害児保育加算</t>
    <rPh sb="0" eb="3">
      <t>ショウガイジ</t>
    </rPh>
    <rPh sb="3" eb="5">
      <t>ホイク</t>
    </rPh>
    <rPh sb="5" eb="7">
      <t>カサン</t>
    </rPh>
    <phoneticPr fontId="4"/>
  </si>
  <si>
    <t>食事の搬入について自園調理又は連携施設等からの搬入以外の方法による場合</t>
    <rPh sb="0" eb="2">
      <t>ショクジ</t>
    </rPh>
    <rPh sb="3" eb="5">
      <t>ハンニュウ</t>
    </rPh>
    <rPh sb="9" eb="10">
      <t>ジ</t>
    </rPh>
    <rPh sb="10" eb="11">
      <t>エン</t>
    </rPh>
    <rPh sb="11" eb="13">
      <t>チョウリ</t>
    </rPh>
    <rPh sb="13" eb="14">
      <t>マタ</t>
    </rPh>
    <rPh sb="15" eb="17">
      <t>レンケイ</t>
    </rPh>
    <rPh sb="17" eb="19">
      <t>シセツ</t>
    </rPh>
    <rPh sb="19" eb="20">
      <t>トウ</t>
    </rPh>
    <rPh sb="23" eb="25">
      <t>ハンニュウ</t>
    </rPh>
    <rPh sb="25" eb="27">
      <t>イガイ</t>
    </rPh>
    <rPh sb="28" eb="30">
      <t>ホウホウ</t>
    </rPh>
    <rPh sb="33" eb="35">
      <t>バアイ</t>
    </rPh>
    <phoneticPr fontId="4"/>
  </si>
  <si>
    <t>１、２歳（障がい児）</t>
    <rPh sb="3" eb="4">
      <t>サイ</t>
    </rPh>
    <rPh sb="5" eb="6">
      <t>ショウ</t>
    </rPh>
    <rPh sb="8" eb="9">
      <t>ジ</t>
    </rPh>
    <phoneticPr fontId="4"/>
  </si>
  <si>
    <t>０歳（障がい児）</t>
    <rPh sb="1" eb="2">
      <t>サイ</t>
    </rPh>
    <rPh sb="3" eb="4">
      <t>ショウ</t>
    </rPh>
    <rPh sb="6" eb="7">
      <t>ジ</t>
    </rPh>
    <phoneticPr fontId="4"/>
  </si>
  <si>
    <t>３号認定子ども（障がい児）</t>
    <rPh sb="1" eb="2">
      <t>ゴウ</t>
    </rPh>
    <rPh sb="2" eb="4">
      <t>ニンテイ</t>
    </rPh>
    <rPh sb="4" eb="5">
      <t>コ</t>
    </rPh>
    <rPh sb="8" eb="9">
      <t>ショウ</t>
    </rPh>
    <rPh sb="11" eb="12">
      <t>ジ</t>
    </rPh>
    <phoneticPr fontId="4"/>
  </si>
  <si>
    <t>資格保有者加算</t>
    <rPh sb="0" eb="2">
      <t>シカク</t>
    </rPh>
    <rPh sb="2" eb="5">
      <t>ホユウシャ</t>
    </rPh>
    <rPh sb="5" eb="7">
      <t>カサン</t>
    </rPh>
    <phoneticPr fontId="4"/>
  </si>
  <si>
    <t>家庭的保育補助者加算</t>
    <rPh sb="0" eb="3">
      <t>カテイテキ</t>
    </rPh>
    <rPh sb="3" eb="5">
      <t>ホイク</t>
    </rPh>
    <rPh sb="5" eb="7">
      <t>ホジョ</t>
    </rPh>
    <rPh sb="7" eb="8">
      <t>シャ</t>
    </rPh>
    <rPh sb="8" eb="10">
      <t>カサン</t>
    </rPh>
    <phoneticPr fontId="4"/>
  </si>
  <si>
    <t>事業所内保育事業（20人以上）</t>
    <rPh sb="0" eb="3">
      <t>ジギョウショ</t>
    </rPh>
    <rPh sb="3" eb="4">
      <t>ナイ</t>
    </rPh>
    <rPh sb="4" eb="6">
      <t>ホイク</t>
    </rPh>
    <rPh sb="6" eb="8">
      <t>ジギョウ</t>
    </rPh>
    <rPh sb="11" eb="14">
      <t>ニンイジョウ</t>
    </rPh>
    <phoneticPr fontId="4"/>
  </si>
  <si>
    <t>本園</t>
    <rPh sb="0" eb="1">
      <t>ホン</t>
    </rPh>
    <rPh sb="1" eb="2">
      <t>エン</t>
    </rPh>
    <phoneticPr fontId="4"/>
  </si>
  <si>
    <t>分園</t>
    <rPh sb="0" eb="2">
      <t>ブンエン</t>
    </rPh>
    <phoneticPr fontId="4"/>
  </si>
  <si>
    <t>賃金改善要件分</t>
    <rPh sb="0" eb="2">
      <t>チンギン</t>
    </rPh>
    <rPh sb="2" eb="4">
      <t>カイゼン</t>
    </rPh>
    <rPh sb="4" eb="6">
      <t>ヨウケン</t>
    </rPh>
    <rPh sb="6" eb="7">
      <t>ブン</t>
    </rPh>
    <phoneticPr fontId="4"/>
  </si>
  <si>
    <t>チーム保育推進加算</t>
    <rPh sb="3" eb="5">
      <t>ホイク</t>
    </rPh>
    <rPh sb="5" eb="7">
      <t>スイシン</t>
    </rPh>
    <rPh sb="7" eb="9">
      <t>カサン</t>
    </rPh>
    <phoneticPr fontId="4"/>
  </si>
  <si>
    <t>指導充実加配加算</t>
    <rPh sb="0" eb="2">
      <t>シドウ</t>
    </rPh>
    <rPh sb="2" eb="4">
      <t>ジュウジツ</t>
    </rPh>
    <rPh sb="4" eb="6">
      <t>カハイ</t>
    </rPh>
    <rPh sb="6" eb="8">
      <t>カサン</t>
    </rPh>
    <phoneticPr fontId="4"/>
  </si>
  <si>
    <t>事務負担対応加配加算</t>
    <rPh sb="0" eb="2">
      <t>ジム</t>
    </rPh>
    <rPh sb="2" eb="4">
      <t>フタン</t>
    </rPh>
    <rPh sb="4" eb="6">
      <t>タイオウ</t>
    </rPh>
    <rPh sb="6" eb="8">
      <t>カハイ</t>
    </rPh>
    <rPh sb="8" eb="10">
      <t>カサン</t>
    </rPh>
    <phoneticPr fontId="4"/>
  </si>
  <si>
    <t>合計</t>
    <rPh sb="0" eb="2">
      <t>ゴウケイ</t>
    </rPh>
    <phoneticPr fontId="4"/>
  </si>
  <si>
    <t>あり</t>
  </si>
  <si>
    <t>手入力</t>
    <rPh sb="0" eb="1">
      <t>テ</t>
    </rPh>
    <rPh sb="1" eb="3">
      <t>ニュウリョク</t>
    </rPh>
    <phoneticPr fontId="4"/>
  </si>
  <si>
    <t>＜加算＞</t>
    <rPh sb="1" eb="3">
      <t>カサン</t>
    </rPh>
    <phoneticPr fontId="4"/>
  </si>
  <si>
    <t>○　入力欄</t>
    <rPh sb="2" eb="4">
      <t>ニュウリョク</t>
    </rPh>
    <rPh sb="4" eb="5">
      <t>ラン</t>
    </rPh>
    <phoneticPr fontId="4"/>
  </si>
  <si>
    <t>黄色セル</t>
    <rPh sb="0" eb="2">
      <t>キイロ</t>
    </rPh>
    <phoneticPr fontId="4"/>
  </si>
  <si>
    <t>オレンジ色セル</t>
    <rPh sb="4" eb="5">
      <t>イロ</t>
    </rPh>
    <phoneticPr fontId="4"/>
  </si>
  <si>
    <t>ドロップダウンから選択</t>
    <rPh sb="9" eb="11">
      <t>センタク</t>
    </rPh>
    <phoneticPr fontId="4"/>
  </si>
  <si>
    <t>処遇改善等加算単価合計
【A】</t>
    <rPh sb="0" eb="2">
      <t>ショグウ</t>
    </rPh>
    <rPh sb="2" eb="4">
      <t>カイゼン</t>
    </rPh>
    <rPh sb="4" eb="5">
      <t>トウ</t>
    </rPh>
    <rPh sb="5" eb="7">
      <t>カサン</t>
    </rPh>
    <rPh sb="7" eb="9">
      <t>タンカ</t>
    </rPh>
    <rPh sb="9" eb="11">
      <t>ゴウケイ</t>
    </rPh>
    <phoneticPr fontId="4"/>
  </si>
  <si>
    <t>処遇改善等加算単価合計
【B】</t>
    <rPh sb="0" eb="2">
      <t>ショグウ</t>
    </rPh>
    <rPh sb="2" eb="4">
      <t>カイゼン</t>
    </rPh>
    <rPh sb="4" eb="5">
      <t>トウ</t>
    </rPh>
    <rPh sb="5" eb="7">
      <t>カサン</t>
    </rPh>
    <rPh sb="7" eb="9">
      <t>タンカ</t>
    </rPh>
    <rPh sb="9" eb="11">
      <t>ゴウケイ</t>
    </rPh>
    <phoneticPr fontId="4"/>
  </si>
  <si>
    <t>＜各加算額＞</t>
    <rPh sb="1" eb="2">
      <t>カク</t>
    </rPh>
    <rPh sb="2" eb="5">
      <t>カサンガク</t>
    </rPh>
    <phoneticPr fontId="4"/>
  </si>
  <si>
    <t>＜算定過程＞</t>
    <rPh sb="1" eb="3">
      <t>サンテイ</t>
    </rPh>
    <rPh sb="3" eb="5">
      <t>カテイ</t>
    </rPh>
    <phoneticPr fontId="4"/>
  </si>
  <si>
    <t>1％当たりの単価</t>
    <rPh sb="2" eb="3">
      <t>ア</t>
    </rPh>
    <rPh sb="6" eb="8">
      <t>タンカ</t>
    </rPh>
    <phoneticPr fontId="4"/>
  </si>
  <si>
    <t>休日保育加算（年間延べ利用子ども数）</t>
    <rPh sb="0" eb="2">
      <t>キュウジツ</t>
    </rPh>
    <rPh sb="2" eb="4">
      <t>ホイク</t>
    </rPh>
    <rPh sb="4" eb="6">
      <t>カサン</t>
    </rPh>
    <rPh sb="7" eb="9">
      <t>ネンカン</t>
    </rPh>
    <rPh sb="9" eb="10">
      <t>ノ</t>
    </rPh>
    <rPh sb="11" eb="13">
      <t>リヨウ</t>
    </rPh>
    <rPh sb="13" eb="14">
      <t>コ</t>
    </rPh>
    <rPh sb="16" eb="17">
      <t>スウ</t>
    </rPh>
    <phoneticPr fontId="4"/>
  </si>
  <si>
    <t>1,2歳児</t>
    <rPh sb="3" eb="5">
      <t>サイジ</t>
    </rPh>
    <phoneticPr fontId="4"/>
  </si>
  <si>
    <t>乳児</t>
    <rPh sb="0" eb="2">
      <t>ニュウジ</t>
    </rPh>
    <phoneticPr fontId="4"/>
  </si>
  <si>
    <t>開始月</t>
    <rPh sb="0" eb="2">
      <t>カイシ</t>
    </rPh>
    <rPh sb="2" eb="3">
      <t>ツキ</t>
    </rPh>
    <phoneticPr fontId="4"/>
  </si>
  <si>
    <t>休日</t>
    <rPh sb="0" eb="2">
      <t>キュウジツ</t>
    </rPh>
    <phoneticPr fontId="4"/>
  </si>
  <si>
    <t>認定
区分</t>
    <rPh sb="0" eb="2">
      <t>ニンテイ</t>
    </rPh>
    <rPh sb="3" eb="5">
      <t>クブン</t>
    </rPh>
    <phoneticPr fontId="18"/>
  </si>
  <si>
    <t>休日保育加算</t>
    <rPh sb="0" eb="2">
      <t>キュウジツ</t>
    </rPh>
    <rPh sb="2" eb="4">
      <t>ホイク</t>
    </rPh>
    <rPh sb="4" eb="6">
      <t>カサン</t>
    </rPh>
    <phoneticPr fontId="18"/>
  </si>
  <si>
    <t>夜間保育加算</t>
    <rPh sb="0" eb="2">
      <t>ヤカン</t>
    </rPh>
    <rPh sb="2" eb="4">
      <t>ホイク</t>
    </rPh>
    <rPh sb="4" eb="6">
      <t>カサン</t>
    </rPh>
    <phoneticPr fontId="18"/>
  </si>
  <si>
    <t>賃借料加算</t>
    <rPh sb="0" eb="3">
      <t>チンシャクリョウ</t>
    </rPh>
    <rPh sb="3" eb="5">
      <t>カサン</t>
    </rPh>
    <phoneticPr fontId="18"/>
  </si>
  <si>
    <t>定員を恒常的に超過する場合</t>
    <rPh sb="0" eb="2">
      <t>テイイン</t>
    </rPh>
    <rPh sb="3" eb="6">
      <t>コウジョウテキ</t>
    </rPh>
    <rPh sb="7" eb="9">
      <t>チョウカ</t>
    </rPh>
    <rPh sb="11" eb="13">
      <t>バアイ</t>
    </rPh>
    <phoneticPr fontId="18"/>
  </si>
  <si>
    <t>保育標準時間認定</t>
    <rPh sb="0" eb="2">
      <t>ホイク</t>
    </rPh>
    <rPh sb="2" eb="4">
      <t>ヒョウジュン</t>
    </rPh>
    <rPh sb="4" eb="6">
      <t>ジカン</t>
    </rPh>
    <rPh sb="6" eb="8">
      <t>ニンテイ</t>
    </rPh>
    <phoneticPr fontId="18"/>
  </si>
  <si>
    <t>保育短時間認定</t>
    <rPh sb="0" eb="2">
      <t>ホイク</t>
    </rPh>
    <rPh sb="2" eb="3">
      <t>タン</t>
    </rPh>
    <rPh sb="3" eb="5">
      <t>ジカン</t>
    </rPh>
    <rPh sb="5" eb="7">
      <t>ニンテイ</t>
    </rPh>
    <phoneticPr fontId="18"/>
  </si>
  <si>
    <t>加算額</t>
    <rPh sb="0" eb="3">
      <t>カサンガク</t>
    </rPh>
    <phoneticPr fontId="18"/>
  </si>
  <si>
    <t>標　準</t>
    <rPh sb="0" eb="1">
      <t>シルベ</t>
    </rPh>
    <rPh sb="2" eb="3">
      <t>ジュン</t>
    </rPh>
    <phoneticPr fontId="18"/>
  </si>
  <si>
    <t>都市部</t>
    <rPh sb="0" eb="3">
      <t>トシブ</t>
    </rPh>
    <phoneticPr fontId="18"/>
  </si>
  <si>
    <t>④</t>
    <phoneticPr fontId="18"/>
  </si>
  <si>
    <t>⑬</t>
    <phoneticPr fontId="18"/>
  </si>
  <si>
    <t>計</t>
    <rPh sb="0" eb="1">
      <t>ケイ</t>
    </rPh>
    <phoneticPr fontId="4"/>
  </si>
  <si>
    <t>１％当たりの単価</t>
    <rPh sb="2" eb="3">
      <t>ア</t>
    </rPh>
    <rPh sb="6" eb="8">
      <t>タンカ</t>
    </rPh>
    <phoneticPr fontId="4"/>
  </si>
  <si>
    <t>（注）</t>
    <phoneticPr fontId="18"/>
  </si>
  <si>
    <t>⑥</t>
    <phoneticPr fontId="18"/>
  </si>
  <si>
    <t>事業所内保育事業（19人以下A）</t>
    <rPh sb="0" eb="3">
      <t>ジギョウショ</t>
    </rPh>
    <rPh sb="3" eb="4">
      <t>ナイ</t>
    </rPh>
    <rPh sb="4" eb="6">
      <t>ホイク</t>
    </rPh>
    <rPh sb="6" eb="8">
      <t>ジギョウ</t>
    </rPh>
    <rPh sb="11" eb="12">
      <t>ニン</t>
    </rPh>
    <rPh sb="12" eb="14">
      <t>イカ</t>
    </rPh>
    <phoneticPr fontId="4"/>
  </si>
  <si>
    <t>1,2歳</t>
    <rPh sb="3" eb="4">
      <t>サイ</t>
    </rPh>
    <phoneticPr fontId="4"/>
  </si>
  <si>
    <t>乳児</t>
    <rPh sb="0" eb="2">
      <t>ニュウジ</t>
    </rPh>
    <phoneticPr fontId="4"/>
  </si>
  <si>
    <t>休日</t>
    <rPh sb="0" eb="2">
      <t>キュウジツ</t>
    </rPh>
    <phoneticPr fontId="4"/>
  </si>
  <si>
    <t>処遇改善等加算Ⅰ</t>
    <phoneticPr fontId="18"/>
  </si>
  <si>
    <t>処遇改善等
加算Ⅰ</t>
    <phoneticPr fontId="18"/>
  </si>
  <si>
    <t>⑦</t>
    <phoneticPr fontId="18"/>
  </si>
  <si>
    <t>⑩</t>
    <phoneticPr fontId="18"/>
  </si>
  <si>
    <t>計</t>
    <rPh sb="0" eb="1">
      <t>ケイ</t>
    </rPh>
    <phoneticPr fontId="4"/>
  </si>
  <si>
    <t>小規模保育A型</t>
    <rPh sb="0" eb="3">
      <t>ショウキボ</t>
    </rPh>
    <rPh sb="3" eb="5">
      <t>ホイク</t>
    </rPh>
    <rPh sb="6" eb="7">
      <t>ガタ</t>
    </rPh>
    <phoneticPr fontId="4"/>
  </si>
  <si>
    <t>②</t>
    <phoneticPr fontId="18"/>
  </si>
  <si>
    <t>③</t>
    <phoneticPr fontId="18"/>
  </si>
  <si>
    <t>⑮</t>
    <phoneticPr fontId="18"/>
  </si>
  <si>
    <t>加算部分２</t>
    <rPh sb="0" eb="2">
      <t>カサン</t>
    </rPh>
    <rPh sb="2" eb="4">
      <t>ブブン</t>
    </rPh>
    <phoneticPr fontId="18"/>
  </si>
  <si>
    <t>㉒</t>
  </si>
  <si>
    <t>㉓</t>
  </si>
  <si>
    <t>※加算額は、高齢者者等の年間総雇用時間数を基に区分
※３月初日の利用子どもの単価に加算</t>
    <phoneticPr fontId="7"/>
  </si>
  <si>
    <t>　</t>
    <phoneticPr fontId="7"/>
  </si>
  <si>
    <t>（ 注 ）年度の初日の前日における満年齢に応じて月額を調整</t>
    <phoneticPr fontId="18"/>
  </si>
  <si>
    <t>処遇改善等加算Ⅰ</t>
  </si>
  <si>
    <t>３歳児配置改善加算</t>
    <rPh sb="1" eb="3">
      <t>サイジ</t>
    </rPh>
    <rPh sb="3" eb="5">
      <t>ハイチ</t>
    </rPh>
    <rPh sb="5" eb="7">
      <t>カイゼン</t>
    </rPh>
    <rPh sb="7" eb="9">
      <t>カサン</t>
    </rPh>
    <phoneticPr fontId="18"/>
  </si>
  <si>
    <t>1号</t>
    <rPh sb="1" eb="2">
      <t>ゴウ</t>
    </rPh>
    <phoneticPr fontId="4"/>
  </si>
  <si>
    <t>1号認定子ども</t>
    <rPh sb="1" eb="2">
      <t>ゴウ</t>
    </rPh>
    <rPh sb="2" eb="4">
      <t>ニンテイ</t>
    </rPh>
    <rPh sb="4" eb="5">
      <t>コ</t>
    </rPh>
    <phoneticPr fontId="4"/>
  </si>
  <si>
    <t>事務職員配置加算</t>
    <rPh sb="0" eb="2">
      <t>ジム</t>
    </rPh>
    <rPh sb="2" eb="4">
      <t>ショクイン</t>
    </rPh>
    <rPh sb="4" eb="6">
      <t>ハイチ</t>
    </rPh>
    <rPh sb="6" eb="8">
      <t>カサン</t>
    </rPh>
    <phoneticPr fontId="4"/>
  </si>
  <si>
    <t>特児</t>
    <rPh sb="0" eb="2">
      <t>トクジ</t>
    </rPh>
    <phoneticPr fontId="4"/>
  </si>
  <si>
    <t>その他</t>
    <rPh sb="2" eb="3">
      <t>タ</t>
    </rPh>
    <phoneticPr fontId="4"/>
  </si>
  <si>
    <t>療育</t>
    <rPh sb="0" eb="2">
      <t>リョウイク</t>
    </rPh>
    <phoneticPr fontId="4"/>
  </si>
  <si>
    <t>チーム保育</t>
    <rPh sb="3" eb="5">
      <t>ホイク</t>
    </rPh>
    <phoneticPr fontId="4"/>
  </si>
  <si>
    <t>人勧</t>
    <rPh sb="0" eb="2">
      <t>ジンカン</t>
    </rPh>
    <phoneticPr fontId="4"/>
  </si>
  <si>
    <t>賃金改善</t>
    <rPh sb="0" eb="2">
      <t>チンギン</t>
    </rPh>
    <rPh sb="2" eb="4">
      <t>カイゼン</t>
    </rPh>
    <phoneticPr fontId="4"/>
  </si>
  <si>
    <t>選択</t>
    <rPh sb="0" eb="2">
      <t>センタク</t>
    </rPh>
    <phoneticPr fontId="4"/>
  </si>
  <si>
    <t>開始月</t>
    <rPh sb="0" eb="2">
      <t>カイシ</t>
    </rPh>
    <rPh sb="2" eb="3">
      <t>ツキ</t>
    </rPh>
    <phoneticPr fontId="4"/>
  </si>
  <si>
    <t>残月</t>
    <rPh sb="0" eb="2">
      <t>ザンゲツ</t>
    </rPh>
    <phoneticPr fontId="4"/>
  </si>
  <si>
    <t>給食＆年齢別</t>
    <rPh sb="0" eb="2">
      <t>キュウショク</t>
    </rPh>
    <rPh sb="3" eb="5">
      <t>ネンレイ</t>
    </rPh>
    <rPh sb="5" eb="6">
      <t>ベツ</t>
    </rPh>
    <phoneticPr fontId="4"/>
  </si>
  <si>
    <t>教育標準時間</t>
    <rPh sb="0" eb="2">
      <t>キョウイク</t>
    </rPh>
    <rPh sb="2" eb="4">
      <t>ヒョウジュン</t>
    </rPh>
    <rPh sb="4" eb="6">
      <t>ジカン</t>
    </rPh>
    <phoneticPr fontId="4"/>
  </si>
  <si>
    <t>4歳児</t>
    <rPh sb="1" eb="3">
      <t>サイジ</t>
    </rPh>
    <phoneticPr fontId="4"/>
  </si>
  <si>
    <t>3歳児</t>
    <rPh sb="1" eb="3">
      <t>サイジ</t>
    </rPh>
    <phoneticPr fontId="4"/>
  </si>
  <si>
    <t>なし</t>
    <phoneticPr fontId="4"/>
  </si>
  <si>
    <t>チーム保育上限数</t>
    <rPh sb="3" eb="5">
      <t>ホイク</t>
    </rPh>
    <rPh sb="5" eb="7">
      <t>ジョウゲン</t>
    </rPh>
    <rPh sb="7" eb="8">
      <t>スウ</t>
    </rPh>
    <phoneticPr fontId="4"/>
  </si>
  <si>
    <t>チーム保育加配上限数(参考)</t>
    <rPh sb="3" eb="5">
      <t>ホイク</t>
    </rPh>
    <rPh sb="5" eb="7">
      <t>カハイ</t>
    </rPh>
    <rPh sb="7" eb="9">
      <t>ジョウゲン</t>
    </rPh>
    <rPh sb="9" eb="10">
      <t>スウ</t>
    </rPh>
    <rPh sb="11" eb="13">
      <t>サンコウ</t>
    </rPh>
    <phoneticPr fontId="4"/>
  </si>
  <si>
    <t>保育必要量区分　⑤</t>
    <rPh sb="0" eb="2">
      <t>ホイク</t>
    </rPh>
    <rPh sb="2" eb="5">
      <t>ヒツヨウリョウ</t>
    </rPh>
    <rPh sb="5" eb="7">
      <t>クブン</t>
    </rPh>
    <phoneticPr fontId="18"/>
  </si>
  <si>
    <t>処遇改善等加算Ⅰ</t>
    <phoneticPr fontId="18"/>
  </si>
  <si>
    <t>チーム保育推進加算</t>
    <rPh sb="3" eb="5">
      <t>ホイク</t>
    </rPh>
    <rPh sb="5" eb="7">
      <t>スイシン</t>
    </rPh>
    <rPh sb="7" eb="9">
      <t>カサン</t>
    </rPh>
    <phoneticPr fontId="18"/>
  </si>
  <si>
    <t>分園の場合</t>
    <rPh sb="0" eb="2">
      <t>ブンエン</t>
    </rPh>
    <rPh sb="3" eb="5">
      <t>バアイ</t>
    </rPh>
    <phoneticPr fontId="18"/>
  </si>
  <si>
    <t>（注）</t>
    <phoneticPr fontId="18"/>
  </si>
  <si>
    <t>①</t>
    <phoneticPr fontId="18"/>
  </si>
  <si>
    <t>⑦</t>
    <phoneticPr fontId="18"/>
  </si>
  <si>
    <t xml:space="preserve">※１　各月初日の利用子どもの単価に加算
※２　人数Ａ及び人数Ｂについては、別に定める
</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phoneticPr fontId="18"/>
  </si>
  <si>
    <t>2号</t>
    <rPh sb="1" eb="2">
      <t>ゴウ</t>
    </rPh>
    <phoneticPr fontId="4"/>
  </si>
  <si>
    <t>3号</t>
    <rPh sb="1" eb="2">
      <t>ゴウ</t>
    </rPh>
    <phoneticPr fontId="4"/>
  </si>
  <si>
    <t>事務職員雇上費加算</t>
    <rPh sb="0" eb="2">
      <t>ジム</t>
    </rPh>
    <rPh sb="2" eb="4">
      <t>ショクイン</t>
    </rPh>
    <rPh sb="4" eb="5">
      <t>ヤトイ</t>
    </rPh>
    <rPh sb="5" eb="6">
      <t>ア</t>
    </rPh>
    <rPh sb="6" eb="7">
      <t>ヒ</t>
    </rPh>
    <rPh sb="7" eb="9">
      <t>カサン</t>
    </rPh>
    <phoneticPr fontId="4"/>
  </si>
  <si>
    <t>0歳</t>
    <rPh sb="1" eb="2">
      <t>サイ</t>
    </rPh>
    <phoneticPr fontId="4"/>
  </si>
  <si>
    <t>1,2歳</t>
    <rPh sb="3" eb="4">
      <t>サイ</t>
    </rPh>
    <phoneticPr fontId="4"/>
  </si>
  <si>
    <t>保育短時間</t>
    <rPh sb="0" eb="2">
      <t>ホイク</t>
    </rPh>
    <rPh sb="2" eb="3">
      <t>タン</t>
    </rPh>
    <rPh sb="3" eb="5">
      <t>ジカン</t>
    </rPh>
    <phoneticPr fontId="4"/>
  </si>
  <si>
    <t>処遇改善等加算単価合計
【C】</t>
    <rPh sb="0" eb="2">
      <t>ショグウ</t>
    </rPh>
    <rPh sb="2" eb="4">
      <t>カイゼン</t>
    </rPh>
    <rPh sb="4" eb="5">
      <t>トウ</t>
    </rPh>
    <rPh sb="5" eb="7">
      <t>カサン</t>
    </rPh>
    <rPh sb="7" eb="9">
      <t>タンカ</t>
    </rPh>
    <rPh sb="9" eb="11">
      <t>ゴウケイ</t>
    </rPh>
    <phoneticPr fontId="4"/>
  </si>
  <si>
    <t>処遇改善等加算単価合計
【D】</t>
    <rPh sb="0" eb="2">
      <t>ショグウ</t>
    </rPh>
    <rPh sb="2" eb="4">
      <t>カイゼン</t>
    </rPh>
    <rPh sb="4" eb="5">
      <t>トウ</t>
    </rPh>
    <rPh sb="5" eb="7">
      <t>カサン</t>
    </rPh>
    <rPh sb="7" eb="9">
      <t>タンカ</t>
    </rPh>
    <rPh sb="9" eb="11">
      <t>ゴウケイ</t>
    </rPh>
    <phoneticPr fontId="4"/>
  </si>
  <si>
    <t>2・3号認定子ども</t>
    <rPh sb="3" eb="4">
      <t>ゴウ</t>
    </rPh>
    <rPh sb="4" eb="6">
      <t>ニンテイ</t>
    </rPh>
    <rPh sb="6" eb="7">
      <t>コ</t>
    </rPh>
    <phoneticPr fontId="4"/>
  </si>
  <si>
    <t>計</t>
    <rPh sb="0" eb="1">
      <t>ケイ</t>
    </rPh>
    <phoneticPr fontId="4"/>
  </si>
  <si>
    <t>休日</t>
    <rPh sb="0" eb="2">
      <t>キュウジツ</t>
    </rPh>
    <phoneticPr fontId="4"/>
  </si>
  <si>
    <t>(本園)
利用定員</t>
    <rPh sb="1" eb="2">
      <t>ホン</t>
    </rPh>
    <rPh sb="2" eb="3">
      <t>エン</t>
    </rPh>
    <rPh sb="5" eb="7">
      <t>リヨウ</t>
    </rPh>
    <rPh sb="7" eb="9">
      <t>テイイン</t>
    </rPh>
    <phoneticPr fontId="4"/>
  </si>
  <si>
    <t>(分園)
利用定員</t>
    <rPh sb="1" eb="3">
      <t>ブンエン</t>
    </rPh>
    <rPh sb="5" eb="7">
      <t>リヨウ</t>
    </rPh>
    <rPh sb="7" eb="9">
      <t>テイイン</t>
    </rPh>
    <phoneticPr fontId="4"/>
  </si>
  <si>
    <t>定員を恒常的に超過する場合</t>
    <phoneticPr fontId="18"/>
  </si>
  <si>
    <t>㉕</t>
  </si>
  <si>
    <t>（ 注 ）年度の初日の前日における満年齢に応じて月額を調整</t>
    <phoneticPr fontId="18"/>
  </si>
  <si>
    <t>（注２）１号認定子どもの利用定員を設定しない場合、それぞれの額に「２」を乗じて算定</t>
    <phoneticPr fontId="18"/>
  </si>
  <si>
    <t>学級編成</t>
    <rPh sb="0" eb="2">
      <t>ガッキュウ</t>
    </rPh>
    <rPh sb="2" eb="4">
      <t>ヘンセイ</t>
    </rPh>
    <phoneticPr fontId="4"/>
  </si>
  <si>
    <t>給食</t>
    <rPh sb="0" eb="2">
      <t>キュウショク</t>
    </rPh>
    <phoneticPr fontId="4"/>
  </si>
  <si>
    <t>年齢</t>
    <rPh sb="0" eb="2">
      <t>ネンレイ</t>
    </rPh>
    <phoneticPr fontId="4"/>
  </si>
  <si>
    <t>年齢別配置基準を下回る場合（不足分÷2）</t>
    <rPh sb="0" eb="2">
      <t>ネンレイ</t>
    </rPh>
    <rPh sb="2" eb="3">
      <t>ベツ</t>
    </rPh>
    <rPh sb="3" eb="5">
      <t>ハイチ</t>
    </rPh>
    <rPh sb="5" eb="7">
      <t>キジュン</t>
    </rPh>
    <rPh sb="8" eb="10">
      <t>シタマワ</t>
    </rPh>
    <rPh sb="11" eb="13">
      <t>バアイ</t>
    </rPh>
    <phoneticPr fontId="4"/>
  </si>
  <si>
    <t>なし</t>
    <phoneticPr fontId="4"/>
  </si>
  <si>
    <t>定員を恒常的に超過する場合</t>
    <phoneticPr fontId="4"/>
  </si>
  <si>
    <t>終了月</t>
    <rPh sb="0" eb="2">
      <t>シュウリョウ</t>
    </rPh>
    <rPh sb="2" eb="3">
      <t>ツキ</t>
    </rPh>
    <phoneticPr fontId="4"/>
  </si>
  <si>
    <t>開始月・終了月</t>
    <rPh sb="0" eb="2">
      <t>カイシ</t>
    </rPh>
    <rPh sb="2" eb="3">
      <t>ツキ</t>
    </rPh>
    <rPh sb="4" eb="6">
      <t>シュウリョウ</t>
    </rPh>
    <rPh sb="6" eb="7">
      <t>ツキ</t>
    </rPh>
    <phoneticPr fontId="4"/>
  </si>
  <si>
    <t>なし</t>
    <phoneticPr fontId="4"/>
  </si>
  <si>
    <t>休日</t>
    <rPh sb="0" eb="2">
      <t>キュウジツ</t>
    </rPh>
    <phoneticPr fontId="4"/>
  </si>
  <si>
    <t>１号認定こどもの利用定員を設定しない場合</t>
    <rPh sb="1" eb="2">
      <t>ゴウ</t>
    </rPh>
    <rPh sb="2" eb="4">
      <t>ニンテイ</t>
    </rPh>
    <rPh sb="8" eb="10">
      <t>リヨウ</t>
    </rPh>
    <rPh sb="10" eb="12">
      <t>テイイン</t>
    </rPh>
    <rPh sb="13" eb="15">
      <t>セッテイ</t>
    </rPh>
    <rPh sb="18" eb="20">
      <t>バアイ</t>
    </rPh>
    <phoneticPr fontId="4"/>
  </si>
  <si>
    <t>加減調整</t>
    <rPh sb="0" eb="2">
      <t>カゲン</t>
    </rPh>
    <rPh sb="2" eb="4">
      <t>チョウセイ</t>
    </rPh>
    <phoneticPr fontId="4"/>
  </si>
  <si>
    <t>乗除調整</t>
    <rPh sb="0" eb="2">
      <t>ジョウジョ</t>
    </rPh>
    <rPh sb="2" eb="4">
      <t>チョウセイ</t>
    </rPh>
    <phoneticPr fontId="4"/>
  </si>
  <si>
    <t>特定加算</t>
    <rPh sb="0" eb="2">
      <t>トクテイ</t>
    </rPh>
    <rPh sb="2" eb="4">
      <t>カサン</t>
    </rPh>
    <phoneticPr fontId="4"/>
  </si>
  <si>
    <t>特定以外加算</t>
    <rPh sb="0" eb="2">
      <t>トクテイ</t>
    </rPh>
    <rPh sb="2" eb="4">
      <t>イガイ</t>
    </rPh>
    <rPh sb="4" eb="6">
      <t>カサン</t>
    </rPh>
    <phoneticPr fontId="4"/>
  </si>
  <si>
    <t>処遇改善等加算単価合計
【E】</t>
    <rPh sb="0" eb="2">
      <t>ショグウ</t>
    </rPh>
    <rPh sb="2" eb="4">
      <t>カイゼン</t>
    </rPh>
    <rPh sb="4" eb="5">
      <t>トウ</t>
    </rPh>
    <rPh sb="5" eb="7">
      <t>カサン</t>
    </rPh>
    <rPh sb="7" eb="9">
      <t>タンカ</t>
    </rPh>
    <rPh sb="9" eb="11">
      <t>ゴウケイ</t>
    </rPh>
    <phoneticPr fontId="4"/>
  </si>
  <si>
    <t>施設種別</t>
    <rPh sb="0" eb="2">
      <t>シセツ</t>
    </rPh>
    <rPh sb="2" eb="4">
      <t>シュベツ</t>
    </rPh>
    <phoneticPr fontId="4"/>
  </si>
  <si>
    <t>保育所</t>
  </si>
  <si>
    <t>小規模Ａ型</t>
    <rPh sb="0" eb="3">
      <t>ショウキボ</t>
    </rPh>
    <rPh sb="4" eb="5">
      <t>ガタ</t>
    </rPh>
    <phoneticPr fontId="4"/>
  </si>
  <si>
    <t>家庭的</t>
    <rPh sb="0" eb="3">
      <t>カテイテキ</t>
    </rPh>
    <phoneticPr fontId="4"/>
  </si>
  <si>
    <t>事業所内（19人以下Ａ）</t>
    <rPh sb="0" eb="3">
      <t>ジギョウショ</t>
    </rPh>
    <rPh sb="3" eb="4">
      <t>ナイ</t>
    </rPh>
    <rPh sb="7" eb="10">
      <t>ニンイカ</t>
    </rPh>
    <phoneticPr fontId="4"/>
  </si>
  <si>
    <t>事業所内（20人以上）</t>
    <rPh sb="0" eb="3">
      <t>ジギョウショ</t>
    </rPh>
    <rPh sb="3" eb="4">
      <t>ナイ</t>
    </rPh>
    <rPh sb="7" eb="10">
      <t>ニンイジョウ</t>
    </rPh>
    <phoneticPr fontId="4"/>
  </si>
  <si>
    <t>加減調整</t>
    <rPh sb="0" eb="2">
      <t>カゲン</t>
    </rPh>
    <rPh sb="2" eb="4">
      <t>チョウセイ</t>
    </rPh>
    <phoneticPr fontId="4"/>
  </si>
  <si>
    <t>月</t>
    <rPh sb="0" eb="1">
      <t>ツキ</t>
    </rPh>
    <phoneticPr fontId="4"/>
  </si>
  <si>
    <t>種別</t>
    <rPh sb="0" eb="2">
      <t>シュベツ</t>
    </rPh>
    <phoneticPr fontId="4"/>
  </si>
  <si>
    <t>○</t>
  </si>
  <si>
    <t>○</t>
    <phoneticPr fontId="4"/>
  </si>
  <si>
    <t>×</t>
    <phoneticPr fontId="4"/>
  </si>
  <si>
    <t>講師配置加算</t>
    <rPh sb="0" eb="2">
      <t>コウシ</t>
    </rPh>
    <rPh sb="2" eb="4">
      <t>ハイチ</t>
    </rPh>
    <rPh sb="4" eb="6">
      <t>カサン</t>
    </rPh>
    <phoneticPr fontId="6"/>
  </si>
  <si>
    <t>講師配置加算</t>
    <phoneticPr fontId="4"/>
  </si>
  <si>
    <t>講師配置加算</t>
    <rPh sb="0" eb="2">
      <t>コウシ</t>
    </rPh>
    <rPh sb="2" eb="4">
      <t>ハイチ</t>
    </rPh>
    <rPh sb="4" eb="6">
      <t>カサン</t>
    </rPh>
    <phoneticPr fontId="4"/>
  </si>
  <si>
    <t>様式２</t>
    <rPh sb="0" eb="2">
      <t>ヨウシキ</t>
    </rPh>
    <phoneticPr fontId="4"/>
  </si>
  <si>
    <t>様式３</t>
    <rPh sb="0" eb="2">
      <t>ヨウシキ</t>
    </rPh>
    <phoneticPr fontId="4"/>
  </si>
  <si>
    <t>該当</t>
    <rPh sb="0" eb="2">
      <t>ガイトウ</t>
    </rPh>
    <phoneticPr fontId="4"/>
  </si>
  <si>
    <t>減価償却費加算</t>
    <rPh sb="0" eb="2">
      <t>ゲンカ</t>
    </rPh>
    <rPh sb="2" eb="5">
      <t>ショウキャクヒ</t>
    </rPh>
    <rPh sb="5" eb="7">
      <t>カサン</t>
    </rPh>
    <phoneticPr fontId="7"/>
  </si>
  <si>
    <r>
      <t xml:space="preserve">副食費徴収
免除加算
</t>
    </r>
    <r>
      <rPr>
        <sz val="6"/>
        <rFont val="HGｺﾞｼｯｸM"/>
        <family val="3"/>
        <charset val="128"/>
      </rPr>
      <t>※副食費の徴収が免除される子どもの単価に加算</t>
    </r>
    <rPh sb="0" eb="3">
      <t>フクショクヒ</t>
    </rPh>
    <rPh sb="3" eb="5">
      <t>チョウシュウ</t>
    </rPh>
    <rPh sb="6" eb="8">
      <t>メンジョ</t>
    </rPh>
    <rPh sb="8" eb="10">
      <t>カサン</t>
    </rPh>
    <phoneticPr fontId="56"/>
  </si>
  <si>
    <t>⑭</t>
    <phoneticPr fontId="8"/>
  </si>
  <si>
    <t>施設長を配置していない場合</t>
    <rPh sb="0" eb="2">
      <t>シセツ</t>
    </rPh>
    <rPh sb="2" eb="3">
      <t>チョウ</t>
    </rPh>
    <rPh sb="4" eb="6">
      <t>ハイチ</t>
    </rPh>
    <rPh sb="11" eb="13">
      <t>バアイ</t>
    </rPh>
    <phoneticPr fontId="8"/>
  </si>
  <si>
    <t>＋</t>
    <phoneticPr fontId="8"/>
  </si>
  <si>
    <t>処遇改善等加算Ⅰ</t>
    <phoneticPr fontId="8"/>
  </si>
  <si>
    <t>土曜日に閉所する場合</t>
    <rPh sb="0" eb="3">
      <t>ドヨウビ</t>
    </rPh>
    <rPh sb="4" eb="6">
      <t>ヘイショ</t>
    </rPh>
    <rPh sb="8" eb="10">
      <t>バアイ</t>
    </rPh>
    <phoneticPr fontId="8"/>
  </si>
  <si>
    <t>月に１日土曜日を閉所する場合</t>
    <rPh sb="0" eb="1">
      <t>ツキ</t>
    </rPh>
    <rPh sb="3" eb="4">
      <t>ニチ</t>
    </rPh>
    <rPh sb="4" eb="7">
      <t>ドヨウビ</t>
    </rPh>
    <rPh sb="8" eb="10">
      <t>ヘイショ</t>
    </rPh>
    <rPh sb="12" eb="14">
      <t>バアイ</t>
    </rPh>
    <phoneticPr fontId="8"/>
  </si>
  <si>
    <t>月に２日土曜日を閉所する場合</t>
    <rPh sb="0" eb="1">
      <t>ツキ</t>
    </rPh>
    <rPh sb="3" eb="4">
      <t>ニチ</t>
    </rPh>
    <rPh sb="4" eb="7">
      <t>ドヨウビ</t>
    </rPh>
    <rPh sb="8" eb="10">
      <t>ヘイショ</t>
    </rPh>
    <rPh sb="12" eb="14">
      <t>バアイ</t>
    </rPh>
    <phoneticPr fontId="8"/>
  </si>
  <si>
    <t>月に３日以上土曜日を閉所する場合</t>
    <rPh sb="0" eb="1">
      <t>ツキ</t>
    </rPh>
    <rPh sb="3" eb="4">
      <t>ニチ</t>
    </rPh>
    <rPh sb="4" eb="6">
      <t>イジョウ</t>
    </rPh>
    <rPh sb="6" eb="9">
      <t>ドヨウビ</t>
    </rPh>
    <rPh sb="10" eb="12">
      <t>ヘイショ</t>
    </rPh>
    <rPh sb="14" eb="16">
      <t>バアイ</t>
    </rPh>
    <phoneticPr fontId="8"/>
  </si>
  <si>
    <t>全ての土曜日を閉所する場合</t>
    <rPh sb="0" eb="1">
      <t>スベ</t>
    </rPh>
    <rPh sb="3" eb="6">
      <t>ドヨウビ</t>
    </rPh>
    <rPh sb="7" eb="9">
      <t>ヘイショ</t>
    </rPh>
    <rPh sb="11" eb="13">
      <t>バアイ</t>
    </rPh>
    <phoneticPr fontId="8"/>
  </si>
  <si>
    <t>(⑥＋⑦＋⑧＋⑩)</t>
  </si>
  <si>
    <t>(⑥＋⑦)</t>
  </si>
  <si>
    <t>⑧</t>
    <phoneticPr fontId="8"/>
  </si>
  <si>
    <t>⑫</t>
  </si>
  <si>
    <t>栄養管理加算</t>
    <rPh sb="0" eb="2">
      <t>エイヨウ</t>
    </rPh>
    <rPh sb="2" eb="4">
      <t>カンリ</t>
    </rPh>
    <rPh sb="4" eb="6">
      <t>カサン</t>
    </rPh>
    <phoneticPr fontId="8"/>
  </si>
  <si>
    <t>㉙</t>
    <phoneticPr fontId="8"/>
  </si>
  <si>
    <t>基本額</t>
    <phoneticPr fontId="4"/>
  </si>
  <si>
    <t>処遇改善等加算Ⅰ</t>
    <phoneticPr fontId="4"/>
  </si>
  <si>
    <t>※以下の区分に応じて、各月初日の利用子どもの単価に加算
　Ａ：Bを除き栄養士を雇用契約等により配置している施設
　Ｂ：基本分単価及び他の加算の認定に当たって求められる
　　　職員が栄養士を兼務している施設
　Ｃ：A又はBを除き、栄養士を嘱託等している施設</t>
    <phoneticPr fontId="8"/>
  </si>
  <si>
    <t>（</t>
    <phoneticPr fontId="4"/>
  </si>
  <si>
    <t>＋</t>
    <phoneticPr fontId="4"/>
  </si>
  <si>
    <t>）</t>
    <phoneticPr fontId="4"/>
  </si>
  <si>
    <t>÷各月初日の利用子ども数</t>
    <phoneticPr fontId="4"/>
  </si>
  <si>
    <t>÷各月初日の利用子ども数</t>
  </si>
  <si>
    <t>－</t>
  </si>
  <si>
    <t>チーム保育加配加算
※1号・2号の利用定員合計に応じて利用子どもの単価に加算</t>
    <rPh sb="3" eb="5">
      <t>ホイク</t>
    </rPh>
    <rPh sb="5" eb="7">
      <t>カハイ</t>
    </rPh>
    <rPh sb="7" eb="9">
      <t>カサン</t>
    </rPh>
    <phoneticPr fontId="8"/>
  </si>
  <si>
    <t xml:space="preserve"> 　　 ～　15人</t>
  </si>
  <si>
    <t xml:space="preserve">  16人～　25人</t>
  </si>
  <si>
    <t xml:space="preserve">  26人～　35人</t>
  </si>
  <si>
    <t xml:space="preserve">  36人～　45人</t>
  </si>
  <si>
    <t xml:space="preserve">  46人～　60人</t>
  </si>
  <si>
    <t xml:space="preserve">  61人～　75人</t>
  </si>
  <si>
    <t xml:space="preserve">  76人～　90人</t>
  </si>
  <si>
    <t xml:space="preserve">  91人～ 105人</t>
  </si>
  <si>
    <t xml:space="preserve"> 106人～ 120人</t>
  </si>
  <si>
    <t xml:space="preserve"> 121人～ 135人</t>
  </si>
  <si>
    <t xml:space="preserve"> 136人～ 150人</t>
  </si>
  <si>
    <t xml:space="preserve"> 151人～ 180人</t>
  </si>
  <si>
    <t xml:space="preserve"> 181人～ 210人</t>
  </si>
  <si>
    <t xml:space="preserve"> 211人～ 240人</t>
  </si>
  <si>
    <t xml:space="preserve"> 241人～ 270人</t>
  </si>
  <si>
    <t xml:space="preserve"> 271人～ 300人</t>
  </si>
  <si>
    <t xml:space="preserve"> 301人～</t>
  </si>
  <si>
    <t>給食実施加算（施設内調理）</t>
    <rPh sb="0" eb="2">
      <t>キュウショク</t>
    </rPh>
    <rPh sb="2" eb="4">
      <t>ジッシ</t>
    </rPh>
    <rPh sb="4" eb="6">
      <t>カサン</t>
    </rPh>
    <rPh sb="7" eb="9">
      <t>シセツ</t>
    </rPh>
    <rPh sb="9" eb="10">
      <t>ナイ</t>
    </rPh>
    <rPh sb="10" eb="12">
      <t>チョウリ</t>
    </rPh>
    <phoneticPr fontId="8"/>
  </si>
  <si>
    <t>給食実施加算（外部搬入）</t>
    <rPh sb="0" eb="2">
      <t>キュウショク</t>
    </rPh>
    <rPh sb="2" eb="4">
      <t>ジッシ</t>
    </rPh>
    <rPh sb="4" eb="6">
      <t>カサン</t>
    </rPh>
    <rPh sb="7" eb="9">
      <t>ガイブ</t>
    </rPh>
    <rPh sb="9" eb="11">
      <t>ハンニュウ</t>
    </rPh>
    <phoneticPr fontId="8"/>
  </si>
  <si>
    <t>⑬</t>
    <phoneticPr fontId="8"/>
  </si>
  <si>
    <t>⑭'</t>
    <phoneticPr fontId="8"/>
  </si>
  <si>
    <r>
      <t xml:space="preserve">副食費徴収
免除加算
</t>
    </r>
    <r>
      <rPr>
        <sz val="6"/>
        <rFont val="HGｺﾞｼｯｸM"/>
        <family val="3"/>
        <charset val="128"/>
      </rPr>
      <t>※副食費の徴収が免除される
子どもの単価に加算</t>
    </r>
    <rPh sb="0" eb="3">
      <t>フクショクヒ</t>
    </rPh>
    <rPh sb="3" eb="5">
      <t>チョウシュウ</t>
    </rPh>
    <rPh sb="6" eb="8">
      <t>メンジョ</t>
    </rPh>
    <rPh sb="8" eb="10">
      <t>カサン</t>
    </rPh>
    <phoneticPr fontId="56"/>
  </si>
  <si>
    <t>⑯</t>
    <phoneticPr fontId="56"/>
  </si>
  <si>
    <t>⑮</t>
    <phoneticPr fontId="8"/>
  </si>
  <si>
    <t xml:space="preserve">   実施日数　　</t>
    <rPh sb="3" eb="5">
      <t>ジッシ</t>
    </rPh>
    <rPh sb="5" eb="7">
      <t>ニッスウ</t>
    </rPh>
    <phoneticPr fontId="56"/>
  </si>
  <si>
    <t>⑰</t>
    <phoneticPr fontId="8"/>
  </si>
  <si>
    <t>⑱</t>
    <phoneticPr fontId="8"/>
  </si>
  <si>
    <t>⑲</t>
    <phoneticPr fontId="8"/>
  </si>
  <si>
    <t>⑳</t>
    <phoneticPr fontId="8"/>
  </si>
  <si>
    <t>施設関係者評価加算</t>
    <rPh sb="0" eb="2">
      <t>シセツ</t>
    </rPh>
    <rPh sb="2" eb="5">
      <t>カンケイシャ</t>
    </rPh>
    <rPh sb="5" eb="7">
      <t>ヒョウカ</t>
    </rPh>
    <rPh sb="7" eb="9">
      <t>カサン</t>
    </rPh>
    <phoneticPr fontId="4"/>
  </si>
  <si>
    <t>㉗</t>
  </si>
  <si>
    <t>A</t>
    <phoneticPr fontId="56"/>
  </si>
  <si>
    <t>※以下の区分に応じて、３月初日の利用子どもの単価に加算
　A:公開保育の取組と組み合わせて施設関係者評価を実施する施設
　B:それ以外の施設</t>
    <phoneticPr fontId="4"/>
  </si>
  <si>
    <t>B</t>
    <phoneticPr fontId="56"/>
  </si>
  <si>
    <t>チーム保育加配加算
※1号・2号の利用定員合計に応じて2号利用子どもの単価に加算</t>
    <rPh sb="3" eb="5">
      <t>ホイク</t>
    </rPh>
    <rPh sb="5" eb="7">
      <t>カハイ</t>
    </rPh>
    <rPh sb="7" eb="9">
      <t>カサン</t>
    </rPh>
    <phoneticPr fontId="8"/>
  </si>
  <si>
    <t>処遇改善等
加算Ⅰ</t>
    <phoneticPr fontId="8"/>
  </si>
  <si>
    <t>⑪</t>
    <phoneticPr fontId="8"/>
  </si>
  <si>
    <t>処遇改善等
加算Ⅰ</t>
    <phoneticPr fontId="8"/>
  </si>
  <si>
    <t>減価償却費加算</t>
    <rPh sb="0" eb="2">
      <t>ゲンカ</t>
    </rPh>
    <rPh sb="2" eb="4">
      <t>ショウキャク</t>
    </rPh>
    <rPh sb="4" eb="5">
      <t>ヒ</t>
    </rPh>
    <rPh sb="5" eb="7">
      <t>カサン</t>
    </rPh>
    <phoneticPr fontId="8"/>
  </si>
  <si>
    <t>加算額</t>
    <phoneticPr fontId="8"/>
  </si>
  <si>
    <t>認可施設</t>
    <rPh sb="0" eb="2">
      <t>ニンカ</t>
    </rPh>
    <rPh sb="2" eb="4">
      <t>シセツ</t>
    </rPh>
    <phoneticPr fontId="8"/>
  </si>
  <si>
    <t>機能部分</t>
    <rPh sb="0" eb="2">
      <t>キノウ</t>
    </rPh>
    <rPh sb="2" eb="4">
      <t>ブブン</t>
    </rPh>
    <phoneticPr fontId="8"/>
  </si>
  <si>
    <t>⑫</t>
    <phoneticPr fontId="8"/>
  </si>
  <si>
    <t>※3月分の単価に加算</t>
    <rPh sb="2" eb="4">
      <t>ガツブン</t>
    </rPh>
    <rPh sb="5" eb="7">
      <t>タンカ</t>
    </rPh>
    <rPh sb="8" eb="10">
      <t>カサン</t>
    </rPh>
    <phoneticPr fontId="8"/>
  </si>
  <si>
    <t>⑮</t>
    <phoneticPr fontId="8"/>
  </si>
  <si>
    <t>地域
区分</t>
    <phoneticPr fontId="4"/>
  </si>
  <si>
    <t>定員区分</t>
    <rPh sb="0" eb="2">
      <t>テイイン</t>
    </rPh>
    <rPh sb="2" eb="4">
      <t>クブン</t>
    </rPh>
    <phoneticPr fontId="4"/>
  </si>
  <si>
    <t>年齢区分</t>
    <rPh sb="0" eb="2">
      <t>ネンレイ</t>
    </rPh>
    <rPh sb="2" eb="4">
      <t>クブン</t>
    </rPh>
    <phoneticPr fontId="4"/>
  </si>
  <si>
    <t>保育必要量区分　⑤</t>
    <rPh sb="0" eb="2">
      <t>ホイク</t>
    </rPh>
    <rPh sb="2" eb="5">
      <t>ヒツヨウリョウ</t>
    </rPh>
    <rPh sb="5" eb="7">
      <t>クブン</t>
    </rPh>
    <phoneticPr fontId="8"/>
  </si>
  <si>
    <t>処遇改善等加算Ⅰ</t>
    <phoneticPr fontId="8"/>
  </si>
  <si>
    <t>休日保育加算</t>
    <rPh sb="0" eb="2">
      <t>キュウジツ</t>
    </rPh>
    <rPh sb="2" eb="4">
      <t>ホイク</t>
    </rPh>
    <rPh sb="4" eb="6">
      <t>カサン</t>
    </rPh>
    <phoneticPr fontId="8"/>
  </si>
  <si>
    <t>夜間保育加算</t>
    <rPh sb="0" eb="2">
      <t>ヤカン</t>
    </rPh>
    <rPh sb="2" eb="4">
      <t>ホイク</t>
    </rPh>
    <rPh sb="4" eb="6">
      <t>カサン</t>
    </rPh>
    <phoneticPr fontId="8"/>
  </si>
  <si>
    <t>賃借料加算</t>
    <rPh sb="0" eb="3">
      <t>チンシャクリョウ</t>
    </rPh>
    <rPh sb="3" eb="5">
      <t>カサン</t>
    </rPh>
    <phoneticPr fontId="8"/>
  </si>
  <si>
    <t>外部監査費加算</t>
    <rPh sb="0" eb="2">
      <t>ガイブ</t>
    </rPh>
    <rPh sb="2" eb="4">
      <t>カンサ</t>
    </rPh>
    <rPh sb="4" eb="5">
      <t>ヒ</t>
    </rPh>
    <rPh sb="5" eb="7">
      <t>カサン</t>
    </rPh>
    <phoneticPr fontId="8"/>
  </si>
  <si>
    <t>１号認定こどもの利用定員を設定しない場合</t>
    <rPh sb="1" eb="2">
      <t>ゴウ</t>
    </rPh>
    <rPh sb="2" eb="4">
      <t>ニンテイ</t>
    </rPh>
    <rPh sb="8" eb="10">
      <t>リヨウ</t>
    </rPh>
    <rPh sb="10" eb="12">
      <t>テイイン</t>
    </rPh>
    <rPh sb="13" eb="15">
      <t>セッテイ</t>
    </rPh>
    <rPh sb="18" eb="20">
      <t>バアイ</t>
    </rPh>
    <phoneticPr fontId="8"/>
  </si>
  <si>
    <t>分園の場合</t>
    <rPh sb="0" eb="2">
      <t>ブンエン</t>
    </rPh>
    <rPh sb="3" eb="5">
      <t>バアイ</t>
    </rPh>
    <phoneticPr fontId="8"/>
  </si>
  <si>
    <t>主幹教諭等の専任化により子育て支援の取り組みを実施していない場合</t>
    <rPh sb="0" eb="2">
      <t>シュカン</t>
    </rPh>
    <rPh sb="2" eb="4">
      <t>キョウユ</t>
    </rPh>
    <rPh sb="4" eb="5">
      <t>トウ</t>
    </rPh>
    <rPh sb="6" eb="8">
      <t>センニン</t>
    </rPh>
    <rPh sb="8" eb="9">
      <t>カ</t>
    </rPh>
    <rPh sb="12" eb="14">
      <t>コソダ</t>
    </rPh>
    <rPh sb="15" eb="17">
      <t>シエン</t>
    </rPh>
    <rPh sb="18" eb="19">
      <t>ト</t>
    </rPh>
    <rPh sb="20" eb="21">
      <t>ク</t>
    </rPh>
    <rPh sb="23" eb="25">
      <t>ジッシ</t>
    </rPh>
    <rPh sb="30" eb="32">
      <t>バアイ</t>
    </rPh>
    <phoneticPr fontId="8"/>
  </si>
  <si>
    <t>年齢別配置基準を下回る場合</t>
    <rPh sb="0" eb="3">
      <t>ネンレイベツ</t>
    </rPh>
    <rPh sb="3" eb="5">
      <t>ハイチ</t>
    </rPh>
    <rPh sb="5" eb="7">
      <t>キジュン</t>
    </rPh>
    <rPh sb="8" eb="10">
      <t>シタマワ</t>
    </rPh>
    <rPh sb="11" eb="13">
      <t>バアイ</t>
    </rPh>
    <phoneticPr fontId="8"/>
  </si>
  <si>
    <t>定員を恒常的に
超過する場合</t>
    <rPh sb="0" eb="2">
      <t>テイイン</t>
    </rPh>
    <rPh sb="3" eb="6">
      <t>コウジョウテキ</t>
    </rPh>
    <rPh sb="8" eb="10">
      <t>チョウカ</t>
    </rPh>
    <rPh sb="12" eb="14">
      <t>バアイ</t>
    </rPh>
    <phoneticPr fontId="8"/>
  </si>
  <si>
    <t>保育標準時間認定</t>
    <rPh sb="0" eb="2">
      <t>ホイク</t>
    </rPh>
    <rPh sb="2" eb="4">
      <t>ヒョウジュン</t>
    </rPh>
    <rPh sb="4" eb="6">
      <t>ジカン</t>
    </rPh>
    <rPh sb="6" eb="8">
      <t>ニンテイ</t>
    </rPh>
    <phoneticPr fontId="8"/>
  </si>
  <si>
    <t>保育短時間認定</t>
    <rPh sb="0" eb="2">
      <t>ホイク</t>
    </rPh>
    <rPh sb="2" eb="3">
      <t>タン</t>
    </rPh>
    <rPh sb="3" eb="5">
      <t>ジカン</t>
    </rPh>
    <rPh sb="5" eb="7">
      <t>ニンテイ</t>
    </rPh>
    <phoneticPr fontId="8"/>
  </si>
  <si>
    <t>基本分単価</t>
    <rPh sb="0" eb="2">
      <t>キホン</t>
    </rPh>
    <rPh sb="2" eb="3">
      <t>ブン</t>
    </rPh>
    <rPh sb="3" eb="4">
      <t>タン</t>
    </rPh>
    <rPh sb="4" eb="5">
      <t>アタイ</t>
    </rPh>
    <phoneticPr fontId="4"/>
  </si>
  <si>
    <t>処遇改善等
加算Ⅰ</t>
    <rPh sb="0" eb="2">
      <t>ショグウ</t>
    </rPh>
    <rPh sb="2" eb="4">
      <t>カイゼン</t>
    </rPh>
    <rPh sb="4" eb="5">
      <t>トウ</t>
    </rPh>
    <rPh sb="6" eb="8">
      <t>カサン</t>
    </rPh>
    <phoneticPr fontId="4"/>
  </si>
  <si>
    <t>(注１)</t>
    <rPh sb="1" eb="2">
      <t>チュウ</t>
    </rPh>
    <phoneticPr fontId="4"/>
  </si>
  <si>
    <t>①</t>
    <phoneticPr fontId="8"/>
  </si>
  <si>
    <t>②</t>
    <phoneticPr fontId="8"/>
  </si>
  <si>
    <t>③</t>
    <phoneticPr fontId="8"/>
  </si>
  <si>
    <t>④</t>
    <phoneticPr fontId="8"/>
  </si>
  <si>
    <t>⑥</t>
    <phoneticPr fontId="8"/>
  </si>
  <si>
    <t>⑦</t>
    <phoneticPr fontId="8"/>
  </si>
  <si>
    <t>⑦</t>
    <phoneticPr fontId="8"/>
  </si>
  <si>
    <t>⑧</t>
    <phoneticPr fontId="8"/>
  </si>
  <si>
    <t>⑨</t>
    <phoneticPr fontId="8"/>
  </si>
  <si>
    <t>⑩</t>
    <phoneticPr fontId="8"/>
  </si>
  <si>
    <t>⑬</t>
    <phoneticPr fontId="8"/>
  </si>
  <si>
    <t>⑭</t>
    <phoneticPr fontId="8"/>
  </si>
  <si>
    <t>⑯</t>
    <phoneticPr fontId="8"/>
  </si>
  <si>
    <t>⑰</t>
    <phoneticPr fontId="8"/>
  </si>
  <si>
    <t>⑱</t>
    <phoneticPr fontId="8"/>
  </si>
  <si>
    <t>⑲</t>
    <phoneticPr fontId="8"/>
  </si>
  <si>
    <t>⑳</t>
    <phoneticPr fontId="8"/>
  </si>
  <si>
    <t>㉑</t>
    <phoneticPr fontId="8"/>
  </si>
  <si>
    <t>㉒</t>
    <phoneticPr fontId="8"/>
  </si>
  <si>
    <t>高齢者等活躍促進加算</t>
    <rPh sb="0" eb="3">
      <t>コウレイシャ</t>
    </rPh>
    <rPh sb="3" eb="4">
      <t>トウ</t>
    </rPh>
    <rPh sb="4" eb="6">
      <t>カツヤク</t>
    </rPh>
    <rPh sb="6" eb="8">
      <t>ソクシン</t>
    </rPh>
    <rPh sb="8" eb="10">
      <t>カサン</t>
    </rPh>
    <phoneticPr fontId="4"/>
  </si>
  <si>
    <t>㉜</t>
    <phoneticPr fontId="4"/>
  </si>
  <si>
    <r>
      <t xml:space="preserve">副食費徴収
免除加算
</t>
    </r>
    <r>
      <rPr>
        <sz val="6"/>
        <color rgb="FF00B0F0"/>
        <rFont val="HGｺﾞｼｯｸM"/>
        <family val="3"/>
        <charset val="128"/>
      </rPr>
      <t>※副食費の徴収が免除される
子どもの単価に加算</t>
    </r>
    <rPh sb="0" eb="3">
      <t>フクショクヒ</t>
    </rPh>
    <rPh sb="3" eb="5">
      <t>チョウシュウ</t>
    </rPh>
    <rPh sb="6" eb="8">
      <t>メンジョ</t>
    </rPh>
    <rPh sb="8" eb="10">
      <t>カサン</t>
    </rPh>
    <phoneticPr fontId="56"/>
  </si>
  <si>
    <t>地域
区分</t>
    <rPh sb="0" eb="2">
      <t>チイキ</t>
    </rPh>
    <rPh sb="3" eb="5">
      <t>クブン</t>
    </rPh>
    <phoneticPr fontId="4"/>
  </si>
  <si>
    <t>副園長・教頭配置加算</t>
    <rPh sb="0" eb="3">
      <t>フクエンチョウ</t>
    </rPh>
    <rPh sb="4" eb="6">
      <t>キョウトウ</t>
    </rPh>
    <rPh sb="6" eb="8">
      <t>ハイチ</t>
    </rPh>
    <rPh sb="8" eb="10">
      <t>カサン</t>
    </rPh>
    <phoneticPr fontId="8"/>
  </si>
  <si>
    <t>満３歳児対応加配加算(3歳児配置改善加算無し)</t>
    <rPh sb="0" eb="1">
      <t>マン</t>
    </rPh>
    <rPh sb="2" eb="4">
      <t>サイジ</t>
    </rPh>
    <rPh sb="4" eb="6">
      <t>タイオウ</t>
    </rPh>
    <rPh sb="6" eb="8">
      <t>カハイ</t>
    </rPh>
    <rPh sb="8" eb="10">
      <t>カサン</t>
    </rPh>
    <rPh sb="12" eb="14">
      <t>サイジ</t>
    </rPh>
    <rPh sb="14" eb="16">
      <t>ハイチ</t>
    </rPh>
    <rPh sb="16" eb="18">
      <t>カイゼン</t>
    </rPh>
    <rPh sb="18" eb="20">
      <t>カサン</t>
    </rPh>
    <rPh sb="20" eb="21">
      <t>ナ</t>
    </rPh>
    <rPh sb="21" eb="22">
      <t>ヨウナ</t>
    </rPh>
    <phoneticPr fontId="8"/>
  </si>
  <si>
    <t>満３歳児対応加配加算(3歳児配置改善加算有り)</t>
    <rPh sb="0" eb="1">
      <t>マン</t>
    </rPh>
    <rPh sb="2" eb="4">
      <t>サイジ</t>
    </rPh>
    <rPh sb="4" eb="6">
      <t>タイオウ</t>
    </rPh>
    <rPh sb="6" eb="8">
      <t>カハイ</t>
    </rPh>
    <rPh sb="8" eb="10">
      <t>カサン</t>
    </rPh>
    <rPh sb="12" eb="14">
      <t>サイジ</t>
    </rPh>
    <rPh sb="14" eb="16">
      <t>ハイチ</t>
    </rPh>
    <rPh sb="16" eb="18">
      <t>カイゼン</t>
    </rPh>
    <rPh sb="18" eb="20">
      <t>カサン</t>
    </rPh>
    <rPh sb="20" eb="21">
      <t>ア</t>
    </rPh>
    <phoneticPr fontId="8"/>
  </si>
  <si>
    <t>講師配置加算</t>
    <rPh sb="0" eb="2">
      <t>コウシ</t>
    </rPh>
    <rPh sb="2" eb="4">
      <t>ハイチ</t>
    </rPh>
    <rPh sb="4" eb="6">
      <t>カサン</t>
    </rPh>
    <phoneticPr fontId="8"/>
  </si>
  <si>
    <t>チーム保育加配加算
※加配1人当たり単価</t>
    <rPh sb="3" eb="5">
      <t>ホイク</t>
    </rPh>
    <rPh sb="5" eb="7">
      <t>カハイ</t>
    </rPh>
    <rPh sb="7" eb="9">
      <t>カサン</t>
    </rPh>
    <phoneticPr fontId="8"/>
  </si>
  <si>
    <t>外部監査費
加算</t>
    <rPh sb="0" eb="2">
      <t>ガイブ</t>
    </rPh>
    <rPh sb="2" eb="4">
      <t>カンサ</t>
    </rPh>
    <rPh sb="4" eb="5">
      <t>ヒ</t>
    </rPh>
    <rPh sb="6" eb="8">
      <t>カサン</t>
    </rPh>
    <phoneticPr fontId="8"/>
  </si>
  <si>
    <t>年齢別配置基準を
下回る場合</t>
    <rPh sb="0" eb="2">
      <t>ネンレイ</t>
    </rPh>
    <rPh sb="2" eb="3">
      <t>ベツ</t>
    </rPh>
    <rPh sb="3" eb="5">
      <t>ハイチ</t>
    </rPh>
    <rPh sb="5" eb="7">
      <t>キジュン</t>
    </rPh>
    <rPh sb="9" eb="11">
      <t>シタマワ</t>
    </rPh>
    <rPh sb="12" eb="14">
      <t>バアイ</t>
    </rPh>
    <phoneticPr fontId="8"/>
  </si>
  <si>
    <t>定員を恒常的に
超過する場合</t>
    <phoneticPr fontId="8"/>
  </si>
  <si>
    <t>（注）</t>
    <phoneticPr fontId="8"/>
  </si>
  <si>
    <t>（注）</t>
    <rPh sb="0" eb="3">
      <t>チュウ</t>
    </rPh>
    <phoneticPr fontId="4"/>
  </si>
  <si>
    <t>②</t>
    <phoneticPr fontId="8"/>
  </si>
  <si>
    <t>④</t>
    <phoneticPr fontId="8"/>
  </si>
  <si>
    <t>⑤</t>
    <phoneticPr fontId="8"/>
  </si>
  <si>
    <t>⑥</t>
    <phoneticPr fontId="8"/>
  </si>
  <si>
    <t>⑧</t>
    <phoneticPr fontId="8"/>
  </si>
  <si>
    <t>⑨’</t>
    <phoneticPr fontId="8"/>
  </si>
  <si>
    <t>⑩</t>
    <phoneticPr fontId="8"/>
  </si>
  <si>
    <t>⑬'</t>
    <phoneticPr fontId="8"/>
  </si>
  <si>
    <t>⑮</t>
    <phoneticPr fontId="56"/>
  </si>
  <si>
    <t>㉖</t>
    <phoneticPr fontId="4"/>
  </si>
  <si>
    <t>A</t>
    <phoneticPr fontId="4"/>
  </si>
  <si>
    <t>※以下の区分に応じて、３月初日の利用子どもの単価に加算
A:公開保育の取組と組み合わせて施設関係者評価を実施する施設
B:それ以外の施設</t>
    <rPh sb="1" eb="3">
      <t>イカ</t>
    </rPh>
    <rPh sb="4" eb="6">
      <t>クブン</t>
    </rPh>
    <rPh sb="7" eb="8">
      <t>オウ</t>
    </rPh>
    <rPh sb="13" eb="15">
      <t>ショニチ</t>
    </rPh>
    <rPh sb="16" eb="18">
      <t>リヨウ</t>
    </rPh>
    <rPh sb="18" eb="19">
      <t>コ</t>
    </rPh>
    <rPh sb="30" eb="32">
      <t>コウカイ</t>
    </rPh>
    <rPh sb="32" eb="34">
      <t>ホイク</t>
    </rPh>
    <rPh sb="35" eb="37">
      <t>トリクミ</t>
    </rPh>
    <rPh sb="38" eb="39">
      <t>ク</t>
    </rPh>
    <rPh sb="40" eb="41">
      <t>ア</t>
    </rPh>
    <rPh sb="44" eb="46">
      <t>シセツ</t>
    </rPh>
    <rPh sb="46" eb="49">
      <t>カンケイシャ</t>
    </rPh>
    <rPh sb="49" eb="51">
      <t>ヒョウカ</t>
    </rPh>
    <rPh sb="52" eb="54">
      <t>ジッシ</t>
    </rPh>
    <rPh sb="56" eb="58">
      <t>シセツ</t>
    </rPh>
    <rPh sb="63" eb="65">
      <t>イガイ</t>
    </rPh>
    <rPh sb="66" eb="68">
      <t>シセツ</t>
    </rPh>
    <phoneticPr fontId="4"/>
  </si>
  <si>
    <t>B</t>
    <phoneticPr fontId="4"/>
  </si>
  <si>
    <t>※以下の区分の応じて、各月初日の利用子どもの単価に加算</t>
    <rPh sb="1" eb="3">
      <t>イカ</t>
    </rPh>
    <rPh sb="4" eb="6">
      <t>クブン</t>
    </rPh>
    <rPh sb="7" eb="8">
      <t>オウ</t>
    </rPh>
    <rPh sb="11" eb="13">
      <t>カクツキ</t>
    </rPh>
    <rPh sb="13" eb="15">
      <t>ショニチ</t>
    </rPh>
    <rPh sb="16" eb="18">
      <t>リヨウ</t>
    </rPh>
    <rPh sb="18" eb="19">
      <t>コ</t>
    </rPh>
    <rPh sb="22" eb="24">
      <t>タンカ</t>
    </rPh>
    <rPh sb="25" eb="27">
      <t>カサン</t>
    </rPh>
    <phoneticPr fontId="56"/>
  </si>
  <si>
    <t>A：Bを除き栄養士を雇用契約等により配置している施設</t>
    <rPh sb="4" eb="5">
      <t>ノゾ</t>
    </rPh>
    <rPh sb="6" eb="9">
      <t>エイヨウシ</t>
    </rPh>
    <rPh sb="10" eb="12">
      <t>コヨウ</t>
    </rPh>
    <rPh sb="12" eb="14">
      <t>ケイヤク</t>
    </rPh>
    <rPh sb="14" eb="15">
      <t>トウ</t>
    </rPh>
    <rPh sb="24" eb="26">
      <t>シセツ</t>
    </rPh>
    <phoneticPr fontId="56"/>
  </si>
  <si>
    <t>B：基本分単価及び他の加算の認定に当たって求められる職員（施設内の調理設備を使用して調理を行う給食実施加算の適用施設において雇用等される調理員を含む。）が栄養士を兼務している施設</t>
    <rPh sb="2" eb="4">
      <t>キホン</t>
    </rPh>
    <rPh sb="4" eb="5">
      <t>ブン</t>
    </rPh>
    <rPh sb="5" eb="7">
      <t>タンカ</t>
    </rPh>
    <rPh sb="7" eb="8">
      <t>オヨ</t>
    </rPh>
    <rPh sb="9" eb="10">
      <t>ホカ</t>
    </rPh>
    <rPh sb="11" eb="13">
      <t>カサン</t>
    </rPh>
    <rPh sb="14" eb="16">
      <t>ニンテイ</t>
    </rPh>
    <rPh sb="17" eb="18">
      <t>ア</t>
    </rPh>
    <rPh sb="21" eb="22">
      <t>モト</t>
    </rPh>
    <rPh sb="26" eb="28">
      <t>ショクイン</t>
    </rPh>
    <rPh sb="29" eb="31">
      <t>シセツ</t>
    </rPh>
    <rPh sb="31" eb="32">
      <t>ナイ</t>
    </rPh>
    <rPh sb="33" eb="35">
      <t>チョウリ</t>
    </rPh>
    <rPh sb="35" eb="37">
      <t>セツビ</t>
    </rPh>
    <rPh sb="38" eb="40">
      <t>シヨウ</t>
    </rPh>
    <rPh sb="42" eb="44">
      <t>チョウリ</t>
    </rPh>
    <rPh sb="45" eb="46">
      <t>オコナ</t>
    </rPh>
    <rPh sb="47" eb="49">
      <t>キュウショク</t>
    </rPh>
    <rPh sb="49" eb="51">
      <t>ジッシ</t>
    </rPh>
    <rPh sb="51" eb="53">
      <t>カサン</t>
    </rPh>
    <rPh sb="54" eb="56">
      <t>テキヨウ</t>
    </rPh>
    <rPh sb="56" eb="58">
      <t>シセツ</t>
    </rPh>
    <rPh sb="62" eb="64">
      <t>コヨウ</t>
    </rPh>
    <rPh sb="64" eb="65">
      <t>トウ</t>
    </rPh>
    <rPh sb="68" eb="71">
      <t>チョウリイン</t>
    </rPh>
    <rPh sb="72" eb="73">
      <t>フク</t>
    </rPh>
    <rPh sb="77" eb="80">
      <t>エイヨウシ</t>
    </rPh>
    <rPh sb="81" eb="83">
      <t>ケンム</t>
    </rPh>
    <rPh sb="87" eb="89">
      <t>シセツ</t>
    </rPh>
    <phoneticPr fontId="56"/>
  </si>
  <si>
    <t>C：A又はBを除き、栄養士を嘱託等している施設</t>
    <rPh sb="3" eb="4">
      <t>マタ</t>
    </rPh>
    <rPh sb="7" eb="8">
      <t>ノゾ</t>
    </rPh>
    <rPh sb="10" eb="13">
      <t>エイヨウシ</t>
    </rPh>
    <rPh sb="14" eb="17">
      <t>ショクタクナド</t>
    </rPh>
    <rPh sb="21" eb="23">
      <t>シセツ</t>
    </rPh>
    <phoneticPr fontId="56"/>
  </si>
  <si>
    <t>㉛</t>
    <phoneticPr fontId="4"/>
  </si>
  <si>
    <t>÷各月初日の利用子ども数</t>
    <phoneticPr fontId="56"/>
  </si>
  <si>
    <t>(⑥＋⑦＋⑪)</t>
  </si>
  <si>
    <t>(⑥＋⑦
　＋⑨＋⑪)</t>
  </si>
  <si>
    <t>(⑥～⑰)</t>
  </si>
  <si>
    <t>定員
区分</t>
    <rPh sb="0" eb="2">
      <t>テイイン</t>
    </rPh>
    <rPh sb="3" eb="5">
      <t>クブン</t>
    </rPh>
    <phoneticPr fontId="4"/>
  </si>
  <si>
    <t>保育必要量区分⑤</t>
    <rPh sb="0" eb="2">
      <t>ホイク</t>
    </rPh>
    <rPh sb="2" eb="5">
      <t>ヒツヨウリョウ</t>
    </rPh>
    <rPh sb="5" eb="7">
      <t>クブン</t>
    </rPh>
    <phoneticPr fontId="8"/>
  </si>
  <si>
    <t>処遇改善等加算Ⅰ</t>
    <phoneticPr fontId="8"/>
  </si>
  <si>
    <r>
      <t>　障害児保育加算
　</t>
    </r>
    <r>
      <rPr>
        <sz val="7"/>
        <rFont val="HGｺﾞｼｯｸM"/>
        <family val="3"/>
        <charset val="128"/>
      </rPr>
      <t>※特別な支援が必要な利用子どもの単価に加算</t>
    </r>
    <rPh sb="1" eb="4">
      <t>ショウガイジ</t>
    </rPh>
    <rPh sb="4" eb="6">
      <t>ホイク</t>
    </rPh>
    <rPh sb="6" eb="8">
      <t>カサン</t>
    </rPh>
    <rPh sb="11" eb="13">
      <t>トクベツ</t>
    </rPh>
    <rPh sb="14" eb="16">
      <t>シエン</t>
    </rPh>
    <rPh sb="17" eb="19">
      <t>ヒツヨウ</t>
    </rPh>
    <rPh sb="20" eb="22">
      <t>リヨウ</t>
    </rPh>
    <rPh sb="22" eb="23">
      <t>コ</t>
    </rPh>
    <rPh sb="26" eb="28">
      <t>タンカ</t>
    </rPh>
    <rPh sb="29" eb="31">
      <t>カサン</t>
    </rPh>
    <phoneticPr fontId="8"/>
  </si>
  <si>
    <t>減価償却費加算</t>
    <rPh sb="0" eb="2">
      <t>ゲンカ</t>
    </rPh>
    <rPh sb="2" eb="5">
      <t>ショウキャクヒ</t>
    </rPh>
    <rPh sb="5" eb="7">
      <t>カサン</t>
    </rPh>
    <phoneticPr fontId="8"/>
  </si>
  <si>
    <t>連携施設を設定しない場合</t>
    <phoneticPr fontId="8"/>
  </si>
  <si>
    <t>食事の搬入について自園調理又は連携施設等からの搬入以外の方法による場合</t>
    <phoneticPr fontId="8"/>
  </si>
  <si>
    <t>管理者を配置していない場合</t>
    <rPh sb="0" eb="3">
      <t>カンリシャ</t>
    </rPh>
    <rPh sb="4" eb="6">
      <t>ハイチ</t>
    </rPh>
    <rPh sb="11" eb="13">
      <t>バアイ</t>
    </rPh>
    <phoneticPr fontId="8"/>
  </si>
  <si>
    <t>処遇改善等加算Ⅰ</t>
    <rPh sb="0" eb="2">
      <t>ショグウ</t>
    </rPh>
    <rPh sb="2" eb="4">
      <t>カイゼン</t>
    </rPh>
    <rPh sb="4" eb="5">
      <t>トウ</t>
    </rPh>
    <rPh sb="5" eb="7">
      <t>カサン</t>
    </rPh>
    <phoneticPr fontId="4"/>
  </si>
  <si>
    <t>処遇改善等
加算Ⅰ</t>
    <phoneticPr fontId="8"/>
  </si>
  <si>
    <t>処遇改善
等加算Ⅰ</t>
    <phoneticPr fontId="8"/>
  </si>
  <si>
    <t>（注）</t>
    <phoneticPr fontId="8"/>
  </si>
  <si>
    <t>（注）</t>
    <phoneticPr fontId="8"/>
  </si>
  <si>
    <t>(注)</t>
    <rPh sb="1" eb="2">
      <t>チュウ</t>
    </rPh>
    <phoneticPr fontId="4"/>
  </si>
  <si>
    <t>①</t>
    <phoneticPr fontId="8"/>
  </si>
  <si>
    <t>②</t>
    <phoneticPr fontId="8"/>
  </si>
  <si>
    <t>③</t>
    <phoneticPr fontId="8"/>
  </si>
  <si>
    <t>④</t>
    <phoneticPr fontId="8"/>
  </si>
  <si>
    <t>⑥</t>
    <phoneticPr fontId="8"/>
  </si>
  <si>
    <t>⑦</t>
    <phoneticPr fontId="8"/>
  </si>
  <si>
    <t>⑨</t>
  </si>
  <si>
    <t>⑩</t>
  </si>
  <si>
    <t>⑪</t>
  </si>
  <si>
    <t>⑬</t>
  </si>
  <si>
    <t>⑭</t>
  </si>
  <si>
    <t>⑮</t>
  </si>
  <si>
    <t>⑯</t>
  </si>
  <si>
    <t>⑰</t>
  </si>
  <si>
    <t>⑱</t>
  </si>
  <si>
    <t>保育必要
量区分</t>
    <rPh sb="0" eb="2">
      <t>ホイク</t>
    </rPh>
    <rPh sb="2" eb="4">
      <t>ヒツヨウ</t>
    </rPh>
    <rPh sb="5" eb="6">
      <t>リョウ</t>
    </rPh>
    <rPh sb="6" eb="8">
      <t>クブン</t>
    </rPh>
    <phoneticPr fontId="4"/>
  </si>
  <si>
    <t>基本分
単　価</t>
    <rPh sb="0" eb="2">
      <t>キホン</t>
    </rPh>
    <rPh sb="2" eb="3">
      <t>ブン</t>
    </rPh>
    <rPh sb="4" eb="5">
      <t>タン</t>
    </rPh>
    <rPh sb="6" eb="7">
      <t>アタイ</t>
    </rPh>
    <phoneticPr fontId="4"/>
  </si>
  <si>
    <t>処遇改善等
加算Ⅰ</t>
    <phoneticPr fontId="8"/>
  </si>
  <si>
    <t>家庭的保育
支援加算</t>
    <rPh sb="0" eb="3">
      <t>カテイテキ</t>
    </rPh>
    <rPh sb="3" eb="5">
      <t>ホイク</t>
    </rPh>
    <rPh sb="6" eb="8">
      <t>シエン</t>
    </rPh>
    <rPh sb="8" eb="10">
      <t>カサン</t>
    </rPh>
    <phoneticPr fontId="4"/>
  </si>
  <si>
    <t>連携施設を設定しない場合</t>
    <rPh sb="0" eb="2">
      <t>レンケイ</t>
    </rPh>
    <rPh sb="2" eb="4">
      <t>シセツ</t>
    </rPh>
    <rPh sb="5" eb="7">
      <t>セッテイ</t>
    </rPh>
    <rPh sb="10" eb="12">
      <t>バアイ</t>
    </rPh>
    <phoneticPr fontId="8"/>
  </si>
  <si>
    <t>連携施設を設定しない場合</t>
    <rPh sb="0" eb="2">
      <t>レンケイ</t>
    </rPh>
    <rPh sb="2" eb="4">
      <t>シセツ</t>
    </rPh>
    <rPh sb="5" eb="7">
      <t>セッテイ</t>
    </rPh>
    <rPh sb="10" eb="12">
      <t>バアイ</t>
    </rPh>
    <phoneticPr fontId="4"/>
  </si>
  <si>
    <t>食事の搬入について自園調理又は連携施設等からの搬入以外の方法による場合</t>
    <rPh sb="0" eb="2">
      <t>ショクジ</t>
    </rPh>
    <rPh sb="3" eb="5">
      <t>ハンニュウ</t>
    </rPh>
    <rPh sb="9" eb="11">
      <t>ジエン</t>
    </rPh>
    <rPh sb="11" eb="13">
      <t>チョウリ</t>
    </rPh>
    <rPh sb="13" eb="14">
      <t>マタ</t>
    </rPh>
    <rPh sb="15" eb="17">
      <t>レンケイ</t>
    </rPh>
    <rPh sb="17" eb="19">
      <t>シセツ</t>
    </rPh>
    <rPh sb="19" eb="20">
      <t>トウ</t>
    </rPh>
    <rPh sb="23" eb="25">
      <t>ハンニュウ</t>
    </rPh>
    <rPh sb="25" eb="27">
      <t>イガイ</t>
    </rPh>
    <rPh sb="28" eb="30">
      <t>ホウホウ</t>
    </rPh>
    <rPh sb="33" eb="35">
      <t>バアイ</t>
    </rPh>
    <phoneticPr fontId="4"/>
  </si>
  <si>
    <t>土曜日に閉所する場合</t>
    <rPh sb="0" eb="3">
      <t>ドヨウビ</t>
    </rPh>
    <rPh sb="4" eb="6">
      <t>ヘイショ</t>
    </rPh>
    <rPh sb="8" eb="10">
      <t>バアイ</t>
    </rPh>
    <phoneticPr fontId="4"/>
  </si>
  <si>
    <t>処遇改善等
加算Ⅰ</t>
    <phoneticPr fontId="8"/>
  </si>
  <si>
    <t>月に１日土曜日を閉所する場合</t>
    <phoneticPr fontId="8"/>
  </si>
  <si>
    <t>月に２日土曜日を閉所する場合</t>
    <phoneticPr fontId="8"/>
  </si>
  <si>
    <t>月に３日以上土曜日を閉所する場合</t>
    <rPh sb="4" eb="6">
      <t>イジョウ</t>
    </rPh>
    <phoneticPr fontId="8"/>
  </si>
  <si>
    <t>全ての土曜日を閉所する場合</t>
    <phoneticPr fontId="8"/>
  </si>
  <si>
    <t>②</t>
    <phoneticPr fontId="8"/>
  </si>
  <si>
    <t>④</t>
    <phoneticPr fontId="8"/>
  </si>
  <si>
    <t>⑤</t>
    <phoneticPr fontId="8"/>
  </si>
  <si>
    <t>⑥</t>
    <phoneticPr fontId="8"/>
  </si>
  <si>
    <t>⑦</t>
    <phoneticPr fontId="8"/>
  </si>
  <si>
    <t>⑧</t>
    <phoneticPr fontId="8"/>
  </si>
  <si>
    <t>⑨</t>
    <phoneticPr fontId="8"/>
  </si>
  <si>
    <t>⑩</t>
    <phoneticPr fontId="8"/>
  </si>
  <si>
    <t>⑪</t>
    <phoneticPr fontId="8"/>
  </si>
  <si>
    <t>⑫</t>
    <phoneticPr fontId="8"/>
  </si>
  <si>
    <t>⑭</t>
    <phoneticPr fontId="8"/>
  </si>
  <si>
    <t>(⑥(⑦)＋⑧
　＋⑩＋⑫)</t>
  </si>
  <si>
    <t>(⑥～⑱)</t>
  </si>
  <si>
    <t>従業員枠の子どもの場合</t>
    <rPh sb="0" eb="3">
      <t>ジュウギョウイン</t>
    </rPh>
    <rPh sb="3" eb="4">
      <t>ワク</t>
    </rPh>
    <rPh sb="5" eb="6">
      <t>コ</t>
    </rPh>
    <rPh sb="9" eb="11">
      <t>バアイ</t>
    </rPh>
    <phoneticPr fontId="8"/>
  </si>
  <si>
    <t>処遇改善等加算Ⅰ</t>
    <phoneticPr fontId="8"/>
  </si>
  <si>
    <t>食事の提供について自園調理又は連携施設等からの搬入以外の方法による場合</t>
    <rPh sb="0" eb="2">
      <t>ショクジ</t>
    </rPh>
    <rPh sb="3" eb="5">
      <t>テイキョウ</t>
    </rPh>
    <rPh sb="9" eb="11">
      <t>ジエン</t>
    </rPh>
    <rPh sb="11" eb="13">
      <t>チョウリ</t>
    </rPh>
    <rPh sb="13" eb="14">
      <t>マタ</t>
    </rPh>
    <rPh sb="15" eb="17">
      <t>レンケイ</t>
    </rPh>
    <rPh sb="17" eb="19">
      <t>シセツ</t>
    </rPh>
    <rPh sb="19" eb="20">
      <t>トウ</t>
    </rPh>
    <rPh sb="23" eb="25">
      <t>ハンニュウ</t>
    </rPh>
    <rPh sb="25" eb="27">
      <t>イガイ</t>
    </rPh>
    <rPh sb="28" eb="30">
      <t>ホウホウ</t>
    </rPh>
    <rPh sb="33" eb="35">
      <t>バアイ</t>
    </rPh>
    <phoneticPr fontId="8"/>
  </si>
  <si>
    <t>定員を恒常的に超過する場合</t>
    <rPh sb="0" eb="2">
      <t>テイイン</t>
    </rPh>
    <rPh sb="3" eb="6">
      <t>コウジョウテキ</t>
    </rPh>
    <rPh sb="7" eb="9">
      <t>チョウカ</t>
    </rPh>
    <rPh sb="11" eb="13">
      <t>バアイ</t>
    </rPh>
    <phoneticPr fontId="8"/>
  </si>
  <si>
    <t>処遇改善等
加算Ⅰ</t>
    <phoneticPr fontId="8"/>
  </si>
  <si>
    <t>⑥</t>
    <phoneticPr fontId="8"/>
  </si>
  <si>
    <t>⑧</t>
    <phoneticPr fontId="8"/>
  </si>
  <si>
    <t>⑲</t>
  </si>
  <si>
    <t>(⑥(⑦)
　　＋⑧＋⑫)</t>
  </si>
  <si>
    <t>管理者を設置していない場合</t>
    <rPh sb="0" eb="3">
      <t>カンリシャ</t>
    </rPh>
    <rPh sb="4" eb="6">
      <t>セッチ</t>
    </rPh>
    <rPh sb="11" eb="13">
      <t>バアイ</t>
    </rPh>
    <phoneticPr fontId="8"/>
  </si>
  <si>
    <t>処遇改善等加算Ⅱ</t>
    <rPh sb="0" eb="2">
      <t>ショグウ</t>
    </rPh>
    <rPh sb="2" eb="4">
      <t>カイゼン</t>
    </rPh>
    <rPh sb="4" eb="5">
      <t>トウ</t>
    </rPh>
    <rPh sb="5" eb="7">
      <t>カサン</t>
    </rPh>
    <phoneticPr fontId="8"/>
  </si>
  <si>
    <t>　以下の加算を合算した額を各月初日の利用子ども数で除した額</t>
    <rPh sb="1" eb="3">
      <t>イカ</t>
    </rPh>
    <rPh sb="4" eb="6">
      <t>カサン</t>
    </rPh>
    <rPh sb="7" eb="9">
      <t>ガッサン</t>
    </rPh>
    <rPh sb="11" eb="12">
      <t>ガク</t>
    </rPh>
    <rPh sb="13" eb="15">
      <t>カクツキ</t>
    </rPh>
    <rPh sb="15" eb="17">
      <t>ショニチ</t>
    </rPh>
    <rPh sb="18" eb="20">
      <t>リヨウ</t>
    </rPh>
    <rPh sb="20" eb="21">
      <t>コ</t>
    </rPh>
    <rPh sb="23" eb="24">
      <t>スウ</t>
    </rPh>
    <rPh sb="25" eb="26">
      <t>ジョ</t>
    </rPh>
    <rPh sb="28" eb="29">
      <t>ガク</t>
    </rPh>
    <phoneticPr fontId="8"/>
  </si>
  <si>
    <t xml:space="preserve">※１　各月初日の利用子どもの単価に加算
※２　人数Ａ及び人数Ｂについては、別に定める
</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phoneticPr fontId="8"/>
  </si>
  <si>
    <t>・処遇改善等加算Ⅱ－①</t>
    <phoneticPr fontId="8"/>
  </si>
  <si>
    <t xml:space="preserve">× 人数Ａ </t>
    <phoneticPr fontId="8"/>
  </si>
  <si>
    <t>・処遇改善等加算Ⅱ－②</t>
    <phoneticPr fontId="8"/>
  </si>
  <si>
    <t>× 人数Ｂ</t>
    <phoneticPr fontId="8"/>
  </si>
  <si>
    <t>冷暖房費加算</t>
    <rPh sb="0" eb="3">
      <t>レイダンボウ</t>
    </rPh>
    <rPh sb="3" eb="4">
      <t>ヒ</t>
    </rPh>
    <rPh sb="4" eb="6">
      <t>カサン</t>
    </rPh>
    <phoneticPr fontId="4"/>
  </si>
  <si>
    <t>㉑</t>
    <phoneticPr fontId="4"/>
  </si>
  <si>
    <t>１級地</t>
    <rPh sb="1" eb="3">
      <t>キュウチ</t>
    </rPh>
    <phoneticPr fontId="4"/>
  </si>
  <si>
    <t>４級地</t>
    <rPh sb="1" eb="3">
      <t>キュウチ</t>
    </rPh>
    <phoneticPr fontId="4"/>
  </si>
  <si>
    <t>※以下の区分に応じて、各月の単価に加算
　１級地から４級地：国家公務員の寒冷地手当に関する法律（昭和
　　　　　　　　　　２４年法律第２００号）第１条第１号及び第
　　　　　　　　　　２号に掲げる地域
　そ の 他  地  域：１級地から４級地以外の地域</t>
    <rPh sb="1" eb="3">
      <t>イカ</t>
    </rPh>
    <rPh sb="4" eb="6">
      <t>クブン</t>
    </rPh>
    <rPh sb="22" eb="24">
      <t>キュウチ</t>
    </rPh>
    <rPh sb="27" eb="29">
      <t>キュウチ</t>
    </rPh>
    <rPh sb="30" eb="32">
      <t>コッカ</t>
    </rPh>
    <rPh sb="32" eb="35">
      <t>コウムイン</t>
    </rPh>
    <rPh sb="36" eb="39">
      <t>カンレイチ</t>
    </rPh>
    <rPh sb="39" eb="41">
      <t>テアテ</t>
    </rPh>
    <rPh sb="42" eb="43">
      <t>カン</t>
    </rPh>
    <rPh sb="45" eb="47">
      <t>ホウリツ</t>
    </rPh>
    <rPh sb="48" eb="50">
      <t>ショウワ</t>
    </rPh>
    <rPh sb="63" eb="64">
      <t>ネン</t>
    </rPh>
    <rPh sb="64" eb="66">
      <t>ホウリツ</t>
    </rPh>
    <rPh sb="66" eb="67">
      <t>ダイ</t>
    </rPh>
    <rPh sb="70" eb="71">
      <t>ゴウ</t>
    </rPh>
    <rPh sb="72" eb="73">
      <t>ダイ</t>
    </rPh>
    <rPh sb="74" eb="75">
      <t>ジョウ</t>
    </rPh>
    <rPh sb="75" eb="76">
      <t>ダイ</t>
    </rPh>
    <rPh sb="77" eb="78">
      <t>ゴウ</t>
    </rPh>
    <rPh sb="78" eb="79">
      <t>オヨ</t>
    </rPh>
    <rPh sb="80" eb="81">
      <t>ダイ</t>
    </rPh>
    <rPh sb="93" eb="94">
      <t>ゴウ</t>
    </rPh>
    <rPh sb="95" eb="96">
      <t>カカ</t>
    </rPh>
    <rPh sb="98" eb="100">
      <t>チイキ</t>
    </rPh>
    <rPh sb="106" eb="107">
      <t>タ</t>
    </rPh>
    <rPh sb="115" eb="117">
      <t>キュウチ</t>
    </rPh>
    <rPh sb="120" eb="122">
      <t>キュウチ</t>
    </rPh>
    <rPh sb="122" eb="124">
      <t>イガイ</t>
    </rPh>
    <rPh sb="125" eb="127">
      <t>チイキ</t>
    </rPh>
    <phoneticPr fontId="4"/>
  </si>
  <si>
    <t>２級地</t>
    <rPh sb="1" eb="3">
      <t>キュウチ</t>
    </rPh>
    <phoneticPr fontId="4"/>
  </si>
  <si>
    <t>その他地域</t>
    <rPh sb="2" eb="3">
      <t>タ</t>
    </rPh>
    <rPh sb="3" eb="5">
      <t>チイキ</t>
    </rPh>
    <phoneticPr fontId="4"/>
  </si>
  <si>
    <t>３級地</t>
    <rPh sb="1" eb="3">
      <t>キュウチ</t>
    </rPh>
    <phoneticPr fontId="4"/>
  </si>
  <si>
    <t>除雪費加算</t>
    <rPh sb="0" eb="2">
      <t>ジョセツ</t>
    </rPh>
    <rPh sb="2" eb="3">
      <t>ヒ</t>
    </rPh>
    <rPh sb="3" eb="5">
      <t>カサン</t>
    </rPh>
    <phoneticPr fontId="4"/>
  </si>
  <si>
    <t>㉒</t>
    <phoneticPr fontId="4"/>
  </si>
  <si>
    <t>※３月初日の利用子どもの単価に加算</t>
    <rPh sb="3" eb="5">
      <t>ショニチ</t>
    </rPh>
    <rPh sb="6" eb="8">
      <t>リヨウ</t>
    </rPh>
    <rPh sb="8" eb="9">
      <t>コ</t>
    </rPh>
    <phoneticPr fontId="4"/>
  </si>
  <si>
    <t>降灰除去費加算</t>
    <rPh sb="0" eb="2">
      <t>コウカイ</t>
    </rPh>
    <rPh sb="2" eb="4">
      <t>ジョキョ</t>
    </rPh>
    <rPh sb="4" eb="5">
      <t>ヒ</t>
    </rPh>
    <rPh sb="5" eb="7">
      <t>カサン</t>
    </rPh>
    <phoneticPr fontId="4"/>
  </si>
  <si>
    <t>㉓</t>
    <phoneticPr fontId="4"/>
  </si>
  <si>
    <t>施設機能強化推進費加算</t>
    <rPh sb="0" eb="2">
      <t>シセツ</t>
    </rPh>
    <rPh sb="2" eb="4">
      <t>キノウ</t>
    </rPh>
    <rPh sb="4" eb="6">
      <t>キョウカ</t>
    </rPh>
    <rPh sb="6" eb="8">
      <t>スイシン</t>
    </rPh>
    <rPh sb="8" eb="9">
      <t>ヒ</t>
    </rPh>
    <rPh sb="9" eb="11">
      <t>カサン</t>
    </rPh>
    <phoneticPr fontId="4"/>
  </si>
  <si>
    <t>㉔</t>
    <phoneticPr fontId="4"/>
  </si>
  <si>
    <t>　</t>
    <phoneticPr fontId="4"/>
  </si>
  <si>
    <t>㉕</t>
    <phoneticPr fontId="8"/>
  </si>
  <si>
    <t>第三者評価受審加算</t>
    <rPh sb="0" eb="3">
      <t>ダイサンシャ</t>
    </rPh>
    <rPh sb="3" eb="5">
      <t>ヒョウカ</t>
    </rPh>
    <rPh sb="5" eb="7">
      <t>ジュシン</t>
    </rPh>
    <rPh sb="7" eb="9">
      <t>カサン</t>
    </rPh>
    <phoneticPr fontId="4"/>
  </si>
  <si>
    <t>（ 注 ）年度の初日の前日における満年齢に応じて月額を調整</t>
    <phoneticPr fontId="8"/>
  </si>
  <si>
    <t>（算式１）</t>
    <rPh sb="1" eb="3">
      <t>サンシキ</t>
    </rPh>
    <phoneticPr fontId="8"/>
  </si>
  <si>
    <t>　以下の加算を合算した額を各月初日の利用子ども数で除した額とする。</t>
    <rPh sb="1" eb="3">
      <t>イカ</t>
    </rPh>
    <rPh sb="4" eb="6">
      <t>カサン</t>
    </rPh>
    <rPh sb="7" eb="9">
      <t>ガッサン</t>
    </rPh>
    <rPh sb="11" eb="12">
      <t>ガク</t>
    </rPh>
    <rPh sb="13" eb="15">
      <t>カクツキ</t>
    </rPh>
    <rPh sb="15" eb="17">
      <t>ショニチ</t>
    </rPh>
    <rPh sb="18" eb="20">
      <t>リヨウ</t>
    </rPh>
    <rPh sb="20" eb="21">
      <t>コ</t>
    </rPh>
    <rPh sb="23" eb="24">
      <t>スウ</t>
    </rPh>
    <rPh sb="25" eb="26">
      <t>ジョ</t>
    </rPh>
    <rPh sb="28" eb="29">
      <t>ガク</t>
    </rPh>
    <phoneticPr fontId="8"/>
  </si>
  <si>
    <t>（算式２）</t>
    <rPh sb="1" eb="3">
      <t>サンシキ</t>
    </rPh>
    <phoneticPr fontId="8"/>
  </si>
  <si>
    <t>Ａ：処遇改善等加算Ⅱ－①</t>
    <rPh sb="2" eb="4">
      <t>ショグウ</t>
    </rPh>
    <rPh sb="4" eb="6">
      <t>カイゼン</t>
    </rPh>
    <rPh sb="6" eb="7">
      <t>トウ</t>
    </rPh>
    <rPh sb="7" eb="9">
      <t>カサン</t>
    </rPh>
    <phoneticPr fontId="8"/>
  </si>
  <si>
    <t xml:space="preserve"> ÷ 各月初日の利用子ども数</t>
    <phoneticPr fontId="8"/>
  </si>
  <si>
    <t>Ｂ：処遇改善等加算Ⅱ－②</t>
    <rPh sb="2" eb="4">
      <t>ショグウ</t>
    </rPh>
    <rPh sb="4" eb="6">
      <t>カイゼン</t>
    </rPh>
    <rPh sb="6" eb="7">
      <t>トウ</t>
    </rPh>
    <rPh sb="7" eb="9">
      <t>カサン</t>
    </rPh>
    <phoneticPr fontId="8"/>
  </si>
  <si>
    <t>㉓</t>
    <phoneticPr fontId="8"/>
  </si>
  <si>
    <t>㉔</t>
    <phoneticPr fontId="8"/>
  </si>
  <si>
    <t>（ 注 ）年度の初日の前日における満年齢に応じて月額を調整</t>
    <phoneticPr fontId="8"/>
  </si>
  <si>
    <t>Ａ：処遇改善加算Ⅱ－①</t>
    <rPh sb="2" eb="4">
      <t>ショグウ</t>
    </rPh>
    <rPh sb="4" eb="6">
      <t>カイゼン</t>
    </rPh>
    <rPh sb="6" eb="8">
      <t>カサン</t>
    </rPh>
    <phoneticPr fontId="8"/>
  </si>
  <si>
    <t>※１　各月初日の利用子どもの単価に加算
※２　Ａ若しくはＢのいずれかとする</t>
    <rPh sb="3" eb="5">
      <t>カクツキ</t>
    </rPh>
    <rPh sb="5" eb="7">
      <t>ショニチ</t>
    </rPh>
    <rPh sb="8" eb="10">
      <t>リヨウ</t>
    </rPh>
    <rPh sb="10" eb="11">
      <t>コ</t>
    </rPh>
    <rPh sb="14" eb="16">
      <t>タンカ</t>
    </rPh>
    <rPh sb="17" eb="19">
      <t>カサン</t>
    </rPh>
    <rPh sb="24" eb="25">
      <t>モ</t>
    </rPh>
    <phoneticPr fontId="8"/>
  </si>
  <si>
    <t>Ｂ：処遇改善加算Ⅱ－②</t>
    <rPh sb="2" eb="4">
      <t>ショグウ</t>
    </rPh>
    <rPh sb="4" eb="6">
      <t>カイゼン</t>
    </rPh>
    <rPh sb="6" eb="8">
      <t>カサン</t>
    </rPh>
    <phoneticPr fontId="8"/>
  </si>
  <si>
    <t>⑯</t>
    <phoneticPr fontId="4"/>
  </si>
  <si>
    <t>⑰</t>
    <phoneticPr fontId="4"/>
  </si>
  <si>
    <t>⑱</t>
    <phoneticPr fontId="4"/>
  </si>
  <si>
    <t>⑲</t>
    <phoneticPr fontId="4"/>
  </si>
  <si>
    <t>施設長を配置していない場合</t>
    <phoneticPr fontId="4"/>
  </si>
  <si>
    <t>土曜閉所</t>
    <rPh sb="0" eb="2">
      <t>ドヨウ</t>
    </rPh>
    <rPh sb="2" eb="4">
      <t>ヘイショ</t>
    </rPh>
    <phoneticPr fontId="4"/>
  </si>
  <si>
    <t>なし</t>
    <phoneticPr fontId="4"/>
  </si>
  <si>
    <t>1日</t>
    <rPh sb="1" eb="2">
      <t>ニチ</t>
    </rPh>
    <phoneticPr fontId="4"/>
  </si>
  <si>
    <t>2日</t>
    <rPh sb="1" eb="2">
      <t>ニチ</t>
    </rPh>
    <phoneticPr fontId="4"/>
  </si>
  <si>
    <t>3日以上</t>
    <rPh sb="1" eb="2">
      <t>カ</t>
    </rPh>
    <rPh sb="2" eb="4">
      <t>イジョウ</t>
    </rPh>
    <phoneticPr fontId="4"/>
  </si>
  <si>
    <t>全て</t>
    <rPh sb="0" eb="1">
      <t>スベ</t>
    </rPh>
    <phoneticPr fontId="4"/>
  </si>
  <si>
    <t>栄養管理加算</t>
    <rPh sb="0" eb="2">
      <t>エイヨウ</t>
    </rPh>
    <rPh sb="2" eb="4">
      <t>カンリ</t>
    </rPh>
    <rPh sb="4" eb="6">
      <t>カサン</t>
    </rPh>
    <phoneticPr fontId="4"/>
  </si>
  <si>
    <t>土曜閉所</t>
    <rPh sb="0" eb="2">
      <t>ドヨウ</t>
    </rPh>
    <rPh sb="2" eb="4">
      <t>ヘイショ</t>
    </rPh>
    <phoneticPr fontId="4"/>
  </si>
  <si>
    <t>定員＝</t>
    <rPh sb="0" eb="2">
      <t>テイイン</t>
    </rPh>
    <phoneticPr fontId="8"/>
  </si>
  <si>
    <t>1日</t>
    <rPh sb="1" eb="2">
      <t>ニチ</t>
    </rPh>
    <phoneticPr fontId="8"/>
  </si>
  <si>
    <t>2日</t>
    <rPh sb="1" eb="2">
      <t>ニチ</t>
    </rPh>
    <phoneticPr fontId="8"/>
  </si>
  <si>
    <t>3日以上</t>
    <rPh sb="1" eb="2">
      <t>ニチ</t>
    </rPh>
    <rPh sb="2" eb="4">
      <t>イジョウ</t>
    </rPh>
    <phoneticPr fontId="8"/>
  </si>
  <si>
    <t>全て</t>
    <rPh sb="0" eb="1">
      <t>ゼン</t>
    </rPh>
    <phoneticPr fontId="8"/>
  </si>
  <si>
    <t>定員を恒常的に超過する場合</t>
    <rPh sb="0" eb="2">
      <t>テイイン</t>
    </rPh>
    <rPh sb="3" eb="6">
      <t>コウジョウテキ</t>
    </rPh>
    <rPh sb="7" eb="9">
      <t>チョウカ</t>
    </rPh>
    <rPh sb="11" eb="13">
      <t>バアイ</t>
    </rPh>
    <phoneticPr fontId="4"/>
  </si>
  <si>
    <t>配置</t>
    <rPh sb="0" eb="2">
      <t>ハイチ</t>
    </rPh>
    <phoneticPr fontId="4"/>
  </si>
  <si>
    <t>嘱託</t>
    <rPh sb="0" eb="2">
      <t>ショクタク</t>
    </rPh>
    <phoneticPr fontId="4"/>
  </si>
  <si>
    <t>栄養</t>
    <rPh sb="0" eb="2">
      <t>エイヨウ</t>
    </rPh>
    <phoneticPr fontId="4"/>
  </si>
  <si>
    <t>兼務</t>
    <rPh sb="0" eb="2">
      <t>ケンム</t>
    </rPh>
    <phoneticPr fontId="4"/>
  </si>
  <si>
    <t>なし</t>
  </si>
  <si>
    <t>給食実施加算（調理）</t>
    <rPh sb="0" eb="2">
      <t>キュウショク</t>
    </rPh>
    <rPh sb="2" eb="4">
      <t>ジッシ</t>
    </rPh>
    <rPh sb="4" eb="6">
      <t>カサン</t>
    </rPh>
    <rPh sb="7" eb="9">
      <t>チョウリ</t>
    </rPh>
    <phoneticPr fontId="4"/>
  </si>
  <si>
    <t>給食実施加算（搬入）</t>
    <rPh sb="0" eb="2">
      <t>キュウショク</t>
    </rPh>
    <rPh sb="2" eb="4">
      <t>ジッシ</t>
    </rPh>
    <rPh sb="4" eb="6">
      <t>カサン</t>
    </rPh>
    <rPh sb="7" eb="9">
      <t>ハンニュウ</t>
    </rPh>
    <phoneticPr fontId="4"/>
  </si>
  <si>
    <t>小計</t>
    <rPh sb="0" eb="2">
      <t>ショウケイ</t>
    </rPh>
    <phoneticPr fontId="4"/>
  </si>
  <si>
    <t>乗除調整</t>
    <rPh sb="0" eb="4">
      <t>ジョウジョチョウセイ</t>
    </rPh>
    <phoneticPr fontId="4"/>
  </si>
  <si>
    <t>乗除調整</t>
    <rPh sb="0" eb="4">
      <t>ジョウジョチョウセイ</t>
    </rPh>
    <phoneticPr fontId="4"/>
  </si>
  <si>
    <t>1％あたりの単価</t>
    <rPh sb="6" eb="8">
      <t>タンカ</t>
    </rPh>
    <phoneticPr fontId="4"/>
  </si>
  <si>
    <t>障害児保育加算</t>
    <rPh sb="0" eb="1">
      <t>ショウ</t>
    </rPh>
    <rPh sb="1" eb="2">
      <t>ガイ</t>
    </rPh>
    <rPh sb="2" eb="3">
      <t>ジ</t>
    </rPh>
    <rPh sb="3" eb="5">
      <t>ホイク</t>
    </rPh>
    <rPh sb="5" eb="7">
      <t>カサン</t>
    </rPh>
    <phoneticPr fontId="4"/>
  </si>
  <si>
    <t>基本加算</t>
    <rPh sb="0" eb="2">
      <t>キホン</t>
    </rPh>
    <rPh sb="2" eb="4">
      <t>カサン</t>
    </rPh>
    <phoneticPr fontId="4"/>
  </si>
  <si>
    <t>管理者を配置していない場合</t>
    <phoneticPr fontId="4"/>
  </si>
  <si>
    <t>管理者を配置していない場合</t>
    <phoneticPr fontId="4"/>
  </si>
  <si>
    <t>施設長を配置していない場合</t>
    <phoneticPr fontId="4"/>
  </si>
  <si>
    <t>管理者を配置していない場合</t>
    <phoneticPr fontId="4"/>
  </si>
  <si>
    <t>なし</t>
    <phoneticPr fontId="8"/>
  </si>
  <si>
    <t>なし</t>
    <phoneticPr fontId="8"/>
  </si>
  <si>
    <t>特定加算以外</t>
    <rPh sb="0" eb="6">
      <t>トクテイカサンイガイ</t>
    </rPh>
    <phoneticPr fontId="4"/>
  </si>
  <si>
    <t>給食実施加算
（調理）</t>
    <rPh sb="0" eb="2">
      <t>キュウショク</t>
    </rPh>
    <rPh sb="2" eb="4">
      <t>ジッシ</t>
    </rPh>
    <rPh sb="4" eb="6">
      <t>カサン</t>
    </rPh>
    <rPh sb="8" eb="10">
      <t>チョウリ</t>
    </rPh>
    <phoneticPr fontId="4"/>
  </si>
  <si>
    <t>給食実施加算
（搬入）</t>
    <rPh sb="0" eb="2">
      <t>キュウショク</t>
    </rPh>
    <rPh sb="2" eb="4">
      <t>ジッシ</t>
    </rPh>
    <rPh sb="4" eb="6">
      <t>カサン</t>
    </rPh>
    <rPh sb="8" eb="10">
      <t>ハンニュウ</t>
    </rPh>
    <phoneticPr fontId="4"/>
  </si>
  <si>
    <t>学級編制調整加配加算</t>
    <phoneticPr fontId="4"/>
  </si>
  <si>
    <t>主幹教諭等の専任化により子育て支援を実施していない場合</t>
    <phoneticPr fontId="4"/>
  </si>
  <si>
    <t>配置基準上求められる職員資格を有しない場合</t>
    <phoneticPr fontId="4"/>
  </si>
  <si>
    <t>乗除調整</t>
    <rPh sb="0" eb="4">
      <t>ジョウジョチョウセイ</t>
    </rPh>
    <phoneticPr fontId="4"/>
  </si>
  <si>
    <t>主幹教諭等の専任化により子育て支援を実施していない場合</t>
    <phoneticPr fontId="4"/>
  </si>
  <si>
    <t>配置基準上求められる職員資格を有しない場合</t>
    <phoneticPr fontId="4"/>
  </si>
  <si>
    <t>主幹教諭等の専任化により子育て支援を実施していない場合</t>
    <phoneticPr fontId="4"/>
  </si>
  <si>
    <t>加減調整</t>
    <rPh sb="0" eb="4">
      <t>カゲンチョウセイ</t>
    </rPh>
    <phoneticPr fontId="4"/>
  </si>
  <si>
    <t>管理者を配置していない場合</t>
    <phoneticPr fontId="4"/>
  </si>
  <si>
    <t>管理者を配置していない場合</t>
    <phoneticPr fontId="4"/>
  </si>
  <si>
    <t>管理者を配置していない場合</t>
    <phoneticPr fontId="4"/>
  </si>
  <si>
    <t>　15人
　　まで</t>
    <rPh sb="3" eb="4">
      <t>ニン</t>
    </rPh>
    <phoneticPr fontId="4"/>
  </si>
  <si>
    <t>1号</t>
    <rPh sb="1" eb="2">
      <t>ゴウ</t>
    </rPh>
    <phoneticPr fontId="8"/>
  </si>
  <si>
    <t>４歳以上児</t>
    <rPh sb="1" eb="2">
      <t>サイ</t>
    </rPh>
    <rPh sb="2" eb="4">
      <t>イジョウ</t>
    </rPh>
    <rPh sb="4" eb="5">
      <t>ジ</t>
    </rPh>
    <phoneticPr fontId="4"/>
  </si>
  <si>
    <t>＋</t>
    <phoneticPr fontId="56"/>
  </si>
  <si>
    <t>３歳児</t>
    <rPh sb="1" eb="3">
      <t>サイジ</t>
    </rPh>
    <phoneticPr fontId="4"/>
  </si>
  <si>
    <t>　16人
　　から
　25人
　　まで</t>
    <rPh sb="3" eb="4">
      <t>ニン</t>
    </rPh>
    <rPh sb="13" eb="14">
      <t>ニン</t>
    </rPh>
    <phoneticPr fontId="4"/>
  </si>
  <si>
    <t>　26人
　　から
　35人
　　まで</t>
    <rPh sb="3" eb="4">
      <t>ニン</t>
    </rPh>
    <rPh sb="13" eb="14">
      <t>ニン</t>
    </rPh>
    <phoneticPr fontId="4"/>
  </si>
  <si>
    <t>　36人
　　から
　45人
　　まで</t>
    <rPh sb="3" eb="4">
      <t>ニン</t>
    </rPh>
    <rPh sb="13" eb="14">
      <t>ニン</t>
    </rPh>
    <phoneticPr fontId="4"/>
  </si>
  <si>
    <t>　46人
　　から
　60人
　　まで</t>
    <rPh sb="3" eb="4">
      <t>ニン</t>
    </rPh>
    <rPh sb="13" eb="14">
      <t>ニン</t>
    </rPh>
    <phoneticPr fontId="4"/>
  </si>
  <si>
    <t>　61人
　　から
　75人
　　まで</t>
    <rPh sb="3" eb="4">
      <t>ニン</t>
    </rPh>
    <rPh sb="13" eb="14">
      <t>ニン</t>
    </rPh>
    <phoneticPr fontId="4"/>
  </si>
  <si>
    <t>　76人
　　から
　90人
　　まで</t>
    <rPh sb="3" eb="4">
      <t>ニン</t>
    </rPh>
    <rPh sb="13" eb="14">
      <t>ニン</t>
    </rPh>
    <phoneticPr fontId="4"/>
  </si>
  <si>
    <t>　91人
　　から
　105人
　　まで</t>
    <rPh sb="3" eb="4">
      <t>ニン</t>
    </rPh>
    <rPh sb="14" eb="15">
      <t>ニン</t>
    </rPh>
    <phoneticPr fontId="4"/>
  </si>
  <si>
    <t>　106人
　　から
　120人
　　まで</t>
    <rPh sb="4" eb="5">
      <t>ニン</t>
    </rPh>
    <rPh sb="15" eb="16">
      <t>ニン</t>
    </rPh>
    <phoneticPr fontId="4"/>
  </si>
  <si>
    <t>　121人
　　から
　135人
　　まで</t>
    <rPh sb="4" eb="5">
      <t>ニン</t>
    </rPh>
    <rPh sb="15" eb="16">
      <t>ニン</t>
    </rPh>
    <phoneticPr fontId="4"/>
  </si>
  <si>
    <t>　136人
　　から
　150人
　　まで</t>
    <rPh sb="4" eb="5">
      <t>ニン</t>
    </rPh>
    <rPh sb="15" eb="16">
      <t>ニン</t>
    </rPh>
    <phoneticPr fontId="4"/>
  </si>
  <si>
    <t>　151人
　　から
　180人
　　まで</t>
    <rPh sb="4" eb="5">
      <t>ニン</t>
    </rPh>
    <rPh sb="15" eb="16">
      <t>ニン</t>
    </rPh>
    <phoneticPr fontId="4"/>
  </si>
  <si>
    <t>　181人
　　から
　210人
　　まで</t>
    <rPh sb="4" eb="5">
      <t>ニン</t>
    </rPh>
    <rPh sb="15" eb="16">
      <t>ニン</t>
    </rPh>
    <phoneticPr fontId="4"/>
  </si>
  <si>
    <t>　211人
　　から
　240人
　　まで</t>
    <rPh sb="4" eb="5">
      <t>ニン</t>
    </rPh>
    <rPh sb="15" eb="16">
      <t>ニン</t>
    </rPh>
    <phoneticPr fontId="4"/>
  </si>
  <si>
    <t>　241人
　　から
　270人
　　まで</t>
    <rPh sb="4" eb="5">
      <t>ニン</t>
    </rPh>
    <rPh sb="15" eb="16">
      <t>ニン</t>
    </rPh>
    <phoneticPr fontId="4"/>
  </si>
  <si>
    <t>　271人
　　から
　300人
　　まで</t>
    <rPh sb="4" eb="5">
      <t>ニン</t>
    </rPh>
    <rPh sb="15" eb="16">
      <t>ニン</t>
    </rPh>
    <phoneticPr fontId="4"/>
  </si>
  <si>
    <t>　301人
　　以上</t>
    <phoneticPr fontId="4"/>
  </si>
  <si>
    <t>栄養管理加算</t>
    <rPh sb="0" eb="6">
      <t>エイヨウカンリカサン</t>
    </rPh>
    <phoneticPr fontId="4"/>
  </si>
  <si>
    <t>食事の提供について自園調理又は連携施設等からの搬入以外の方法による場合</t>
    <rPh sb="0" eb="2">
      <t>ショクジ</t>
    </rPh>
    <rPh sb="3" eb="5">
      <t>テイキョウ</t>
    </rPh>
    <rPh sb="9" eb="10">
      <t>ジ</t>
    </rPh>
    <rPh sb="10" eb="11">
      <t>エン</t>
    </rPh>
    <rPh sb="11" eb="13">
      <t>チョウリ</t>
    </rPh>
    <rPh sb="13" eb="14">
      <t>マタ</t>
    </rPh>
    <rPh sb="15" eb="17">
      <t>レンケイ</t>
    </rPh>
    <rPh sb="17" eb="19">
      <t>シセツ</t>
    </rPh>
    <rPh sb="19" eb="20">
      <t>トウ</t>
    </rPh>
    <rPh sb="23" eb="25">
      <t>ハンニュウ</t>
    </rPh>
    <rPh sb="25" eb="27">
      <t>イガイ</t>
    </rPh>
    <rPh sb="28" eb="30">
      <t>ホウホウ</t>
    </rPh>
    <rPh sb="33" eb="35">
      <t>バアイ</t>
    </rPh>
    <phoneticPr fontId="4"/>
  </si>
  <si>
    <t>※　地域型事業所については、障がい児加算の対象児童を除くこと</t>
    <rPh sb="2" eb="5">
      <t>チイキガタ</t>
    </rPh>
    <rPh sb="5" eb="8">
      <t>ジギョウショ</t>
    </rPh>
    <rPh sb="14" eb="15">
      <t>ショウ</t>
    </rPh>
    <rPh sb="17" eb="18">
      <t>ジ</t>
    </rPh>
    <rPh sb="18" eb="20">
      <t>カサン</t>
    </rPh>
    <rPh sb="21" eb="23">
      <t>タイショウ</t>
    </rPh>
    <rPh sb="23" eb="25">
      <t>ジドウ</t>
    </rPh>
    <rPh sb="26" eb="27">
      <t>ノゾ</t>
    </rPh>
    <phoneticPr fontId="4"/>
  </si>
  <si>
    <t>※　児童数は、月初日利用児童数を入力すること。第４四半期精算時に配布した支払明細書等を参照に入力すること。</t>
    <rPh sb="2" eb="5">
      <t>ジドウスウ</t>
    </rPh>
    <rPh sb="7" eb="8">
      <t>ツキ</t>
    </rPh>
    <rPh sb="8" eb="10">
      <t>ショニチ</t>
    </rPh>
    <rPh sb="10" eb="12">
      <t>リヨウ</t>
    </rPh>
    <rPh sb="12" eb="15">
      <t>ジドウスウ</t>
    </rPh>
    <rPh sb="16" eb="18">
      <t>ニュウリョク</t>
    </rPh>
    <rPh sb="23" eb="24">
      <t>ダイ</t>
    </rPh>
    <rPh sb="25" eb="28">
      <t>シハンキ</t>
    </rPh>
    <rPh sb="28" eb="30">
      <t>セイサン</t>
    </rPh>
    <rPh sb="30" eb="31">
      <t>ジ</t>
    </rPh>
    <rPh sb="32" eb="34">
      <t>ハイフ</t>
    </rPh>
    <rPh sb="36" eb="38">
      <t>シハライ</t>
    </rPh>
    <rPh sb="38" eb="41">
      <t>メイサイショ</t>
    </rPh>
    <rPh sb="41" eb="42">
      <t>トウ</t>
    </rPh>
    <rPh sb="43" eb="45">
      <t>サンショウ</t>
    </rPh>
    <rPh sb="46" eb="48">
      <t>ニュウリョク</t>
    </rPh>
    <phoneticPr fontId="56"/>
  </si>
  <si>
    <t>児童数</t>
    <rPh sb="0" eb="3">
      <t>ジドウスウ</t>
    </rPh>
    <phoneticPr fontId="4"/>
  </si>
  <si>
    <t xml:space="preserve"> </t>
    <phoneticPr fontId="4"/>
  </si>
  <si>
    <t>新規園(昨年度内途中開設園も含む)のため昨年度の実績がない。</t>
    <rPh sb="0" eb="2">
      <t>シンキ</t>
    </rPh>
    <rPh sb="2" eb="3">
      <t>エン</t>
    </rPh>
    <rPh sb="4" eb="7">
      <t>サクネンド</t>
    </rPh>
    <rPh sb="7" eb="8">
      <t>ナイ</t>
    </rPh>
    <rPh sb="8" eb="10">
      <t>トチュウ</t>
    </rPh>
    <rPh sb="10" eb="12">
      <t>カイセツ</t>
    </rPh>
    <rPh sb="12" eb="13">
      <t>エン</t>
    </rPh>
    <rPh sb="14" eb="15">
      <t>フク</t>
    </rPh>
    <rPh sb="20" eb="23">
      <t>サクネンド</t>
    </rPh>
    <rPh sb="24" eb="26">
      <t>ジッセキ</t>
    </rPh>
    <phoneticPr fontId="4"/>
  </si>
  <si>
    <t>昨年度実績による児童数では、今年度の必要保育士数や面積要件を満たせない。</t>
    <rPh sb="0" eb="3">
      <t>サクネンド</t>
    </rPh>
    <rPh sb="3" eb="5">
      <t>ジッセキ</t>
    </rPh>
    <rPh sb="8" eb="10">
      <t>ジドウ</t>
    </rPh>
    <rPh sb="10" eb="11">
      <t>スウ</t>
    </rPh>
    <rPh sb="14" eb="17">
      <t>コンネンド</t>
    </rPh>
    <rPh sb="18" eb="20">
      <t>ヒツヨウ</t>
    </rPh>
    <rPh sb="20" eb="23">
      <t>ホイクシ</t>
    </rPh>
    <rPh sb="23" eb="24">
      <t>スウ</t>
    </rPh>
    <rPh sb="25" eb="27">
      <t>メンセキ</t>
    </rPh>
    <rPh sb="27" eb="29">
      <t>ヨウケン</t>
    </rPh>
    <rPh sb="30" eb="31">
      <t>ミ</t>
    </rPh>
    <phoneticPr fontId="4"/>
  </si>
  <si>
    <t>その他（以下に理由を記載）</t>
    <rPh sb="2" eb="3">
      <t>タ</t>
    </rPh>
    <rPh sb="4" eb="6">
      <t>イカ</t>
    </rPh>
    <rPh sb="7" eb="9">
      <t>リユウ</t>
    </rPh>
    <rPh sb="10" eb="12">
      <t>キサイ</t>
    </rPh>
    <phoneticPr fontId="4"/>
  </si>
  <si>
    <t>チーム保育上限数</t>
    <rPh sb="3" eb="5">
      <t>ホイク</t>
    </rPh>
    <rPh sb="5" eb="7">
      <t>ジョウゲン</t>
    </rPh>
    <rPh sb="7" eb="8">
      <t>スウ</t>
    </rPh>
    <phoneticPr fontId="60"/>
  </si>
  <si>
    <t>講師配置</t>
    <rPh sb="0" eb="2">
      <t>コウシ</t>
    </rPh>
    <rPh sb="2" eb="4">
      <t>ハイチ</t>
    </rPh>
    <phoneticPr fontId="4"/>
  </si>
  <si>
    <t>事務職員</t>
    <rPh sb="0" eb="2">
      <t>ジム</t>
    </rPh>
    <rPh sb="2" eb="4">
      <t>ショクイン</t>
    </rPh>
    <phoneticPr fontId="4"/>
  </si>
  <si>
    <t>事務負担・指導充実</t>
    <rPh sb="0" eb="2">
      <t>ジム</t>
    </rPh>
    <rPh sb="2" eb="4">
      <t>フタン</t>
    </rPh>
    <rPh sb="5" eb="7">
      <t>シドウ</t>
    </rPh>
    <rPh sb="7" eb="9">
      <t>ジュウジツ</t>
    </rPh>
    <phoneticPr fontId="4"/>
  </si>
  <si>
    <t>年齢別</t>
    <rPh sb="0" eb="2">
      <t>ネンレイ</t>
    </rPh>
    <rPh sb="2" eb="3">
      <t>ベツ</t>
    </rPh>
    <phoneticPr fontId="4"/>
  </si>
  <si>
    <t>あり</t>
    <phoneticPr fontId="4"/>
  </si>
  <si>
    <t>満たす</t>
    <rPh sb="0" eb="1">
      <t>ミ</t>
    </rPh>
    <phoneticPr fontId="4"/>
  </si>
  <si>
    <t>なし</t>
    <phoneticPr fontId="4"/>
  </si>
  <si>
    <t>満たさない</t>
    <rPh sb="0" eb="1">
      <t>ミ</t>
    </rPh>
    <phoneticPr fontId="4"/>
  </si>
  <si>
    <t>0．基礎情報</t>
    <rPh sb="2" eb="4">
      <t>キソ</t>
    </rPh>
    <rPh sb="4" eb="6">
      <t>ジョウホウ</t>
    </rPh>
    <phoneticPr fontId="74"/>
  </si>
  <si>
    <t>入力項目</t>
    <rPh sb="0" eb="2">
      <t>ニュウリョク</t>
    </rPh>
    <rPh sb="2" eb="4">
      <t>コウモク</t>
    </rPh>
    <phoneticPr fontId="74"/>
  </si>
  <si>
    <t>利用定員数</t>
    <rPh sb="0" eb="2">
      <t>リヨウ</t>
    </rPh>
    <rPh sb="2" eb="4">
      <t>テイイン</t>
    </rPh>
    <rPh sb="4" eb="5">
      <t>スウ</t>
    </rPh>
    <phoneticPr fontId="74"/>
  </si>
  <si>
    <t>在籍園児数</t>
    <rPh sb="0" eb="2">
      <t>ザイセキ</t>
    </rPh>
    <rPh sb="2" eb="4">
      <t>エンジ</t>
    </rPh>
    <rPh sb="4" eb="5">
      <t>スウ</t>
    </rPh>
    <phoneticPr fontId="74"/>
  </si>
  <si>
    <t>４歳児以上児</t>
    <rPh sb="1" eb="3">
      <t>サイジ</t>
    </rPh>
    <rPh sb="3" eb="5">
      <t>イジョウ</t>
    </rPh>
    <rPh sb="5" eb="6">
      <t>ジ</t>
    </rPh>
    <phoneticPr fontId="74"/>
  </si>
  <si>
    <t>３歳児（※満３歳児含む）</t>
    <rPh sb="1" eb="2">
      <t>サイ</t>
    </rPh>
    <rPh sb="2" eb="3">
      <t>ジ</t>
    </rPh>
    <rPh sb="5" eb="6">
      <t>マン</t>
    </rPh>
    <rPh sb="7" eb="8">
      <t>サイ</t>
    </rPh>
    <rPh sb="8" eb="9">
      <t>ジ</t>
    </rPh>
    <rPh sb="9" eb="10">
      <t>フク</t>
    </rPh>
    <phoneticPr fontId="74"/>
  </si>
  <si>
    <t>うち満３歳児</t>
    <rPh sb="2" eb="3">
      <t>マン</t>
    </rPh>
    <rPh sb="4" eb="5">
      <t>サイ</t>
    </rPh>
    <rPh sb="5" eb="6">
      <t>ジ</t>
    </rPh>
    <phoneticPr fontId="74"/>
  </si>
  <si>
    <t>※</t>
    <phoneticPr fontId="74"/>
  </si>
  <si>
    <t>１．加算対象人数の基礎となる職員数（人）</t>
    <rPh sb="2" eb="4">
      <t>カサン</t>
    </rPh>
    <rPh sb="4" eb="6">
      <t>タイショウ</t>
    </rPh>
    <rPh sb="6" eb="8">
      <t>ニンズウ</t>
    </rPh>
    <rPh sb="9" eb="11">
      <t>キソ</t>
    </rPh>
    <rPh sb="14" eb="17">
      <t>ショクインスウ</t>
    </rPh>
    <rPh sb="18" eb="19">
      <t>ニン</t>
    </rPh>
    <phoneticPr fontId="74"/>
  </si>
  <si>
    <t>選択
項目</t>
    <rPh sb="0" eb="2">
      <t>センタク</t>
    </rPh>
    <rPh sb="3" eb="5">
      <t>コウモク</t>
    </rPh>
    <phoneticPr fontId="74"/>
  </si>
  <si>
    <t>入力
項目</t>
    <rPh sb="0" eb="2">
      <t>ニュウリョク</t>
    </rPh>
    <rPh sb="3" eb="5">
      <t>コウモク</t>
    </rPh>
    <phoneticPr fontId="74"/>
  </si>
  <si>
    <t>職員数
（自動計算）</t>
    <rPh sb="0" eb="3">
      <t>ショクインスウ</t>
    </rPh>
    <rPh sb="5" eb="7">
      <t>ジドウ</t>
    </rPh>
    <rPh sb="7" eb="9">
      <t>ケイサン</t>
    </rPh>
    <phoneticPr fontId="74"/>
  </si>
  <si>
    <t>ａ</t>
    <phoneticPr fontId="74"/>
  </si>
  <si>
    <t>（4歳以上児）</t>
    <rPh sb="2" eb="5">
      <t>サイイジョウ</t>
    </rPh>
    <rPh sb="3" eb="5">
      <t>イジョウ</t>
    </rPh>
    <rPh sb="5" eb="6">
      <t>ジ</t>
    </rPh>
    <phoneticPr fontId="74"/>
  </si>
  <si>
    <t>３歳児配置改善加算</t>
    <phoneticPr fontId="74"/>
  </si>
  <si>
    <t>満３歳児配置改善加算</t>
    <rPh sb="0" eb="1">
      <t>マン</t>
    </rPh>
    <rPh sb="2" eb="3">
      <t>サイ</t>
    </rPh>
    <rPh sb="3" eb="4">
      <t>ジ</t>
    </rPh>
    <rPh sb="4" eb="6">
      <t>ハイチ</t>
    </rPh>
    <rPh sb="6" eb="8">
      <t>カイゼン</t>
    </rPh>
    <rPh sb="8" eb="10">
      <t>カサン</t>
    </rPh>
    <phoneticPr fontId="74"/>
  </si>
  <si>
    <t>ｂ</t>
    <phoneticPr fontId="56"/>
  </si>
  <si>
    <t>講師配置加算</t>
    <rPh sb="0" eb="2">
      <t>コウシ</t>
    </rPh>
    <rPh sb="2" eb="4">
      <t>ハイチ</t>
    </rPh>
    <rPh sb="4" eb="6">
      <t>カサン</t>
    </rPh>
    <phoneticPr fontId="56"/>
  </si>
  <si>
    <t>ｃ</t>
    <phoneticPr fontId="56"/>
  </si>
  <si>
    <t>チーム保育加配加算</t>
    <rPh sb="3" eb="5">
      <t>ホイク</t>
    </rPh>
    <rPh sb="5" eb="7">
      <t>カハイ</t>
    </rPh>
    <rPh sb="7" eb="9">
      <t>カサン</t>
    </rPh>
    <phoneticPr fontId="56"/>
  </si>
  <si>
    <t>ｄ</t>
    <phoneticPr fontId="56"/>
  </si>
  <si>
    <t>通園送迎加算</t>
    <rPh sb="0" eb="2">
      <t>ツウエン</t>
    </rPh>
    <rPh sb="2" eb="4">
      <t>ソウゲイ</t>
    </rPh>
    <rPh sb="4" eb="6">
      <t>カサン</t>
    </rPh>
    <phoneticPr fontId="56"/>
  </si>
  <si>
    <t>ｅ</t>
    <phoneticPr fontId="56"/>
  </si>
  <si>
    <t>ｆ</t>
    <phoneticPr fontId="56"/>
  </si>
  <si>
    <t>主幹教諭等専任加算</t>
    <rPh sb="0" eb="2">
      <t>シュカン</t>
    </rPh>
    <rPh sb="2" eb="4">
      <t>キョウユ</t>
    </rPh>
    <rPh sb="4" eb="5">
      <t>トウ</t>
    </rPh>
    <rPh sb="5" eb="7">
      <t>センニン</t>
    </rPh>
    <rPh sb="7" eb="9">
      <t>カサン</t>
    </rPh>
    <phoneticPr fontId="56"/>
  </si>
  <si>
    <t>ｇ</t>
    <phoneticPr fontId="56"/>
  </si>
  <si>
    <t>事務職員配置加算</t>
    <rPh sb="0" eb="2">
      <t>ジム</t>
    </rPh>
    <rPh sb="2" eb="4">
      <t>ショクイン</t>
    </rPh>
    <rPh sb="4" eb="6">
      <t>ハイチ</t>
    </rPh>
    <rPh sb="6" eb="8">
      <t>カサン</t>
    </rPh>
    <phoneticPr fontId="56"/>
  </si>
  <si>
    <t>ｈ</t>
    <phoneticPr fontId="56"/>
  </si>
  <si>
    <t>指導充実加配加算</t>
    <rPh sb="0" eb="2">
      <t>シドウ</t>
    </rPh>
    <rPh sb="2" eb="4">
      <t>ジュウジツ</t>
    </rPh>
    <rPh sb="4" eb="6">
      <t>カハイ</t>
    </rPh>
    <rPh sb="6" eb="8">
      <t>カサン</t>
    </rPh>
    <phoneticPr fontId="56"/>
  </si>
  <si>
    <t>i</t>
    <phoneticPr fontId="56"/>
  </si>
  <si>
    <t>j</t>
    <phoneticPr fontId="4"/>
  </si>
  <si>
    <t>栄養管理加算（Ａ：配置）</t>
    <rPh sb="0" eb="2">
      <t>エイヨウ</t>
    </rPh>
    <rPh sb="2" eb="4">
      <t>カンリ</t>
    </rPh>
    <rPh sb="4" eb="6">
      <t>カサン</t>
    </rPh>
    <rPh sb="9" eb="11">
      <t>ハイチ</t>
    </rPh>
    <phoneticPr fontId="4"/>
  </si>
  <si>
    <t>k</t>
    <phoneticPr fontId="56"/>
  </si>
  <si>
    <t>利用定員数に基づく職員数※</t>
    <rPh sb="0" eb="2">
      <t>リヨウ</t>
    </rPh>
    <rPh sb="2" eb="5">
      <t>テイインスウ</t>
    </rPh>
    <rPh sb="6" eb="7">
      <t>モト</t>
    </rPh>
    <rPh sb="9" eb="12">
      <t>ショクインスウ</t>
    </rPh>
    <phoneticPr fontId="74"/>
  </si>
  <si>
    <t>合計</t>
    <rPh sb="0" eb="2">
      <t>ゴウケイ</t>
    </rPh>
    <phoneticPr fontId="74"/>
  </si>
  <si>
    <t>※　基本分に含まれる事務職員等ー１（主幹教諭）</t>
    <phoneticPr fontId="74"/>
  </si>
  <si>
    <t>加算額</t>
    <rPh sb="0" eb="3">
      <t>カサンガク</t>
    </rPh>
    <phoneticPr fontId="4"/>
  </si>
  <si>
    <t>分園の有無</t>
    <rPh sb="0" eb="2">
      <t>ブンエン</t>
    </rPh>
    <rPh sb="3" eb="5">
      <t>ウム</t>
    </rPh>
    <phoneticPr fontId="4"/>
  </si>
  <si>
    <t>年齢別児童数</t>
    <rPh sb="0" eb="2">
      <t>ネンレイ</t>
    </rPh>
    <rPh sb="2" eb="3">
      <t>ベツ</t>
    </rPh>
    <rPh sb="3" eb="5">
      <t>ジドウ</t>
    </rPh>
    <rPh sb="5" eb="6">
      <t>スウ</t>
    </rPh>
    <phoneticPr fontId="4"/>
  </si>
  <si>
    <t>３歳児</t>
    <rPh sb="1" eb="2">
      <t>サイ</t>
    </rPh>
    <rPh sb="2" eb="3">
      <t>ジ</t>
    </rPh>
    <phoneticPr fontId="74"/>
  </si>
  <si>
    <t>１，２歳児</t>
    <rPh sb="3" eb="5">
      <t>サイジ</t>
    </rPh>
    <phoneticPr fontId="74"/>
  </si>
  <si>
    <t>０歳児</t>
    <rPh sb="1" eb="3">
      <t>サイジ</t>
    </rPh>
    <phoneticPr fontId="74"/>
  </si>
  <si>
    <t>各月平均の年齢別児童数を使用する場合は、別途配布している「年齢別児童数計算表」により計算した児童数を入力すること。特例給付を受けて利用する児童がいる場合は、該当する年齢区分に含めること。</t>
    <rPh sb="0" eb="2">
      <t>カクツキ</t>
    </rPh>
    <rPh sb="2" eb="4">
      <t>ヘイキン</t>
    </rPh>
    <rPh sb="5" eb="8">
      <t>ネンレイベツ</t>
    </rPh>
    <rPh sb="8" eb="11">
      <t>ジドウスウ</t>
    </rPh>
    <rPh sb="12" eb="14">
      <t>シヨウ</t>
    </rPh>
    <rPh sb="16" eb="18">
      <t>バアイ</t>
    </rPh>
    <rPh sb="20" eb="22">
      <t>ベット</t>
    </rPh>
    <rPh sb="22" eb="24">
      <t>ハイフ</t>
    </rPh>
    <rPh sb="29" eb="32">
      <t>ネンレイベツ</t>
    </rPh>
    <rPh sb="32" eb="35">
      <t>ジドウスウ</t>
    </rPh>
    <rPh sb="35" eb="37">
      <t>ケイサン</t>
    </rPh>
    <rPh sb="37" eb="38">
      <t>オモテ</t>
    </rPh>
    <rPh sb="42" eb="44">
      <t>ケイサン</t>
    </rPh>
    <rPh sb="46" eb="49">
      <t>ジドウスウ</t>
    </rPh>
    <rPh sb="50" eb="52">
      <t>ニュウリョク</t>
    </rPh>
    <phoneticPr fontId="74"/>
  </si>
  <si>
    <t>本園分</t>
    <rPh sb="0" eb="1">
      <t>ホン</t>
    </rPh>
    <rPh sb="1" eb="2">
      <t>エン</t>
    </rPh>
    <rPh sb="2" eb="3">
      <t>ブン</t>
    </rPh>
    <phoneticPr fontId="4"/>
  </si>
  <si>
    <t>分園分</t>
    <rPh sb="0" eb="2">
      <t>ブンエン</t>
    </rPh>
    <rPh sb="2" eb="3">
      <t>ブン</t>
    </rPh>
    <phoneticPr fontId="4"/>
  </si>
  <si>
    <t>年齢別配置基準による職員数（本園）</t>
    <rPh sb="0" eb="3">
      <t>ネンレイベツ</t>
    </rPh>
    <rPh sb="3" eb="7">
      <t>ハイキ</t>
    </rPh>
    <rPh sb="10" eb="13">
      <t>ショクインスウ</t>
    </rPh>
    <rPh sb="14" eb="15">
      <t>ホン</t>
    </rPh>
    <rPh sb="15" eb="16">
      <t>エン</t>
    </rPh>
    <phoneticPr fontId="74"/>
  </si>
  <si>
    <t>4歳以上児</t>
    <rPh sb="1" eb="4">
      <t>サイイジョウ</t>
    </rPh>
    <rPh sb="2" eb="4">
      <t>イジョウ</t>
    </rPh>
    <rPh sb="4" eb="5">
      <t>ジ</t>
    </rPh>
    <phoneticPr fontId="74"/>
  </si>
  <si>
    <t>3歳児</t>
    <rPh sb="1" eb="3">
      <t>サイジ</t>
    </rPh>
    <phoneticPr fontId="74"/>
  </si>
  <si>
    <t xml:space="preserve">  3歳児配置改善加算</t>
    <rPh sb="3" eb="5">
      <t>サイジ</t>
    </rPh>
    <rPh sb="5" eb="7">
      <t>ハイチ</t>
    </rPh>
    <rPh sb="7" eb="9">
      <t>カイゼン</t>
    </rPh>
    <rPh sb="9" eb="11">
      <t>カサン</t>
    </rPh>
    <phoneticPr fontId="74"/>
  </si>
  <si>
    <t>ｂ</t>
    <phoneticPr fontId="74"/>
  </si>
  <si>
    <t>保育標準時間認定の児童（本園）</t>
    <rPh sb="0" eb="2">
      <t>ホイク</t>
    </rPh>
    <rPh sb="2" eb="4">
      <t>ヒョウジュン</t>
    </rPh>
    <rPh sb="4" eb="6">
      <t>ジカン</t>
    </rPh>
    <rPh sb="6" eb="8">
      <t>ニンテイ</t>
    </rPh>
    <rPh sb="9" eb="11">
      <t>ジドウ</t>
    </rPh>
    <rPh sb="12" eb="13">
      <t>ホン</t>
    </rPh>
    <rPh sb="13" eb="14">
      <t>エン</t>
    </rPh>
    <phoneticPr fontId="74"/>
  </si>
  <si>
    <t>ｃ</t>
    <phoneticPr fontId="74"/>
  </si>
  <si>
    <t>主任保育士専任加算</t>
    <rPh sb="0" eb="2">
      <t>シュニン</t>
    </rPh>
    <rPh sb="2" eb="5">
      <t>ホイクシ</t>
    </rPh>
    <rPh sb="5" eb="7">
      <t>センニン</t>
    </rPh>
    <rPh sb="7" eb="9">
      <t>カサン</t>
    </rPh>
    <phoneticPr fontId="74"/>
  </si>
  <si>
    <t>本園で選択</t>
    <rPh sb="0" eb="1">
      <t>ホン</t>
    </rPh>
    <rPh sb="1" eb="2">
      <t>エン</t>
    </rPh>
    <rPh sb="3" eb="5">
      <t>センタク</t>
    </rPh>
    <phoneticPr fontId="4"/>
  </si>
  <si>
    <t>ｄ</t>
    <phoneticPr fontId="74"/>
  </si>
  <si>
    <t>ｅ</t>
    <phoneticPr fontId="74"/>
  </si>
  <si>
    <t>休日保育加算</t>
    <rPh sb="0" eb="2">
      <t>キュウジツ</t>
    </rPh>
    <rPh sb="2" eb="4">
      <t>ホイク</t>
    </rPh>
    <rPh sb="4" eb="6">
      <t>カサン</t>
    </rPh>
    <phoneticPr fontId="74"/>
  </si>
  <si>
    <t>ｆ</t>
    <phoneticPr fontId="74"/>
  </si>
  <si>
    <t>利用定員数に基づく職員数</t>
    <rPh sb="0" eb="2">
      <t>リヨウ</t>
    </rPh>
    <rPh sb="2" eb="4">
      <t>テイイン</t>
    </rPh>
    <rPh sb="4" eb="5">
      <t>スウ</t>
    </rPh>
    <rPh sb="6" eb="7">
      <t>モト</t>
    </rPh>
    <rPh sb="9" eb="12">
      <t>ショクインスウ</t>
    </rPh>
    <phoneticPr fontId="74"/>
  </si>
  <si>
    <t>選択①</t>
    <rPh sb="0" eb="2">
      <t>センタク</t>
    </rPh>
    <phoneticPr fontId="4"/>
  </si>
  <si>
    <t>選択②</t>
    <rPh sb="0" eb="2">
      <t>センタク</t>
    </rPh>
    <phoneticPr fontId="4"/>
  </si>
  <si>
    <t>事務職</t>
    <rPh sb="0" eb="2">
      <t>ジム</t>
    </rPh>
    <rPh sb="2" eb="3">
      <t>ショク</t>
    </rPh>
    <phoneticPr fontId="4"/>
  </si>
  <si>
    <t>指導充実</t>
    <rPh sb="0" eb="2">
      <t>シドウ</t>
    </rPh>
    <rPh sb="2" eb="4">
      <t>ジュウジツ</t>
    </rPh>
    <phoneticPr fontId="4"/>
  </si>
  <si>
    <t>事務負担</t>
    <rPh sb="0" eb="2">
      <t>ジム</t>
    </rPh>
    <rPh sb="2" eb="4">
      <t>フタン</t>
    </rPh>
    <phoneticPr fontId="4"/>
  </si>
  <si>
    <t>主幹教諭</t>
    <rPh sb="0" eb="2">
      <t>シュカン</t>
    </rPh>
    <rPh sb="2" eb="4">
      <t>キョウユ</t>
    </rPh>
    <phoneticPr fontId="4"/>
  </si>
  <si>
    <t>あり</t>
    <phoneticPr fontId="4"/>
  </si>
  <si>
    <t>なし</t>
    <phoneticPr fontId="4"/>
  </si>
  <si>
    <t>非該当</t>
    <rPh sb="0" eb="3">
      <t>ヒガイトウ</t>
    </rPh>
    <phoneticPr fontId="4"/>
  </si>
  <si>
    <t>なし</t>
    <phoneticPr fontId="4"/>
  </si>
  <si>
    <t>なし</t>
    <phoneticPr fontId="4"/>
  </si>
  <si>
    <t>なし</t>
    <phoneticPr fontId="4"/>
  </si>
  <si>
    <t>本園</t>
    <rPh sb="0" eb="1">
      <t>ホン</t>
    </rPh>
    <rPh sb="1" eb="2">
      <t>エン</t>
    </rPh>
    <phoneticPr fontId="74"/>
  </si>
  <si>
    <t>分園</t>
    <rPh sb="0" eb="2">
      <t>ブンエン</t>
    </rPh>
    <phoneticPr fontId="74"/>
  </si>
  <si>
    <t>１号</t>
    <rPh sb="1" eb="2">
      <t>ゴウ</t>
    </rPh>
    <phoneticPr fontId="74"/>
  </si>
  <si>
    <t>２号</t>
    <rPh sb="1" eb="2">
      <t>ゴウ</t>
    </rPh>
    <phoneticPr fontId="74"/>
  </si>
  <si>
    <t>３号</t>
    <rPh sb="1" eb="2">
      <t>ゴウ</t>
    </rPh>
    <phoneticPr fontId="74"/>
  </si>
  <si>
    <t>年齢別児童数</t>
    <rPh sb="0" eb="3">
      <t>ネンレイベツ</t>
    </rPh>
    <rPh sb="3" eb="6">
      <t>ジドウスウ</t>
    </rPh>
    <phoneticPr fontId="74"/>
  </si>
  <si>
    <t>※</t>
    <phoneticPr fontId="74"/>
  </si>
  <si>
    <t>１．加算対象人数の基礎となる職員数</t>
    <rPh sb="2" eb="4">
      <t>カサン</t>
    </rPh>
    <rPh sb="4" eb="6">
      <t>タイショウ</t>
    </rPh>
    <rPh sb="6" eb="8">
      <t>ニンズウ</t>
    </rPh>
    <rPh sb="9" eb="11">
      <t>キソ</t>
    </rPh>
    <rPh sb="14" eb="17">
      <t>ショクインスウ</t>
    </rPh>
    <phoneticPr fontId="74"/>
  </si>
  <si>
    <t>ａ</t>
    <phoneticPr fontId="74"/>
  </si>
  <si>
    <t>年齢別配置基準による職員数</t>
    <rPh sb="0" eb="3">
      <t>ネンレイベツ</t>
    </rPh>
    <rPh sb="3" eb="7">
      <t>ハイキ</t>
    </rPh>
    <rPh sb="10" eb="13">
      <t>ショクインスウ</t>
    </rPh>
    <phoneticPr fontId="74"/>
  </si>
  <si>
    <t>　３歳児配置改善加算</t>
    <phoneticPr fontId="74"/>
  </si>
  <si>
    <t>　満３歳児対応加配加算</t>
    <rPh sb="1" eb="2">
      <t>マン</t>
    </rPh>
    <rPh sb="3" eb="4">
      <t>サイ</t>
    </rPh>
    <rPh sb="4" eb="5">
      <t>ジ</t>
    </rPh>
    <rPh sb="5" eb="7">
      <t>タイオウ</t>
    </rPh>
    <rPh sb="7" eb="9">
      <t>カハイ</t>
    </rPh>
    <rPh sb="9" eb="11">
      <t>カサン</t>
    </rPh>
    <phoneticPr fontId="74"/>
  </si>
  <si>
    <t>b</t>
    <phoneticPr fontId="74"/>
  </si>
  <si>
    <t>c</t>
    <phoneticPr fontId="74"/>
  </si>
  <si>
    <t>調理員</t>
    <rPh sb="0" eb="3">
      <t>チョウリイン</t>
    </rPh>
    <phoneticPr fontId="74"/>
  </si>
  <si>
    <t>d</t>
    <phoneticPr fontId="74"/>
  </si>
  <si>
    <t>保育標準時間認定の児童</t>
    <rPh sb="0" eb="2">
      <t>ホイク</t>
    </rPh>
    <rPh sb="2" eb="4">
      <t>ヒョウジュン</t>
    </rPh>
    <rPh sb="4" eb="6">
      <t>ジカン</t>
    </rPh>
    <rPh sb="6" eb="8">
      <t>ニンテイ</t>
    </rPh>
    <rPh sb="9" eb="11">
      <t>ジドウ</t>
    </rPh>
    <phoneticPr fontId="74"/>
  </si>
  <si>
    <t>e</t>
    <phoneticPr fontId="74"/>
  </si>
  <si>
    <t>学級編制調整加配加算</t>
    <rPh sb="0" eb="2">
      <t>ガッキュウ</t>
    </rPh>
    <rPh sb="2" eb="4">
      <t>ヘンセイ</t>
    </rPh>
    <rPh sb="4" eb="6">
      <t>チョウセイ</t>
    </rPh>
    <rPh sb="6" eb="8">
      <t>カハイ</t>
    </rPh>
    <rPh sb="8" eb="10">
      <t>カサン</t>
    </rPh>
    <phoneticPr fontId="74"/>
  </si>
  <si>
    <t>本園分で選択</t>
    <rPh sb="0" eb="1">
      <t>ホン</t>
    </rPh>
    <rPh sb="1" eb="2">
      <t>エン</t>
    </rPh>
    <rPh sb="2" eb="3">
      <t>ブン</t>
    </rPh>
    <rPh sb="4" eb="6">
      <t>センタク</t>
    </rPh>
    <phoneticPr fontId="4"/>
  </si>
  <si>
    <t>f</t>
    <phoneticPr fontId="74"/>
  </si>
  <si>
    <t>講師配置加算</t>
    <rPh sb="0" eb="2">
      <t>コウシ</t>
    </rPh>
    <rPh sb="2" eb="4">
      <t>ハイチ</t>
    </rPh>
    <rPh sb="4" eb="6">
      <t>カサン</t>
    </rPh>
    <phoneticPr fontId="74"/>
  </si>
  <si>
    <t>g</t>
    <phoneticPr fontId="74"/>
  </si>
  <si>
    <t>チーム保育加配加算</t>
    <rPh sb="3" eb="5">
      <t>ホイク</t>
    </rPh>
    <rPh sb="5" eb="7">
      <t>カハイ</t>
    </rPh>
    <rPh sb="7" eb="9">
      <t>カサン</t>
    </rPh>
    <phoneticPr fontId="74"/>
  </si>
  <si>
    <t>h</t>
    <phoneticPr fontId="74"/>
  </si>
  <si>
    <t>通園送迎加算</t>
    <rPh sb="0" eb="2">
      <t>ツウエン</t>
    </rPh>
    <rPh sb="2" eb="4">
      <t>ソウゲイ</t>
    </rPh>
    <rPh sb="4" eb="6">
      <t>カサン</t>
    </rPh>
    <phoneticPr fontId="74"/>
  </si>
  <si>
    <t>i</t>
    <phoneticPr fontId="74"/>
  </si>
  <si>
    <t>j</t>
    <phoneticPr fontId="74"/>
  </si>
  <si>
    <t>事務職員配置加算</t>
    <rPh sb="0" eb="2">
      <t>ジム</t>
    </rPh>
    <rPh sb="2" eb="4">
      <t>ショクイン</t>
    </rPh>
    <rPh sb="4" eb="6">
      <t>ハイチ</t>
    </rPh>
    <rPh sb="6" eb="8">
      <t>カサン</t>
    </rPh>
    <phoneticPr fontId="74"/>
  </si>
  <si>
    <t>指導充実加配加算</t>
    <rPh sb="0" eb="2">
      <t>シドウ</t>
    </rPh>
    <rPh sb="2" eb="4">
      <t>ジュウジツ</t>
    </rPh>
    <rPh sb="4" eb="6">
      <t>カハイ</t>
    </rPh>
    <rPh sb="6" eb="8">
      <t>カサン</t>
    </rPh>
    <phoneticPr fontId="74"/>
  </si>
  <si>
    <t>m</t>
    <phoneticPr fontId="74"/>
  </si>
  <si>
    <t>事務負担対応加配加算</t>
    <rPh sb="0" eb="2">
      <t>ジム</t>
    </rPh>
    <rPh sb="2" eb="4">
      <t>フタン</t>
    </rPh>
    <rPh sb="4" eb="6">
      <t>タイオウ</t>
    </rPh>
    <rPh sb="6" eb="8">
      <t>カハイ</t>
    </rPh>
    <rPh sb="8" eb="10">
      <t>カサン</t>
    </rPh>
    <phoneticPr fontId="74"/>
  </si>
  <si>
    <t>主任保育教諭等の専任化により子育て支援の取組を実施していない場合であって、代替保育教諭等を配置していない場合(減算)</t>
    <rPh sb="0" eb="2">
      <t>シュニン</t>
    </rPh>
    <rPh sb="2" eb="4">
      <t>ホイク</t>
    </rPh>
    <rPh sb="4" eb="6">
      <t>キョウユ</t>
    </rPh>
    <rPh sb="6" eb="7">
      <t>トウ</t>
    </rPh>
    <rPh sb="8" eb="10">
      <t>センニン</t>
    </rPh>
    <rPh sb="10" eb="11">
      <t>カ</t>
    </rPh>
    <rPh sb="14" eb="17">
      <t>コソ</t>
    </rPh>
    <rPh sb="17" eb="19">
      <t>シエン</t>
    </rPh>
    <rPh sb="20" eb="22">
      <t>トリクミ</t>
    </rPh>
    <rPh sb="23" eb="25">
      <t>ジッシ</t>
    </rPh>
    <rPh sb="30" eb="32">
      <t>バアイ</t>
    </rPh>
    <rPh sb="37" eb="39">
      <t>ダイタイ</t>
    </rPh>
    <rPh sb="39" eb="41">
      <t>ホイク</t>
    </rPh>
    <rPh sb="41" eb="43">
      <t>キョウユ</t>
    </rPh>
    <rPh sb="43" eb="44">
      <t>トウ</t>
    </rPh>
    <rPh sb="45" eb="47">
      <t>ハイチ</t>
    </rPh>
    <rPh sb="52" eb="54">
      <t>バアイ</t>
    </rPh>
    <rPh sb="55" eb="57">
      <t>ゲンサン</t>
    </rPh>
    <phoneticPr fontId="74"/>
  </si>
  <si>
    <t>q</t>
    <phoneticPr fontId="74"/>
  </si>
  <si>
    <t>年齢別配置基準を下回る場合(減算)</t>
    <rPh sb="0" eb="3">
      <t>ネンレイベツ</t>
    </rPh>
    <rPh sb="3" eb="7">
      <t>ハイキ</t>
    </rPh>
    <rPh sb="8" eb="10">
      <t>シタマワ</t>
    </rPh>
    <rPh sb="11" eb="13">
      <t>バアイ</t>
    </rPh>
    <rPh sb="14" eb="16">
      <t>ゲンサン</t>
    </rPh>
    <phoneticPr fontId="74"/>
  </si>
  <si>
    <t>障がい児</t>
    <rPh sb="0" eb="1">
      <t>ショウ</t>
    </rPh>
    <rPh sb="3" eb="4">
      <t>ジ</t>
    </rPh>
    <phoneticPr fontId="4"/>
  </si>
  <si>
    <t>利用定員数</t>
    <rPh sb="0" eb="2">
      <t>リヨウ</t>
    </rPh>
    <rPh sb="2" eb="4">
      <t>テイイン</t>
    </rPh>
    <rPh sb="4" eb="5">
      <t>スウ</t>
    </rPh>
    <phoneticPr fontId="4"/>
  </si>
  <si>
    <t>障害児（障害児保育加算ありの場合）</t>
    <rPh sb="0" eb="3">
      <t>ショウガイジ</t>
    </rPh>
    <rPh sb="4" eb="7">
      <t>ショウガイジ</t>
    </rPh>
    <rPh sb="7" eb="9">
      <t>ホイク</t>
    </rPh>
    <rPh sb="9" eb="11">
      <t>カサン</t>
    </rPh>
    <rPh sb="14" eb="16">
      <t>バアイ</t>
    </rPh>
    <phoneticPr fontId="74"/>
  </si>
  <si>
    <t>調整</t>
    <rPh sb="0" eb="2">
      <t>チョウセイ</t>
    </rPh>
    <phoneticPr fontId="74"/>
  </si>
  <si>
    <t>食事の提供について自園調理又は連携施設
からの搬入以外に方法による減算</t>
    <rPh sb="0" eb="2">
      <t>ショクジ</t>
    </rPh>
    <rPh sb="3" eb="5">
      <t>テイキョウ</t>
    </rPh>
    <rPh sb="9" eb="10">
      <t>ジ</t>
    </rPh>
    <rPh sb="10" eb="11">
      <t>エン</t>
    </rPh>
    <rPh sb="11" eb="13">
      <t>チョウリ</t>
    </rPh>
    <rPh sb="13" eb="14">
      <t>マタ</t>
    </rPh>
    <rPh sb="15" eb="17">
      <t>レンケイ</t>
    </rPh>
    <rPh sb="17" eb="19">
      <t>シセツ</t>
    </rPh>
    <rPh sb="23" eb="25">
      <t>ハンニュウ</t>
    </rPh>
    <rPh sb="25" eb="27">
      <t>イガイ</t>
    </rPh>
    <rPh sb="28" eb="30">
      <t>ホウホウ</t>
    </rPh>
    <rPh sb="33" eb="35">
      <t>ゲンサン</t>
    </rPh>
    <phoneticPr fontId="74"/>
  </si>
  <si>
    <t>ａ</t>
    <phoneticPr fontId="74"/>
  </si>
  <si>
    <t>ｂ</t>
    <phoneticPr fontId="74"/>
  </si>
  <si>
    <t>ｃ</t>
    <phoneticPr fontId="74"/>
  </si>
  <si>
    <t>利用定員数に基づく職員数</t>
  </si>
  <si>
    <t>4歳以上</t>
    <rPh sb="1" eb="4">
      <t>サイイジョウ</t>
    </rPh>
    <phoneticPr fontId="4"/>
  </si>
  <si>
    <t>番号</t>
    <rPh sb="0" eb="2">
      <t>バンゴウ</t>
    </rPh>
    <phoneticPr fontId="4"/>
  </si>
  <si>
    <t>年度</t>
    <rPh sb="0" eb="2">
      <t>ネンド</t>
    </rPh>
    <phoneticPr fontId="4"/>
  </si>
  <si>
    <t>開始</t>
    <rPh sb="0" eb="2">
      <t>カイシ</t>
    </rPh>
    <phoneticPr fontId="4"/>
  </si>
  <si>
    <t>終了</t>
    <rPh sb="0" eb="2">
      <t>シュウリョウ</t>
    </rPh>
    <phoneticPr fontId="4"/>
  </si>
  <si>
    <t>挙証書類</t>
    <rPh sb="0" eb="2">
      <t>キョショウ</t>
    </rPh>
    <rPh sb="2" eb="4">
      <t>ショルイ</t>
    </rPh>
    <phoneticPr fontId="4"/>
  </si>
  <si>
    <t>給与項目</t>
    <rPh sb="0" eb="2">
      <t>キュウヨ</t>
    </rPh>
    <rPh sb="2" eb="4">
      <t>コウモク</t>
    </rPh>
    <phoneticPr fontId="4"/>
  </si>
  <si>
    <t>月額最大</t>
    <rPh sb="0" eb="2">
      <t>ゲツガク</t>
    </rPh>
    <rPh sb="2" eb="4">
      <t>サイダイ</t>
    </rPh>
    <phoneticPr fontId="4"/>
  </si>
  <si>
    <t>月額最小</t>
    <rPh sb="0" eb="2">
      <t>ゲツガク</t>
    </rPh>
    <rPh sb="2" eb="4">
      <t>サイショウ</t>
    </rPh>
    <phoneticPr fontId="4"/>
  </si>
  <si>
    <t>基本給</t>
    <rPh sb="0" eb="3">
      <t>キホンキュウ</t>
    </rPh>
    <phoneticPr fontId="4"/>
  </si>
  <si>
    <t>氏名</t>
    <rPh sb="0" eb="2">
      <t>シメイ</t>
    </rPh>
    <phoneticPr fontId="4"/>
  </si>
  <si>
    <t>発令等</t>
    <rPh sb="0" eb="2">
      <t>ハツレイ</t>
    </rPh>
    <rPh sb="2" eb="3">
      <t>トウ</t>
    </rPh>
    <phoneticPr fontId="4"/>
  </si>
  <si>
    <t>職種</t>
    <rPh sb="0" eb="2">
      <t>ショクシュ</t>
    </rPh>
    <phoneticPr fontId="4"/>
  </si>
  <si>
    <t>改善する
給与項目</t>
    <rPh sb="0" eb="2">
      <t>カイゼン</t>
    </rPh>
    <rPh sb="5" eb="7">
      <t>キュウヨ</t>
    </rPh>
    <rPh sb="7" eb="9">
      <t>コウモク</t>
    </rPh>
    <phoneticPr fontId="4"/>
  </si>
  <si>
    <t>賃金改善額の算出方法（法定福利費除く）</t>
    <rPh sb="0" eb="2">
      <t>チンギン</t>
    </rPh>
    <rPh sb="2" eb="4">
      <t>カイゼン</t>
    </rPh>
    <rPh sb="4" eb="5">
      <t>ガク</t>
    </rPh>
    <rPh sb="6" eb="8">
      <t>サンシュツ</t>
    </rPh>
    <rPh sb="8" eb="10">
      <t>ホウホウ</t>
    </rPh>
    <rPh sb="11" eb="13">
      <t>ホウテイ</t>
    </rPh>
    <rPh sb="13" eb="15">
      <t>フクリ</t>
    </rPh>
    <rPh sb="15" eb="16">
      <t>ヒ</t>
    </rPh>
    <rPh sb="16" eb="17">
      <t>ノゾ</t>
    </rPh>
    <phoneticPr fontId="4"/>
  </si>
  <si>
    <t>エラーチェック</t>
    <phoneticPr fontId="4"/>
  </si>
  <si>
    <t>5月</t>
  </si>
  <si>
    <t>手当</t>
    <rPh sb="0" eb="2">
      <t>テアテ</t>
    </rPh>
    <phoneticPr fontId="4"/>
  </si>
  <si>
    <t>発令年</t>
    <rPh sb="0" eb="2">
      <t>ハツレイ</t>
    </rPh>
    <rPh sb="2" eb="3">
      <t>ネン</t>
    </rPh>
    <phoneticPr fontId="4"/>
  </si>
  <si>
    <t>発令月</t>
    <rPh sb="0" eb="2">
      <t>ハツレイ</t>
    </rPh>
    <rPh sb="2" eb="3">
      <t>ツキ</t>
    </rPh>
    <phoneticPr fontId="4"/>
  </si>
  <si>
    <t>月数</t>
    <rPh sb="0" eb="1">
      <t>ツキ</t>
    </rPh>
    <rPh sb="1" eb="2">
      <t>スウ</t>
    </rPh>
    <phoneticPr fontId="4"/>
  </si>
  <si>
    <t>年額</t>
    <rPh sb="0" eb="2">
      <t>ネンガク</t>
    </rPh>
    <phoneticPr fontId="4"/>
  </si>
  <si>
    <t>記載漏れ</t>
    <rPh sb="0" eb="2">
      <t>キサイ</t>
    </rPh>
    <rPh sb="2" eb="3">
      <t>モ</t>
    </rPh>
    <phoneticPr fontId="4"/>
  </si>
  <si>
    <t>発令と月数</t>
    <rPh sb="0" eb="2">
      <t>ハツレイ</t>
    </rPh>
    <rPh sb="3" eb="4">
      <t>ゲツ</t>
    </rPh>
    <rPh sb="4" eb="5">
      <t>スウ</t>
    </rPh>
    <phoneticPr fontId="4"/>
  </si>
  <si>
    <t>金額逆転</t>
    <rPh sb="0" eb="2">
      <t>キンガク</t>
    </rPh>
    <rPh sb="2" eb="4">
      <t>ギャクテン</t>
    </rPh>
    <phoneticPr fontId="4"/>
  </si>
  <si>
    <t>職名判定</t>
    <rPh sb="0" eb="2">
      <t>ショクメイ</t>
    </rPh>
    <rPh sb="2" eb="4">
      <t>ハンテイ</t>
    </rPh>
    <phoneticPr fontId="4"/>
  </si>
  <si>
    <t>6月</t>
  </si>
  <si>
    <t>円</t>
    <rPh sb="0" eb="1">
      <t>エン</t>
    </rPh>
    <phoneticPr fontId="4"/>
  </si>
  <si>
    <t>＝</t>
    <phoneticPr fontId="4"/>
  </si>
  <si>
    <t>7月</t>
  </si>
  <si>
    <t>8月</t>
  </si>
  <si>
    <t>9月</t>
  </si>
  <si>
    <t>10月</t>
  </si>
  <si>
    <t>11月</t>
  </si>
  <si>
    <t>12月</t>
  </si>
  <si>
    <t>1月</t>
  </si>
  <si>
    <t>2月</t>
  </si>
  <si>
    <t>3月</t>
  </si>
  <si>
    <t>No.</t>
    <phoneticPr fontId="4"/>
  </si>
  <si>
    <t>エラーリスト</t>
    <phoneticPr fontId="4"/>
  </si>
  <si>
    <t>様式６</t>
    <rPh sb="0" eb="2">
      <t>ヨウシキ</t>
    </rPh>
    <phoneticPr fontId="4"/>
  </si>
  <si>
    <t>①</t>
    <phoneticPr fontId="4"/>
  </si>
  <si>
    <t>②</t>
    <phoneticPr fontId="4"/>
  </si>
  <si>
    <t>③</t>
    <phoneticPr fontId="4"/>
  </si>
  <si>
    <t>平均年齢別児童数計算表（本園）</t>
    <rPh sb="0" eb="2">
      <t>ヘイキン</t>
    </rPh>
    <rPh sb="2" eb="5">
      <t>ネンレイベツ</t>
    </rPh>
    <rPh sb="5" eb="8">
      <t>ジドウスウ</t>
    </rPh>
    <rPh sb="8" eb="11">
      <t>ケイサンヒョウ</t>
    </rPh>
    <rPh sb="12" eb="13">
      <t>ホン</t>
    </rPh>
    <rPh sb="13" eb="14">
      <t>エン</t>
    </rPh>
    <phoneticPr fontId="4"/>
  </si>
  <si>
    <t>3歳</t>
    <rPh sb="1" eb="2">
      <t>サイ</t>
    </rPh>
    <phoneticPr fontId="4"/>
  </si>
  <si>
    <t>満3歳</t>
    <rPh sb="0" eb="1">
      <t>マン</t>
    </rPh>
    <rPh sb="2" eb="3">
      <t>サイ</t>
    </rPh>
    <phoneticPr fontId="4"/>
  </si>
  <si>
    <t>（伸び率）</t>
    <rPh sb="1" eb="2">
      <t>ノ</t>
    </rPh>
    <rPh sb="3" eb="4">
      <t>リツ</t>
    </rPh>
    <phoneticPr fontId="60"/>
  </si>
  <si>
    <t>（１）　前年度実績</t>
    <rPh sb="4" eb="7">
      <t>ゼンネンド</t>
    </rPh>
    <rPh sb="7" eb="9">
      <t>ジッセキ</t>
    </rPh>
    <phoneticPr fontId="4"/>
  </si>
  <si>
    <t>（２）　前年実績による当該年度見込み年齢別平均児童数（４月実績×（１）伸び率）</t>
    <rPh sb="4" eb="6">
      <t>ゼンネン</t>
    </rPh>
    <rPh sb="6" eb="8">
      <t>ジッセキ</t>
    </rPh>
    <rPh sb="11" eb="13">
      <t>トウガイ</t>
    </rPh>
    <rPh sb="13" eb="15">
      <t>ネンド</t>
    </rPh>
    <rPh sb="15" eb="17">
      <t>ミコ</t>
    </rPh>
    <rPh sb="18" eb="20">
      <t>ネンレイ</t>
    </rPh>
    <rPh sb="20" eb="21">
      <t>ベツ</t>
    </rPh>
    <rPh sb="21" eb="23">
      <t>ヘイキン</t>
    </rPh>
    <rPh sb="23" eb="26">
      <t>ジドウスウ</t>
    </rPh>
    <phoneticPr fontId="4"/>
  </si>
  <si>
    <t>はい</t>
    <phoneticPr fontId="4"/>
  </si>
  <si>
    <t>いいえ</t>
    <phoneticPr fontId="60"/>
  </si>
  <si>
    <t>○</t>
    <phoneticPr fontId="4"/>
  </si>
  <si>
    <t>②　年齢別平均児童数(以下に当該年度の見込み人数を入力すること)</t>
    <rPh sb="2" eb="5">
      <t>ネンレイベツ</t>
    </rPh>
    <rPh sb="5" eb="7">
      <t>ヘイキン</t>
    </rPh>
    <rPh sb="7" eb="9">
      <t>ジドウ</t>
    </rPh>
    <rPh sb="9" eb="10">
      <t>スウ</t>
    </rPh>
    <rPh sb="11" eb="13">
      <t>イカ</t>
    </rPh>
    <rPh sb="14" eb="16">
      <t>トウガイ</t>
    </rPh>
    <rPh sb="16" eb="18">
      <t>ネンド</t>
    </rPh>
    <rPh sb="19" eb="21">
      <t>ミコ</t>
    </rPh>
    <rPh sb="22" eb="24">
      <t>ニンズウ</t>
    </rPh>
    <rPh sb="25" eb="27">
      <t>ニュウリョク</t>
    </rPh>
    <phoneticPr fontId="4"/>
  </si>
  <si>
    <t>採用</t>
    <rPh sb="0" eb="2">
      <t>サイヨウ</t>
    </rPh>
    <phoneticPr fontId="4"/>
  </si>
  <si>
    <t>教育</t>
    <rPh sb="0" eb="2">
      <t>キョウイク</t>
    </rPh>
    <phoneticPr fontId="60"/>
  </si>
  <si>
    <t>標準</t>
    <rPh sb="0" eb="2">
      <t>ヒョウジュン</t>
    </rPh>
    <phoneticPr fontId="60"/>
  </si>
  <si>
    <t>短</t>
    <rPh sb="0" eb="1">
      <t>タン</t>
    </rPh>
    <phoneticPr fontId="60"/>
  </si>
  <si>
    <t>開所月：</t>
    <rPh sb="0" eb="2">
      <t>カイショ</t>
    </rPh>
    <rPh sb="2" eb="3">
      <t>ツキ</t>
    </rPh>
    <phoneticPr fontId="60"/>
  </si>
  <si>
    <t>施設長を配置していない場合</t>
    <phoneticPr fontId="4"/>
  </si>
  <si>
    <t>講師配置加算</t>
    <phoneticPr fontId="4"/>
  </si>
  <si>
    <t>学級編制調整加配加算</t>
    <phoneticPr fontId="4"/>
  </si>
  <si>
    <t>配置基準上求められる職員資格を有しない場合（不足分÷2）</t>
    <phoneticPr fontId="4"/>
  </si>
  <si>
    <t>配置基準上求められる職員資格を有しない場合</t>
    <phoneticPr fontId="4"/>
  </si>
  <si>
    <t>定員を恒常的に超過する場合</t>
    <phoneticPr fontId="4"/>
  </si>
  <si>
    <t>主幹教諭等専任化未実施</t>
    <rPh sb="8" eb="11">
      <t>ミジッシ</t>
    </rPh>
    <phoneticPr fontId="4"/>
  </si>
  <si>
    <t>１号利用定員を設定しない場合</t>
    <rPh sb="1" eb="2">
      <t>ゴウ</t>
    </rPh>
    <rPh sb="2" eb="4">
      <t>リヨウ</t>
    </rPh>
    <rPh sb="4" eb="6">
      <t>テイイン</t>
    </rPh>
    <rPh sb="7" eb="9">
      <t>セッテイ</t>
    </rPh>
    <rPh sb="12" eb="14">
      <t>バアイ</t>
    </rPh>
    <phoneticPr fontId="4"/>
  </si>
  <si>
    <t>＜平均初日利用障がい児童数（広域利用含む）＞</t>
    <rPh sb="1" eb="3">
      <t>ヘイキン</t>
    </rPh>
    <rPh sb="3" eb="5">
      <t>ショニチ</t>
    </rPh>
    <rPh sb="5" eb="7">
      <t>リヨウ</t>
    </rPh>
    <rPh sb="7" eb="8">
      <t>ショウ</t>
    </rPh>
    <rPh sb="10" eb="11">
      <t>ジ</t>
    </rPh>
    <rPh sb="12" eb="13">
      <t>スウ</t>
    </rPh>
    <phoneticPr fontId="4"/>
  </si>
  <si>
    <t>4歳以上</t>
    <rPh sb="1" eb="4">
      <t>サイイジョウ</t>
    </rPh>
    <phoneticPr fontId="60"/>
  </si>
  <si>
    <t>3歳</t>
    <rPh sb="1" eb="2">
      <t>サイ</t>
    </rPh>
    <phoneticPr fontId="60"/>
  </si>
  <si>
    <t>うち満3歳</t>
    <rPh sb="2" eb="3">
      <t>マン</t>
    </rPh>
    <rPh sb="4" eb="5">
      <t>サイ</t>
    </rPh>
    <phoneticPr fontId="60"/>
  </si>
  <si>
    <t>1，2歳</t>
    <rPh sb="3" eb="4">
      <t>サイ</t>
    </rPh>
    <phoneticPr fontId="60"/>
  </si>
  <si>
    <t>0歳児</t>
    <rPh sb="1" eb="2">
      <t>サイ</t>
    </rPh>
    <rPh sb="2" eb="3">
      <t>ジ</t>
    </rPh>
    <phoneticPr fontId="60"/>
  </si>
  <si>
    <t>計</t>
    <rPh sb="0" eb="1">
      <t>ケイ</t>
    </rPh>
    <phoneticPr fontId="60"/>
  </si>
  <si>
    <t>平均年齢別児童数計算表（分園）</t>
    <rPh sb="0" eb="2">
      <t>ヘイキン</t>
    </rPh>
    <rPh sb="2" eb="5">
      <t>ネンレイベツ</t>
    </rPh>
    <rPh sb="5" eb="8">
      <t>ジドウスウ</t>
    </rPh>
    <rPh sb="8" eb="11">
      <t>ケイサンヒョウ</t>
    </rPh>
    <rPh sb="12" eb="13">
      <t>ブン</t>
    </rPh>
    <rPh sb="13" eb="14">
      <t>エン</t>
    </rPh>
    <phoneticPr fontId="4"/>
  </si>
  <si>
    <t>休日</t>
    <rPh sb="0" eb="2">
      <t>キュウジツ</t>
    </rPh>
    <phoneticPr fontId="60"/>
  </si>
  <si>
    <t>栄養管理</t>
    <rPh sb="0" eb="2">
      <t>エイヨウ</t>
    </rPh>
    <rPh sb="2" eb="4">
      <t>カンリ</t>
    </rPh>
    <phoneticPr fontId="60"/>
  </si>
  <si>
    <t>食事の提供</t>
    <rPh sb="0" eb="2">
      <t>ショクジ</t>
    </rPh>
    <rPh sb="3" eb="5">
      <t>テイキョウ</t>
    </rPh>
    <phoneticPr fontId="60"/>
  </si>
  <si>
    <t>障がい児加算</t>
    <rPh sb="0" eb="1">
      <t>ショウ</t>
    </rPh>
    <rPh sb="3" eb="4">
      <t>ジ</t>
    </rPh>
    <rPh sb="4" eb="6">
      <t>カサン</t>
    </rPh>
    <phoneticPr fontId="60"/>
  </si>
  <si>
    <t>障がい児数</t>
    <rPh sb="0" eb="1">
      <t>ショウ</t>
    </rPh>
    <rPh sb="3" eb="4">
      <t>ジ</t>
    </rPh>
    <rPh sb="4" eb="5">
      <t>スウ</t>
    </rPh>
    <phoneticPr fontId="60"/>
  </si>
  <si>
    <t>施設・事業所名</t>
    <rPh sb="0" eb="2">
      <t>シセツ</t>
    </rPh>
    <rPh sb="3" eb="6">
      <t>ジギョウショ</t>
    </rPh>
    <rPh sb="6" eb="7">
      <t>メイ</t>
    </rPh>
    <phoneticPr fontId="60"/>
  </si>
  <si>
    <t>※各月平均の年齢別児童数を使用する場合は、別途配布している「年齢別児童数計算表」により計算した児童数を入力すること。特例給付を受けて利用する児童がいる場合は、該当する年齢区分に含めること。</t>
    <phoneticPr fontId="60"/>
  </si>
  <si>
    <t>利用定員数</t>
    <rPh sb="0" eb="2">
      <t>リヨウ</t>
    </rPh>
    <rPh sb="2" eb="4">
      <t>テイイン</t>
    </rPh>
    <rPh sb="4" eb="5">
      <t>スウ</t>
    </rPh>
    <phoneticPr fontId="60"/>
  </si>
  <si>
    <t>加算月数</t>
    <rPh sb="0" eb="2">
      <t>カサン</t>
    </rPh>
    <rPh sb="2" eb="4">
      <t>ツキスウ</t>
    </rPh>
    <phoneticPr fontId="60"/>
  </si>
  <si>
    <t>A</t>
    <phoneticPr fontId="60"/>
  </si>
  <si>
    <t>B</t>
    <phoneticPr fontId="60"/>
  </si>
  <si>
    <t>施設・事業所名</t>
    <rPh sb="0" eb="2">
      <t>シセツ</t>
    </rPh>
    <rPh sb="3" eb="6">
      <t>ジギョウショ</t>
    </rPh>
    <rPh sb="6" eb="7">
      <t>メイ</t>
    </rPh>
    <phoneticPr fontId="60"/>
  </si>
  <si>
    <t>④</t>
    <phoneticPr fontId="4"/>
  </si>
  <si>
    <t>⑥</t>
    <phoneticPr fontId="4"/>
  </si>
  <si>
    <t>Ａ</t>
    <phoneticPr fontId="4"/>
  </si>
  <si>
    <t>Ｂ</t>
    <phoneticPr fontId="4"/>
  </si>
  <si>
    <t>様式3</t>
    <rPh sb="0" eb="2">
      <t>ヨウシキ</t>
    </rPh>
    <phoneticPr fontId="74"/>
  </si>
  <si>
    <t>様式3</t>
    <rPh sb="0" eb="2">
      <t>ヨウシキ</t>
    </rPh>
    <phoneticPr fontId="60"/>
  </si>
  <si>
    <t>前年法定福利費事業主負担分</t>
    <rPh sb="0" eb="2">
      <t>ゼンネン</t>
    </rPh>
    <rPh sb="2" eb="4">
      <t>ホウテイ</t>
    </rPh>
    <rPh sb="4" eb="6">
      <t>フクリ</t>
    </rPh>
    <rPh sb="6" eb="7">
      <t>ヒ</t>
    </rPh>
    <rPh sb="7" eb="10">
      <t>ジギョウヌシ</t>
    </rPh>
    <rPh sb="10" eb="12">
      <t>フタン</t>
    </rPh>
    <rPh sb="12" eb="13">
      <t>ブン</t>
    </rPh>
    <phoneticPr fontId="60"/>
  </si>
  <si>
    <t>前年賃金総額</t>
    <rPh sb="0" eb="2">
      <t>ゼンネン</t>
    </rPh>
    <rPh sb="2" eb="4">
      <t>チンギン</t>
    </rPh>
    <rPh sb="4" eb="6">
      <t>ソウガク</t>
    </rPh>
    <phoneticPr fontId="60"/>
  </si>
  <si>
    <t>職種判定</t>
    <rPh sb="0" eb="2">
      <t>ショクシュ</t>
    </rPh>
    <rPh sb="2" eb="4">
      <t>ハンテイ</t>
    </rPh>
    <phoneticPr fontId="4"/>
  </si>
  <si>
    <t>職名</t>
    <rPh sb="0" eb="2">
      <t>ショクメイ</t>
    </rPh>
    <phoneticPr fontId="60"/>
  </si>
  <si>
    <t>調理員</t>
    <rPh sb="0" eb="3">
      <t>チョウリイン</t>
    </rPh>
    <phoneticPr fontId="60"/>
  </si>
  <si>
    <t>栄養士</t>
    <rPh sb="0" eb="3">
      <t>エイヨウシ</t>
    </rPh>
    <phoneticPr fontId="60"/>
  </si>
  <si>
    <t>その他</t>
    <rPh sb="2" eb="3">
      <t>タ</t>
    </rPh>
    <phoneticPr fontId="60"/>
  </si>
  <si>
    <t>職名(リーダー名)</t>
    <rPh sb="0" eb="2">
      <t>ショクメイ</t>
    </rPh>
    <rPh sb="7" eb="8">
      <t>メイ</t>
    </rPh>
    <phoneticPr fontId="4"/>
  </si>
  <si>
    <t>園長</t>
    <rPh sb="0" eb="2">
      <t>エンチョウ</t>
    </rPh>
    <phoneticPr fontId="60"/>
  </si>
  <si>
    <t>副園長（教頭）</t>
    <rPh sb="0" eb="3">
      <t>フクエンチョウ</t>
    </rPh>
    <rPh sb="4" eb="6">
      <t>キョウトウ</t>
    </rPh>
    <phoneticPr fontId="60"/>
  </si>
  <si>
    <t>主任</t>
    <rPh sb="0" eb="2">
      <t>シュニン</t>
    </rPh>
    <phoneticPr fontId="60"/>
  </si>
  <si>
    <t>主幹</t>
    <rPh sb="0" eb="2">
      <t>シュカン</t>
    </rPh>
    <phoneticPr fontId="60"/>
  </si>
  <si>
    <t>保育士（教諭）</t>
    <rPh sb="0" eb="3">
      <t>ホイクシ</t>
    </rPh>
    <rPh sb="4" eb="6">
      <t>キョウユ</t>
    </rPh>
    <phoneticPr fontId="60"/>
  </si>
  <si>
    <t>事務</t>
    <rPh sb="0" eb="2">
      <t>ジム</t>
    </rPh>
    <phoneticPr fontId="60"/>
  </si>
  <si>
    <t>公定価格引上げ分(人勧分)：</t>
    <phoneticPr fontId="4"/>
  </si>
  <si>
    <t>特定加算見込額：</t>
    <rPh sb="0" eb="2">
      <t>トクテイ</t>
    </rPh>
    <rPh sb="2" eb="7">
      <t>カサンミコミガク</t>
    </rPh>
    <phoneticPr fontId="4"/>
  </si>
  <si>
    <t>○　施設情報</t>
    <rPh sb="2" eb="4">
      <t>シセツ</t>
    </rPh>
    <rPh sb="4" eb="6">
      <t>ジョウホウ</t>
    </rPh>
    <phoneticPr fontId="4"/>
  </si>
  <si>
    <t>加算見込額</t>
    <rPh sb="0" eb="2">
      <t>カサン</t>
    </rPh>
    <rPh sb="2" eb="4">
      <t>ミコミ</t>
    </rPh>
    <rPh sb="4" eb="5">
      <t>ガク</t>
    </rPh>
    <phoneticPr fontId="4"/>
  </si>
  <si>
    <t>特定加算見込額</t>
    <rPh sb="0" eb="7">
      <t>トクテイカサンミコミガク</t>
    </rPh>
    <phoneticPr fontId="4"/>
  </si>
  <si>
    <t>＜各加算額算出＞</t>
    <rPh sb="1" eb="2">
      <t>カク</t>
    </rPh>
    <rPh sb="2" eb="5">
      <t>カサンガク</t>
    </rPh>
    <rPh sb="5" eb="7">
      <t>サンシュツ</t>
    </rPh>
    <phoneticPr fontId="4"/>
  </si>
  <si>
    <t>＜加算選択＞</t>
    <rPh sb="1" eb="3">
      <t>カサン</t>
    </rPh>
    <rPh sb="3" eb="5">
      <t>センタク</t>
    </rPh>
    <phoneticPr fontId="4"/>
  </si>
  <si>
    <t>＜単価算出＞</t>
    <rPh sb="1" eb="3">
      <t>タンカ</t>
    </rPh>
    <rPh sb="3" eb="5">
      <t>サンシュツ</t>
    </rPh>
    <phoneticPr fontId="4"/>
  </si>
  <si>
    <t>・　児童数は、月初日利用児童数を入力すること。第４四半期精算時に配布した支払明細書等を参照して入力すること。</t>
    <rPh sb="2" eb="5">
      <t>ジドウスウ</t>
    </rPh>
    <rPh sb="7" eb="8">
      <t>ツキ</t>
    </rPh>
    <rPh sb="8" eb="10">
      <t>ショニチ</t>
    </rPh>
    <rPh sb="10" eb="12">
      <t>リヨウ</t>
    </rPh>
    <rPh sb="12" eb="15">
      <t>ジドウスウ</t>
    </rPh>
    <rPh sb="16" eb="18">
      <t>ニュウリョク</t>
    </rPh>
    <rPh sb="23" eb="24">
      <t>ダイ</t>
    </rPh>
    <rPh sb="25" eb="28">
      <t>シハンキ</t>
    </rPh>
    <rPh sb="28" eb="30">
      <t>セイサン</t>
    </rPh>
    <rPh sb="30" eb="31">
      <t>ジ</t>
    </rPh>
    <rPh sb="32" eb="34">
      <t>ハイフ</t>
    </rPh>
    <rPh sb="36" eb="38">
      <t>シハライ</t>
    </rPh>
    <rPh sb="38" eb="41">
      <t>メイサイショ</t>
    </rPh>
    <rPh sb="41" eb="42">
      <t>トウ</t>
    </rPh>
    <rPh sb="43" eb="45">
      <t>サンショウ</t>
    </rPh>
    <rPh sb="47" eb="49">
      <t>ニュウリョク</t>
    </rPh>
    <phoneticPr fontId="56"/>
  </si>
  <si>
    <t>（３）　前年度実績による見込みによりがたい場合は、「はい」を選択</t>
    <rPh sb="4" eb="7">
      <t>ゼンネンド</t>
    </rPh>
    <rPh sb="7" eb="9">
      <t>ジッセキ</t>
    </rPh>
    <rPh sb="12" eb="14">
      <t>ミコ</t>
    </rPh>
    <rPh sb="21" eb="23">
      <t>バアイ</t>
    </rPh>
    <rPh sb="30" eb="32">
      <t>センタク</t>
    </rPh>
    <phoneticPr fontId="4"/>
  </si>
  <si>
    <t>例１：上記計算では実態と大きく乖離してしまう施設</t>
    <rPh sb="0" eb="1">
      <t>レイ</t>
    </rPh>
    <rPh sb="3" eb="4">
      <t>ウエ</t>
    </rPh>
    <rPh sb="22" eb="24">
      <t>シセツ</t>
    </rPh>
    <phoneticPr fontId="4"/>
  </si>
  <si>
    <t>（４）　（３）で、「はい」の場合は以下を記載</t>
    <rPh sb="14" eb="16">
      <t>バアイ</t>
    </rPh>
    <rPh sb="17" eb="19">
      <t>イカ</t>
    </rPh>
    <rPh sb="20" eb="22">
      <t>キサイ</t>
    </rPh>
    <phoneticPr fontId="4"/>
  </si>
  <si>
    <t>①　以下の該当する箇所に「○」を入力すること（その他に該当する場合は、理由欄も記載すること)。</t>
    <rPh sb="2" eb="4">
      <t>イカ</t>
    </rPh>
    <rPh sb="5" eb="7">
      <t>ガイトウ</t>
    </rPh>
    <rPh sb="9" eb="11">
      <t>カショ</t>
    </rPh>
    <rPh sb="16" eb="18">
      <t>ニュウリョク</t>
    </rPh>
    <rPh sb="25" eb="26">
      <t>タ</t>
    </rPh>
    <rPh sb="27" eb="29">
      <t>ガイトウ</t>
    </rPh>
    <rPh sb="31" eb="33">
      <t>バアイ</t>
    </rPh>
    <rPh sb="35" eb="37">
      <t>リユウ</t>
    </rPh>
    <rPh sb="37" eb="38">
      <t>ラン</t>
    </rPh>
    <rPh sb="39" eb="41">
      <t>キサイ</t>
    </rPh>
    <phoneticPr fontId="4"/>
  </si>
  <si>
    <t>（２）　前年実績による当年度見込み年齢別平均児童数（４月実績×（１）伸び率）</t>
    <rPh sb="4" eb="6">
      <t>ゼンネン</t>
    </rPh>
    <rPh sb="6" eb="8">
      <t>ジッセキ</t>
    </rPh>
    <rPh sb="11" eb="13">
      <t>トウネン</t>
    </rPh>
    <rPh sb="12" eb="14">
      <t>ネンド</t>
    </rPh>
    <rPh sb="14" eb="16">
      <t>ミコ</t>
    </rPh>
    <rPh sb="17" eb="19">
      <t>ネンレイ</t>
    </rPh>
    <rPh sb="19" eb="20">
      <t>ベツ</t>
    </rPh>
    <rPh sb="20" eb="22">
      <t>ヘイキン</t>
    </rPh>
    <rPh sb="22" eb="25">
      <t>ジドウスウ</t>
    </rPh>
    <phoneticPr fontId="4"/>
  </si>
  <si>
    <t>②　下表に、当年度の見込み児童数を入力すること</t>
    <rPh sb="2" eb="3">
      <t>シタ</t>
    </rPh>
    <rPh sb="3" eb="4">
      <t>ヒョウ</t>
    </rPh>
    <rPh sb="6" eb="9">
      <t>トウネンド</t>
    </rPh>
    <rPh sb="7" eb="9">
      <t>ネンド</t>
    </rPh>
    <rPh sb="10" eb="12">
      <t>ミコ</t>
    </rPh>
    <rPh sb="13" eb="15">
      <t>ジドウ</t>
    </rPh>
    <rPh sb="15" eb="16">
      <t>スウ</t>
    </rPh>
    <rPh sb="17" eb="19">
      <t>ニュウリョク</t>
    </rPh>
    <phoneticPr fontId="4"/>
  </si>
  <si>
    <t>例２：当年度新規開設施設、前年度の年度途中開設施設</t>
    <rPh sb="0" eb="1">
      <t>レイ</t>
    </rPh>
    <rPh sb="3" eb="6">
      <t>トウネンド</t>
    </rPh>
    <rPh sb="6" eb="8">
      <t>シンキ</t>
    </rPh>
    <rPh sb="8" eb="10">
      <t>カイセツ</t>
    </rPh>
    <rPh sb="10" eb="12">
      <t>シセツ</t>
    </rPh>
    <rPh sb="13" eb="16">
      <t>ゼンネンド</t>
    </rPh>
    <rPh sb="17" eb="19">
      <t>ネンド</t>
    </rPh>
    <rPh sb="19" eb="21">
      <t>トチュウ</t>
    </rPh>
    <rPh sb="21" eb="23">
      <t>カイセツ</t>
    </rPh>
    <rPh sb="23" eb="25">
      <t>シセツ</t>
    </rPh>
    <phoneticPr fontId="4"/>
  </si>
  <si>
    <t>○　施設情報</t>
    <phoneticPr fontId="4"/>
  </si>
  <si>
    <t>○　施設情報</t>
    <phoneticPr fontId="4"/>
  </si>
  <si>
    <t>○　施設情報</t>
    <phoneticPr fontId="4"/>
  </si>
  <si>
    <t>＜各加算額算出＞</t>
    <rPh sb="1" eb="2">
      <t>カク</t>
    </rPh>
    <rPh sb="2" eb="4">
      <t>カサン</t>
    </rPh>
    <rPh sb="4" eb="5">
      <t>ガク</t>
    </rPh>
    <rPh sb="5" eb="7">
      <t>サンシュツ</t>
    </rPh>
    <phoneticPr fontId="4"/>
  </si>
  <si>
    <t>チェック</t>
    <phoneticPr fontId="4"/>
  </si>
  <si>
    <t>□</t>
    <phoneticPr fontId="4"/>
  </si>
  <si>
    <t>【提出書類チェック表】</t>
    <rPh sb="1" eb="3">
      <t>テイシュツ</t>
    </rPh>
    <rPh sb="3" eb="5">
      <t>ショルイ</t>
    </rPh>
    <rPh sb="9" eb="10">
      <t>ヒョウ</t>
    </rPh>
    <phoneticPr fontId="4"/>
  </si>
  <si>
    <t>項　目</t>
    <rPh sb="0" eb="1">
      <t>コウ</t>
    </rPh>
    <rPh sb="2" eb="3">
      <t>メ</t>
    </rPh>
    <phoneticPr fontId="4"/>
  </si>
  <si>
    <t>備　考　</t>
    <rPh sb="0" eb="1">
      <t>ソナエ</t>
    </rPh>
    <rPh sb="2" eb="3">
      <t>コウ</t>
    </rPh>
    <phoneticPr fontId="4"/>
  </si>
  <si>
    <t>担当者名</t>
    <rPh sb="0" eb="3">
      <t>タントウシャ</t>
    </rPh>
    <rPh sb="3" eb="4">
      <t>メイ</t>
    </rPh>
    <phoneticPr fontId="4"/>
  </si>
  <si>
    <t>連絡先</t>
    <rPh sb="0" eb="3">
      <t>レンラクサキ</t>
    </rPh>
    <phoneticPr fontId="4"/>
  </si>
  <si>
    <t>※上記の書類が全て揃っていることを確認したうえで、ご提出願います。</t>
    <rPh sb="1" eb="3">
      <t>ジョウキ</t>
    </rPh>
    <rPh sb="4" eb="6">
      <t>ショルイ</t>
    </rPh>
    <rPh sb="7" eb="8">
      <t>スベ</t>
    </rPh>
    <rPh sb="9" eb="10">
      <t>ソロ</t>
    </rPh>
    <rPh sb="17" eb="19">
      <t>カクニン</t>
    </rPh>
    <rPh sb="26" eb="28">
      <t>テイシュツ</t>
    </rPh>
    <rPh sb="28" eb="29">
      <t>ネガ</t>
    </rPh>
    <phoneticPr fontId="4"/>
  </si>
  <si>
    <t>様式４</t>
    <rPh sb="0" eb="2">
      <t>ヨウシキ</t>
    </rPh>
    <phoneticPr fontId="4"/>
  </si>
  <si>
    <t>シート名</t>
    <rPh sb="3" eb="4">
      <t>メイ</t>
    </rPh>
    <phoneticPr fontId="60"/>
  </si>
  <si>
    <t>様式６別紙</t>
    <rPh sb="0" eb="2">
      <t>ヨウシキ</t>
    </rPh>
    <rPh sb="3" eb="5">
      <t>ベッシ</t>
    </rPh>
    <phoneticPr fontId="4"/>
  </si>
  <si>
    <t>処遇Ⅰ申請施設</t>
    <rPh sb="0" eb="2">
      <t>ショグウ</t>
    </rPh>
    <rPh sb="3" eb="5">
      <t>シンセイ</t>
    </rPh>
    <rPh sb="5" eb="7">
      <t>シセツ</t>
    </rPh>
    <phoneticPr fontId="60"/>
  </si>
  <si>
    <t>処遇Ⅱ申請施設</t>
    <rPh sb="0" eb="2">
      <t>ショグウ</t>
    </rPh>
    <rPh sb="3" eb="5">
      <t>シンセイ</t>
    </rPh>
    <rPh sb="5" eb="7">
      <t>シセツ</t>
    </rPh>
    <phoneticPr fontId="60"/>
  </si>
  <si>
    <t>提出締切日：2020年9月24日（木）</t>
    <rPh sb="10" eb="11">
      <t>ネン</t>
    </rPh>
    <rPh sb="12" eb="13">
      <t>ガツ</t>
    </rPh>
    <rPh sb="15" eb="16">
      <t>ニチ</t>
    </rPh>
    <rPh sb="17" eb="18">
      <t>モク</t>
    </rPh>
    <phoneticPr fontId="60"/>
  </si>
  <si>
    <t>キャリアパス要件届出書</t>
    <phoneticPr fontId="4"/>
  </si>
  <si>
    <t>賃金改善計画職員別明細書</t>
    <rPh sb="0" eb="2">
      <t>チンギン</t>
    </rPh>
    <rPh sb="2" eb="4">
      <t>カイゼン</t>
    </rPh>
    <rPh sb="4" eb="6">
      <t>ケイカク</t>
    </rPh>
    <rPh sb="6" eb="8">
      <t>ショクイン</t>
    </rPh>
    <rPh sb="8" eb="9">
      <t>ベツ</t>
    </rPh>
    <rPh sb="9" eb="12">
      <t>メイサイショ</t>
    </rPh>
    <phoneticPr fontId="4"/>
  </si>
  <si>
    <t>同一事業者内における拠出実績額・受け入れ実績額一覧表</t>
    <rPh sb="0" eb="2">
      <t>ドウイツ</t>
    </rPh>
    <rPh sb="2" eb="5">
      <t>ジギョウシャ</t>
    </rPh>
    <rPh sb="5" eb="6">
      <t>ナイ</t>
    </rPh>
    <rPh sb="10" eb="12">
      <t>キョシュツ</t>
    </rPh>
    <rPh sb="12" eb="14">
      <t>ジッセキ</t>
    </rPh>
    <rPh sb="14" eb="15">
      <t>ガク</t>
    </rPh>
    <rPh sb="16" eb="17">
      <t>ウ</t>
    </rPh>
    <rPh sb="18" eb="19">
      <t>イ</t>
    </rPh>
    <rPh sb="20" eb="22">
      <t>ジッセキ</t>
    </rPh>
    <rPh sb="22" eb="23">
      <t>ガク</t>
    </rPh>
    <rPh sb="23" eb="25">
      <t>イチラン</t>
    </rPh>
    <rPh sb="25" eb="26">
      <t>ヒョウ</t>
    </rPh>
    <phoneticPr fontId="4"/>
  </si>
  <si>
    <t>加算算定対象人数等認定申請書</t>
    <rPh sb="0" eb="2">
      <t>カサン</t>
    </rPh>
    <rPh sb="2" eb="4">
      <t>サンテイ</t>
    </rPh>
    <rPh sb="4" eb="6">
      <t>タイショウ</t>
    </rPh>
    <rPh sb="6" eb="8">
      <t>ニンズウ</t>
    </rPh>
    <rPh sb="8" eb="9">
      <t>トウ</t>
    </rPh>
    <rPh sb="9" eb="11">
      <t>ニンテイ</t>
    </rPh>
    <rPh sb="11" eb="13">
      <t>シンセイ</t>
    </rPh>
    <rPh sb="13" eb="14">
      <t>ショ</t>
    </rPh>
    <phoneticPr fontId="4"/>
  </si>
  <si>
    <t>賃金改善計画書（処遇改善等加算Ⅱ）</t>
    <rPh sb="8" eb="15">
      <t>ショグウカイゼントウカサン</t>
    </rPh>
    <phoneticPr fontId="60"/>
  </si>
  <si>
    <t>処遇Ⅰ・Ⅱ共通</t>
    <rPh sb="0" eb="2">
      <t>ショグウ</t>
    </rPh>
    <rPh sb="5" eb="7">
      <t>キョウツウ</t>
    </rPh>
    <phoneticPr fontId="60"/>
  </si>
  <si>
    <t>入力（加算）</t>
    <rPh sb="0" eb="2">
      <t>ニュウリョク</t>
    </rPh>
    <rPh sb="3" eb="5">
      <t>カサン</t>
    </rPh>
    <phoneticPr fontId="4"/>
  </si>
  <si>
    <t>判定
（基準年度＆人勧分）</t>
    <rPh sb="0" eb="2">
      <t>ハンテイ</t>
    </rPh>
    <rPh sb="4" eb="6">
      <t>キジュン</t>
    </rPh>
    <rPh sb="6" eb="8">
      <t>ネンド</t>
    </rPh>
    <rPh sb="9" eb="11">
      <t>ジンカン</t>
    </rPh>
    <rPh sb="11" eb="12">
      <t>ブン</t>
    </rPh>
    <phoneticPr fontId="4"/>
  </si>
  <si>
    <t>処遇Ⅰ⇔処遇Ⅱで基準年度が異なる場合のみ必要</t>
    <rPh sb="4" eb="6">
      <t>ショグウ</t>
    </rPh>
    <rPh sb="20" eb="22">
      <t>ヒツヨウ</t>
    </rPh>
    <phoneticPr fontId="60"/>
  </si>
  <si>
    <t>処遇Ⅱを受けない施設が、キャリアパス要件を適用する場合のみ必要</t>
    <rPh sb="0" eb="2">
      <t>ショグウ</t>
    </rPh>
    <rPh sb="4" eb="5">
      <t>ウ</t>
    </rPh>
    <rPh sb="8" eb="10">
      <t>シセツ</t>
    </rPh>
    <rPh sb="18" eb="20">
      <t>ヨウケン</t>
    </rPh>
    <rPh sb="21" eb="23">
      <t>テキヨウ</t>
    </rPh>
    <rPh sb="25" eb="27">
      <t>バアイ</t>
    </rPh>
    <rPh sb="29" eb="31">
      <t>ヒツヨウ</t>
    </rPh>
    <phoneticPr fontId="60"/>
  </si>
  <si>
    <t>様式６－１</t>
    <rPh sb="0" eb="2">
      <t>ヨウシキ</t>
    </rPh>
    <phoneticPr fontId="4"/>
  </si>
  <si>
    <t>様式６－２</t>
    <rPh sb="0" eb="2">
      <t>ヨウシキ</t>
    </rPh>
    <phoneticPr fontId="4"/>
  </si>
  <si>
    <t>様式６－３</t>
    <rPh sb="0" eb="2">
      <t>ヨウシキ</t>
    </rPh>
    <phoneticPr fontId="4"/>
  </si>
  <si>
    <t>様式４－１</t>
    <rPh sb="0" eb="2">
      <t>ヨウシキ</t>
    </rPh>
    <phoneticPr fontId="4"/>
  </si>
  <si>
    <t>様式４－２</t>
    <rPh sb="0" eb="2">
      <t>ヨウシキ</t>
    </rPh>
    <phoneticPr fontId="4"/>
  </si>
  <si>
    <t>賃金改善計画職員別明細書②</t>
    <rPh sb="0" eb="2">
      <t>チンギン</t>
    </rPh>
    <rPh sb="2" eb="4">
      <t>カイゼン</t>
    </rPh>
    <rPh sb="4" eb="6">
      <t>ケイカク</t>
    </rPh>
    <rPh sb="6" eb="8">
      <t>ショクイン</t>
    </rPh>
    <rPh sb="8" eb="9">
      <t>ベツ</t>
    </rPh>
    <rPh sb="9" eb="12">
      <t>メイサイショ</t>
    </rPh>
    <phoneticPr fontId="4"/>
  </si>
  <si>
    <t>副主任等配分内訳書</t>
    <phoneticPr fontId="60"/>
  </si>
  <si>
    <t>職務分野別リーダー等内訳書</t>
    <phoneticPr fontId="60"/>
  </si>
  <si>
    <t>↑入力シートの記載内容に応じて、不要な項目には×印が入ります。</t>
    <rPh sb="1" eb="3">
      <t>ニュウリョク</t>
    </rPh>
    <rPh sb="7" eb="9">
      <t>キサイ</t>
    </rPh>
    <rPh sb="9" eb="11">
      <t>ナイヨウ</t>
    </rPh>
    <rPh sb="12" eb="13">
      <t>オウ</t>
    </rPh>
    <rPh sb="16" eb="18">
      <t>フヨウ</t>
    </rPh>
    <rPh sb="19" eb="21">
      <t>コウモク</t>
    </rPh>
    <rPh sb="24" eb="25">
      <t>シルシ</t>
    </rPh>
    <rPh sb="26" eb="27">
      <t>ハイ</t>
    </rPh>
    <phoneticPr fontId="60"/>
  </si>
  <si>
    <t>公定価格引上げ分
(人勧分)：</t>
    <phoneticPr fontId="4"/>
  </si>
  <si>
    <t>人勧分（処遇Ⅰ）</t>
    <rPh sb="0" eb="2">
      <t>ジンカン</t>
    </rPh>
    <rPh sb="2" eb="3">
      <t>ブン</t>
    </rPh>
    <rPh sb="4" eb="6">
      <t>ショグウ</t>
    </rPh>
    <phoneticPr fontId="4"/>
  </si>
  <si>
    <t>人勧分（処遇Ⅱ）</t>
    <rPh sb="0" eb="2">
      <t>ジンカン</t>
    </rPh>
    <rPh sb="2" eb="3">
      <t>ブン</t>
    </rPh>
    <rPh sb="4" eb="6">
      <t>ショグウ</t>
    </rPh>
    <phoneticPr fontId="4"/>
  </si>
  <si>
    <t>加算見込額等計算シート</t>
    <rPh sb="0" eb="2">
      <t>カサン</t>
    </rPh>
    <rPh sb="2" eb="4">
      <t>ミコミ</t>
    </rPh>
    <rPh sb="4" eb="5">
      <t>ガク</t>
    </rPh>
    <rPh sb="5" eb="6">
      <t>トウ</t>
    </rPh>
    <rPh sb="6" eb="8">
      <t>ケイサン</t>
    </rPh>
    <phoneticPr fontId="4"/>
  </si>
  <si>
    <r>
      <t>４歳以上児</t>
    </r>
    <r>
      <rPr>
        <sz val="11"/>
        <color indexed="10"/>
        <rFont val="ＭＳ Ｐゴシック"/>
        <family val="3"/>
        <charset val="128"/>
        <scheme val="minor"/>
      </rPr>
      <t>（特例給付対象児童）</t>
    </r>
    <r>
      <rPr>
        <sz val="11"/>
        <color indexed="8"/>
        <rFont val="ＭＳ Ｐゴシック"/>
        <family val="3"/>
        <charset val="128"/>
        <scheme val="minor"/>
      </rPr>
      <t xml:space="preserve">
</t>
    </r>
    <r>
      <rPr>
        <sz val="10"/>
        <color indexed="8"/>
        <rFont val="ＭＳ Ｐゴシック"/>
        <family val="3"/>
        <charset val="128"/>
        <scheme val="minor"/>
      </rPr>
      <t>※障害児保育加算ありの場合障害児を除いた数</t>
    </r>
    <rPh sb="1" eb="4">
      <t>サイイジョウ</t>
    </rPh>
    <rPh sb="4" eb="5">
      <t>ジ</t>
    </rPh>
    <rPh sb="6" eb="8">
      <t>トクレイ</t>
    </rPh>
    <rPh sb="8" eb="10">
      <t>キュウフ</t>
    </rPh>
    <rPh sb="10" eb="12">
      <t>タイショウ</t>
    </rPh>
    <rPh sb="12" eb="14">
      <t>ジドウ</t>
    </rPh>
    <rPh sb="17" eb="20">
      <t>ショウガイジ</t>
    </rPh>
    <rPh sb="20" eb="22">
      <t>ホイク</t>
    </rPh>
    <rPh sb="22" eb="24">
      <t>カサン</t>
    </rPh>
    <rPh sb="27" eb="29">
      <t>バアイ</t>
    </rPh>
    <rPh sb="29" eb="32">
      <t>ショウガイジ</t>
    </rPh>
    <rPh sb="33" eb="34">
      <t>ノゾ</t>
    </rPh>
    <rPh sb="36" eb="37">
      <t>カズ</t>
    </rPh>
    <phoneticPr fontId="74"/>
  </si>
  <si>
    <r>
      <t>３歳児</t>
    </r>
    <r>
      <rPr>
        <sz val="11"/>
        <color indexed="10"/>
        <rFont val="ＭＳ Ｐゴシック"/>
        <family val="3"/>
        <charset val="128"/>
        <scheme val="minor"/>
      </rPr>
      <t>（特例給付対象児童）</t>
    </r>
    <r>
      <rPr>
        <sz val="11"/>
        <color indexed="8"/>
        <rFont val="ＭＳ Ｐゴシック"/>
        <family val="3"/>
        <charset val="128"/>
        <scheme val="minor"/>
      </rPr>
      <t xml:space="preserve">
</t>
    </r>
    <r>
      <rPr>
        <sz val="10"/>
        <color indexed="8"/>
        <rFont val="ＭＳ Ｐゴシック"/>
        <family val="3"/>
        <charset val="128"/>
        <scheme val="minor"/>
      </rPr>
      <t>※障害児保育加算ありの場合障害児を除いた数</t>
    </r>
    <rPh sb="1" eb="3">
      <t>サイジ</t>
    </rPh>
    <rPh sb="4" eb="6">
      <t>トクレイ</t>
    </rPh>
    <rPh sb="6" eb="8">
      <t>キュウフ</t>
    </rPh>
    <rPh sb="8" eb="10">
      <t>タイショウ</t>
    </rPh>
    <rPh sb="10" eb="12">
      <t>ジドウ</t>
    </rPh>
    <rPh sb="15" eb="18">
      <t>ショウガイジ</t>
    </rPh>
    <rPh sb="18" eb="20">
      <t>ホイク</t>
    </rPh>
    <rPh sb="20" eb="22">
      <t>カサン</t>
    </rPh>
    <rPh sb="25" eb="27">
      <t>バアイ</t>
    </rPh>
    <rPh sb="27" eb="30">
      <t>ショウガイジ</t>
    </rPh>
    <rPh sb="31" eb="32">
      <t>ノゾ</t>
    </rPh>
    <rPh sb="34" eb="35">
      <t>カズ</t>
    </rPh>
    <phoneticPr fontId="74"/>
  </si>
  <si>
    <r>
      <t xml:space="preserve">１，２歳児
</t>
    </r>
    <r>
      <rPr>
        <sz val="10"/>
        <color indexed="8"/>
        <rFont val="ＭＳ Ｐゴシック"/>
        <family val="3"/>
        <charset val="128"/>
        <scheme val="minor"/>
      </rPr>
      <t>※障害児保育加算ありの場合障害児を除いた数</t>
    </r>
    <rPh sb="3" eb="5">
      <t>サイジ</t>
    </rPh>
    <rPh sb="7" eb="10">
      <t>ショウガイジ</t>
    </rPh>
    <rPh sb="10" eb="12">
      <t>ホイク</t>
    </rPh>
    <rPh sb="12" eb="14">
      <t>カサン</t>
    </rPh>
    <rPh sb="17" eb="19">
      <t>バアイ</t>
    </rPh>
    <rPh sb="19" eb="22">
      <t>ショウガイジ</t>
    </rPh>
    <rPh sb="23" eb="24">
      <t>ノゾ</t>
    </rPh>
    <rPh sb="26" eb="27">
      <t>カズ</t>
    </rPh>
    <phoneticPr fontId="74"/>
  </si>
  <si>
    <r>
      <t xml:space="preserve">０歳児
</t>
    </r>
    <r>
      <rPr>
        <sz val="10"/>
        <color indexed="8"/>
        <rFont val="ＭＳ Ｐゴシック"/>
        <family val="3"/>
        <charset val="128"/>
        <scheme val="minor"/>
      </rPr>
      <t>※障害児保育加算ありの場合障害児を除いた数</t>
    </r>
    <rPh sb="1" eb="3">
      <t>サイジ</t>
    </rPh>
    <phoneticPr fontId="74"/>
  </si>
  <si>
    <t>提出書類チェック表</t>
    <rPh sb="0" eb="2">
      <t>テイシュツ</t>
    </rPh>
    <rPh sb="2" eb="4">
      <t>ショルイ</t>
    </rPh>
    <rPh sb="8" eb="9">
      <t>ヒョウ</t>
    </rPh>
    <phoneticPr fontId="4"/>
  </si>
  <si>
    <t>□</t>
  </si>
  <si>
    <t>配分一覧表</t>
  </si>
  <si>
    <t>対象の職位に発令されたことがわかる書類</t>
    <rPh sb="0" eb="2">
      <t>タイショウ</t>
    </rPh>
    <rPh sb="3" eb="5">
      <t>ショクイ</t>
    </rPh>
    <rPh sb="6" eb="8">
      <t>ハツレイ</t>
    </rPh>
    <rPh sb="17" eb="19">
      <t>ショルイ</t>
    </rPh>
    <phoneticPr fontId="60"/>
  </si>
  <si>
    <t>人数Ａ・人数Ｂの対象者全員分</t>
    <rPh sb="0" eb="2">
      <t>ニンズウ</t>
    </rPh>
    <rPh sb="4" eb="6">
      <t>ニンズウ</t>
    </rPh>
    <rPh sb="8" eb="10">
      <t>タイショウ</t>
    </rPh>
    <rPh sb="10" eb="11">
      <t>シャ</t>
    </rPh>
    <rPh sb="11" eb="13">
      <t>ゼンイン</t>
    </rPh>
    <rPh sb="13" eb="14">
      <t>ブン</t>
    </rPh>
    <phoneticPr fontId="60"/>
  </si>
  <si>
    <t>2020年度の給与規定</t>
    <rPh sb="4" eb="6">
      <t>ネンド</t>
    </rPh>
    <rPh sb="7" eb="9">
      <t>キュウヨ</t>
    </rPh>
    <rPh sb="9" eb="11">
      <t>キテイ</t>
    </rPh>
    <phoneticPr fontId="60"/>
  </si>
  <si>
    <t>様式６－１、６－２
添付書類①</t>
    <rPh sb="10" eb="14">
      <t>テンプショルイ</t>
    </rPh>
    <phoneticPr fontId="60"/>
  </si>
  <si>
    <t>様式６－１、６－２
添付書類②</t>
    <rPh sb="10" eb="14">
      <t>テンプショルイ</t>
    </rPh>
    <phoneticPr fontId="60"/>
  </si>
  <si>
    <t>様式２添付書類②</t>
    <rPh sb="0" eb="2">
      <t>ヨウシキ</t>
    </rPh>
    <rPh sb="3" eb="7">
      <t>テンプショルイ</t>
    </rPh>
    <phoneticPr fontId="60"/>
  </si>
  <si>
    <t>研修計画等</t>
    <rPh sb="0" eb="2">
      <t>ケンシュウ</t>
    </rPh>
    <rPh sb="2" eb="4">
      <t>ケイカク</t>
    </rPh>
    <rPh sb="4" eb="5">
      <t>トウ</t>
    </rPh>
    <phoneticPr fontId="60"/>
  </si>
  <si>
    <t>シート名は、保育所であれば「入力（加算）保」など施設種別ごとに異なります。</t>
    <rPh sb="3" eb="4">
      <t>メイ</t>
    </rPh>
    <rPh sb="6" eb="8">
      <t>ホイク</t>
    </rPh>
    <rPh sb="8" eb="9">
      <t>ショ</t>
    </rPh>
    <rPh sb="14" eb="16">
      <t>ニュウリョク</t>
    </rPh>
    <rPh sb="17" eb="19">
      <t>カサン</t>
    </rPh>
    <rPh sb="20" eb="21">
      <t>ホ</t>
    </rPh>
    <rPh sb="24" eb="26">
      <t>シセツ</t>
    </rPh>
    <rPh sb="26" eb="28">
      <t>シュベツ</t>
    </rPh>
    <rPh sb="31" eb="32">
      <t>コト</t>
    </rPh>
    <phoneticPr fontId="60"/>
  </si>
  <si>
    <t>入力（児童数-本園）</t>
    <rPh sb="0" eb="2">
      <t>ニュウリョク</t>
    </rPh>
    <rPh sb="3" eb="5">
      <t>ジドウ</t>
    </rPh>
    <rPh sb="5" eb="6">
      <t>スウ</t>
    </rPh>
    <rPh sb="7" eb="8">
      <t>ホン</t>
    </rPh>
    <rPh sb="8" eb="9">
      <t>エン</t>
    </rPh>
    <phoneticPr fontId="4"/>
  </si>
  <si>
    <t>入力（児童数-分園）</t>
    <rPh sb="0" eb="2">
      <t>ニュウリョク</t>
    </rPh>
    <rPh sb="3" eb="5">
      <t>ジドウ</t>
    </rPh>
    <rPh sb="5" eb="6">
      <t>スウ</t>
    </rPh>
    <rPh sb="7" eb="9">
      <t>ブンエン</t>
    </rPh>
    <phoneticPr fontId="4"/>
  </si>
  <si>
    <t>分園がある施設のみ必要</t>
    <rPh sb="0" eb="2">
      <t>ブンエン</t>
    </rPh>
    <rPh sb="5" eb="7">
      <t>シセツ</t>
    </rPh>
    <rPh sb="9" eb="11">
      <t>ヒツヨウ</t>
    </rPh>
    <phoneticPr fontId="60"/>
  </si>
  <si>
    <t>処遇Ⅱに関する規定が明示されていること</t>
    <rPh sb="0" eb="2">
      <t>ショグウ</t>
    </rPh>
    <rPh sb="4" eb="5">
      <t>カン</t>
    </rPh>
    <rPh sb="7" eb="9">
      <t>キテイ</t>
    </rPh>
    <rPh sb="10" eb="12">
      <t>メイジ</t>
    </rPh>
    <phoneticPr fontId="60"/>
  </si>
  <si>
    <t>公定価格引上げ分(人勧分)：</t>
    <phoneticPr fontId="4"/>
  </si>
  <si>
    <r>
      <t>保育</t>
    </r>
    <r>
      <rPr>
        <b/>
        <sz val="11"/>
        <color rgb="FFFF0000"/>
        <rFont val="ＭＳ Ｐゴシック"/>
        <family val="3"/>
        <charset val="128"/>
        <scheme val="minor"/>
      </rPr>
      <t>短</t>
    </r>
    <r>
      <rPr>
        <b/>
        <sz val="11"/>
        <color indexed="8"/>
        <rFont val="ＭＳ Ｐゴシック"/>
        <family val="3"/>
        <charset val="128"/>
        <scheme val="minor"/>
      </rPr>
      <t>時間</t>
    </r>
    <rPh sb="0" eb="2">
      <t>ホイク</t>
    </rPh>
    <rPh sb="2" eb="3">
      <t>タン</t>
    </rPh>
    <rPh sb="3" eb="5">
      <t>ジカン</t>
    </rPh>
    <phoneticPr fontId="4"/>
  </si>
  <si>
    <t>主任に4万円エラー</t>
    <rPh sb="0" eb="2">
      <t>シュニン</t>
    </rPh>
    <rPh sb="4" eb="6">
      <t>マンエン</t>
    </rPh>
    <phoneticPr fontId="60"/>
  </si>
  <si>
    <t>平均児童数</t>
    <rPh sb="0" eb="2">
      <t>ヘイキン</t>
    </rPh>
    <rPh sb="2" eb="4">
      <t>ジドウ</t>
    </rPh>
    <rPh sb="4" eb="5">
      <t>スウ</t>
    </rPh>
    <phoneticPr fontId="4"/>
  </si>
  <si>
    <t>2.3号計</t>
    <rPh sb="3" eb="4">
      <t>ゴウ</t>
    </rPh>
    <rPh sb="4" eb="5">
      <t>ケイ</t>
    </rPh>
    <phoneticPr fontId="4"/>
  </si>
  <si>
    <t>1号計</t>
    <rPh sb="1" eb="2">
      <t>ゴウ</t>
    </rPh>
    <rPh sb="2" eb="3">
      <t>ケイ</t>
    </rPh>
    <phoneticPr fontId="4"/>
  </si>
  <si>
    <t>・　地域型事業所については、障がい児加算の対象児童を含めること</t>
    <rPh sb="2" eb="5">
      <t>チイキガタ</t>
    </rPh>
    <rPh sb="5" eb="8">
      <t>ジギョウショ</t>
    </rPh>
    <rPh sb="14" eb="15">
      <t>ショウ</t>
    </rPh>
    <rPh sb="17" eb="18">
      <t>ジ</t>
    </rPh>
    <rPh sb="18" eb="20">
      <t>カサン</t>
    </rPh>
    <rPh sb="21" eb="23">
      <t>タイショウ</t>
    </rPh>
    <rPh sb="23" eb="25">
      <t>ジドウ</t>
    </rPh>
    <rPh sb="26" eb="27">
      <t>フク</t>
    </rPh>
    <phoneticPr fontId="4"/>
  </si>
  <si>
    <t>平均児童数</t>
    <rPh sb="0" eb="5">
      <t>ヘイキンジドウスウ</t>
    </rPh>
    <phoneticPr fontId="4"/>
  </si>
  <si>
    <t>障がい０歳</t>
    <rPh sb="0" eb="1">
      <t>ショウ</t>
    </rPh>
    <rPh sb="4" eb="5">
      <t>サイ</t>
    </rPh>
    <phoneticPr fontId="60"/>
  </si>
  <si>
    <t>障がい１・２歳</t>
    <rPh sb="0" eb="1">
      <t>ショウ</t>
    </rPh>
    <rPh sb="6" eb="7">
      <t>サイ</t>
    </rPh>
    <phoneticPr fontId="60"/>
  </si>
  <si>
    <t>改善期間</t>
    <rPh sb="0" eb="2">
      <t>カイゼン</t>
    </rPh>
    <rPh sb="2" eb="4">
      <t>キカン</t>
    </rPh>
    <phoneticPr fontId="60"/>
  </si>
  <si>
    <t>4月</t>
    <rPh sb="1" eb="2">
      <t>ガツ</t>
    </rPh>
    <phoneticPr fontId="4"/>
  </si>
  <si>
    <t>法人内配分額</t>
    <rPh sb="0" eb="5">
      <t>ホウジンナイハイブン</t>
    </rPh>
    <rPh sb="5" eb="6">
      <t>ガク</t>
    </rPh>
    <phoneticPr fontId="4"/>
  </si>
  <si>
    <t>×週当たり実施日数</t>
  </si>
  <si>
    <t>×週当たり実施日数×加算率</t>
  </si>
  <si>
    <t>㉖</t>
    <phoneticPr fontId="8"/>
  </si>
  <si>
    <t>(④＋⑤＋⑧)</t>
  </si>
  <si>
    <t>≪試算ファイルについて≫</t>
    <rPh sb="1" eb="3">
      <t>シサン</t>
    </rPh>
    <phoneticPr fontId="4"/>
  </si>
  <si>
    <t>入力（基本）：</t>
    <rPh sb="0" eb="2">
      <t>ニュウリョク</t>
    </rPh>
    <rPh sb="3" eb="5">
      <t>キホン</t>
    </rPh>
    <phoneticPr fontId="4"/>
  </si>
  <si>
    <t>入力（児童数-本園）、入力（児童数-分園）：</t>
    <phoneticPr fontId="4"/>
  </si>
  <si>
    <t>入力・判定（基準年度）：</t>
    <phoneticPr fontId="4"/>
  </si>
  <si>
    <t>入力（加算）：</t>
    <phoneticPr fontId="4"/>
  </si>
  <si>
    <t>加算見込額の算定では使用しません。自施設の基準年度を確認したい場合のみ入力してください。</t>
    <rPh sb="0" eb="5">
      <t>カサンミコミガク</t>
    </rPh>
    <rPh sb="6" eb="8">
      <t>サンテイ</t>
    </rPh>
    <rPh sb="10" eb="12">
      <t>シヨウ</t>
    </rPh>
    <rPh sb="17" eb="20">
      <t>ジシセツ</t>
    </rPh>
    <rPh sb="21" eb="25">
      <t>キジュンネンド</t>
    </rPh>
    <rPh sb="26" eb="28">
      <t>カクニン</t>
    </rPh>
    <rPh sb="31" eb="33">
      <t>バアイ</t>
    </rPh>
    <rPh sb="35" eb="37">
      <t>ニュウリョク</t>
    </rPh>
    <phoneticPr fontId="4"/>
  </si>
  <si>
    <t>各項目に必要事項を入力してください。</t>
    <rPh sb="0" eb="3">
      <t>カクコウモク</t>
    </rPh>
    <phoneticPr fontId="4"/>
  </si>
  <si>
    <t>◎各シートの説明</t>
    <rPh sb="1" eb="2">
      <t>カク</t>
    </rPh>
    <rPh sb="6" eb="8">
      <t>セツメイ</t>
    </rPh>
    <phoneticPr fontId="4"/>
  </si>
  <si>
    <t>様式３：</t>
    <rPh sb="0" eb="2">
      <t>ヨウシキ</t>
    </rPh>
    <phoneticPr fontId="4"/>
  </si>
  <si>
    <t>処遇Ⅰ加算見込額：</t>
    <rPh sb="0" eb="2">
      <t>ショグウ</t>
    </rPh>
    <rPh sb="3" eb="8">
      <t>カサンミコミガク</t>
    </rPh>
    <phoneticPr fontId="4"/>
  </si>
  <si>
    <t>～</t>
    <phoneticPr fontId="4"/>
  </si>
  <si>
    <t>人数Ａ</t>
    <rPh sb="0" eb="2">
      <t>ニンズウ</t>
    </rPh>
    <phoneticPr fontId="4"/>
  </si>
  <si>
    <t>人数Ｂ</t>
    <rPh sb="0" eb="2">
      <t>ニンズウ</t>
    </rPh>
    <phoneticPr fontId="4"/>
  </si>
  <si>
    <t>配分額Ａ</t>
    <rPh sb="0" eb="2">
      <t>ハイブン</t>
    </rPh>
    <rPh sb="2" eb="3">
      <t>ガク</t>
    </rPh>
    <phoneticPr fontId="4"/>
  </si>
  <si>
    <t>加算額Ａ（法定福利費含む）</t>
    <rPh sb="0" eb="2">
      <t>カサン</t>
    </rPh>
    <rPh sb="2" eb="3">
      <t>ガク</t>
    </rPh>
    <rPh sb="5" eb="7">
      <t>ホウテイ</t>
    </rPh>
    <rPh sb="7" eb="9">
      <t>フクリ</t>
    </rPh>
    <rPh sb="9" eb="10">
      <t>ヒ</t>
    </rPh>
    <rPh sb="10" eb="11">
      <t>フク</t>
    </rPh>
    <phoneticPr fontId="4"/>
  </si>
  <si>
    <t>配分額Ｂ</t>
    <rPh sb="0" eb="2">
      <t>ハイブン</t>
    </rPh>
    <rPh sb="2" eb="3">
      <t>ガク</t>
    </rPh>
    <phoneticPr fontId="4"/>
  </si>
  <si>
    <t>加算額Ｂ（法定福利費含む）</t>
    <rPh sb="0" eb="2">
      <t>カサン</t>
    </rPh>
    <rPh sb="2" eb="3">
      <t>ガク</t>
    </rPh>
    <rPh sb="5" eb="7">
      <t>ホウテイ</t>
    </rPh>
    <rPh sb="7" eb="9">
      <t>フクリ</t>
    </rPh>
    <rPh sb="9" eb="10">
      <t>ヒ</t>
    </rPh>
    <rPh sb="10" eb="11">
      <t>フク</t>
    </rPh>
    <phoneticPr fontId="4"/>
  </si>
  <si>
    <t>配分額合計</t>
    <rPh sb="0" eb="3">
      <t>ハイブンガク</t>
    </rPh>
    <rPh sb="3" eb="5">
      <t>ゴウケイ</t>
    </rPh>
    <phoneticPr fontId="4"/>
  </si>
  <si>
    <t>加算額合計</t>
    <rPh sb="0" eb="5">
      <t>カサンガクゴウケイ</t>
    </rPh>
    <phoneticPr fontId="4"/>
  </si>
  <si>
    <t>月額</t>
    <rPh sb="0" eb="2">
      <t>ゲツガク</t>
    </rPh>
    <phoneticPr fontId="4"/>
  </si>
  <si>
    <t>児童数</t>
    <rPh sb="0" eb="3">
      <t>ジドウスウ</t>
    </rPh>
    <phoneticPr fontId="60"/>
  </si>
  <si>
    <t>法定福利費％</t>
    <rPh sb="0" eb="5">
      <t>ホウテイフクリヒ</t>
    </rPh>
    <phoneticPr fontId="4"/>
  </si>
  <si>
    <t>人数Bの
加算額</t>
    <rPh sb="0" eb="2">
      <t>ニンズウ</t>
    </rPh>
    <rPh sb="5" eb="7">
      <t>カサン</t>
    </rPh>
    <rPh sb="7" eb="8">
      <t>ガク</t>
    </rPh>
    <phoneticPr fontId="4"/>
  </si>
  <si>
    <t>人数Bの
加算額
(法定福利費分含む)</t>
    <rPh sb="0" eb="2">
      <t>ニンズウ</t>
    </rPh>
    <rPh sb="5" eb="7">
      <t>カサン</t>
    </rPh>
    <rPh sb="7" eb="8">
      <t>ガク</t>
    </rPh>
    <rPh sb="10" eb="15">
      <t>ホウテイフクリヒ</t>
    </rPh>
    <rPh sb="15" eb="16">
      <t>ブン</t>
    </rPh>
    <rPh sb="16" eb="17">
      <t>フク</t>
    </rPh>
    <phoneticPr fontId="4"/>
  </si>
  <si>
    <t>キ</t>
    <phoneticPr fontId="4"/>
  </si>
  <si>
    <t>人数A、B合わせた余剰額（見込）
※２</t>
    <rPh sb="0" eb="2">
      <t>ニンズウ</t>
    </rPh>
    <rPh sb="5" eb="6">
      <t>ア</t>
    </rPh>
    <rPh sb="9" eb="12">
      <t>ヨジョウガク</t>
    </rPh>
    <rPh sb="13" eb="15">
      <t>ミコ</t>
    </rPh>
    <phoneticPr fontId="4"/>
  </si>
  <si>
    <t>⑤</t>
    <phoneticPr fontId="4"/>
  </si>
  <si>
    <t>⑦</t>
    <phoneticPr fontId="4"/>
  </si>
  <si>
    <t>（２）職務分野別リーダー等に係る賃金改善について（人数Ｂ内訳）</t>
    <rPh sb="3" eb="5">
      <t>ショクム</t>
    </rPh>
    <rPh sb="5" eb="8">
      <t>ブンヤベツ</t>
    </rPh>
    <rPh sb="12" eb="13">
      <t>トウ</t>
    </rPh>
    <rPh sb="14" eb="15">
      <t>カカ</t>
    </rPh>
    <rPh sb="16" eb="18">
      <t>チンギン</t>
    </rPh>
    <rPh sb="18" eb="20">
      <t>カイゼン</t>
    </rPh>
    <rPh sb="25" eb="27">
      <t>ニンズウ</t>
    </rPh>
    <rPh sb="28" eb="30">
      <t>ウチワケ</t>
    </rPh>
    <phoneticPr fontId="4"/>
  </si>
  <si>
    <t>4万円チェック</t>
    <rPh sb="1" eb="3">
      <t>マンエン</t>
    </rPh>
    <phoneticPr fontId="4"/>
  </si>
  <si>
    <t>上6-1、下6-2</t>
    <rPh sb="0" eb="1">
      <t>ウエ</t>
    </rPh>
    <rPh sb="5" eb="6">
      <t>シタ</t>
    </rPh>
    <phoneticPr fontId="4"/>
  </si>
  <si>
    <t>改善期間</t>
    <rPh sb="0" eb="4">
      <t>カイゼンキカン</t>
    </rPh>
    <phoneticPr fontId="4"/>
  </si>
  <si>
    <t>自</t>
    <rPh sb="0" eb="1">
      <t>ジ</t>
    </rPh>
    <phoneticPr fontId="4"/>
  </si>
  <si>
    <t>至</t>
    <rPh sb="0" eb="1">
      <t>イタ</t>
    </rPh>
    <phoneticPr fontId="4"/>
  </si>
  <si>
    <t>⑧</t>
    <phoneticPr fontId="4"/>
  </si>
  <si>
    <t>⑨</t>
    <phoneticPr fontId="4"/>
  </si>
  <si>
    <t>法人内配分上限</t>
    <rPh sb="0" eb="5">
      <t>ホウジンナイハイブン</t>
    </rPh>
    <rPh sb="5" eb="7">
      <t>ジョウゲン</t>
    </rPh>
    <phoneticPr fontId="4"/>
  </si>
  <si>
    <t>法人内配分上限額</t>
    <rPh sb="0" eb="3">
      <t>ホウジンナイ</t>
    </rPh>
    <rPh sb="3" eb="5">
      <t>ハイブン</t>
    </rPh>
    <rPh sb="5" eb="8">
      <t>ジョウゲンガク</t>
    </rPh>
    <phoneticPr fontId="4"/>
  </si>
  <si>
    <t>（２）－１　処遇改善等加算Ⅱの配分額等まとめ</t>
    <rPh sb="6" eb="13">
      <t>ショグウカイゼントウカサン</t>
    </rPh>
    <rPh sb="15" eb="19">
      <t>ハイブンガクトウ</t>
    </rPh>
    <phoneticPr fontId="4"/>
  </si>
  <si>
    <t>法人内配分額合計
（様式6-3より）</t>
    <rPh sb="0" eb="3">
      <t>ホウジンナイ</t>
    </rPh>
    <rPh sb="3" eb="8">
      <t>ハイブンガクゴウケイ</t>
    </rPh>
    <rPh sb="10" eb="12">
      <t>ヨウシキ</t>
    </rPh>
    <phoneticPr fontId="4"/>
  </si>
  <si>
    <t>4月↓</t>
    <rPh sb="1" eb="2">
      <t>ガツ</t>
    </rPh>
    <phoneticPr fontId="4"/>
  </si>
  <si>
    <t>5月↓</t>
    <rPh sb="1" eb="2">
      <t>ガツ</t>
    </rPh>
    <phoneticPr fontId="4"/>
  </si>
  <si>
    <t>6月↓</t>
    <rPh sb="1" eb="2">
      <t>ガツ</t>
    </rPh>
    <phoneticPr fontId="4"/>
  </si>
  <si>
    <t>7月↓</t>
    <rPh sb="1" eb="2">
      <t>ガツ</t>
    </rPh>
    <phoneticPr fontId="4"/>
  </si>
  <si>
    <t>8月↓</t>
    <rPh sb="1" eb="2">
      <t>ガツ</t>
    </rPh>
    <phoneticPr fontId="4"/>
  </si>
  <si>
    <t>9月↓</t>
    <rPh sb="1" eb="2">
      <t>ガツ</t>
    </rPh>
    <phoneticPr fontId="4"/>
  </si>
  <si>
    <t>10月↓</t>
    <rPh sb="2" eb="3">
      <t>ガツ</t>
    </rPh>
    <phoneticPr fontId="4"/>
  </si>
  <si>
    <t>11月↓</t>
    <rPh sb="2" eb="3">
      <t>ガツ</t>
    </rPh>
    <phoneticPr fontId="4"/>
  </si>
  <si>
    <t>12月↓</t>
    <rPh sb="2" eb="3">
      <t>ガツ</t>
    </rPh>
    <phoneticPr fontId="4"/>
  </si>
  <si>
    <t>1月↓</t>
    <rPh sb="1" eb="2">
      <t>ガツ</t>
    </rPh>
    <phoneticPr fontId="4"/>
  </si>
  <si>
    <t>2月↓</t>
    <rPh sb="1" eb="2">
      <t>ガツ</t>
    </rPh>
    <phoneticPr fontId="4"/>
  </si>
  <si>
    <t>3月↓</t>
    <rPh sb="1" eb="2">
      <t>ガツ</t>
    </rPh>
    <phoneticPr fontId="4"/>
  </si>
  <si>
    <t>配分額不一致</t>
    <rPh sb="0" eb="3">
      <t>ハイブンガク</t>
    </rPh>
    <rPh sb="3" eb="6">
      <t>フイッチ</t>
    </rPh>
    <phoneticPr fontId="4"/>
  </si>
  <si>
    <t>合計（賃金改善見込額）</t>
    <rPh sb="0" eb="2">
      <t>ゴウケイ</t>
    </rPh>
    <rPh sb="7" eb="9">
      <t>ミコミ</t>
    </rPh>
    <phoneticPr fontId="4"/>
  </si>
  <si>
    <t>A含</t>
    <rPh sb="1" eb="2">
      <t>フク</t>
    </rPh>
    <phoneticPr fontId="60"/>
  </si>
  <si>
    <t>B含</t>
    <rPh sb="1" eb="2">
      <t>フク</t>
    </rPh>
    <phoneticPr fontId="60"/>
  </si>
  <si>
    <t>内訳表
人数A
賃金改善見込額</t>
    <rPh sb="0" eb="3">
      <t>ウチワケヒョウ</t>
    </rPh>
    <rPh sb="4" eb="6">
      <t>ニンズ</t>
    </rPh>
    <rPh sb="8" eb="10">
      <t>チンギン</t>
    </rPh>
    <rPh sb="10" eb="12">
      <t>カイゼン</t>
    </rPh>
    <rPh sb="12" eb="14">
      <t>ミコミ</t>
    </rPh>
    <rPh sb="14" eb="15">
      <t>ガク</t>
    </rPh>
    <phoneticPr fontId="4"/>
  </si>
  <si>
    <t>内訳表
人数B
賃金改善見込額</t>
    <rPh sb="8" eb="12">
      <t>チンギンカイゼン</t>
    </rPh>
    <rPh sb="12" eb="15">
      <t>ミコミガク</t>
    </rPh>
    <phoneticPr fontId="4"/>
  </si>
  <si>
    <t>以下は『入力（基準年度判定）』シートで基準年度を確定させてからご確認ください。</t>
    <rPh sb="0" eb="2">
      <t>イカ</t>
    </rPh>
    <phoneticPr fontId="4"/>
  </si>
  <si>
    <t>（障がい児）</t>
    <rPh sb="1" eb="2">
      <t>ショウ</t>
    </rPh>
    <rPh sb="4" eb="5">
      <t>ジ</t>
    </rPh>
    <phoneticPr fontId="4"/>
  </si>
  <si>
    <t>賃金改善見込額に対する法定福利費
(自動計算)
※２</t>
    <rPh sb="0" eb="2">
      <t>チンギン</t>
    </rPh>
    <rPh sb="2" eb="4">
      <t>カイゼン</t>
    </rPh>
    <rPh sb="4" eb="6">
      <t>ミコミ</t>
    </rPh>
    <rPh sb="6" eb="7">
      <t>ガク</t>
    </rPh>
    <rPh sb="8" eb="9">
      <t>タイ</t>
    </rPh>
    <rPh sb="11" eb="16">
      <t>ホウテイフクリヒ</t>
    </rPh>
    <rPh sb="18" eb="22">
      <t>ジドウケイサン</t>
    </rPh>
    <phoneticPr fontId="4"/>
  </si>
  <si>
    <t>人数A→人数Bに
配分する額</t>
    <rPh sb="0" eb="2">
      <t>ニンズ</t>
    </rPh>
    <rPh sb="4" eb="6">
      <t>ニンズ</t>
    </rPh>
    <rPh sb="9" eb="11">
      <t>ハイブン</t>
    </rPh>
    <rPh sb="13" eb="14">
      <t>ガク</t>
    </rPh>
    <phoneticPr fontId="4"/>
  </si>
  <si>
    <t>人数Aで配分すべき額
(法定福利費分含む)</t>
    <rPh sb="0" eb="2">
      <t>ニンズ</t>
    </rPh>
    <rPh sb="4" eb="6">
      <t>ハイブン</t>
    </rPh>
    <rPh sb="9" eb="10">
      <t>ガク</t>
    </rPh>
    <phoneticPr fontId="4"/>
  </si>
  <si>
    <t>人数Bで配分すべき額
(法定福利費分含む)</t>
    <rPh sb="0" eb="2">
      <t>ニンズ</t>
    </rPh>
    <rPh sb="4" eb="6">
      <t>ハイブン</t>
    </rPh>
    <rPh sb="9" eb="10">
      <t>ガク</t>
    </rPh>
    <phoneticPr fontId="4"/>
  </si>
  <si>
    <t>チ</t>
    <phoneticPr fontId="4"/>
  </si>
  <si>
    <t>人数Bで配分すべき額</t>
    <rPh sb="0" eb="2">
      <t>ニンズ</t>
    </rPh>
    <rPh sb="4" eb="6">
      <t>ハイブン</t>
    </rPh>
    <rPh sb="9" eb="10">
      <t>ガク</t>
    </rPh>
    <phoneticPr fontId="4"/>
  </si>
  <si>
    <t>配分計画を下記の表に記載すること。</t>
    <rPh sb="0" eb="4">
      <t>ハイブンケイカク</t>
    </rPh>
    <phoneticPr fontId="4"/>
  </si>
  <si>
    <r>
      <t>（</t>
    </r>
    <r>
      <rPr>
        <sz val="11"/>
        <color theme="9" tint="-0.249977111117893"/>
        <rFont val="ＭＳ ゴシック"/>
        <family val="3"/>
        <charset val="128"/>
      </rPr>
      <t>キ</t>
    </r>
    <r>
      <rPr>
        <sz val="11"/>
        <color theme="1"/>
        <rFont val="ＭＳ ゴシック"/>
        <family val="3"/>
        <charset val="128"/>
      </rPr>
      <t>＋チ）×法定福利費の割合</t>
    </r>
    <rPh sb="6" eb="11">
      <t>ホウテイフクリヒ</t>
    </rPh>
    <rPh sb="12" eb="14">
      <t>ワリアイ</t>
    </rPh>
    <phoneticPr fontId="4"/>
  </si>
  <si>
    <t>カ</t>
    <phoneticPr fontId="4"/>
  </si>
  <si>
    <t>ク</t>
    <phoneticPr fontId="4"/>
  </si>
  <si>
    <t>ケ</t>
    <phoneticPr fontId="4"/>
  </si>
  <si>
    <t>タ</t>
    <phoneticPr fontId="4"/>
  </si>
  <si>
    <t>※４</t>
    <phoneticPr fontId="4"/>
  </si>
  <si>
    <t>サ</t>
  </si>
  <si>
    <t>ア</t>
  </si>
  <si>
    <t>シ</t>
  </si>
  <si>
    <t>ス</t>
  </si>
  <si>
    <t>セ</t>
  </si>
  <si>
    <t>ソ</t>
    <phoneticPr fontId="4"/>
  </si>
  <si>
    <r>
      <t>(</t>
    </r>
    <r>
      <rPr>
        <sz val="11"/>
        <color theme="9" tint="-0.249977111117893"/>
        <rFont val="ＭＳ ゴシック"/>
        <family val="3"/>
        <charset val="128"/>
      </rPr>
      <t>カ</t>
    </r>
    <r>
      <rPr>
        <sz val="11"/>
        <color theme="1"/>
        <rFont val="ＭＳ ゴシック"/>
        <family val="3"/>
        <charset val="128"/>
      </rPr>
      <t>＋タ)－(</t>
    </r>
    <r>
      <rPr>
        <sz val="11"/>
        <color theme="9" tint="-0.249977111117893"/>
        <rFont val="ＭＳ ゴシック"/>
        <family val="3"/>
        <charset val="128"/>
      </rPr>
      <t>キ</t>
    </r>
    <r>
      <rPr>
        <sz val="11"/>
        <color theme="1"/>
        <rFont val="ＭＳ ゴシック"/>
        <family val="3"/>
        <charset val="128"/>
      </rPr>
      <t>＋チ)－</t>
    </r>
    <r>
      <rPr>
        <sz val="11"/>
        <color theme="9" tint="-0.249977111117893"/>
        <rFont val="ＭＳ ゴシック"/>
        <family val="3"/>
        <charset val="128"/>
      </rPr>
      <t>ク</t>
    </r>
    <phoneticPr fontId="4"/>
  </si>
  <si>
    <t>※４　エ、カ、キ、ク、ケについては様式6-1より引用</t>
    <rPh sb="17" eb="19">
      <t>ヨウシキ</t>
    </rPh>
    <rPh sb="24" eb="26">
      <t>インヨウ</t>
    </rPh>
    <phoneticPr fontId="4"/>
  </si>
  <si>
    <t>÷</t>
    <phoneticPr fontId="4"/>
  </si>
  <si>
    <t>※２　法定福利費の割合…昨年度の実績に基づき自動計算　＝</t>
    <rPh sb="3" eb="8">
      <t>ホウテイフクリヒ</t>
    </rPh>
    <rPh sb="9" eb="11">
      <t>ワリアイ</t>
    </rPh>
    <rPh sb="12" eb="15">
      <t>サクネンド</t>
    </rPh>
    <rPh sb="16" eb="18">
      <t>ジッセキ</t>
    </rPh>
    <rPh sb="19" eb="20">
      <t>モト</t>
    </rPh>
    <rPh sb="22" eb="26">
      <t>ジドウケイサン</t>
    </rPh>
    <phoneticPr fontId="4"/>
  </si>
  <si>
    <t>様式６-２　【職務分野別リーダー等配分内訳書】</t>
    <rPh sb="0" eb="2">
      <t>ヨウシキ</t>
    </rPh>
    <rPh sb="7" eb="9">
      <t>ショクム</t>
    </rPh>
    <rPh sb="9" eb="11">
      <t>ブンヤ</t>
    </rPh>
    <rPh sb="11" eb="12">
      <t>ベツ</t>
    </rPh>
    <rPh sb="16" eb="17">
      <t>ナド</t>
    </rPh>
    <rPh sb="17" eb="19">
      <t>ハイブン</t>
    </rPh>
    <rPh sb="19" eb="22">
      <t>ウチワケショ</t>
    </rPh>
    <phoneticPr fontId="4"/>
  </si>
  <si>
    <t>（サ＋ス＋セ）</t>
    <phoneticPr fontId="4"/>
  </si>
  <si>
    <t>（シ＋ス＋セ）</t>
    <phoneticPr fontId="4"/>
  </si>
  <si>
    <r>
      <t>※１　法人内配分額　（記載例）他施設に1万円拠出する＝</t>
    </r>
    <r>
      <rPr>
        <sz val="11"/>
        <color rgb="FFFF0000"/>
        <rFont val="ＭＳ ゴシック"/>
        <family val="3"/>
        <charset val="128"/>
      </rPr>
      <t>-10,000</t>
    </r>
    <r>
      <rPr>
        <sz val="11"/>
        <color theme="1"/>
        <rFont val="ＭＳ ゴシック"/>
        <family val="3"/>
        <charset val="128"/>
      </rPr>
      <t>、他施設からの受入により1万円配分する＝10,000</t>
    </r>
    <rPh sb="3" eb="5">
      <t>ホウジン</t>
    </rPh>
    <rPh sb="5" eb="6">
      <t>ナイ</t>
    </rPh>
    <rPh sb="6" eb="8">
      <t>ハイブン</t>
    </rPh>
    <rPh sb="8" eb="9">
      <t>ガク</t>
    </rPh>
    <rPh sb="11" eb="13">
      <t>キサイ</t>
    </rPh>
    <rPh sb="13" eb="14">
      <t>レイ</t>
    </rPh>
    <rPh sb="15" eb="16">
      <t>タ</t>
    </rPh>
    <rPh sb="16" eb="18">
      <t>シセツ</t>
    </rPh>
    <rPh sb="20" eb="22">
      <t>マンエン</t>
    </rPh>
    <rPh sb="22" eb="24">
      <t>キョシュツ</t>
    </rPh>
    <rPh sb="35" eb="36">
      <t>タ</t>
    </rPh>
    <rPh sb="36" eb="38">
      <t>シセツ</t>
    </rPh>
    <rPh sb="41" eb="43">
      <t>ウケイレ</t>
    </rPh>
    <rPh sb="47" eb="48">
      <t>マン</t>
    </rPh>
    <rPh sb="48" eb="49">
      <t>エン</t>
    </rPh>
    <rPh sb="49" eb="51">
      <t>ハイブン</t>
    </rPh>
    <phoneticPr fontId="4"/>
  </si>
  <si>
    <t>（他施設から加算額の受入をする場合、法定福利費の事業主負担分を除いた額を記載）</t>
    <rPh sb="1" eb="4">
      <t>タシセツ</t>
    </rPh>
    <rPh sb="6" eb="9">
      <t>カサンガク</t>
    </rPh>
    <rPh sb="10" eb="12">
      <t>ウケイレ</t>
    </rPh>
    <rPh sb="15" eb="17">
      <t>バアイ</t>
    </rPh>
    <rPh sb="18" eb="23">
      <t>ホウテイフクリヒ</t>
    </rPh>
    <rPh sb="24" eb="30">
      <t>ジギョウヌシフタンブン</t>
    </rPh>
    <rPh sb="31" eb="32">
      <t>ノゾ</t>
    </rPh>
    <rPh sb="34" eb="35">
      <t>ガク</t>
    </rPh>
    <rPh sb="36" eb="38">
      <t>キサイ</t>
    </rPh>
    <phoneticPr fontId="4"/>
  </si>
  <si>
    <t>※３　加算額の余剰分＝年度内に職員へ再配分が必要です。年度内に再配分されない場合は、残額として次年度速やかに配分する必要があります。
　　　実績報告時に法定福利費を自動計算によらず個別に算出する場合は、余剰額も変動します。
　　　法人内配分で加算額の受入がある場合、※３の額は正確に計算されないため、様式６（４）確認欄の　C-Dの額を参考にしてください。　</t>
    <rPh sb="3" eb="6">
      <t>カサンガク</t>
    </rPh>
    <rPh sb="7" eb="9">
      <t>ヨジョウ</t>
    </rPh>
    <rPh sb="9" eb="10">
      <t>ブン</t>
    </rPh>
    <rPh sb="115" eb="120">
      <t>ホウジンナイハイブン</t>
    </rPh>
    <rPh sb="121" eb="124">
      <t>カサンガク</t>
    </rPh>
    <rPh sb="125" eb="127">
      <t>ウケイ</t>
    </rPh>
    <rPh sb="130" eb="132">
      <t>バアイ</t>
    </rPh>
    <rPh sb="136" eb="137">
      <t>ガク</t>
    </rPh>
    <rPh sb="138" eb="140">
      <t>セイカク</t>
    </rPh>
    <rPh sb="141" eb="143">
      <t>ケイサン</t>
    </rPh>
    <rPh sb="150" eb="152">
      <t>ヨウシキ</t>
    </rPh>
    <rPh sb="156" eb="158">
      <t>カクニン</t>
    </rPh>
    <rPh sb="158" eb="159">
      <t>ラン</t>
    </rPh>
    <rPh sb="165" eb="166">
      <t>ガク</t>
    </rPh>
    <rPh sb="167" eb="169">
      <t>サンコウ</t>
    </rPh>
    <phoneticPr fontId="4"/>
  </si>
  <si>
    <t>拠出上限</t>
    <rPh sb="0" eb="2">
      <t>キョシュツ</t>
    </rPh>
    <rPh sb="2" eb="4">
      <t>ジョウゲン</t>
    </rPh>
    <phoneticPr fontId="4"/>
  </si>
  <si>
    <t>法人内配分上限額以上の拠出</t>
    <phoneticPr fontId="4"/>
  </si>
  <si>
    <t>配分不足</t>
    <rPh sb="0" eb="4">
      <t>ハイブンブソク</t>
    </rPh>
    <phoneticPr fontId="4"/>
  </si>
  <si>
    <t>法人内配分合計＋法定福利費が不足</t>
    <phoneticPr fontId="4"/>
  </si>
  <si>
    <t>配分しすぎ</t>
    <rPh sb="0" eb="2">
      <t>ハイブン</t>
    </rPh>
    <phoneticPr fontId="4"/>
  </si>
  <si>
    <t>（様式6-3)の法人内配分額以上に配分</t>
    <rPh sb="8" eb="13">
      <t>ホウジンナイハイブン</t>
    </rPh>
    <rPh sb="13" eb="14">
      <t>ガク</t>
    </rPh>
    <rPh sb="14" eb="16">
      <t>イジョウ</t>
    </rPh>
    <rPh sb="17" eb="19">
      <t>ハイブン</t>
    </rPh>
    <phoneticPr fontId="4"/>
  </si>
  <si>
    <t>拠出不一致</t>
    <rPh sb="0" eb="2">
      <t>キョシュツ</t>
    </rPh>
    <rPh sb="2" eb="5">
      <t>フイッチ</t>
    </rPh>
    <phoneticPr fontId="4"/>
  </si>
  <si>
    <t>法人内配分額不一致（様式6-3)</t>
    <phoneticPr fontId="4"/>
  </si>
  <si>
    <r>
      <t>法人内配分額合計
（</t>
    </r>
    <r>
      <rPr>
        <sz val="11"/>
        <color theme="9" tint="-0.249977111117893"/>
        <rFont val="ＭＳ ゴシック"/>
        <family val="3"/>
        <charset val="128"/>
      </rPr>
      <t>エ</t>
    </r>
    <r>
      <rPr>
        <sz val="11"/>
        <color theme="1"/>
        <rFont val="ＭＳ ゴシック"/>
        <family val="3"/>
        <charset val="128"/>
      </rPr>
      <t>＋</t>
    </r>
    <r>
      <rPr>
        <sz val="11"/>
        <rFont val="ＭＳ ゴシック"/>
        <family val="3"/>
        <charset val="128"/>
      </rPr>
      <t>セ</t>
    </r>
    <r>
      <rPr>
        <sz val="11"/>
        <color theme="1"/>
        <rFont val="ＭＳ ゴシック"/>
        <family val="3"/>
        <charset val="128"/>
      </rPr>
      <t>）</t>
    </r>
    <rPh sb="0" eb="2">
      <t>ホウジン</t>
    </rPh>
    <rPh sb="2" eb="3">
      <t>ナイ</t>
    </rPh>
    <rPh sb="3" eb="5">
      <t>ハイブン</t>
    </rPh>
    <rPh sb="5" eb="6">
      <t>ガク</t>
    </rPh>
    <rPh sb="6" eb="8">
      <t>ゴウケイ</t>
    </rPh>
    <phoneticPr fontId="4"/>
  </si>
  <si>
    <t>前年実績から年間の見込児童数が算出されます。前年実績から出した見込が実態と乖離する場合などは、年間の見込児童数を直接入力してください。</t>
    <rPh sb="0" eb="2">
      <t>ゼンネン</t>
    </rPh>
    <rPh sb="2" eb="4">
      <t>ジッセキ</t>
    </rPh>
    <rPh sb="6" eb="8">
      <t>ネンカン</t>
    </rPh>
    <rPh sb="9" eb="11">
      <t>ミコミ</t>
    </rPh>
    <rPh sb="11" eb="14">
      <t>ジドウスウ</t>
    </rPh>
    <rPh sb="15" eb="17">
      <t>サンシュツ</t>
    </rPh>
    <rPh sb="22" eb="26">
      <t>ゼンネンジッセキ</t>
    </rPh>
    <rPh sb="28" eb="29">
      <t>ダ</t>
    </rPh>
    <rPh sb="31" eb="33">
      <t>ミコミ</t>
    </rPh>
    <rPh sb="34" eb="36">
      <t>ジッタイ</t>
    </rPh>
    <rPh sb="37" eb="39">
      <t>カイリ</t>
    </rPh>
    <rPh sb="41" eb="43">
      <t>バアイ</t>
    </rPh>
    <rPh sb="47" eb="49">
      <t>ネンカン</t>
    </rPh>
    <rPh sb="50" eb="55">
      <t>ミコミジドウスウ</t>
    </rPh>
    <rPh sb="56" eb="60">
      <t>チョクセツニュウリョク</t>
    </rPh>
    <phoneticPr fontId="4"/>
  </si>
  <si>
    <r>
      <t>取得予定の加算を入力していただくと、</t>
    </r>
    <r>
      <rPr>
        <u/>
        <sz val="12"/>
        <color theme="1"/>
        <rFont val="ＭＳ Ｐゴシック"/>
        <family val="3"/>
        <charset val="128"/>
        <scheme val="minor"/>
      </rPr>
      <t>処遇改善等加算Ⅰ（賃金改善要件分）の</t>
    </r>
    <r>
      <rPr>
        <b/>
        <u/>
        <sz val="12"/>
        <color theme="1"/>
        <rFont val="ＭＳ Ｐゴシック"/>
        <family val="3"/>
        <charset val="128"/>
        <scheme val="minor"/>
      </rPr>
      <t>加算見込額</t>
    </r>
    <r>
      <rPr>
        <sz val="11"/>
        <color theme="1"/>
        <rFont val="ＭＳ Ｐゴシック"/>
        <family val="3"/>
        <charset val="128"/>
        <scheme val="minor"/>
      </rPr>
      <t>が計算されます。施設種別ごとに別シートとなっておりますので、該当のシートを参照してください。</t>
    </r>
    <rPh sb="0" eb="2">
      <t>シュトク</t>
    </rPh>
    <rPh sb="2" eb="4">
      <t>ヨテイ</t>
    </rPh>
    <rPh sb="5" eb="7">
      <t>カサン</t>
    </rPh>
    <rPh sb="8" eb="10">
      <t>ニュウリョク</t>
    </rPh>
    <rPh sb="18" eb="26">
      <t>ショグウカイゼントウカサンイチ</t>
    </rPh>
    <rPh sb="27" eb="34">
      <t>チンギンカイゼンヨウケンブン</t>
    </rPh>
    <rPh sb="36" eb="41">
      <t>カサンミコミガク</t>
    </rPh>
    <rPh sb="42" eb="44">
      <t>ケイサン</t>
    </rPh>
    <phoneticPr fontId="4"/>
  </si>
  <si>
    <t>様式２：</t>
    <rPh sb="0" eb="2">
      <t>ヨウシキ</t>
    </rPh>
    <phoneticPr fontId="4"/>
  </si>
  <si>
    <t>処遇改善等加算Ⅱを受けず、キャリアパス要件を受ける場合、様式２の作成が必要になりますので、参考に内容をご確認ください。（提出は申請書依頼時）</t>
    <rPh sb="45" eb="47">
      <t>サンコウ</t>
    </rPh>
    <rPh sb="48" eb="50">
      <t>ナイヨウ</t>
    </rPh>
    <rPh sb="52" eb="54">
      <t>カクニン</t>
    </rPh>
    <rPh sb="60" eb="62">
      <t>テイシュツ</t>
    </rPh>
    <rPh sb="63" eb="66">
      <t>シンセイショ</t>
    </rPh>
    <rPh sb="66" eb="68">
      <t>イライ</t>
    </rPh>
    <rPh sb="68" eb="69">
      <t>ジ</t>
    </rPh>
    <phoneticPr fontId="4"/>
  </si>
  <si>
    <r>
      <t>入力シートを全て入力していただくと、</t>
    </r>
    <r>
      <rPr>
        <u/>
        <sz val="12"/>
        <color theme="1"/>
        <rFont val="ＭＳ Ｐゴシック"/>
        <family val="3"/>
        <charset val="128"/>
        <scheme val="minor"/>
      </rPr>
      <t>処遇改善等加算Ⅱの</t>
    </r>
    <r>
      <rPr>
        <b/>
        <u/>
        <sz val="12"/>
        <color theme="1"/>
        <rFont val="ＭＳ Ｐゴシック"/>
        <family val="3"/>
        <charset val="128"/>
        <scheme val="minor"/>
      </rPr>
      <t>人数</t>
    </r>
    <r>
      <rPr>
        <u/>
        <sz val="12"/>
        <color theme="1"/>
        <rFont val="ＭＳ Ｐゴシック"/>
        <family val="3"/>
        <charset val="128"/>
        <scheme val="minor"/>
      </rPr>
      <t>及び</t>
    </r>
    <r>
      <rPr>
        <b/>
        <u/>
        <sz val="12"/>
        <color theme="1"/>
        <rFont val="ＭＳ Ｐゴシック"/>
        <family val="3"/>
        <charset val="128"/>
        <scheme val="minor"/>
      </rPr>
      <t>加算見込額</t>
    </r>
    <r>
      <rPr>
        <sz val="11"/>
        <color theme="1"/>
        <rFont val="ＭＳ Ｐゴシック"/>
        <family val="3"/>
        <charset val="128"/>
        <scheme val="minor"/>
      </rPr>
      <t>が計算されます。施設種別ごとに別シートとなっておりますので、該当のシートを参照してください。</t>
    </r>
    <rPh sb="0" eb="2">
      <t>ニュウリョク</t>
    </rPh>
    <rPh sb="6" eb="7">
      <t>スベ</t>
    </rPh>
    <rPh sb="8" eb="10">
      <t>ニュウリョク</t>
    </rPh>
    <rPh sb="18" eb="20">
      <t>ショグウ</t>
    </rPh>
    <rPh sb="20" eb="22">
      <t>カイゼン</t>
    </rPh>
    <rPh sb="22" eb="23">
      <t>トウ</t>
    </rPh>
    <rPh sb="23" eb="25">
      <t>カサン</t>
    </rPh>
    <rPh sb="27" eb="29">
      <t>ニンズウ</t>
    </rPh>
    <rPh sb="29" eb="30">
      <t>オヨ</t>
    </rPh>
    <rPh sb="31" eb="33">
      <t>カサン</t>
    </rPh>
    <rPh sb="33" eb="35">
      <t>ミコミ</t>
    </rPh>
    <rPh sb="35" eb="36">
      <t>ガク</t>
    </rPh>
    <rPh sb="37" eb="39">
      <t>ケイサン</t>
    </rPh>
    <phoneticPr fontId="4"/>
  </si>
  <si>
    <t>※処遇Ⅰの申請を一回やめて、今年度新たに処遇１を受ける場合は、３９行目に直近の処遇Ⅰを受けた時の賃金要件分の加算率をて入力してもらう必要がある。</t>
    <rPh sb="1" eb="3">
      <t>ショグウ</t>
    </rPh>
    <rPh sb="5" eb="7">
      <t>シンセイ</t>
    </rPh>
    <rPh sb="8" eb="10">
      <t>イッカイ</t>
    </rPh>
    <rPh sb="14" eb="17">
      <t>コンネンド</t>
    </rPh>
    <rPh sb="17" eb="18">
      <t>アラ</t>
    </rPh>
    <rPh sb="20" eb="22">
      <t>ショグウ</t>
    </rPh>
    <rPh sb="24" eb="25">
      <t>ウ</t>
    </rPh>
    <rPh sb="27" eb="29">
      <t>バアイ</t>
    </rPh>
    <rPh sb="33" eb="35">
      <t>ギョウメ</t>
    </rPh>
    <rPh sb="36" eb="38">
      <t>チョッキン</t>
    </rPh>
    <rPh sb="39" eb="41">
      <t>ショグウ</t>
    </rPh>
    <rPh sb="43" eb="44">
      <t>ウ</t>
    </rPh>
    <rPh sb="46" eb="47">
      <t>トキ</t>
    </rPh>
    <rPh sb="48" eb="50">
      <t>チンギン</t>
    </rPh>
    <rPh sb="50" eb="52">
      <t>ヨウケン</t>
    </rPh>
    <rPh sb="52" eb="53">
      <t>ブン</t>
    </rPh>
    <rPh sb="54" eb="56">
      <t>カサン</t>
    </rPh>
    <rPh sb="56" eb="57">
      <t>リツ</t>
    </rPh>
    <rPh sb="59" eb="61">
      <t>ニュウリョク</t>
    </rPh>
    <rPh sb="66" eb="68">
      <t>ヒツヨウ</t>
    </rPh>
    <phoneticPr fontId="60"/>
  </si>
  <si>
    <t>○入力（基本）４０行目の修正（選択年度の更新）</t>
    <rPh sb="1" eb="3">
      <t>ニュウリョク</t>
    </rPh>
    <rPh sb="4" eb="6">
      <t>キホン</t>
    </rPh>
    <rPh sb="9" eb="11">
      <t>ギョウメ</t>
    </rPh>
    <rPh sb="12" eb="14">
      <t>シュウセイ</t>
    </rPh>
    <rPh sb="15" eb="17">
      <t>センタク</t>
    </rPh>
    <rPh sb="17" eb="19">
      <t>ネンド</t>
    </rPh>
    <rPh sb="20" eb="22">
      <t>コウシン</t>
    </rPh>
    <phoneticPr fontId="60"/>
  </si>
  <si>
    <t>○基準年度（基本）シートの人勧分の年度更新（処遇Ⅰと処遇Ⅱで二か所）</t>
    <rPh sb="1" eb="3">
      <t>キジュン</t>
    </rPh>
    <rPh sb="3" eb="5">
      <t>ネンド</t>
    </rPh>
    <rPh sb="6" eb="8">
      <t>キホン</t>
    </rPh>
    <rPh sb="13" eb="15">
      <t>ジンカン</t>
    </rPh>
    <rPh sb="15" eb="16">
      <t>ブン</t>
    </rPh>
    <rPh sb="17" eb="19">
      <t>ネンド</t>
    </rPh>
    <rPh sb="19" eb="21">
      <t>コウシン</t>
    </rPh>
    <rPh sb="22" eb="24">
      <t>ショグウ</t>
    </rPh>
    <rPh sb="26" eb="28">
      <t>ショグウ</t>
    </rPh>
    <rPh sb="30" eb="31">
      <t>ニ</t>
    </rPh>
    <rPh sb="32" eb="33">
      <t>ショ</t>
    </rPh>
    <phoneticPr fontId="60"/>
  </si>
  <si>
    <t>○入力（基本）のM列（年度更新）</t>
    <rPh sb="1" eb="3">
      <t>ニュウリョク</t>
    </rPh>
    <rPh sb="4" eb="6">
      <t>キホン</t>
    </rPh>
    <rPh sb="9" eb="10">
      <t>レツ</t>
    </rPh>
    <rPh sb="11" eb="13">
      <t>ネンド</t>
    </rPh>
    <rPh sb="13" eb="15">
      <t>コウシン</t>
    </rPh>
    <phoneticPr fontId="60"/>
  </si>
  <si>
    <t>○入力（基準年度判定）７２行目の文言修正</t>
    <rPh sb="13" eb="15">
      <t>ギョウメ</t>
    </rPh>
    <rPh sb="16" eb="18">
      <t>モンゴン</t>
    </rPh>
    <rPh sb="18" eb="20">
      <t>シュウセイ</t>
    </rPh>
    <phoneticPr fontId="60"/>
  </si>
  <si>
    <t>3/100
地域</t>
    <phoneticPr fontId="4"/>
  </si>
  <si>
    <t>　20人</t>
    <rPh sb="3" eb="4">
      <t>ニン</t>
    </rPh>
    <phoneticPr fontId="4"/>
  </si>
  <si>
    <t>2号</t>
    <rPh sb="1" eb="2">
      <t>ゴウ</t>
    </rPh>
    <phoneticPr fontId="8"/>
  </si>
  <si>
    <t>×加算率</t>
    <rPh sb="1" eb="3">
      <t>カサン</t>
    </rPh>
    <rPh sb="3" eb="4">
      <t>リツ</t>
    </rPh>
    <phoneticPr fontId="8"/>
  </si>
  <si>
    <t>÷</t>
    <phoneticPr fontId="8"/>
  </si>
  <si>
    <t>ａ地域</t>
    <rPh sb="1" eb="3">
      <t>チイキ</t>
    </rPh>
    <phoneticPr fontId="8"/>
  </si>
  <si>
    <t>ｂ地域</t>
    <rPh sb="1" eb="3">
      <t>チイキ</t>
    </rPh>
    <phoneticPr fontId="8"/>
  </si>
  <si>
    <t>3号</t>
    <rPh sb="1" eb="2">
      <t>ゴウ</t>
    </rPh>
    <phoneticPr fontId="8"/>
  </si>
  <si>
    <t>１、２歳児</t>
    <rPh sb="3" eb="5">
      <t>サイジ</t>
    </rPh>
    <phoneticPr fontId="4"/>
  </si>
  <si>
    <t>ｃ地域</t>
    <rPh sb="1" eb="3">
      <t>チイキ</t>
    </rPh>
    <phoneticPr fontId="8"/>
  </si>
  <si>
    <t>ｄ地域</t>
    <rPh sb="1" eb="3">
      <t>チイキ</t>
    </rPh>
    <phoneticPr fontId="8"/>
  </si>
  <si>
    <t>　21人
　　から
　30人
　　まで</t>
    <rPh sb="3" eb="4">
      <t>ニン</t>
    </rPh>
    <rPh sb="13" eb="14">
      <t>ニン</t>
    </rPh>
    <phoneticPr fontId="4"/>
  </si>
  <si>
    <t>　31人
　　から
　40人
　　まで</t>
    <rPh sb="3" eb="4">
      <t>ニン</t>
    </rPh>
    <rPh sb="13" eb="14">
      <t>ニン</t>
    </rPh>
    <phoneticPr fontId="4"/>
  </si>
  <si>
    <t>　41人
　　から
　50人
　　まで</t>
    <rPh sb="3" eb="4">
      <t>ニン</t>
    </rPh>
    <rPh sb="13" eb="14">
      <t>ニン</t>
    </rPh>
    <phoneticPr fontId="4"/>
  </si>
  <si>
    <t>休日保育の年間延べ利用子ども数</t>
    <rPh sb="0" eb="2">
      <t>キュウジツ</t>
    </rPh>
    <rPh sb="2" eb="4">
      <t>ホイク</t>
    </rPh>
    <rPh sb="5" eb="7">
      <t>ネンカン</t>
    </rPh>
    <rPh sb="7" eb="8">
      <t>ノ</t>
    </rPh>
    <rPh sb="9" eb="11">
      <t>リヨウ</t>
    </rPh>
    <rPh sb="11" eb="12">
      <t>コ</t>
    </rPh>
    <rPh sb="14" eb="15">
      <t>スウ</t>
    </rPh>
    <phoneticPr fontId="8"/>
  </si>
  <si>
    <t>　 　　 ～　210人</t>
    <rPh sb="10" eb="11">
      <t>ニン</t>
    </rPh>
    <phoneticPr fontId="8"/>
  </si>
  <si>
    <t>　51人
　　から
　60人
　　まで</t>
    <rPh sb="3" eb="4">
      <t>ニン</t>
    </rPh>
    <rPh sb="13" eb="14">
      <t>ニン</t>
    </rPh>
    <phoneticPr fontId="4"/>
  </si>
  <si>
    <t>　 211人～　279人</t>
    <rPh sb="5" eb="6">
      <t>ニン</t>
    </rPh>
    <rPh sb="11" eb="12">
      <t>ニン</t>
    </rPh>
    <phoneticPr fontId="8"/>
  </si>
  <si>
    <t>　61人
　　から
　70人
　　まで</t>
    <rPh sb="3" eb="4">
      <t>ニン</t>
    </rPh>
    <rPh sb="13" eb="14">
      <t>ニン</t>
    </rPh>
    <phoneticPr fontId="4"/>
  </si>
  <si>
    <t>　 280人～　349人</t>
    <rPh sb="5" eb="6">
      <t>ニン</t>
    </rPh>
    <rPh sb="11" eb="12">
      <t>ニン</t>
    </rPh>
    <phoneticPr fontId="8"/>
  </si>
  <si>
    <t>　71人
　　から
　80人
　　まで</t>
    <rPh sb="3" eb="4">
      <t>ニン</t>
    </rPh>
    <rPh sb="13" eb="14">
      <t>ニン</t>
    </rPh>
    <phoneticPr fontId="4"/>
  </si>
  <si>
    <t xml:space="preserve"> 　350人～　419人</t>
    <rPh sb="5" eb="6">
      <t>ニン</t>
    </rPh>
    <rPh sb="11" eb="12">
      <t>ニン</t>
    </rPh>
    <phoneticPr fontId="8"/>
  </si>
  <si>
    <t>　 420人～　489人</t>
    <rPh sb="5" eb="6">
      <t>ニン</t>
    </rPh>
    <rPh sb="11" eb="12">
      <t>ニン</t>
    </rPh>
    <phoneticPr fontId="8"/>
  </si>
  <si>
    <t>　81人
　　から
　90人
　　まで</t>
    <rPh sb="3" eb="4">
      <t>ニン</t>
    </rPh>
    <rPh sb="13" eb="14">
      <t>ニン</t>
    </rPh>
    <phoneticPr fontId="4"/>
  </si>
  <si>
    <t xml:space="preserve"> 　490人～　559人</t>
    <rPh sb="5" eb="6">
      <t>ニン</t>
    </rPh>
    <rPh sb="11" eb="12">
      <t>ニン</t>
    </rPh>
    <phoneticPr fontId="8"/>
  </si>
  <si>
    <t>　91人
　　から
　100人
　　まで</t>
    <rPh sb="3" eb="4">
      <t>ニン</t>
    </rPh>
    <rPh sb="14" eb="15">
      <t>ニン</t>
    </rPh>
    <phoneticPr fontId="4"/>
  </si>
  <si>
    <t>　 560人～　629人</t>
    <rPh sb="5" eb="6">
      <t>ニン</t>
    </rPh>
    <rPh sb="11" eb="12">
      <t>ニン</t>
    </rPh>
    <phoneticPr fontId="8"/>
  </si>
  <si>
    <t>各月初日の</t>
    <rPh sb="0" eb="2">
      <t>カクツキ</t>
    </rPh>
    <rPh sb="2" eb="4">
      <t>ショニチ</t>
    </rPh>
    <phoneticPr fontId="8"/>
  </si>
  <si>
    <t>利用子ども数</t>
    <rPh sb="0" eb="2">
      <t>リヨウ</t>
    </rPh>
    <rPh sb="2" eb="3">
      <t>コ</t>
    </rPh>
    <rPh sb="5" eb="6">
      <t>スウ</t>
    </rPh>
    <phoneticPr fontId="8"/>
  </si>
  <si>
    <t>　101人
　　から
　110人
　　まで</t>
    <rPh sb="4" eb="5">
      <t>ニン</t>
    </rPh>
    <rPh sb="15" eb="16">
      <t>ニン</t>
    </rPh>
    <phoneticPr fontId="4"/>
  </si>
  <si>
    <t>　 630人～　699人</t>
    <rPh sb="5" eb="6">
      <t>ニン</t>
    </rPh>
    <rPh sb="11" eb="12">
      <t>ニン</t>
    </rPh>
    <phoneticPr fontId="8"/>
  </si>
  <si>
    <t xml:space="preserve"> 　700人～　769人</t>
    <rPh sb="5" eb="6">
      <t>ニン</t>
    </rPh>
    <rPh sb="11" eb="12">
      <t>ニン</t>
    </rPh>
    <phoneticPr fontId="8"/>
  </si>
  <si>
    <t>　111人
　　から
　120人
　　まで</t>
    <rPh sb="4" eb="5">
      <t>ニン</t>
    </rPh>
    <rPh sb="15" eb="16">
      <t>ニン</t>
    </rPh>
    <phoneticPr fontId="4"/>
  </si>
  <si>
    <t xml:space="preserve"> 　770人～　839人</t>
    <rPh sb="5" eb="6">
      <t>ニン</t>
    </rPh>
    <rPh sb="11" eb="12">
      <t>ニン</t>
    </rPh>
    <phoneticPr fontId="8"/>
  </si>
  <si>
    <t>　121人
　　から
　130人
　　まで</t>
    <rPh sb="4" eb="5">
      <t>ニン</t>
    </rPh>
    <rPh sb="15" eb="16">
      <t>ニン</t>
    </rPh>
    <phoneticPr fontId="4"/>
  </si>
  <si>
    <t>　 840人～　909人</t>
    <rPh sb="5" eb="6">
      <t>ニン</t>
    </rPh>
    <rPh sb="11" eb="12">
      <t>ニン</t>
    </rPh>
    <phoneticPr fontId="8"/>
  </si>
  <si>
    <t>　131人
　　から
　140人
　　まで</t>
    <rPh sb="4" eb="5">
      <t>ニン</t>
    </rPh>
    <rPh sb="15" eb="16">
      <t>ニン</t>
    </rPh>
    <phoneticPr fontId="4"/>
  </si>
  <si>
    <t xml:space="preserve"> 　910人～　979人</t>
    <rPh sb="5" eb="6">
      <t>ニン</t>
    </rPh>
    <rPh sb="11" eb="12">
      <t>ニン</t>
    </rPh>
    <phoneticPr fontId="8"/>
  </si>
  <si>
    <t>　 980人～1,049人</t>
    <rPh sb="5" eb="6">
      <t>ニン</t>
    </rPh>
    <rPh sb="12" eb="13">
      <t>ニン</t>
    </rPh>
    <phoneticPr fontId="8"/>
  </si>
  <si>
    <t>　141人
　　から
　150人
　　まで</t>
    <rPh sb="4" eb="5">
      <t>ニン</t>
    </rPh>
    <rPh sb="15" eb="16">
      <t>ニン</t>
    </rPh>
    <phoneticPr fontId="4"/>
  </si>
  <si>
    <t xml:space="preserve"> 1,050人～</t>
    <rPh sb="6" eb="7">
      <t>ニン</t>
    </rPh>
    <phoneticPr fontId="8"/>
  </si>
  <si>
    <t>　151人
　　から
　160人
　　まで</t>
    <rPh sb="4" eb="5">
      <t>ニン</t>
    </rPh>
    <rPh sb="15" eb="16">
      <t>ニン</t>
    </rPh>
    <phoneticPr fontId="4"/>
  </si>
  <si>
    <t>　161人
　　から
　170人
　　まで</t>
    <rPh sb="4" eb="5">
      <t>ニン</t>
    </rPh>
    <rPh sb="15" eb="16">
      <t>ニン</t>
    </rPh>
    <phoneticPr fontId="4"/>
  </si>
  <si>
    <t>　171人
　　以上</t>
    <rPh sb="4" eb="5">
      <t>ニン</t>
    </rPh>
    <rPh sb="8" eb="10">
      <t>イジョウ</t>
    </rPh>
    <phoneticPr fontId="4"/>
  </si>
  <si>
    <t>処遇改善等加算</t>
    <rPh sb="0" eb="2">
      <t>ショグウ</t>
    </rPh>
    <rPh sb="2" eb="4">
      <t>カイゼン</t>
    </rPh>
    <rPh sb="4" eb="5">
      <t>トウ</t>
    </rPh>
    <rPh sb="5" eb="7">
      <t>カサン</t>
    </rPh>
    <phoneticPr fontId="4"/>
  </si>
  <si>
    <t>⑳</t>
    <phoneticPr fontId="4"/>
  </si>
  <si>
    <t>事務職員雇上費加算</t>
    <rPh sb="0" eb="2">
      <t>ジム</t>
    </rPh>
    <rPh sb="2" eb="4">
      <t>ショクイン</t>
    </rPh>
    <rPh sb="4" eb="7">
      <t>コジョウヒ</t>
    </rPh>
    <rPh sb="7" eb="9">
      <t>カサン</t>
    </rPh>
    <phoneticPr fontId="4"/>
  </si>
  <si>
    <t>㉕</t>
    <phoneticPr fontId="4"/>
  </si>
  <si>
    <t xml:space="preserve"> 400時間以上 800時間未満</t>
    <rPh sb="4" eb="6">
      <t>ジカン</t>
    </rPh>
    <rPh sb="6" eb="8">
      <t>イジョウ</t>
    </rPh>
    <rPh sb="12" eb="14">
      <t>ジカン</t>
    </rPh>
    <rPh sb="14" eb="16">
      <t>ミマン</t>
    </rPh>
    <phoneticPr fontId="4"/>
  </si>
  <si>
    <t>÷３月初日の利用子ども数</t>
    <phoneticPr fontId="8"/>
  </si>
  <si>
    <t xml:space="preserve"> 800時間以上1200時間未満</t>
    <rPh sb="4" eb="6">
      <t>ジカン</t>
    </rPh>
    <rPh sb="6" eb="8">
      <t>イジョウ</t>
    </rPh>
    <rPh sb="12" eb="14">
      <t>ジカン</t>
    </rPh>
    <rPh sb="14" eb="16">
      <t>ミマン</t>
    </rPh>
    <phoneticPr fontId="4"/>
  </si>
  <si>
    <t>1200時間以上　　　　　　</t>
    <rPh sb="4" eb="6">
      <t>ジカン</t>
    </rPh>
    <rPh sb="6" eb="8">
      <t>イジョウ</t>
    </rPh>
    <phoneticPr fontId="4"/>
  </si>
  <si>
    <t>㉗</t>
    <phoneticPr fontId="4"/>
  </si>
  <si>
    <r>
      <t>小学校接続加算</t>
    </r>
    <r>
      <rPr>
        <sz val="8"/>
        <color theme="1"/>
        <rFont val="HGｺﾞｼｯｸM"/>
        <family val="3"/>
        <charset val="128"/>
      </rPr>
      <t/>
    </r>
    <rPh sb="0" eb="3">
      <t>ショウガッコウ</t>
    </rPh>
    <rPh sb="3" eb="5">
      <t>セツゾク</t>
    </rPh>
    <rPh sb="5" eb="7">
      <t>カサン</t>
    </rPh>
    <phoneticPr fontId="4"/>
  </si>
  <si>
    <t>㉘</t>
    <phoneticPr fontId="4"/>
  </si>
  <si>
    <t>㉙</t>
    <phoneticPr fontId="4"/>
  </si>
  <si>
    <t>Ｂ</t>
    <phoneticPr fontId="8"/>
  </si>
  <si>
    <t>Ｃ</t>
    <phoneticPr fontId="4"/>
  </si>
  <si>
    <t>㉚</t>
    <phoneticPr fontId="4"/>
  </si>
  <si>
    <t>×加算率</t>
    <rPh sb="1" eb="4">
      <t>カサンリツ</t>
    </rPh>
    <phoneticPr fontId="8"/>
  </si>
  <si>
    <t>×週当たり実施日数</t>
    <rPh sb="1" eb="2">
      <t>シュウ</t>
    </rPh>
    <rPh sb="2" eb="3">
      <t>ア</t>
    </rPh>
    <rPh sb="5" eb="7">
      <t>ジッシ</t>
    </rPh>
    <rPh sb="7" eb="9">
      <t>ニッスウ</t>
    </rPh>
    <phoneticPr fontId="56"/>
  </si>
  <si>
    <t>×週当たり実施日数×加算率</t>
    <rPh sb="1" eb="2">
      <t>シュウ</t>
    </rPh>
    <rPh sb="2" eb="3">
      <t>ア</t>
    </rPh>
    <rPh sb="5" eb="7">
      <t>ジッシ</t>
    </rPh>
    <rPh sb="7" eb="9">
      <t>ニッスウ</t>
    </rPh>
    <rPh sb="10" eb="13">
      <t>カサンリツ</t>
    </rPh>
    <phoneticPr fontId="56"/>
  </si>
  <si>
    <t>子育て支援活動費加算</t>
    <rPh sb="0" eb="2">
      <t>コソダ</t>
    </rPh>
    <rPh sb="3" eb="5">
      <t>シエン</t>
    </rPh>
    <rPh sb="5" eb="8">
      <t>カツドウヒ</t>
    </rPh>
    <rPh sb="8" eb="10">
      <t>カサン</t>
    </rPh>
    <phoneticPr fontId="8"/>
  </si>
  <si>
    <t>事務職員配置加算</t>
    <rPh sb="0" eb="2">
      <t>ジム</t>
    </rPh>
    <rPh sb="2" eb="4">
      <t>ショクイン</t>
    </rPh>
    <rPh sb="4" eb="6">
      <t>ハイチ</t>
    </rPh>
    <rPh sb="6" eb="8">
      <t>カサン</t>
    </rPh>
    <phoneticPr fontId="8"/>
  </si>
  <si>
    <t>指導充実加配加算</t>
    <rPh sb="0" eb="2">
      <t>シドウ</t>
    </rPh>
    <rPh sb="2" eb="4">
      <t>ジュウジツ</t>
    </rPh>
    <rPh sb="4" eb="6">
      <t>カハイ</t>
    </rPh>
    <rPh sb="6" eb="8">
      <t>カサン</t>
    </rPh>
    <phoneticPr fontId="8"/>
  </si>
  <si>
    <t>事務負担対応加配加算</t>
    <rPh sb="0" eb="2">
      <t>ジム</t>
    </rPh>
    <rPh sb="2" eb="4">
      <t>フタン</t>
    </rPh>
    <rPh sb="4" eb="6">
      <t>タイオウ</t>
    </rPh>
    <rPh sb="6" eb="8">
      <t>カハイ</t>
    </rPh>
    <rPh sb="8" eb="10">
      <t>カサン</t>
    </rPh>
    <phoneticPr fontId="8"/>
  </si>
  <si>
    <t>㉓</t>
    <phoneticPr fontId="56"/>
  </si>
  <si>
    <t>人数Ａ</t>
    <phoneticPr fontId="4"/>
  </si>
  <si>
    <t>人数Ｂ</t>
    <phoneticPr fontId="4"/>
  </si>
  <si>
    <t>㉗</t>
    <phoneticPr fontId="8"/>
  </si>
  <si>
    <t>入所児童処遇特別加算</t>
    <rPh sb="0" eb="2">
      <t>ニュウショ</t>
    </rPh>
    <rPh sb="2" eb="4">
      <t>ジドウ</t>
    </rPh>
    <rPh sb="4" eb="6">
      <t>ショグウ</t>
    </rPh>
    <rPh sb="6" eb="8">
      <t>トクベツ</t>
    </rPh>
    <rPh sb="8" eb="10">
      <t>カサン</t>
    </rPh>
    <phoneticPr fontId="4"/>
  </si>
  <si>
    <t>小学校接続加算</t>
    <rPh sb="0" eb="3">
      <t>ショウガッコウ</t>
    </rPh>
    <rPh sb="3" eb="5">
      <t>セツゾク</t>
    </rPh>
    <rPh sb="5" eb="7">
      <t>カサン</t>
    </rPh>
    <phoneticPr fontId="4"/>
  </si>
  <si>
    <t>㉚</t>
    <phoneticPr fontId="56"/>
  </si>
  <si>
    <t>C</t>
    <phoneticPr fontId="56"/>
  </si>
  <si>
    <t xml:space="preserve"> 　　 ～　15人</t>
    <rPh sb="8" eb="9">
      <t>ニン</t>
    </rPh>
    <phoneticPr fontId="8"/>
  </si>
  <si>
    <t>×週当たり実施日数</t>
    <phoneticPr fontId="56"/>
  </si>
  <si>
    <t xml:space="preserve">  16人～　25人</t>
    <rPh sb="4" eb="5">
      <t>ニン</t>
    </rPh>
    <rPh sb="9" eb="10">
      <t>ニン</t>
    </rPh>
    <phoneticPr fontId="8"/>
  </si>
  <si>
    <t xml:space="preserve">  26人～　35人</t>
    <rPh sb="4" eb="5">
      <t>ニン</t>
    </rPh>
    <rPh sb="9" eb="10">
      <t>ニン</t>
    </rPh>
    <phoneticPr fontId="8"/>
  </si>
  <si>
    <t xml:space="preserve">  36人～　45人</t>
    <rPh sb="4" eb="5">
      <t>ニン</t>
    </rPh>
    <rPh sb="9" eb="10">
      <t>ニン</t>
    </rPh>
    <phoneticPr fontId="8"/>
  </si>
  <si>
    <t xml:space="preserve">  46人～　60人</t>
    <rPh sb="4" eb="5">
      <t>ニン</t>
    </rPh>
    <rPh sb="9" eb="10">
      <t>ニン</t>
    </rPh>
    <phoneticPr fontId="8"/>
  </si>
  <si>
    <t xml:space="preserve">  61人～　75人</t>
    <rPh sb="4" eb="5">
      <t>ニン</t>
    </rPh>
    <rPh sb="9" eb="10">
      <t>ニン</t>
    </rPh>
    <phoneticPr fontId="8"/>
  </si>
  <si>
    <t xml:space="preserve">  76人～　90人</t>
    <rPh sb="4" eb="5">
      <t>ニン</t>
    </rPh>
    <rPh sb="9" eb="10">
      <t>ニン</t>
    </rPh>
    <phoneticPr fontId="8"/>
  </si>
  <si>
    <t xml:space="preserve">  91人～ 105人</t>
    <rPh sb="4" eb="5">
      <t>ニン</t>
    </rPh>
    <rPh sb="10" eb="11">
      <t>ニン</t>
    </rPh>
    <phoneticPr fontId="8"/>
  </si>
  <si>
    <t xml:space="preserve"> 106人～ 120人</t>
    <rPh sb="4" eb="5">
      <t>ニン</t>
    </rPh>
    <rPh sb="10" eb="11">
      <t>ニン</t>
    </rPh>
    <phoneticPr fontId="8"/>
  </si>
  <si>
    <t xml:space="preserve"> 121人～ 135人</t>
    <rPh sb="4" eb="5">
      <t>ニン</t>
    </rPh>
    <rPh sb="10" eb="11">
      <t>ニン</t>
    </rPh>
    <phoneticPr fontId="8"/>
  </si>
  <si>
    <t xml:space="preserve"> 136人～ 150人</t>
    <rPh sb="4" eb="5">
      <t>ニン</t>
    </rPh>
    <rPh sb="10" eb="11">
      <t>ニン</t>
    </rPh>
    <phoneticPr fontId="8"/>
  </si>
  <si>
    <t xml:space="preserve"> 151人～ 180人</t>
    <rPh sb="4" eb="5">
      <t>ニン</t>
    </rPh>
    <rPh sb="10" eb="11">
      <t>ニン</t>
    </rPh>
    <phoneticPr fontId="8"/>
  </si>
  <si>
    <t xml:space="preserve"> 181人～ 210人</t>
    <rPh sb="4" eb="5">
      <t>ニン</t>
    </rPh>
    <rPh sb="10" eb="11">
      <t>ニン</t>
    </rPh>
    <phoneticPr fontId="8"/>
  </si>
  <si>
    <t xml:space="preserve"> 211人～ 240人</t>
    <rPh sb="4" eb="5">
      <t>ニン</t>
    </rPh>
    <rPh sb="10" eb="11">
      <t>ニン</t>
    </rPh>
    <phoneticPr fontId="8"/>
  </si>
  <si>
    <t xml:space="preserve"> 241人～ 270人</t>
    <rPh sb="4" eb="5">
      <t>ニン</t>
    </rPh>
    <rPh sb="10" eb="11">
      <t>ニン</t>
    </rPh>
    <phoneticPr fontId="8"/>
  </si>
  <si>
    <t xml:space="preserve"> 271人～ 300人</t>
    <rPh sb="4" eb="5">
      <t>ニン</t>
    </rPh>
    <rPh sb="10" eb="11">
      <t>ニン</t>
    </rPh>
    <phoneticPr fontId="8"/>
  </si>
  <si>
    <t xml:space="preserve"> 301人～</t>
    <rPh sb="4" eb="5">
      <t>ニン</t>
    </rPh>
    <phoneticPr fontId="8"/>
  </si>
  <si>
    <t>※加算額は、高齢者者等の年間総雇用時間数を基に区分
※３月初日の利用子どもの単価に加算</t>
    <phoneticPr fontId="4"/>
  </si>
  <si>
    <t>㉖</t>
  </si>
  <si>
    <t>㉘</t>
  </si>
  <si>
    <t>㉑</t>
  </si>
  <si>
    <t>※以下の区分に応じて、各月初日の利用子どもの単価に加算
　Ａ：特別児童扶養手当支給対象児童受入施設
　Ｂ：それ以外の障害児受入施設</t>
    <rPh sb="1" eb="3">
      <t>イカ</t>
    </rPh>
    <rPh sb="4" eb="6">
      <t>クブン</t>
    </rPh>
    <rPh sb="7" eb="8">
      <t>オウ</t>
    </rPh>
    <rPh sb="11" eb="13">
      <t>カクツキ</t>
    </rPh>
    <rPh sb="13" eb="15">
      <t>ショニチ</t>
    </rPh>
    <rPh sb="16" eb="18">
      <t>リヨウ</t>
    </rPh>
    <rPh sb="18" eb="19">
      <t>コ</t>
    </rPh>
    <rPh sb="22" eb="24">
      <t>タンカ</t>
    </rPh>
    <rPh sb="25" eb="27">
      <t>カサン</t>
    </rPh>
    <phoneticPr fontId="4"/>
  </si>
  <si>
    <t>※認定こども園全体（１号～３号）の利用定員が９１人以上の場合に各月初日の利用子どもの単価に加算</t>
    <rPh sb="1" eb="3">
      <t>ニンテイ</t>
    </rPh>
    <rPh sb="6" eb="7">
      <t>エン</t>
    </rPh>
    <rPh sb="7" eb="9">
      <t>ゼンタイ</t>
    </rPh>
    <rPh sb="11" eb="12">
      <t>ゴウ</t>
    </rPh>
    <rPh sb="14" eb="15">
      <t>ゴウ</t>
    </rPh>
    <rPh sb="17" eb="19">
      <t>リヨウ</t>
    </rPh>
    <rPh sb="19" eb="21">
      <t>テイイン</t>
    </rPh>
    <rPh sb="24" eb="25">
      <t>ニン</t>
    </rPh>
    <rPh sb="25" eb="27">
      <t>イジョウ</t>
    </rPh>
    <rPh sb="28" eb="30">
      <t>バアイ</t>
    </rPh>
    <phoneticPr fontId="8"/>
  </si>
  <si>
    <t>㉔</t>
  </si>
  <si>
    <t>処遇改善等加算Ⅱ</t>
    <phoneticPr fontId="8"/>
  </si>
  <si>
    <t>※１　各月初日の利用子どもの単価に加算
※２　人数Ａ及び人数Ｂについては、別に定める</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phoneticPr fontId="8"/>
  </si>
  <si>
    <t>1/2</t>
    <phoneticPr fontId="56"/>
  </si>
  <si>
    <t>㉙</t>
  </si>
  <si>
    <t>㉚</t>
  </si>
  <si>
    <t>㉛</t>
  </si>
  <si>
    <t xml:space="preserve">
　10人
　　まで</t>
    <rPh sb="5" eb="6">
      <t>ニン</t>
    </rPh>
    <phoneticPr fontId="4"/>
  </si>
  <si>
    <t>×人数</t>
    <phoneticPr fontId="8"/>
  </si>
  <si>
    <t>　11人
　　から
　20人
　　まで</t>
    <rPh sb="3" eb="4">
      <t>ニン</t>
    </rPh>
    <rPh sb="13" eb="14">
      <t>ニン</t>
    </rPh>
    <phoneticPr fontId="4"/>
  </si>
  <si>
    <t>認定こども園全体の利用定員</t>
    <rPh sb="0" eb="2">
      <t>ニンテイ</t>
    </rPh>
    <rPh sb="5" eb="6">
      <t>エン</t>
    </rPh>
    <rPh sb="6" eb="8">
      <t>ゼンタイ</t>
    </rPh>
    <rPh sb="9" eb="11">
      <t>リヨウ</t>
    </rPh>
    <rPh sb="11" eb="13">
      <t>テイイン</t>
    </rPh>
    <phoneticPr fontId="8"/>
  </si>
  <si>
    <t>(⑥＋⑦)</t>
    <phoneticPr fontId="8"/>
  </si>
  <si>
    <t xml:space="preserve">× 人数Ａ × 1/2 </t>
    <phoneticPr fontId="8"/>
  </si>
  <si>
    <t xml:space="preserve">× 人数Ｂ × 1/2 </t>
    <phoneticPr fontId="8"/>
  </si>
  <si>
    <t>㉛</t>
    <phoneticPr fontId="8"/>
  </si>
  <si>
    <t>㉝</t>
    <phoneticPr fontId="4"/>
  </si>
  <si>
    <r>
      <t>療育支援加算</t>
    </r>
    <r>
      <rPr>
        <vertAlign val="superscript"/>
        <sz val="11"/>
        <color rgb="FFFF00FF"/>
        <rFont val="HGｺﾞｼｯｸM"/>
        <family val="3"/>
        <charset val="128"/>
      </rPr>
      <t>(注２)</t>
    </r>
    <rPh sb="0" eb="2">
      <t>リョウイク</t>
    </rPh>
    <rPh sb="2" eb="4">
      <t>シエン</t>
    </rPh>
    <rPh sb="4" eb="6">
      <t>カサン</t>
    </rPh>
    <rPh sb="7" eb="8">
      <t>チュウ</t>
    </rPh>
    <phoneticPr fontId="4"/>
  </si>
  <si>
    <r>
      <t>処遇改善等加算Ⅱ</t>
    </r>
    <r>
      <rPr>
        <vertAlign val="superscript"/>
        <sz val="11"/>
        <color rgb="FFFF00FF"/>
        <rFont val="HGｺﾞｼｯｸM"/>
        <family val="3"/>
        <charset val="128"/>
      </rPr>
      <t>(注２)</t>
    </r>
    <rPh sb="0" eb="2">
      <t>ショグウ</t>
    </rPh>
    <rPh sb="2" eb="4">
      <t>カイゼン</t>
    </rPh>
    <rPh sb="4" eb="5">
      <t>トウ</t>
    </rPh>
    <rPh sb="5" eb="7">
      <t>カサン</t>
    </rPh>
    <rPh sb="9" eb="10">
      <t>チュウ</t>
    </rPh>
    <phoneticPr fontId="4"/>
  </si>
  <si>
    <r>
      <t>施設関係者評価加算</t>
    </r>
    <r>
      <rPr>
        <vertAlign val="superscript"/>
        <sz val="11"/>
        <color rgb="FFFF00FF"/>
        <rFont val="HGｺﾞｼｯｸM"/>
        <family val="3"/>
        <charset val="128"/>
      </rPr>
      <t>(注２)</t>
    </r>
    <rPh sb="0" eb="2">
      <t>シセツ</t>
    </rPh>
    <rPh sb="2" eb="5">
      <t>カンケイシャ</t>
    </rPh>
    <rPh sb="5" eb="7">
      <t>ヒョウカ</t>
    </rPh>
    <rPh sb="7" eb="9">
      <t>カサン</t>
    </rPh>
    <phoneticPr fontId="4"/>
  </si>
  <si>
    <r>
      <t>降灰除去費加算</t>
    </r>
    <r>
      <rPr>
        <vertAlign val="superscript"/>
        <sz val="11"/>
        <color rgb="FFFF00FF"/>
        <rFont val="HGｺﾞｼｯｸM"/>
        <family val="3"/>
        <charset val="128"/>
      </rPr>
      <t>(注２)</t>
    </r>
    <rPh sb="0" eb="2">
      <t>コウカイ</t>
    </rPh>
    <rPh sb="2" eb="4">
      <t>ジョキョ</t>
    </rPh>
    <rPh sb="4" eb="5">
      <t>ヒ</t>
    </rPh>
    <rPh sb="5" eb="7">
      <t>カサン</t>
    </rPh>
    <rPh sb="8" eb="9">
      <t>チュウ</t>
    </rPh>
    <phoneticPr fontId="4"/>
  </si>
  <si>
    <r>
      <t>施設機能強化推進費加算</t>
    </r>
    <r>
      <rPr>
        <vertAlign val="superscript"/>
        <sz val="11"/>
        <color rgb="FFFF00FF"/>
        <rFont val="HGｺﾞｼｯｸM"/>
        <family val="3"/>
        <charset val="128"/>
      </rPr>
      <t>(注２)</t>
    </r>
    <rPh sb="0" eb="2">
      <t>シセツ</t>
    </rPh>
    <rPh sb="2" eb="4">
      <t>キノウ</t>
    </rPh>
    <rPh sb="4" eb="6">
      <t>キョウカ</t>
    </rPh>
    <rPh sb="6" eb="8">
      <t>スイシン</t>
    </rPh>
    <rPh sb="8" eb="9">
      <t>ヒ</t>
    </rPh>
    <rPh sb="9" eb="11">
      <t>カサン</t>
    </rPh>
    <rPh sb="12" eb="13">
      <t>チュウ</t>
    </rPh>
    <phoneticPr fontId="4"/>
  </si>
  <si>
    <r>
      <t>小学校接続加算</t>
    </r>
    <r>
      <rPr>
        <vertAlign val="superscript"/>
        <sz val="11"/>
        <color rgb="FFFF00FF"/>
        <rFont val="HGｺﾞｼｯｸM"/>
        <family val="3"/>
        <charset val="128"/>
      </rPr>
      <t>(注２)</t>
    </r>
    <rPh sb="0" eb="3">
      <t>ショウガッコウ</t>
    </rPh>
    <rPh sb="3" eb="5">
      <t>セツゾク</t>
    </rPh>
    <rPh sb="5" eb="7">
      <t>カサン</t>
    </rPh>
    <rPh sb="8" eb="9">
      <t>チュウ</t>
    </rPh>
    <phoneticPr fontId="4"/>
  </si>
  <si>
    <r>
      <t>第三者評価受審加算</t>
    </r>
    <r>
      <rPr>
        <vertAlign val="superscript"/>
        <sz val="11"/>
        <color rgb="FFFF00FF"/>
        <rFont val="HGｺﾞｼｯｸM"/>
        <family val="3"/>
        <charset val="128"/>
      </rPr>
      <t>(注２)</t>
    </r>
    <rPh sb="0" eb="3">
      <t>ダイサンシャ</t>
    </rPh>
    <rPh sb="3" eb="5">
      <t>ヒョウカ</t>
    </rPh>
    <rPh sb="5" eb="7">
      <t>ジュシン</t>
    </rPh>
    <rPh sb="7" eb="9">
      <t>カサン</t>
    </rPh>
    <phoneticPr fontId="4"/>
  </si>
  <si>
    <t xml:space="preserve"> 6人
　から
12人
　まで</t>
    <rPh sb="2" eb="3">
      <t>ニン</t>
    </rPh>
    <rPh sb="10" eb="11">
      <t>ニン</t>
    </rPh>
    <phoneticPr fontId="4"/>
  </si>
  <si>
    <t>１､２歳児</t>
    <rPh sb="3" eb="5">
      <t>サイジ</t>
    </rPh>
    <phoneticPr fontId="4"/>
  </si>
  <si>
    <t>ａ地域</t>
    <phoneticPr fontId="8"/>
  </si>
  <si>
    <t>ｂ地域</t>
    <phoneticPr fontId="8"/>
  </si>
  <si>
    <t>　 211人～　279人</t>
    <phoneticPr fontId="8"/>
  </si>
  <si>
    <t>ｃ地域</t>
    <phoneticPr fontId="8"/>
  </si>
  <si>
    <t>ｄ地域</t>
    <phoneticPr fontId="8"/>
  </si>
  <si>
    <t>13人
　から
19人
　まで</t>
    <rPh sb="2" eb="3">
      <t>ニン</t>
    </rPh>
    <rPh sb="10" eb="11">
      <t>ニン</t>
    </rPh>
    <phoneticPr fontId="4"/>
  </si>
  <si>
    <t>(離島その他の地域)
各月初日の利用子ども数</t>
    <rPh sb="1" eb="3">
      <t>リトウ</t>
    </rPh>
    <rPh sb="5" eb="6">
      <t>タ</t>
    </rPh>
    <rPh sb="7" eb="9">
      <t>チイキ</t>
    </rPh>
    <rPh sb="11" eb="13">
      <t>カクツキ</t>
    </rPh>
    <rPh sb="13" eb="15">
      <t>ショニチ</t>
    </rPh>
    <rPh sb="16" eb="18">
      <t>リヨウ</t>
    </rPh>
    <rPh sb="18" eb="19">
      <t>コ</t>
    </rPh>
    <rPh sb="21" eb="22">
      <t>スウ</t>
    </rPh>
    <phoneticPr fontId="8"/>
  </si>
  <si>
    <t>20人～30人</t>
    <rPh sb="2" eb="3">
      <t>ニン</t>
    </rPh>
    <rPh sb="6" eb="7">
      <t>ニン</t>
    </rPh>
    <phoneticPr fontId="8"/>
  </si>
  <si>
    <t>31人～40人</t>
    <rPh sb="2" eb="3">
      <t>ニン</t>
    </rPh>
    <rPh sb="6" eb="7">
      <t>ニン</t>
    </rPh>
    <phoneticPr fontId="8"/>
  </si>
  <si>
    <t>41人～</t>
    <rPh sb="2" eb="3">
      <t>ニン</t>
    </rPh>
    <phoneticPr fontId="8"/>
  </si>
  <si>
    <t>保育標準
時間認定</t>
    <rPh sb="0" eb="2">
      <t>ホイク</t>
    </rPh>
    <rPh sb="2" eb="4">
      <t>ヒョウジュン</t>
    </rPh>
    <rPh sb="5" eb="7">
      <t>ジカン</t>
    </rPh>
    <rPh sb="7" eb="9">
      <t>ニンテイ</t>
    </rPh>
    <phoneticPr fontId="4"/>
  </si>
  <si>
    <t>利用子どもが
 4人以上の場合</t>
    <rPh sb="0" eb="2">
      <t>リヨウ</t>
    </rPh>
    <rPh sb="2" eb="3">
      <t>コ</t>
    </rPh>
    <rPh sb="9" eb="12">
      <t>ニンイジョウ</t>
    </rPh>
    <rPh sb="13" eb="15">
      <t>バアイ</t>
    </rPh>
    <phoneticPr fontId="8"/>
  </si>
  <si>
    <t>Ｂ地域</t>
    <phoneticPr fontId="8"/>
  </si>
  <si>
    <t>保育短
時間認定</t>
    <rPh sb="0" eb="2">
      <t>ホイク</t>
    </rPh>
    <rPh sb="2" eb="3">
      <t>タン</t>
    </rPh>
    <rPh sb="4" eb="6">
      <t>ジカン</t>
    </rPh>
    <rPh sb="6" eb="8">
      <t>ニンテイ</t>
    </rPh>
    <phoneticPr fontId="4"/>
  </si>
  <si>
    <t>利用子どもが
 3人以下の場合</t>
    <rPh sb="0" eb="2">
      <t>リヨウ</t>
    </rPh>
    <rPh sb="2" eb="3">
      <t>コ</t>
    </rPh>
    <rPh sb="9" eb="10">
      <t>ニン</t>
    </rPh>
    <rPh sb="10" eb="12">
      <t>イカ</t>
    </rPh>
    <rPh sb="13" eb="15">
      <t>バアイ</t>
    </rPh>
    <phoneticPr fontId="8"/>
  </si>
  <si>
    <t>Ｃ地域</t>
    <phoneticPr fontId="8"/>
  </si>
  <si>
    <t>Ｄ地域</t>
    <phoneticPr fontId="8"/>
  </si>
  <si>
    <t xml:space="preserve"> 5人
　まで</t>
    <rPh sb="2" eb="3">
      <t>ニン</t>
    </rPh>
    <phoneticPr fontId="4"/>
  </si>
  <si>
    <t>3/100
地域</t>
    <phoneticPr fontId="8"/>
  </si>
  <si>
    <t>20人
　から
30人
　まで</t>
    <rPh sb="2" eb="3">
      <t>ニン</t>
    </rPh>
    <rPh sb="10" eb="11">
      <t>ニン</t>
    </rPh>
    <phoneticPr fontId="4"/>
  </si>
  <si>
    <t>31人
　から
40人
　まで</t>
    <rPh sb="2" eb="3">
      <t>ニン</t>
    </rPh>
    <rPh sb="10" eb="11">
      <t>ニン</t>
    </rPh>
    <phoneticPr fontId="4"/>
  </si>
  <si>
    <t>41人
　から
50人
　まで</t>
    <rPh sb="2" eb="3">
      <t>ニン</t>
    </rPh>
    <rPh sb="10" eb="11">
      <t>ニン</t>
    </rPh>
    <phoneticPr fontId="4"/>
  </si>
  <si>
    <t>51人
　から
60人
　まで</t>
    <rPh sb="2" eb="3">
      <t>ニン</t>
    </rPh>
    <rPh sb="10" eb="11">
      <t>ニン</t>
    </rPh>
    <phoneticPr fontId="4"/>
  </si>
  <si>
    <t>　 840人～　909人</t>
    <phoneticPr fontId="8"/>
  </si>
  <si>
    <t>61人
　から</t>
    <rPh sb="2" eb="3">
      <t>ニン</t>
    </rPh>
    <phoneticPr fontId="4"/>
  </si>
  <si>
    <t>○単価張り替え　単価を張り替えたら文字を色付きにする→　そうすることで、次回張り替えた時の色が黒なので、張り替えミス等に気が付く。</t>
    <rPh sb="1" eb="3">
      <t>タンカ</t>
    </rPh>
    <rPh sb="3" eb="4">
      <t>ハ</t>
    </rPh>
    <rPh sb="5" eb="6">
      <t>カ</t>
    </rPh>
    <rPh sb="8" eb="10">
      <t>タンカ</t>
    </rPh>
    <rPh sb="11" eb="12">
      <t>ハ</t>
    </rPh>
    <rPh sb="13" eb="14">
      <t>カ</t>
    </rPh>
    <rPh sb="17" eb="19">
      <t>モジ</t>
    </rPh>
    <rPh sb="20" eb="22">
      <t>イロツ</t>
    </rPh>
    <rPh sb="36" eb="38">
      <t>ジカイ</t>
    </rPh>
    <rPh sb="38" eb="39">
      <t>ハ</t>
    </rPh>
    <rPh sb="40" eb="41">
      <t>カ</t>
    </rPh>
    <rPh sb="43" eb="44">
      <t>トキ</t>
    </rPh>
    <rPh sb="45" eb="46">
      <t>イロ</t>
    </rPh>
    <rPh sb="47" eb="48">
      <t>クロ</t>
    </rPh>
    <rPh sb="52" eb="53">
      <t>ハ</t>
    </rPh>
    <rPh sb="54" eb="55">
      <t>カ</t>
    </rPh>
    <rPh sb="58" eb="59">
      <t>トウ</t>
    </rPh>
    <rPh sb="60" eb="61">
      <t>キ</t>
    </rPh>
    <rPh sb="62" eb="63">
      <t>ツ</t>
    </rPh>
    <phoneticPr fontId="60"/>
  </si>
  <si>
    <t>○入力（基本）のＫ列の提出日を修正</t>
    <rPh sb="4" eb="6">
      <t>キホン</t>
    </rPh>
    <rPh sb="9" eb="10">
      <t>レツ</t>
    </rPh>
    <rPh sb="11" eb="13">
      <t>テイシュツ</t>
    </rPh>
    <rPh sb="13" eb="14">
      <t>ビ</t>
    </rPh>
    <rPh sb="15" eb="17">
      <t>シュウセイ</t>
    </rPh>
    <phoneticPr fontId="60"/>
  </si>
  <si>
    <t>注意点</t>
    <rPh sb="0" eb="2">
      <t>チュウイ</t>
    </rPh>
    <rPh sb="2" eb="3">
      <t>テン</t>
    </rPh>
    <phoneticPr fontId="60"/>
  </si>
  <si>
    <t>入力（基本）ＢＤを作る際には、施設種別は、右の一覧のとおりとする。そうしないと様式が上手く反応しない</t>
    <rPh sb="0" eb="2">
      <t>ニュウリョク</t>
    </rPh>
    <rPh sb="3" eb="5">
      <t>キホン</t>
    </rPh>
    <rPh sb="9" eb="10">
      <t>ツク</t>
    </rPh>
    <rPh sb="11" eb="12">
      <t>サイ</t>
    </rPh>
    <rPh sb="15" eb="17">
      <t>シセツ</t>
    </rPh>
    <rPh sb="17" eb="19">
      <t>シュベツ</t>
    </rPh>
    <rPh sb="21" eb="22">
      <t>ミギ</t>
    </rPh>
    <rPh sb="23" eb="25">
      <t>イチラン</t>
    </rPh>
    <rPh sb="39" eb="41">
      <t>ヨウシキ</t>
    </rPh>
    <rPh sb="42" eb="44">
      <t>ウマ</t>
    </rPh>
    <rPh sb="45" eb="47">
      <t>ハンノウ</t>
    </rPh>
    <phoneticPr fontId="60"/>
  </si>
  <si>
    <t>え</t>
  </si>
  <si>
    <t>R4(2022)</t>
  </si>
  <si>
    <t>あ</t>
    <phoneticPr fontId="4"/>
  </si>
  <si>
    <t>提出方法</t>
    <rPh sb="0" eb="2">
      <t>テイシュツ</t>
    </rPh>
    <rPh sb="2" eb="4">
      <t>ホウホウ</t>
    </rPh>
    <phoneticPr fontId="4"/>
  </si>
  <si>
    <t>賃金改善計画書（処遇改善等加算Ⅰ）</t>
    <rPh sb="8" eb="15">
      <t>ショグウカイゼントウカサン</t>
    </rPh>
    <phoneticPr fontId="4"/>
  </si>
  <si>
    <t>2022年度の給与規定</t>
    <phoneticPr fontId="4"/>
  </si>
  <si>
    <t>データ</t>
    <phoneticPr fontId="4"/>
  </si>
  <si>
    <t>データ（郵送も可）</t>
    <rPh sb="4" eb="6">
      <t>ユウソウ</t>
    </rPh>
    <rPh sb="7" eb="8">
      <t>カ</t>
    </rPh>
    <phoneticPr fontId="4"/>
  </si>
  <si>
    <t>郵送する場合は、【提出書類チェックシート】も添付すること。</t>
    <rPh sb="0" eb="2">
      <t>ユウソウ</t>
    </rPh>
    <rPh sb="4" eb="6">
      <t>バアイ</t>
    </rPh>
    <rPh sb="9" eb="11">
      <t>テイシュツ</t>
    </rPh>
    <rPh sb="11" eb="13">
      <t>ショルイ</t>
    </rPh>
    <rPh sb="22" eb="24">
      <t>テンプ</t>
    </rPh>
    <phoneticPr fontId="4"/>
  </si>
  <si>
    <t>○基準年度判定シートの印刷範囲外の年次更新</t>
    <rPh sb="1" eb="3">
      <t>キジュン</t>
    </rPh>
    <rPh sb="3" eb="5">
      <t>ネンド</t>
    </rPh>
    <rPh sb="5" eb="7">
      <t>ハンテイ</t>
    </rPh>
    <rPh sb="11" eb="13">
      <t>インサツ</t>
    </rPh>
    <rPh sb="13" eb="15">
      <t>ハンイ</t>
    </rPh>
    <rPh sb="15" eb="16">
      <t>ガイ</t>
    </rPh>
    <rPh sb="17" eb="19">
      <t>ネンジ</t>
    </rPh>
    <rPh sb="19" eb="21">
      <t>コウシン</t>
    </rPh>
    <phoneticPr fontId="60"/>
  </si>
  <si>
    <t>①特例処遇の分を含めないように修正　→　OK</t>
    <rPh sb="1" eb="3">
      <t>トクレイ</t>
    </rPh>
    <rPh sb="3" eb="5">
      <t>ショグウ</t>
    </rPh>
    <rPh sb="6" eb="7">
      <t>ブン</t>
    </rPh>
    <rPh sb="8" eb="9">
      <t>フク</t>
    </rPh>
    <rPh sb="15" eb="17">
      <t>シュウセイ</t>
    </rPh>
    <phoneticPr fontId="60"/>
  </si>
  <si>
    <t>②給与規定の改定の選択肢を修正　特例処遇だけ、特例処遇以外も、何もしていない。　→　OK</t>
    <rPh sb="1" eb="3">
      <t>キュウヨ</t>
    </rPh>
    <rPh sb="3" eb="5">
      <t>キテイ</t>
    </rPh>
    <rPh sb="6" eb="8">
      <t>カイテイ</t>
    </rPh>
    <rPh sb="9" eb="12">
      <t>センタクシ</t>
    </rPh>
    <rPh sb="13" eb="15">
      <t>シュウセイ</t>
    </rPh>
    <rPh sb="16" eb="18">
      <t>トクレイ</t>
    </rPh>
    <rPh sb="18" eb="20">
      <t>ショグウ</t>
    </rPh>
    <rPh sb="23" eb="25">
      <t>トクレイ</t>
    </rPh>
    <rPh sb="25" eb="27">
      <t>ショグウ</t>
    </rPh>
    <rPh sb="27" eb="29">
      <t>イガイ</t>
    </rPh>
    <rPh sb="31" eb="32">
      <t>ナニ</t>
    </rPh>
    <phoneticPr fontId="60"/>
  </si>
  <si>
    <t>➂簡便な方法を使るように修正　→　次年度</t>
    <rPh sb="1" eb="3">
      <t>カンベン</t>
    </rPh>
    <rPh sb="4" eb="6">
      <t>ホウホウ</t>
    </rPh>
    <rPh sb="7" eb="8">
      <t>ツカ</t>
    </rPh>
    <rPh sb="12" eb="14">
      <t>シュウセイ</t>
    </rPh>
    <rPh sb="17" eb="20">
      <t>ジネンド</t>
    </rPh>
    <phoneticPr fontId="60"/>
  </si>
  <si>
    <t>定例更新</t>
    <rPh sb="0" eb="2">
      <t>テイレイ</t>
    </rPh>
    <rPh sb="2" eb="4">
      <t>コウシン</t>
    </rPh>
    <phoneticPr fontId="60"/>
  </si>
  <si>
    <t>④３年前を基準年度にした場合の基礎分の加算率をBDに持たせる様式修正。　→　次年度</t>
    <rPh sb="2" eb="4">
      <t>ネンマエ</t>
    </rPh>
    <rPh sb="5" eb="7">
      <t>キジュン</t>
    </rPh>
    <rPh sb="7" eb="9">
      <t>ネンド</t>
    </rPh>
    <rPh sb="12" eb="14">
      <t>バアイ</t>
    </rPh>
    <rPh sb="15" eb="17">
      <t>キソ</t>
    </rPh>
    <rPh sb="17" eb="18">
      <t>ブン</t>
    </rPh>
    <rPh sb="19" eb="21">
      <t>カサン</t>
    </rPh>
    <rPh sb="21" eb="22">
      <t>リツ</t>
    </rPh>
    <rPh sb="26" eb="27">
      <t>モ</t>
    </rPh>
    <rPh sb="30" eb="32">
      <t>ヨウシキ</t>
    </rPh>
    <rPh sb="32" eb="34">
      <t>シュウセイ</t>
    </rPh>
    <rPh sb="38" eb="41">
      <t>ジネンド</t>
    </rPh>
    <phoneticPr fontId="60"/>
  </si>
  <si>
    <t>⑤実績報告書も同じ様式にできないか検討。　→　次年度</t>
    <rPh sb="1" eb="3">
      <t>ジッセキ</t>
    </rPh>
    <rPh sb="3" eb="6">
      <t>ホウコクショ</t>
    </rPh>
    <rPh sb="7" eb="8">
      <t>オナ</t>
    </rPh>
    <rPh sb="9" eb="11">
      <t>ヨウシキ</t>
    </rPh>
    <rPh sb="17" eb="19">
      <t>ケントウ</t>
    </rPh>
    <rPh sb="23" eb="26">
      <t>ジネンド</t>
    </rPh>
    <phoneticPr fontId="60"/>
  </si>
  <si>
    <t>⑥セルの参照先を整理する　→　次年度</t>
    <rPh sb="4" eb="6">
      <t>サンショウ</t>
    </rPh>
    <rPh sb="6" eb="7">
      <t>サキ</t>
    </rPh>
    <rPh sb="8" eb="10">
      <t>セイリ</t>
    </rPh>
    <rPh sb="15" eb="18">
      <t>ジネンド</t>
    </rPh>
    <phoneticPr fontId="60"/>
  </si>
  <si>
    <t>処遇改善等加算Ⅲ</t>
    <rPh sb="0" eb="2">
      <t>ショグウ</t>
    </rPh>
    <rPh sb="2" eb="4">
      <t>カイゼン</t>
    </rPh>
    <rPh sb="4" eb="5">
      <t>トウ</t>
    </rPh>
    <rPh sb="5" eb="7">
      <t>カサン</t>
    </rPh>
    <phoneticPr fontId="8"/>
  </si>
  <si>
    <t>×</t>
    <phoneticPr fontId="8"/>
  </si>
  <si>
    <t>　　　加算Ⅲ算定対象人数</t>
  </si>
  <si>
    <t>※１　各月初日の利用子どもの単価に加算
※２　加算Ⅲ算定対象人数については、別に定める</t>
  </si>
  <si>
    <t>定員を恒常的に超過する場合に係る別に定める調整率 　保育所（保育認定）</t>
  </si>
  <si>
    <t>地域
区分</t>
  </si>
  <si>
    <t>定員区分</t>
  </si>
  <si>
    <t>認定
区分</t>
  </si>
  <si>
    <t>年齢区分</t>
  </si>
  <si>
    <t>利用子ども数</t>
  </si>
  <si>
    <t>　20人
　　まで</t>
  </si>
  <si>
    <t>　21人
　　から
　30人
　　まで</t>
  </si>
  <si>
    <t>　31人
　　から
　40人
　　まで</t>
  </si>
  <si>
    <t>　41人
　　から
　50人
　　まで</t>
  </si>
  <si>
    <t>　51人
　　から
　60人
　　まで</t>
  </si>
  <si>
    <t>　61人
　　から
　70人
　　まで</t>
  </si>
  <si>
    <t>　71人
　　から
　80人
　　まで</t>
  </si>
  <si>
    <t>　81人
　　から
　90人
　　まで</t>
  </si>
  <si>
    <t>　91人
　　から
　100人
　　まで</t>
  </si>
  <si>
    <t>　101人
　　から
　110人
　　まで</t>
  </si>
  <si>
    <t>　111人
　　から
　120人
　　まで</t>
  </si>
  <si>
    <t>　121人
　　から
　130人
　　まで</t>
  </si>
  <si>
    <t>　131人
　　から
　140人
　　まで</t>
  </si>
  <si>
    <t>　141人
　　から
　150人
　　まで</t>
  </si>
  <si>
    <t>　151人
　　から
　160人
　　まで</t>
  </si>
  <si>
    <t>　161人
　　から
　170人
　　まで</t>
  </si>
  <si>
    <t>　171人
　　以上</t>
  </si>
  <si>
    <t>20/100
地域</t>
  </si>
  <si>
    <t>　20人</t>
  </si>
  <si>
    <t>2号</t>
  </si>
  <si>
    <t>４歳以上児</t>
  </si>
  <si>
    <t>３歳児</t>
  </si>
  <si>
    <t>3号</t>
  </si>
  <si>
    <t>１、２歳児</t>
  </si>
  <si>
    <t>乳児</t>
  </si>
  <si>
    <t>16/100
地域</t>
  </si>
  <si>
    <t>15/100
地域</t>
  </si>
  <si>
    <t>12/100
地域</t>
  </si>
  <si>
    <t>10/100
地域</t>
  </si>
  <si>
    <t>6/100
地域</t>
  </si>
  <si>
    <t>　4１人
　　から
　50人
　　まで</t>
  </si>
  <si>
    <t>3/100
地域</t>
  </si>
  <si>
    <t>その他
地域</t>
  </si>
  <si>
    <t>※各月初日の利用子どもの単価に加算</t>
    <rPh sb="1" eb="3">
      <t>カクツキ</t>
    </rPh>
    <phoneticPr fontId="8"/>
  </si>
  <si>
    <t>定員を恒常的に超過する場合に係る別に定める調整率 　幼稚園（教育標準時間認定）</t>
  </si>
  <si>
    <t>15人
　まで</t>
  </si>
  <si>
    <t>16人
　から
25人
　まで</t>
  </si>
  <si>
    <t>26人
　から
35人
　まで</t>
  </si>
  <si>
    <t>36人
　から
45人
　まで</t>
  </si>
  <si>
    <t>46人
　から
60人
　まで</t>
  </si>
  <si>
    <t>61人
　から
75人
　まで</t>
  </si>
  <si>
    <t>76人
　から
90人
　まで</t>
  </si>
  <si>
    <t>91人
　から
105人
　まで</t>
  </si>
  <si>
    <t>106人
　から
120人
　まで</t>
  </si>
  <si>
    <t>121人
　から
135人
　まで</t>
  </si>
  <si>
    <t>136人
　から
150人
　まで</t>
  </si>
  <si>
    <t>151人
　から
180人
　まで</t>
  </si>
  <si>
    <t>181人
　から
210人
　まで</t>
  </si>
  <si>
    <t>211人
　から
240人
　まで</t>
  </si>
  <si>
    <t>241人
　から
270人
　まで</t>
  </si>
  <si>
    <t>271人
　から
300人
　まで</t>
  </si>
  <si>
    <t>301人
　以上</t>
  </si>
  <si>
    <t>　15人
　　まで</t>
  </si>
  <si>
    <t>1号</t>
  </si>
  <si>
    <t>　16人
　　から
　25人
　　まで</t>
  </si>
  <si>
    <t>　26人
　　から
　35人
　　まで</t>
  </si>
  <si>
    <t>　36人
　　から
　45人
　　まで</t>
  </si>
  <si>
    <t>　46人
　　から
　60人
　　まで</t>
  </si>
  <si>
    <t>　61人
　　から
　75人
　　まで</t>
  </si>
  <si>
    <t>　76人
　　から
　90人
　　まで</t>
  </si>
  <si>
    <t>　91人
　　から
　105人
　　まで</t>
  </si>
  <si>
    <t>　106人
　　から
　120人
　　まで</t>
  </si>
  <si>
    <t>　121人
　　から
　135人
　　まで</t>
  </si>
  <si>
    <t>　136人
　　から
　150人
　　まで</t>
  </si>
  <si>
    <t>　151人
　　から
　180人
　　まで</t>
  </si>
  <si>
    <t>　181人
　　から
　210人
　　まで</t>
  </si>
  <si>
    <t>　211人
　　から
　240人
　　まで</t>
  </si>
  <si>
    <t>　241人
　　から
　270人
　　まで</t>
  </si>
  <si>
    <t>　271人
　　から
　300人
　　まで</t>
  </si>
  <si>
    <t>　301人
　　以上</t>
  </si>
  <si>
    <t>㉖</t>
    <phoneticPr fontId="56"/>
  </si>
  <si>
    <t>　加算Ⅲ算定対象人数　×　1/2</t>
  </si>
  <si>
    <t>定員を恒常的に超過する場合に係る別に定める調整率 　認定こども園（教育標準時間認定）</t>
  </si>
  <si>
    <t>その他地域</t>
  </si>
  <si>
    <t xml:space="preserve">　加算Ⅲ算定対象人数　×　1/2 </t>
  </si>
  <si>
    <t>※加算額は、高齢者等の年間総雇用時間数を基に区分
※３月初日の利用子どもの単価に加算</t>
    <phoneticPr fontId="4"/>
  </si>
  <si>
    <r>
      <t>処遇改善等加算Ⅲ</t>
    </r>
    <r>
      <rPr>
        <vertAlign val="superscript"/>
        <sz val="11"/>
        <rFont val="HGｺﾞｼｯｸM"/>
        <family val="3"/>
        <charset val="128"/>
      </rPr>
      <t>(注２)</t>
    </r>
    <rPh sb="0" eb="2">
      <t>ショグウ</t>
    </rPh>
    <rPh sb="2" eb="4">
      <t>カイゼン</t>
    </rPh>
    <rPh sb="4" eb="5">
      <t>トウ</t>
    </rPh>
    <rPh sb="5" eb="7">
      <t>カサン</t>
    </rPh>
    <phoneticPr fontId="8"/>
  </si>
  <si>
    <t>定員を恒常的に超過する場合に係る別に定める調整率 　認定こども園（保育認定）</t>
  </si>
  <si>
    <t>　10人
　　まで</t>
  </si>
  <si>
    <t>　11人
　　から
　20人
　　まで</t>
  </si>
  <si>
    <t xml:space="preserve">
　10人
　　まで</t>
  </si>
  <si>
    <t xml:space="preserve">
　10人
　　まで</t>
  </si>
  <si>
    <t>(⑥～⑱)</t>
    <phoneticPr fontId="8"/>
  </si>
  <si>
    <t>利用子ども数が6人から12人までの場合</t>
    <rPh sb="0" eb="2">
      <t>リヨウ</t>
    </rPh>
    <rPh sb="2" eb="3">
      <t>コ</t>
    </rPh>
    <rPh sb="5" eb="6">
      <t>スウ</t>
    </rPh>
    <rPh sb="8" eb="9">
      <t>ニン</t>
    </rPh>
    <rPh sb="13" eb="14">
      <t>ニン</t>
    </rPh>
    <rPh sb="17" eb="19">
      <t>バアイ</t>
    </rPh>
    <phoneticPr fontId="8"/>
  </si>
  <si>
    <t>利用子ども数が13人を超える場合</t>
    <rPh sb="0" eb="2">
      <t>リヨウ</t>
    </rPh>
    <rPh sb="11" eb="12">
      <t>コ</t>
    </rPh>
    <phoneticPr fontId="8"/>
  </si>
  <si>
    <t>※１　各月初日の利用子どもの単価に加算
※２　人数Ａ及び人数Ｂについては、別に定める
※３　利用定員が６人以上の場合には（算式１）を適用し、利用定員
　　　が５人以下の場合には（算式２）のＡ若しくはＢのいずれかと
　　　する
　</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rPh sb="46" eb="48">
      <t>リヨウ</t>
    </rPh>
    <rPh sb="48" eb="50">
      <t>テイイン</t>
    </rPh>
    <rPh sb="52" eb="53">
      <t>ニン</t>
    </rPh>
    <rPh sb="53" eb="55">
      <t>イジョウ</t>
    </rPh>
    <rPh sb="56" eb="58">
      <t>バアイ</t>
    </rPh>
    <rPh sb="61" eb="63">
      <t>サンシキ</t>
    </rPh>
    <rPh sb="66" eb="68">
      <t>テキヨウ</t>
    </rPh>
    <rPh sb="70" eb="72">
      <t>リヨウ</t>
    </rPh>
    <rPh sb="72" eb="74">
      <t>テイイン</t>
    </rPh>
    <rPh sb="80" eb="81">
      <t>ニン</t>
    </rPh>
    <rPh sb="81" eb="83">
      <t>イカ</t>
    </rPh>
    <rPh sb="84" eb="86">
      <t>バアイ</t>
    </rPh>
    <rPh sb="89" eb="91">
      <t>サンシキ</t>
    </rPh>
    <rPh sb="95" eb="96">
      <t>モ</t>
    </rPh>
    <phoneticPr fontId="8"/>
  </si>
  <si>
    <t>÷各月初日の利用子ども数　</t>
    <phoneticPr fontId="4"/>
  </si>
  <si>
    <t>給食実施加算</t>
    <rPh sb="0" eb="2">
      <t>キュウショク</t>
    </rPh>
    <rPh sb="2" eb="4">
      <t>ジッシ</t>
    </rPh>
    <rPh sb="4" eb="5">
      <t>カ</t>
    </rPh>
    <phoneticPr fontId="74"/>
  </si>
  <si>
    <t>k</t>
    <phoneticPr fontId="4"/>
  </si>
  <si>
    <t>n</t>
    <phoneticPr fontId="74"/>
  </si>
  <si>
    <t>l</t>
    <phoneticPr fontId="4"/>
  </si>
  <si>
    <t>o</t>
    <phoneticPr fontId="74"/>
  </si>
  <si>
    <t>p</t>
    <phoneticPr fontId="4"/>
  </si>
  <si>
    <t>s</t>
    <phoneticPr fontId="74"/>
  </si>
  <si>
    <t>t</t>
    <phoneticPr fontId="4"/>
  </si>
  <si>
    <t>分園の場合（減算）</t>
    <rPh sb="0" eb="2">
      <t>ブンエン</t>
    </rPh>
    <rPh sb="3" eb="5">
      <t>バアイ</t>
    </rPh>
    <rPh sb="6" eb="8">
      <t>ゲンサン</t>
    </rPh>
    <phoneticPr fontId="4"/>
  </si>
  <si>
    <t>r</t>
    <phoneticPr fontId="4"/>
  </si>
  <si>
    <t>療育支援加算</t>
    <rPh sb="0" eb="2">
      <t>リョウイク</t>
    </rPh>
    <rPh sb="2" eb="4">
      <t>シエン</t>
    </rPh>
    <rPh sb="4" eb="6">
      <t>カサン</t>
    </rPh>
    <phoneticPr fontId="56"/>
  </si>
  <si>
    <t>栄養管理加算</t>
    <rPh sb="0" eb="2">
      <t>エイヨウ</t>
    </rPh>
    <rPh sb="2" eb="4">
      <t>カンリ</t>
    </rPh>
    <rPh sb="4" eb="6">
      <t>カサン</t>
    </rPh>
    <phoneticPr fontId="56"/>
  </si>
  <si>
    <t>l</t>
    <phoneticPr fontId="56"/>
  </si>
  <si>
    <t>年齢別配置基準を下回る場合（減算）</t>
    <rPh sb="0" eb="2">
      <t>ネンレイ</t>
    </rPh>
    <rPh sb="2" eb="3">
      <t>ベツ</t>
    </rPh>
    <rPh sb="3" eb="5">
      <t>ハイチ</t>
    </rPh>
    <rPh sb="5" eb="7">
      <t>キジュン</t>
    </rPh>
    <rPh sb="8" eb="10">
      <t>シタマワ</t>
    </rPh>
    <rPh sb="11" eb="13">
      <t>バアイ</t>
    </rPh>
    <rPh sb="14" eb="16">
      <t>ゲンサン</t>
    </rPh>
    <phoneticPr fontId="56"/>
  </si>
  <si>
    <t>２．加算見込額</t>
    <rPh sb="2" eb="4">
      <t>カサン</t>
    </rPh>
    <rPh sb="4" eb="6">
      <t>ミコミ</t>
    </rPh>
    <rPh sb="6" eb="7">
      <t>ガク</t>
    </rPh>
    <phoneticPr fontId="74"/>
  </si>
  <si>
    <t>算定対象人数（1人未満端数　四捨五入）</t>
    <rPh sb="0" eb="2">
      <t>サンテイ</t>
    </rPh>
    <rPh sb="1" eb="2">
      <t>カサン</t>
    </rPh>
    <rPh sb="2" eb="4">
      <t>タイショウ</t>
    </rPh>
    <rPh sb="4" eb="6">
      <t>ニンズウ</t>
    </rPh>
    <rPh sb="8" eb="9">
      <t>ニン</t>
    </rPh>
    <rPh sb="9" eb="11">
      <t>ミマン</t>
    </rPh>
    <rPh sb="11" eb="13">
      <t>ハスウ</t>
    </rPh>
    <rPh sb="14" eb="18">
      <t>シシャゴニュウ</t>
    </rPh>
    <phoneticPr fontId="74"/>
  </si>
  <si>
    <t>加算見込額（月額）</t>
    <rPh sb="0" eb="2">
      <t>カサン</t>
    </rPh>
    <rPh sb="2" eb="4">
      <t>ミコミ</t>
    </rPh>
    <rPh sb="4" eb="5">
      <t>ガク</t>
    </rPh>
    <rPh sb="6" eb="8">
      <t>ゲツガク</t>
    </rPh>
    <phoneticPr fontId="4"/>
  </si>
  <si>
    <t>加算見込額（年額）</t>
    <rPh sb="0" eb="2">
      <t>カサン</t>
    </rPh>
    <rPh sb="2" eb="4">
      <t>ミコミ</t>
    </rPh>
    <rPh sb="4" eb="5">
      <t>ガク</t>
    </rPh>
    <rPh sb="6" eb="8">
      <t>ネンガク</t>
    </rPh>
    <phoneticPr fontId="4"/>
  </si>
  <si>
    <t>算定対象人数（1人未満端数　四捨五入）</t>
    <phoneticPr fontId="74"/>
  </si>
  <si>
    <t>【試算用】加算算定対象人数等認定申請書(処遇改善等加算Ⅲ)(認定こども園)</t>
    <phoneticPr fontId="74"/>
  </si>
  <si>
    <t>【試算用】加算算定対象人数等認定申請書（処遇改善等加算Ⅲ）(幼稚園)</t>
    <phoneticPr fontId="56"/>
  </si>
  <si>
    <t>療育支援加算</t>
    <rPh sb="0" eb="2">
      <t>リョウイク</t>
    </rPh>
    <rPh sb="2" eb="4">
      <t>シエン</t>
    </rPh>
    <rPh sb="4" eb="6">
      <t>カサン</t>
    </rPh>
    <phoneticPr fontId="74"/>
  </si>
  <si>
    <t>事務職員雇上費加算</t>
    <rPh sb="0" eb="6">
      <t>ジムショクインヤトイア</t>
    </rPh>
    <rPh sb="6" eb="7">
      <t>ヒ</t>
    </rPh>
    <rPh sb="7" eb="9">
      <t>カサン</t>
    </rPh>
    <phoneticPr fontId="74"/>
  </si>
  <si>
    <t>休日保育加算</t>
    <rPh sb="0" eb="6">
      <t>キュウジツホイクカサン</t>
    </rPh>
    <phoneticPr fontId="74"/>
  </si>
  <si>
    <t>g</t>
    <phoneticPr fontId="60"/>
  </si>
  <si>
    <t>h</t>
    <phoneticPr fontId="60"/>
  </si>
  <si>
    <t>i</t>
    <phoneticPr fontId="60"/>
  </si>
  <si>
    <t>j</t>
    <phoneticPr fontId="60"/>
  </si>
  <si>
    <t>k</t>
    <phoneticPr fontId="60"/>
  </si>
  <si>
    <t>チーム保育推進加算</t>
    <rPh sb="3" eb="5">
      <t>ホイク</t>
    </rPh>
    <rPh sb="5" eb="7">
      <t>スイシン</t>
    </rPh>
    <rPh sb="7" eb="9">
      <t>カサン</t>
    </rPh>
    <phoneticPr fontId="60"/>
  </si>
  <si>
    <t>栄養管理加算</t>
    <rPh sb="0" eb="2">
      <t>エイヨウ</t>
    </rPh>
    <rPh sb="2" eb="4">
      <t>カンリ</t>
    </rPh>
    <rPh sb="4" eb="6">
      <t>カサン</t>
    </rPh>
    <phoneticPr fontId="60"/>
  </si>
  <si>
    <t>施設長を配置していない場合（減算）</t>
    <rPh sb="0" eb="3">
      <t>シセツチョウ</t>
    </rPh>
    <rPh sb="4" eb="6">
      <t>ハイチ</t>
    </rPh>
    <rPh sb="11" eb="13">
      <t>バアイ</t>
    </rPh>
    <rPh sb="14" eb="16">
      <t>ゲンサン</t>
    </rPh>
    <phoneticPr fontId="60"/>
  </si>
  <si>
    <t>分園の場合（減算）</t>
    <rPh sb="0" eb="2">
      <t>ブンエン</t>
    </rPh>
    <rPh sb="3" eb="5">
      <t>バアイ</t>
    </rPh>
    <rPh sb="6" eb="8">
      <t>ゲンサン</t>
    </rPh>
    <phoneticPr fontId="60"/>
  </si>
  <si>
    <t>１号認定こどもの利用定員を設定しない場合（減算）</t>
    <rPh sb="1" eb="2">
      <t>ゴウ</t>
    </rPh>
    <rPh sb="2" eb="4">
      <t>ニンテイ</t>
    </rPh>
    <rPh sb="8" eb="10">
      <t>リヨウ</t>
    </rPh>
    <rPh sb="10" eb="12">
      <t>テイイン</t>
    </rPh>
    <rPh sb="13" eb="15">
      <t>セッテイ</t>
    </rPh>
    <rPh sb="18" eb="20">
      <t>バアイ</t>
    </rPh>
    <rPh sb="21" eb="23">
      <t>ゲンサン</t>
    </rPh>
    <phoneticPr fontId="4"/>
  </si>
  <si>
    <t>２．加算見込額</t>
    <phoneticPr fontId="74"/>
  </si>
  <si>
    <t>d</t>
    <phoneticPr fontId="60"/>
  </si>
  <si>
    <t>e</t>
    <phoneticPr fontId="60"/>
  </si>
  <si>
    <t>f</t>
    <phoneticPr fontId="60"/>
  </si>
  <si>
    <t>夜間保育加算</t>
    <rPh sb="0" eb="2">
      <t>ヤカン</t>
    </rPh>
    <rPh sb="2" eb="4">
      <t>ホイク</t>
    </rPh>
    <rPh sb="4" eb="6">
      <t>カサン</t>
    </rPh>
    <phoneticPr fontId="60"/>
  </si>
  <si>
    <t>管理者を配置していない場合（減算）</t>
    <rPh sb="0" eb="3">
      <t>カンリシャ</t>
    </rPh>
    <rPh sb="4" eb="6">
      <t>ハイチ</t>
    </rPh>
    <rPh sb="11" eb="13">
      <t>バアイ</t>
    </rPh>
    <rPh sb="14" eb="16">
      <t>ゲンサン</t>
    </rPh>
    <phoneticPr fontId="60"/>
  </si>
  <si>
    <t>管理者</t>
    <rPh sb="0" eb="3">
      <t>カンリシャ</t>
    </rPh>
    <phoneticPr fontId="60"/>
  </si>
  <si>
    <t>d</t>
    <phoneticPr fontId="60"/>
  </si>
  <si>
    <t>e</t>
    <phoneticPr fontId="60"/>
  </si>
  <si>
    <t>g</t>
    <phoneticPr fontId="60"/>
  </si>
  <si>
    <t>夜間保育加算</t>
    <rPh sb="0" eb="6">
      <t>ヤカンホイクカサン</t>
    </rPh>
    <phoneticPr fontId="60"/>
  </si>
  <si>
    <t>管理者を配置していない場合（減算）</t>
    <rPh sb="0" eb="3">
      <t>カンリシャ</t>
    </rPh>
    <rPh sb="4" eb="6">
      <t>ハイチ</t>
    </rPh>
    <rPh sb="11" eb="13">
      <t>バアイ</t>
    </rPh>
    <rPh sb="14" eb="16">
      <t>ゲンサン</t>
    </rPh>
    <phoneticPr fontId="60"/>
  </si>
  <si>
    <t>a</t>
    <phoneticPr fontId="74"/>
  </si>
  <si>
    <t>c</t>
    <phoneticPr fontId="60"/>
  </si>
  <si>
    <t>家庭的保育補助者加算</t>
    <rPh sb="0" eb="3">
      <t>カテイテキ</t>
    </rPh>
    <rPh sb="3" eb="5">
      <t>ホイク</t>
    </rPh>
    <rPh sb="5" eb="8">
      <t>ホジョシャ</t>
    </rPh>
    <rPh sb="8" eb="10">
      <t>カサン</t>
    </rPh>
    <phoneticPr fontId="74"/>
  </si>
  <si>
    <t>障害児保育加算</t>
    <rPh sb="0" eb="2">
      <t>ショウガイ</t>
    </rPh>
    <rPh sb="2" eb="3">
      <t>ジ</t>
    </rPh>
    <rPh sb="3" eb="5">
      <t>ホイク</t>
    </rPh>
    <rPh sb="5" eb="7">
      <t>カサン</t>
    </rPh>
    <phoneticPr fontId="74"/>
  </si>
  <si>
    <t>※</t>
    <phoneticPr fontId="60"/>
  </si>
  <si>
    <t>ａ～cに2.6を加える</t>
    <rPh sb="8" eb="9">
      <t>クワ</t>
    </rPh>
    <phoneticPr fontId="74"/>
  </si>
  <si>
    <t>食事の提供について自園調理又は
連携施設からの搬入以外に方法による減算</t>
    <rPh sb="0" eb="2">
      <t>ショクジ</t>
    </rPh>
    <rPh sb="3" eb="5">
      <t>テイキョウ</t>
    </rPh>
    <rPh sb="9" eb="10">
      <t>ジ</t>
    </rPh>
    <rPh sb="10" eb="11">
      <t>エン</t>
    </rPh>
    <rPh sb="11" eb="13">
      <t>チョウリ</t>
    </rPh>
    <rPh sb="13" eb="14">
      <t>マタ</t>
    </rPh>
    <rPh sb="16" eb="18">
      <t>レンケイ</t>
    </rPh>
    <rPh sb="18" eb="20">
      <t>シセツ</t>
    </rPh>
    <rPh sb="23" eb="25">
      <t>ハンニュウ</t>
    </rPh>
    <rPh sb="25" eb="27">
      <t>イガイ</t>
    </rPh>
    <rPh sb="28" eb="30">
      <t>ホウホウ</t>
    </rPh>
    <rPh sb="33" eb="35">
      <t>ゲンサン</t>
    </rPh>
    <phoneticPr fontId="74"/>
  </si>
  <si>
    <t>休けい保育教諭</t>
    <rPh sb="0" eb="1">
      <t>キュウ</t>
    </rPh>
    <rPh sb="3" eb="5">
      <t>ホイク</t>
    </rPh>
    <rPh sb="5" eb="7">
      <t>キョウユ</t>
    </rPh>
    <phoneticPr fontId="74"/>
  </si>
  <si>
    <t>【項目】</t>
    <rPh sb="1" eb="3">
      <t>コウモク</t>
    </rPh>
    <phoneticPr fontId="4"/>
  </si>
  <si>
    <t>【入力欄等】</t>
    <rPh sb="1" eb="3">
      <t>ニュウリョク</t>
    </rPh>
    <rPh sb="3" eb="4">
      <t>ラン</t>
    </rPh>
    <rPh sb="4" eb="5">
      <t>トウ</t>
    </rPh>
    <phoneticPr fontId="4"/>
  </si>
  <si>
    <t>【補足説明】</t>
    <rPh sb="1" eb="3">
      <t>ホソク</t>
    </rPh>
    <rPh sb="3" eb="5">
      <t>セツメイ</t>
    </rPh>
    <phoneticPr fontId="4"/>
  </si>
  <si>
    <t>共通</t>
    <rPh sb="0" eb="2">
      <t>キョウツウ</t>
    </rPh>
    <phoneticPr fontId="4"/>
  </si>
  <si>
    <t>○基本情報</t>
    <rPh sb="1" eb="3">
      <t>キホン</t>
    </rPh>
    <rPh sb="3" eb="5">
      <t>ジョウホウ</t>
    </rPh>
    <phoneticPr fontId="4"/>
  </si>
  <si>
    <t>事業所種別</t>
    <rPh sb="0" eb="3">
      <t>ジギョウショ</t>
    </rPh>
    <rPh sb="3" eb="5">
      <t>シュベツ</t>
    </rPh>
    <phoneticPr fontId="4"/>
  </si>
  <si>
    <t>定員</t>
    <rPh sb="0" eb="2">
      <t>テイイン</t>
    </rPh>
    <phoneticPr fontId="4"/>
  </si>
  <si>
    <t>１号</t>
    <rPh sb="1" eb="2">
      <t>ゴウ</t>
    </rPh>
    <phoneticPr fontId="4"/>
  </si>
  <si>
    <t>２号</t>
    <rPh sb="1" eb="2">
      <t>ゴウ</t>
    </rPh>
    <phoneticPr fontId="4"/>
  </si>
  <si>
    <t>分園</t>
    <rPh sb="0" eb="1">
      <t>ブン</t>
    </rPh>
    <rPh sb="1" eb="2">
      <t>エン</t>
    </rPh>
    <phoneticPr fontId="4"/>
  </si>
  <si>
    <t>西暦</t>
    <rPh sb="0" eb="2">
      <t>セイレキ</t>
    </rPh>
    <phoneticPr fontId="4"/>
  </si>
  <si>
    <t>受けている</t>
    <rPh sb="0" eb="1">
      <t>ウ</t>
    </rPh>
    <phoneticPr fontId="4"/>
  </si>
  <si>
    <t>いいえ</t>
    <phoneticPr fontId="4"/>
  </si>
  <si>
    <t>受けていない</t>
    <rPh sb="0" eb="1">
      <t>ウ</t>
    </rPh>
    <phoneticPr fontId="4"/>
  </si>
  <si>
    <t>事業所種別を選択してください。</t>
    <rPh sb="0" eb="3">
      <t>ジギョウショ</t>
    </rPh>
    <rPh sb="3" eb="5">
      <t>シュベツ</t>
    </rPh>
    <rPh sb="6" eb="8">
      <t>センタク</t>
    </rPh>
    <phoneticPr fontId="60"/>
  </si>
  <si>
    <t>利用定員を入力してください。</t>
    <rPh sb="0" eb="2">
      <t>リヨウ</t>
    </rPh>
    <rPh sb="2" eb="4">
      <t>テイイン</t>
    </rPh>
    <rPh sb="5" eb="7">
      <t>ニュウリョク</t>
    </rPh>
    <phoneticPr fontId="60"/>
  </si>
  <si>
    <t>【試算用】加算算定対象人数等認定申請書（処遇改善等加算Ⅲ）(小規模Ａ・事業所内19)</t>
    <phoneticPr fontId="60"/>
  </si>
  <si>
    <t>【試算用】加算算定対象人数等認定申請書(処遇改善等加算Ⅲ)(事業所内20)</t>
    <phoneticPr fontId="60"/>
  </si>
  <si>
    <t>【試算用】加算算定対象人数等認定申請書（処遇改善等加算Ⅲ）(家庭的)</t>
    <phoneticPr fontId="60"/>
  </si>
  <si>
    <t>そのため、ステップ１で「事業所種別」と「利用定員」を入力し、ステップ２で「年間の見込児童数」を算出し、ステップ３で「加算」を決めることで</t>
    <rPh sb="12" eb="17">
      <t>ジギョウショシュベツ</t>
    </rPh>
    <rPh sb="20" eb="22">
      <t>リヨウ</t>
    </rPh>
    <rPh sb="22" eb="24">
      <t>テイイン</t>
    </rPh>
    <rPh sb="26" eb="28">
      <t>ニュウリョク</t>
    </rPh>
    <rPh sb="37" eb="39">
      <t>ネンカン</t>
    </rPh>
    <rPh sb="40" eb="42">
      <t>ミコミ</t>
    </rPh>
    <rPh sb="42" eb="44">
      <t>ジドウ</t>
    </rPh>
    <rPh sb="44" eb="45">
      <t>スウ</t>
    </rPh>
    <rPh sb="47" eb="49">
      <t>サンシュツ</t>
    </rPh>
    <rPh sb="58" eb="60">
      <t>カサン</t>
    </rPh>
    <rPh sb="62" eb="63">
      <t>キ</t>
    </rPh>
    <phoneticPr fontId="60"/>
  </si>
  <si>
    <t>①　事業所種別を選択します。</t>
    <rPh sb="2" eb="7">
      <t>ジギョウショシュベツ</t>
    </rPh>
    <rPh sb="8" eb="10">
      <t>センタク</t>
    </rPh>
    <phoneticPr fontId="60"/>
  </si>
  <si>
    <t>②　利用定員を入力します。</t>
    <rPh sb="2" eb="4">
      <t>リヨウ</t>
    </rPh>
    <rPh sb="4" eb="6">
      <t>テイイン</t>
    </rPh>
    <rPh sb="7" eb="9">
      <t>ニュウリョク</t>
    </rPh>
    <phoneticPr fontId="60"/>
  </si>
  <si>
    <t>②　各シートの左上の「定員」が正しく反映されているか確認します。（誤っている場合は、「入力（児童数-本園）」シートで利用定員を修正します。）</t>
    <rPh sb="2" eb="3">
      <t>カク</t>
    </rPh>
    <rPh sb="7" eb="9">
      <t>ヒダリウエ</t>
    </rPh>
    <rPh sb="11" eb="13">
      <t>テイイン</t>
    </rPh>
    <rPh sb="15" eb="16">
      <t>タダ</t>
    </rPh>
    <rPh sb="18" eb="20">
      <t>ハンエイ</t>
    </rPh>
    <rPh sb="26" eb="28">
      <t>カクニン</t>
    </rPh>
    <rPh sb="33" eb="34">
      <t>アヤマ</t>
    </rPh>
    <rPh sb="38" eb="40">
      <t>バアイ</t>
    </rPh>
    <rPh sb="43" eb="45">
      <t>ニュウリョク</t>
    </rPh>
    <rPh sb="46" eb="48">
      <t>ジドウ</t>
    </rPh>
    <rPh sb="48" eb="49">
      <t>スウ</t>
    </rPh>
    <rPh sb="50" eb="51">
      <t>ホン</t>
    </rPh>
    <rPh sb="51" eb="52">
      <t>エン</t>
    </rPh>
    <rPh sb="58" eb="60">
      <t>リヨウ</t>
    </rPh>
    <rPh sb="60" eb="62">
      <t>テイイン</t>
    </rPh>
    <rPh sb="63" eb="65">
      <t>シュウセイ</t>
    </rPh>
    <phoneticPr fontId="60"/>
  </si>
  <si>
    <t>※　保育所であれば「入力（加算）保」シート、認定こども園であれば「入力（加算）認」シートなど。</t>
    <rPh sb="2" eb="4">
      <t>ホイク</t>
    </rPh>
    <rPh sb="4" eb="5">
      <t>ショ</t>
    </rPh>
    <rPh sb="10" eb="12">
      <t>ニュウリョク</t>
    </rPh>
    <rPh sb="13" eb="15">
      <t>カサン</t>
    </rPh>
    <rPh sb="16" eb="17">
      <t>ホ</t>
    </rPh>
    <rPh sb="22" eb="24">
      <t>ニンテイ</t>
    </rPh>
    <rPh sb="27" eb="28">
      <t>エン</t>
    </rPh>
    <rPh sb="33" eb="35">
      <t>ニュウリョク</t>
    </rPh>
    <rPh sb="36" eb="38">
      <t>カサン</t>
    </rPh>
    <rPh sb="39" eb="40">
      <t>ニン</t>
    </rPh>
    <phoneticPr fontId="60"/>
  </si>
  <si>
    <t>※　保育所であれば「【試算用】様式3(保)」シート、認定こども園であれば「【試算用】様式3(認)」シートなど。</t>
    <rPh sb="2" eb="4">
      <t>ホイク</t>
    </rPh>
    <rPh sb="4" eb="5">
      <t>ショ</t>
    </rPh>
    <rPh sb="11" eb="13">
      <t>シサン</t>
    </rPh>
    <rPh sb="13" eb="14">
      <t>ヨウ</t>
    </rPh>
    <rPh sb="15" eb="17">
      <t>ヨウシキ</t>
    </rPh>
    <rPh sb="19" eb="20">
      <t>ホ</t>
    </rPh>
    <rPh sb="26" eb="28">
      <t>ニンテイ</t>
    </rPh>
    <rPh sb="31" eb="32">
      <t>エン</t>
    </rPh>
    <rPh sb="38" eb="40">
      <t>シサン</t>
    </rPh>
    <rPh sb="40" eb="41">
      <t>ヨウ</t>
    </rPh>
    <rPh sb="42" eb="44">
      <t>ヨウシキ</t>
    </rPh>
    <rPh sb="46" eb="47">
      <t>ニン</t>
    </rPh>
    <phoneticPr fontId="60"/>
  </si>
  <si>
    <t>①　入力するシートは、施設種別毎で異なりますので、自園の事業所種別のシート（※）を選択します。</t>
    <rPh sb="2" eb="4">
      <t>ニュウリョク</t>
    </rPh>
    <rPh sb="11" eb="13">
      <t>シセツ</t>
    </rPh>
    <rPh sb="13" eb="15">
      <t>シュベツ</t>
    </rPh>
    <rPh sb="15" eb="16">
      <t>ゴト</t>
    </rPh>
    <rPh sb="17" eb="18">
      <t>コト</t>
    </rPh>
    <rPh sb="25" eb="26">
      <t>ジ</t>
    </rPh>
    <rPh sb="26" eb="27">
      <t>エン</t>
    </rPh>
    <rPh sb="28" eb="31">
      <t>ジギョウショ</t>
    </rPh>
    <rPh sb="31" eb="33">
      <t>シュベツ</t>
    </rPh>
    <rPh sb="41" eb="43">
      <t>センタク</t>
    </rPh>
    <phoneticPr fontId="60"/>
  </si>
  <si>
    <t>①　確認するシートは、施設種別毎で異なりますので、自園の事業所種別のシート（※）を選択します。</t>
    <rPh sb="2" eb="4">
      <t>カクニン</t>
    </rPh>
    <rPh sb="11" eb="13">
      <t>シセツ</t>
    </rPh>
    <rPh sb="13" eb="15">
      <t>シュベツ</t>
    </rPh>
    <rPh sb="15" eb="16">
      <t>ゴト</t>
    </rPh>
    <rPh sb="17" eb="18">
      <t>コト</t>
    </rPh>
    <rPh sb="25" eb="26">
      <t>ジ</t>
    </rPh>
    <rPh sb="26" eb="27">
      <t>エン</t>
    </rPh>
    <rPh sb="28" eb="31">
      <t>ジギョウショ</t>
    </rPh>
    <rPh sb="31" eb="33">
      <t>シュベツ</t>
    </rPh>
    <rPh sb="41" eb="43">
      <t>センタク</t>
    </rPh>
    <phoneticPr fontId="60"/>
  </si>
  <si>
    <t>※　分園がある場合は、入力（児童数-分園)シートも入力</t>
    <rPh sb="2" eb="4">
      <t>ブンエン</t>
    </rPh>
    <rPh sb="7" eb="9">
      <t>バアイ</t>
    </rPh>
    <rPh sb="25" eb="27">
      <t>ニュウリョク</t>
    </rPh>
    <phoneticPr fontId="60"/>
  </si>
  <si>
    <t>①　入力（児童数-本園)シート（※）を入力します。</t>
    <rPh sb="19" eb="21">
      <t>ニュウリョク</t>
    </rPh>
    <phoneticPr fontId="60"/>
  </si>
  <si>
    <t>③　４月時点に取得する加算をプルダウンで選択します。</t>
    <rPh sb="3" eb="4">
      <t>ガツ</t>
    </rPh>
    <rPh sb="4" eb="6">
      <t>ジテン</t>
    </rPh>
    <phoneticPr fontId="60"/>
  </si>
  <si>
    <t>②　児童数の見込み人数について、前年度の実績を使用する場合は（１）～（２）を入力します。（下図の赤枠部分）</t>
    <rPh sb="2" eb="4">
      <t>ジドウ</t>
    </rPh>
    <rPh sb="4" eb="5">
      <t>スウ</t>
    </rPh>
    <rPh sb="6" eb="8">
      <t>ミコ</t>
    </rPh>
    <rPh sb="9" eb="11">
      <t>ニンズウ</t>
    </rPh>
    <rPh sb="16" eb="19">
      <t>ゼンネンド</t>
    </rPh>
    <rPh sb="20" eb="22">
      <t>ジッセキ</t>
    </rPh>
    <rPh sb="23" eb="25">
      <t>シヨウ</t>
    </rPh>
    <rPh sb="27" eb="29">
      <t>バアイ</t>
    </rPh>
    <rPh sb="38" eb="40">
      <t>ニュウリョク</t>
    </rPh>
    <rPh sb="45" eb="47">
      <t>カズ</t>
    </rPh>
    <rPh sb="48" eb="49">
      <t>アカ</t>
    </rPh>
    <rPh sb="49" eb="50">
      <t>ワク</t>
    </rPh>
    <rPh sb="50" eb="52">
      <t>ブブン</t>
    </rPh>
    <phoneticPr fontId="60"/>
  </si>
  <si>
    <t>③　上記②で前年度の実績を使用しない場合は、（３）で下図の赤枠部分のとおり「はい」を選択します。</t>
    <rPh sb="2" eb="4">
      <t>ジョウキ</t>
    </rPh>
    <rPh sb="26" eb="28">
      <t>カズ</t>
    </rPh>
    <rPh sb="29" eb="33">
      <t>アカワクブブン</t>
    </rPh>
    <rPh sb="42" eb="44">
      <t>センタク</t>
    </rPh>
    <phoneticPr fontId="60"/>
  </si>
  <si>
    <t>④　（４）のうち、下図の赤枠部分を入力します。</t>
    <rPh sb="9" eb="11">
      <t>カズ</t>
    </rPh>
    <rPh sb="12" eb="16">
      <t>アカワクブブン</t>
    </rPh>
    <rPh sb="17" eb="19">
      <t>ニュウリョク</t>
    </rPh>
    <phoneticPr fontId="60"/>
  </si>
  <si>
    <t>　（上記②で前年度の実績を使用する場合は、「ステップ３」に進みます）</t>
    <rPh sb="2" eb="4">
      <t>ジョウキ</t>
    </rPh>
    <rPh sb="6" eb="9">
      <t>ゼンネンド</t>
    </rPh>
    <rPh sb="10" eb="12">
      <t>ジッセキ</t>
    </rPh>
    <rPh sb="13" eb="15">
      <t>シヨウ</t>
    </rPh>
    <rPh sb="17" eb="19">
      <t>バアイ</t>
    </rPh>
    <rPh sb="29" eb="30">
      <t>スス</t>
    </rPh>
    <phoneticPr fontId="60"/>
  </si>
  <si>
    <r>
      <t>　※　</t>
    </r>
    <r>
      <rPr>
        <u val="double"/>
        <sz val="18"/>
        <color theme="1"/>
        <rFont val="BIZ UDゴシック"/>
        <family val="3"/>
        <charset val="128"/>
      </rPr>
      <t>地域型の事業所のみ</t>
    </r>
    <r>
      <rPr>
        <sz val="18"/>
        <color theme="1"/>
        <rFont val="BIZ UDゴシック"/>
        <family val="3"/>
        <charset val="128"/>
      </rPr>
      <t>、障害児保育加算の適用がある場合は下図の赤枠部分を入力します。</t>
    </r>
    <rPh sb="3" eb="6">
      <t>チイキガタ</t>
    </rPh>
    <rPh sb="7" eb="10">
      <t>ジギョウショ</t>
    </rPh>
    <rPh sb="13" eb="20">
      <t>ショウガイジホイクカサン</t>
    </rPh>
    <rPh sb="21" eb="23">
      <t>テキヨウ</t>
    </rPh>
    <rPh sb="26" eb="28">
      <t>バアイ</t>
    </rPh>
    <rPh sb="29" eb="31">
      <t>カズ</t>
    </rPh>
    <rPh sb="32" eb="36">
      <t>アカワクブブン</t>
    </rPh>
    <rPh sb="37" eb="39">
      <t>ニュウリョク</t>
    </rPh>
    <phoneticPr fontId="60"/>
  </si>
  <si>
    <t>※　ここで表示される加算見込額は、法定福利費を含む金額です。</t>
    <rPh sb="5" eb="7">
      <t>ヒョウジ</t>
    </rPh>
    <rPh sb="10" eb="15">
      <t>カサンミコミガク</t>
    </rPh>
    <rPh sb="17" eb="22">
      <t>ホウテイフクリヒ</t>
    </rPh>
    <rPh sb="23" eb="24">
      <t>フク</t>
    </rPh>
    <rPh sb="25" eb="27">
      <t>キンガク</t>
    </rPh>
    <phoneticPr fontId="60"/>
  </si>
  <si>
    <t>小計×1.3（小数点第一位四捨五入）</t>
    <rPh sb="0" eb="2">
      <t>ショウケイ</t>
    </rPh>
    <rPh sb="7" eb="10">
      <t>ショウスウテン</t>
    </rPh>
    <rPh sb="10" eb="11">
      <t>ダイ</t>
    </rPh>
    <rPh sb="11" eb="13">
      <t>イチイ</t>
    </rPh>
    <rPh sb="13" eb="17">
      <t>シシャゴニュウ</t>
    </rPh>
    <phoneticPr fontId="74"/>
  </si>
  <si>
    <t>年齢別配置基準による職員数×1.1
（小数点第一位四捨五入）</t>
    <rPh sb="0" eb="3">
      <t>ネンレイベツ</t>
    </rPh>
    <rPh sb="3" eb="7">
      <t>ハイキ</t>
    </rPh>
    <rPh sb="10" eb="13">
      <t>ショクインスウ</t>
    </rPh>
    <phoneticPr fontId="74"/>
  </si>
  <si>
    <t>２・３号</t>
    <rPh sb="3" eb="4">
      <t>ゴウ</t>
    </rPh>
    <phoneticPr fontId="74"/>
  </si>
  <si>
    <t>　４歳児以上児</t>
    <rPh sb="2" eb="4">
      <t>サイジ</t>
    </rPh>
    <rPh sb="4" eb="6">
      <t>イジョウ</t>
    </rPh>
    <rPh sb="6" eb="7">
      <t>ジ</t>
    </rPh>
    <phoneticPr fontId="74"/>
  </si>
  <si>
    <t>　３歳児</t>
    <rPh sb="2" eb="3">
      <t>サイ</t>
    </rPh>
    <rPh sb="3" eb="4">
      <t>ジ</t>
    </rPh>
    <phoneticPr fontId="74"/>
  </si>
  <si>
    <t>　　うち満３歳児</t>
    <rPh sb="4" eb="5">
      <t>マン</t>
    </rPh>
    <rPh sb="6" eb="8">
      <t>サイジ</t>
    </rPh>
    <phoneticPr fontId="74"/>
  </si>
  <si>
    <t>　１，２歳児</t>
    <rPh sb="4" eb="6">
      <t>サイジ</t>
    </rPh>
    <phoneticPr fontId="74"/>
  </si>
  <si>
    <t>　０歳児</t>
    <rPh sb="2" eb="4">
      <t>サイジ</t>
    </rPh>
    <phoneticPr fontId="74"/>
  </si>
  <si>
    <t>　３歳児配置改善加算</t>
  </si>
  <si>
    <t>３歳児</t>
    <rPh sb="1" eb="3">
      <t>サイジ</t>
    </rPh>
    <phoneticPr fontId="74"/>
  </si>
  <si>
    <t>４歳以上児</t>
    <rPh sb="1" eb="4">
      <t>サイイジョウ</t>
    </rPh>
    <rPh sb="2" eb="4">
      <t>イジョウ</t>
    </rPh>
    <rPh sb="4" eb="5">
      <t>ジ</t>
    </rPh>
    <phoneticPr fontId="74"/>
  </si>
  <si>
    <t>３歳児（満３歳児含む）</t>
    <rPh sb="1" eb="3">
      <t>サイジ</t>
    </rPh>
    <rPh sb="4" eb="5">
      <t>マン</t>
    </rPh>
    <rPh sb="6" eb="8">
      <t>サイジ</t>
    </rPh>
    <rPh sb="8" eb="9">
      <t>フク</t>
    </rPh>
    <phoneticPr fontId="74"/>
  </si>
  <si>
    <t>小計（小数点第一位四捨五入）*1.1</t>
    <rPh sb="0" eb="2">
      <t>ショウケイ</t>
    </rPh>
    <rPh sb="3" eb="6">
      <t>ショウスウテン</t>
    </rPh>
    <rPh sb="6" eb="7">
      <t>ダイ</t>
    </rPh>
    <rPh sb="7" eb="9">
      <t>イチイ</t>
    </rPh>
    <rPh sb="9" eb="13">
      <t>シシャゴニュウ</t>
    </rPh>
    <phoneticPr fontId="74"/>
  </si>
  <si>
    <t>小計（小数点第一位四捨五入）*1.3</t>
    <rPh sb="0" eb="2">
      <t>ショウケイ</t>
    </rPh>
    <rPh sb="3" eb="6">
      <t>ショウスウテン</t>
    </rPh>
    <rPh sb="6" eb="7">
      <t>ダイ</t>
    </rPh>
    <rPh sb="7" eb="9">
      <t>イチイ</t>
    </rPh>
    <rPh sb="9" eb="13">
      <t>シシャゴニュウ</t>
    </rPh>
    <phoneticPr fontId="74"/>
  </si>
  <si>
    <t>③　算定対象人数を概算・精算書のＡ基礎データに入力してください。（算定対象人数は１年間同じ数値を使います。）</t>
    <rPh sb="2" eb="8">
      <t>サンテイタイショウニンズウ</t>
    </rPh>
    <rPh sb="9" eb="11">
      <t>ガイサン</t>
    </rPh>
    <rPh sb="12" eb="15">
      <t>セイサンショ</t>
    </rPh>
    <rPh sb="17" eb="19">
      <t>キソ</t>
    </rPh>
    <rPh sb="23" eb="25">
      <t>ニュウリョク</t>
    </rPh>
    <rPh sb="33" eb="39">
      <t>サンテイタイショウニンズウ</t>
    </rPh>
    <rPh sb="41" eb="43">
      <t>ネンカン</t>
    </rPh>
    <rPh sb="43" eb="44">
      <t>オナ</t>
    </rPh>
    <rPh sb="45" eb="47">
      <t>スウチ</t>
    </rPh>
    <rPh sb="48" eb="49">
      <t>ツカ</t>
    </rPh>
    <phoneticPr fontId="60"/>
  </si>
  <si>
    <t>処遇改善等加算Ⅲの算定対象人数は、「年間の見込児童数」と「４月に取得する加算」によって決まります。</t>
    <rPh sb="0" eb="2">
      <t>ショグウ</t>
    </rPh>
    <rPh sb="2" eb="4">
      <t>カイゼン</t>
    </rPh>
    <rPh sb="4" eb="5">
      <t>トウ</t>
    </rPh>
    <rPh sb="5" eb="7">
      <t>カサン</t>
    </rPh>
    <rPh sb="9" eb="11">
      <t>サンテイ</t>
    </rPh>
    <rPh sb="11" eb="13">
      <t>タイショウ</t>
    </rPh>
    <rPh sb="13" eb="15">
      <t>ニンズウ</t>
    </rPh>
    <rPh sb="18" eb="20">
      <t>ネンカン</t>
    </rPh>
    <rPh sb="21" eb="23">
      <t>ミコミ</t>
    </rPh>
    <rPh sb="23" eb="25">
      <t>ジドウ</t>
    </rPh>
    <rPh sb="25" eb="26">
      <t>スウ</t>
    </rPh>
    <rPh sb="30" eb="31">
      <t>ガツ</t>
    </rPh>
    <rPh sb="32" eb="34">
      <t>シュトク</t>
    </rPh>
    <rPh sb="36" eb="38">
      <t>カサン</t>
    </rPh>
    <rPh sb="43" eb="44">
      <t>キ</t>
    </rPh>
    <phoneticPr fontId="60"/>
  </si>
  <si>
    <r>
      <t>ステップ４で処遇改善等加算Ⅲの「算定対象人数</t>
    </r>
    <r>
      <rPr>
        <vertAlign val="superscript"/>
        <sz val="16"/>
        <color theme="1"/>
        <rFont val="BIZ UDゴシック"/>
        <family val="3"/>
        <charset val="128"/>
      </rPr>
      <t>※</t>
    </r>
    <r>
      <rPr>
        <sz val="16"/>
        <color theme="1"/>
        <rFont val="BIZ UDゴシック"/>
        <family val="3"/>
        <charset val="128"/>
      </rPr>
      <t>」と「加算見込額」を確認することができます。</t>
    </r>
    <rPh sb="6" eb="8">
      <t>ショグウ</t>
    </rPh>
    <rPh sb="8" eb="10">
      <t>カイゼン</t>
    </rPh>
    <rPh sb="10" eb="11">
      <t>トウ</t>
    </rPh>
    <rPh sb="11" eb="13">
      <t>カサン</t>
    </rPh>
    <rPh sb="16" eb="18">
      <t>サンテイ</t>
    </rPh>
    <rPh sb="18" eb="20">
      <t>タイショウ</t>
    </rPh>
    <rPh sb="20" eb="22">
      <t>ニンズウ</t>
    </rPh>
    <rPh sb="26" eb="28">
      <t>カサン</t>
    </rPh>
    <rPh sb="28" eb="30">
      <t>ミコミ</t>
    </rPh>
    <rPh sb="30" eb="31">
      <t>ガク</t>
    </rPh>
    <rPh sb="32" eb="33">
      <t>インズウ</t>
    </rPh>
    <rPh sb="33" eb="35">
      <t>カクニン</t>
    </rPh>
    <phoneticPr fontId="60"/>
  </si>
  <si>
    <t>※　別途、概算・精算書のＡ基礎データで用いる人数です</t>
    <rPh sb="2" eb="4">
      <t>ベット</t>
    </rPh>
    <rPh sb="5" eb="7">
      <t>ガイサン</t>
    </rPh>
    <rPh sb="8" eb="11">
      <t>セイサンショ</t>
    </rPh>
    <rPh sb="13" eb="15">
      <t>キソ</t>
    </rPh>
    <rPh sb="19" eb="20">
      <t>モチ</t>
    </rPh>
    <rPh sb="22" eb="24">
      <t>ニンズウ</t>
    </rPh>
    <phoneticPr fontId="60"/>
  </si>
  <si>
    <t>②　シートの下部の「２．加算見込額」で、「算定対象人数」と「加算見込額（※）」を確認します。</t>
    <rPh sb="6" eb="8">
      <t>カブ</t>
    </rPh>
    <rPh sb="21" eb="23">
      <t>サンテイ</t>
    </rPh>
    <rPh sb="23" eb="25">
      <t>タイショウ</t>
    </rPh>
    <rPh sb="25" eb="27">
      <t>ニンズウ</t>
    </rPh>
    <rPh sb="30" eb="32">
      <t>カサン</t>
    </rPh>
    <rPh sb="32" eb="34">
      <t>ミコミ</t>
    </rPh>
    <rPh sb="34" eb="35">
      <t>ガク</t>
    </rPh>
    <rPh sb="40" eb="42">
      <t>カクニン</t>
    </rPh>
    <phoneticPr fontId="60"/>
  </si>
  <si>
    <t>※　ａ～ｅに3.1を加える</t>
    <rPh sb="10" eb="11">
      <t>クワ</t>
    </rPh>
    <phoneticPr fontId="7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</si>
</sst>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176" formatCode="&quot;¥&quot;#,##0_);[Red]\(&quot;¥&quot;#,##0\)"/>
    <numFmt numFmtId="177" formatCode="\(#,##0\)"/>
    <numFmt numFmtId="178" formatCode="#,##0;&quot;▲ &quot;#,##0"/>
    <numFmt numFmtId="179" formatCode="#,##0\×&quot;加&quot;&quot;算&quot;&quot;率&quot;"/>
    <numFmt numFmtId="180" formatCode="\(#,##0\×&quot;加&quot;&quot;算&quot;&quot;率&quot;\)"/>
    <numFmt numFmtId="181" formatCode="&quot;×&quot;#\ ?/100"/>
    <numFmt numFmtId="182" formatCode="#,##0\×&quot;加&quot;&quot;算&quot;&quot;数&quot;"/>
    <numFmt numFmtId="183" formatCode="#,##0&quot;×加算率&quot;"/>
    <numFmt numFmtId="184" formatCode="#,##0&quot;÷３月初日の利用子ども数&quot;"/>
    <numFmt numFmtId="185" formatCode="#,##0&quot;（限度額）÷３月初日の利用子ども数&quot;"/>
    <numFmt numFmtId="186" formatCode="&quot;（&quot;#,##0"/>
    <numFmt numFmtId="187" formatCode="#,##0&quot;×週当たり実施日数&quot;"/>
    <numFmt numFmtId="188" formatCode="&quot;＋&quot;#,##0\×&quot;加&quot;&quot;算&quot;&quot;率&quot;\)"/>
    <numFmt numFmtId="189" formatCode="&quot;＋&quot;#,##0\×&quot;加&quot;&quot;算&quot;&quot;率&quot;\)&quot;×人数&quot;"/>
    <numFmt numFmtId="190" formatCode="&quot;＋ &quot;#,##0;&quot;▲ &quot;#,##0"/>
    <numFmt numFmtId="191" formatCode="&quot;＋　 &quot;#,##0;&quot;▲ &quot;#,##0"/>
    <numFmt numFmtId="192" formatCode="&quot;⑥×&quot;#?/100"/>
    <numFmt numFmtId="193" formatCode="#,##0_ "/>
    <numFmt numFmtId="194" formatCode="#,##0&quot;人まで&quot;"/>
    <numFmt numFmtId="195" formatCode="#,##0&quot;人～279人&quot;"/>
    <numFmt numFmtId="196" formatCode="#,##0&quot;人～699人&quot;"/>
    <numFmt numFmtId="197" formatCode="#,##0&quot;％&quot;"/>
    <numFmt numFmtId="198" formatCode="#,##0&quot;人&quot;"/>
    <numFmt numFmtId="199" formatCode="#,##0.0&quot;％&quot;"/>
    <numFmt numFmtId="200" formatCode="0&quot;月&quot;"/>
    <numFmt numFmtId="201" formatCode="&quot;(⑥～⑰)×&quot;#\ ?/100"/>
    <numFmt numFmtId="202" formatCode="#,##0&quot;×加算率×加配人数&quot;"/>
    <numFmt numFmtId="203" formatCode="#&quot;月&quot;"/>
    <numFmt numFmtId="204" formatCode="##,###&quot;×加配人数&quot;"/>
    <numFmt numFmtId="205" formatCode="#,##0_);[Red]\(#,##0\)"/>
    <numFmt numFmtId="206" formatCode="0.0"/>
    <numFmt numFmtId="207" formatCode="#,##0;\-#,##0;&quot;-&quot;"/>
    <numFmt numFmtId="208" formatCode="#\ ?/100"/>
    <numFmt numFmtId="209" formatCode="#,##0_ &quot;×各月の給食&quot;"/>
    <numFmt numFmtId="210" formatCode="General&quot;月&quot;"/>
    <numFmt numFmtId="211" formatCode="#,##0&quot;月&quot;\ "/>
    <numFmt numFmtId="212" formatCode="#,##0&quot;人&quot;\ "/>
    <numFmt numFmtId="213" formatCode="0.00_ "/>
    <numFmt numFmtId="214" formatCode="#,##0.0&quot;人&quot;\ "/>
    <numFmt numFmtId="215" formatCode="0_);[Red]\(0\)"/>
    <numFmt numFmtId="216" formatCode="0.0_);[Red]\(0.0\)"/>
    <numFmt numFmtId="217" formatCode="0.0_ ;[Red]\-0.0\ "/>
    <numFmt numFmtId="218" formatCode="0.00_);[Red]\(0.00\)"/>
    <numFmt numFmtId="219" formatCode="0.000_);[Red]\(0.000\)"/>
    <numFmt numFmtId="220" formatCode="0_ "/>
    <numFmt numFmtId="221" formatCode="[$-411]ge\.m\.d;@"/>
    <numFmt numFmtId="222" formatCode="#,##0&quot;月&quot;"/>
    <numFmt numFmtId="223" formatCode="&quot;ver.&quot;0.0"/>
    <numFmt numFmtId="224" formatCode="#,##0&quot;×加配人数&quot;"/>
    <numFmt numFmtId="225" formatCode="#,##0\×&quot;週&quot;&quot;当&quot;&quot;た&quot;&quot;り&quot;&quot;実&quot;&quot;施&quot;&quot;日&quot;&quot;数&quot;\×&quot;加&quot;&quot;算&quot;&quot;率&quot;"/>
    <numFmt numFmtId="226" formatCode="#,##0\×&quot;加&quot;&quot;算&quot;&quot;率&quot;&quot;×加配人数&quot;"/>
    <numFmt numFmtId="227" formatCode="#,##0&quot;円×算定対象人数&quot;"/>
    <numFmt numFmtId="228" formatCode="#,##0.0_);[Red]\(#,##0.0\)"/>
  </numFmts>
  <fonts count="15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ゴシック"/>
      <family val="2"/>
      <charset val="128"/>
    </font>
    <font>
      <sz val="6"/>
      <name val="ＭＳ Ｐゴシック"/>
      <family val="3"/>
      <charset val="128"/>
    </font>
    <font>
      <sz val="11"/>
      <name val="ＭＳ Ｐゴシック"/>
      <family val="3"/>
      <charset val="128"/>
    </font>
    <font>
      <sz val="8"/>
      <name val="HGｺﾞｼｯｸM"/>
      <family val="3"/>
      <charset val="128"/>
    </font>
    <font>
      <sz val="6"/>
      <name val="ＭＳ Ｐゴシック"/>
      <family val="3"/>
      <charset val="128"/>
    </font>
    <font>
      <sz val="6"/>
      <name val="明朝"/>
      <family val="3"/>
      <charset val="128"/>
    </font>
    <font>
      <sz val="10"/>
      <name val="HGｺﾞｼｯｸM"/>
      <family val="3"/>
      <charset val="128"/>
    </font>
    <font>
      <sz val="11"/>
      <name val="HGｺﾞｼｯｸM"/>
      <family val="3"/>
      <charset val="128"/>
    </font>
    <font>
      <sz val="11"/>
      <name val="明朝"/>
      <family val="3"/>
      <charset val="128"/>
    </font>
    <font>
      <sz val="12"/>
      <name val="HGｺﾞｼｯｸM"/>
      <family val="3"/>
      <charset val="128"/>
    </font>
    <font>
      <sz val="13"/>
      <name val="HGｺﾞｼｯｸM"/>
      <family val="3"/>
      <charset val="128"/>
    </font>
    <font>
      <sz val="7"/>
      <name val="HGｺﾞｼｯｸM"/>
      <family val="3"/>
      <charset val="128"/>
    </font>
    <font>
      <sz val="6"/>
      <name val="HGｺﾞｼｯｸM"/>
      <family val="3"/>
      <charset val="128"/>
    </font>
    <font>
      <sz val="12"/>
      <name val="明朝"/>
      <family val="3"/>
      <charset val="128"/>
    </font>
    <font>
      <sz val="11"/>
      <name val="明朝"/>
      <family val="3"/>
      <charset val="128"/>
    </font>
    <font>
      <sz val="6"/>
      <name val="明朝"/>
      <family val="3"/>
      <charset val="128"/>
    </font>
    <font>
      <b/>
      <sz val="16"/>
      <name val="HGｺﾞｼｯｸM"/>
      <family val="3"/>
      <charset val="128"/>
    </font>
    <font>
      <b/>
      <sz val="11"/>
      <name val="ＭＳ Ｐゴシック"/>
      <family val="3"/>
      <charset val="128"/>
    </font>
    <font>
      <sz val="12"/>
      <name val="ＭＳ Ｐゴシック"/>
      <family val="3"/>
      <charset val="128"/>
    </font>
    <font>
      <sz val="12"/>
      <name val="ＭＳ 明朝"/>
      <family val="1"/>
      <charset val="128"/>
    </font>
    <font>
      <sz val="10"/>
      <color indexed="8"/>
      <name val="Arial"/>
      <family val="2"/>
    </font>
    <font>
      <b/>
      <sz val="12"/>
      <name val="Arial"/>
      <family val="2"/>
    </font>
    <font>
      <sz val="10"/>
      <name val="Arial"/>
      <family val="2"/>
    </font>
    <font>
      <sz val="11"/>
      <color theme="1"/>
      <name val="ＭＳ Ｐゴシック"/>
      <family val="3"/>
      <charset val="128"/>
      <scheme val="minor"/>
    </font>
    <font>
      <sz val="11"/>
      <color rgb="FFFF0000"/>
      <name val="ＭＳ ゴシック"/>
      <family val="3"/>
      <charset val="128"/>
    </font>
    <font>
      <sz val="9"/>
      <color theme="1"/>
      <name val="ＭＳ Ｐゴシック"/>
      <family val="3"/>
      <charset val="128"/>
      <scheme val="minor"/>
    </font>
    <font>
      <b/>
      <sz val="16"/>
      <color theme="1"/>
      <name val="HGｺﾞｼｯｸM"/>
      <family val="3"/>
      <charset val="128"/>
    </font>
    <font>
      <sz val="11"/>
      <color theme="1"/>
      <name val="HGｺﾞｼｯｸM"/>
      <family val="3"/>
      <charset val="128"/>
    </font>
    <font>
      <sz val="10"/>
      <color theme="1"/>
      <name val="HGｺﾞｼｯｸM"/>
      <family val="3"/>
      <charset val="128"/>
    </font>
    <font>
      <sz val="14"/>
      <color theme="1"/>
      <name val="ＭＳ Ｐゴシック"/>
      <family val="3"/>
      <charset val="128"/>
      <scheme val="minor"/>
    </font>
    <font>
      <sz val="14"/>
      <name val="ＭＳ Ｐゴシック"/>
      <family val="3"/>
      <charset val="128"/>
      <scheme val="minor"/>
    </font>
    <font>
      <b/>
      <sz val="14"/>
      <color theme="1"/>
      <name val="ＭＳ Ｐゴシック"/>
      <family val="3"/>
      <charset val="128"/>
      <scheme val="minor"/>
    </font>
    <font>
      <sz val="8"/>
      <color rgb="FFFF0000"/>
      <name val="HGｺﾞｼｯｸM"/>
      <family val="3"/>
      <charset val="128"/>
    </font>
    <font>
      <sz val="14"/>
      <color theme="1"/>
      <name val="ＭＳ Ｐゴシック"/>
      <family val="3"/>
      <charset val="128"/>
    </font>
    <font>
      <sz val="10"/>
      <color theme="1"/>
      <name val="ＭＳ Ｐゴシック"/>
      <family val="3"/>
      <charset val="128"/>
    </font>
    <font>
      <sz val="12"/>
      <color theme="1"/>
      <name val="ＭＳ Ｐゴシック"/>
      <family val="3"/>
      <charset val="128"/>
    </font>
    <font>
      <sz val="11"/>
      <color theme="1"/>
      <name val="ＭＳ Ｐゴシック"/>
      <family val="3"/>
      <charset val="128"/>
    </font>
    <font>
      <b/>
      <sz val="10"/>
      <color theme="1"/>
      <name val="ＭＳ Ｐゴシック"/>
      <family val="3"/>
      <charset val="128"/>
    </font>
    <font>
      <sz val="16"/>
      <color theme="1"/>
      <name val="ＭＳ Ｐゴシック"/>
      <family val="3"/>
      <charset val="128"/>
    </font>
    <font>
      <sz val="14"/>
      <color rgb="FFFF0000"/>
      <name val="ＭＳ Ｐゴシック"/>
      <family val="3"/>
      <charset val="128"/>
      <scheme val="minor"/>
    </font>
    <font>
      <sz val="12"/>
      <color theme="1"/>
      <name val="ＭＳ Ｐゴシック"/>
      <family val="3"/>
      <charset val="128"/>
      <scheme val="minor"/>
    </font>
    <font>
      <b/>
      <i/>
      <sz val="14"/>
      <color theme="1"/>
      <name val="ＭＳ Ｐゴシック"/>
      <family val="3"/>
      <charset val="128"/>
      <scheme val="minor"/>
    </font>
    <font>
      <b/>
      <sz val="20"/>
      <color theme="1"/>
      <name val="ＭＳ Ｐゴシック"/>
      <family val="3"/>
      <charset val="128"/>
      <scheme val="minor"/>
    </font>
    <font>
      <sz val="12"/>
      <name val="ＭＳ Ｐゴシック"/>
      <family val="3"/>
      <charset val="128"/>
      <scheme val="minor"/>
    </font>
    <font>
      <sz val="8"/>
      <color theme="1"/>
      <name val="HGｺﾞｼｯｸM"/>
      <family val="3"/>
      <charset val="128"/>
    </font>
    <font>
      <sz val="16"/>
      <color theme="1"/>
      <name val="ＭＳ Ｐゴシック"/>
      <family val="3"/>
      <charset val="128"/>
      <scheme val="minor"/>
    </font>
    <font>
      <sz val="14"/>
      <color theme="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9"/>
      <color theme="1"/>
      <name val="ＭＳ ゴシック"/>
      <family val="3"/>
      <charset val="128"/>
    </font>
    <font>
      <sz val="24"/>
      <color theme="1"/>
      <name val="ＭＳ Ｐゴシック"/>
      <family val="3"/>
      <charset val="128"/>
      <scheme val="minor"/>
    </font>
    <font>
      <b/>
      <sz val="16"/>
      <color theme="1"/>
      <name val="ＭＳ Ｐゴシック"/>
      <family val="3"/>
      <charset val="128"/>
    </font>
    <font>
      <sz val="20"/>
      <color theme="1"/>
      <name val="ＭＳ Ｐゴシック"/>
      <family val="3"/>
      <charset val="128"/>
      <scheme val="minor"/>
    </font>
    <font>
      <sz val="6"/>
      <name val="ＭＳ Ｐゴシック"/>
      <family val="2"/>
      <charset val="128"/>
      <scheme val="minor"/>
    </font>
    <font>
      <sz val="8"/>
      <color rgb="FF00B0F0"/>
      <name val="HGｺﾞｼｯｸM"/>
      <family val="3"/>
      <charset val="128"/>
    </font>
    <font>
      <sz val="11"/>
      <color rgb="FF00B0F0"/>
      <name val="HGｺﾞｼｯｸM"/>
      <family val="3"/>
      <charset val="128"/>
    </font>
    <font>
      <sz val="6"/>
      <color rgb="FF00B0F0"/>
      <name val="HGｺﾞｼｯｸM"/>
      <family val="3"/>
      <charset val="128"/>
    </font>
    <font>
      <sz val="6"/>
      <name val="ＭＳ Ｐゴシック"/>
      <family val="3"/>
      <charset val="128"/>
      <scheme val="minor"/>
    </font>
    <font>
      <sz val="8"/>
      <color rgb="FFFFFF00"/>
      <name val="HGｺﾞｼｯｸM"/>
      <family val="3"/>
      <charset val="128"/>
    </font>
    <font>
      <sz val="11"/>
      <color theme="1"/>
      <name val="ＭＳ Ｐゴシック"/>
      <family val="2"/>
      <charset val="128"/>
      <scheme val="minor"/>
    </font>
    <font>
      <sz val="11"/>
      <color indexed="8"/>
      <name val="ＭＳ Ｐゴシック"/>
      <family val="3"/>
      <charset val="128"/>
      <scheme val="minor"/>
    </font>
    <font>
      <b/>
      <sz val="24"/>
      <color indexed="8"/>
      <name val="ＭＳ Ｐゴシック"/>
      <family val="3"/>
      <charset val="128"/>
      <scheme val="minor"/>
    </font>
    <font>
      <b/>
      <sz val="14"/>
      <color indexed="8"/>
      <name val="ＭＳ Ｐゴシック"/>
      <family val="3"/>
      <charset val="128"/>
      <scheme val="minor"/>
    </font>
    <font>
      <b/>
      <sz val="11"/>
      <color indexed="8"/>
      <name val="ＭＳ Ｐゴシック"/>
      <family val="3"/>
      <charset val="128"/>
      <scheme val="minor"/>
    </font>
    <font>
      <sz val="10"/>
      <color indexed="8"/>
      <name val="ＭＳ Ｐゴシック"/>
      <family val="3"/>
      <charset val="128"/>
      <scheme val="minor"/>
    </font>
    <font>
      <sz val="9"/>
      <color indexed="8"/>
      <name val="ＭＳ Ｐゴシック"/>
      <family val="3"/>
      <charset val="128"/>
      <scheme val="minor"/>
    </font>
    <font>
      <sz val="11"/>
      <name val="ＭＳ Ｐゴシック"/>
      <family val="3"/>
      <charset val="128"/>
      <scheme val="minor"/>
    </font>
    <font>
      <b/>
      <sz val="11"/>
      <color rgb="FFFF0000"/>
      <name val="ＭＳ Ｐゴシック"/>
      <family val="3"/>
      <charset val="128"/>
      <scheme val="minor"/>
    </font>
    <font>
      <b/>
      <sz val="14"/>
      <name val="ＭＳ Ｐゴシック"/>
      <family val="3"/>
      <charset val="128"/>
      <scheme val="minor"/>
    </font>
    <font>
      <sz val="11"/>
      <color theme="0"/>
      <name val="ＭＳ Ｐゴシック"/>
      <family val="3"/>
      <charset val="128"/>
      <scheme val="minor"/>
    </font>
    <font>
      <sz val="11"/>
      <color rgb="FFFF0000"/>
      <name val="ＭＳ Ｐゴシック"/>
      <family val="3"/>
      <charset val="128"/>
      <scheme val="minor"/>
    </font>
    <font>
      <sz val="6"/>
      <name val="游ゴシック"/>
      <family val="3"/>
      <charset val="128"/>
    </font>
    <font>
      <sz val="14"/>
      <color indexed="8"/>
      <name val="ＭＳ Ｐゴシック"/>
      <family val="3"/>
      <charset val="128"/>
      <scheme val="minor"/>
    </font>
    <font>
      <sz val="8"/>
      <color indexed="8"/>
      <name val="ＭＳ Ｐゴシック"/>
      <family val="3"/>
      <charset val="128"/>
      <scheme val="minor"/>
    </font>
    <font>
      <b/>
      <sz val="12"/>
      <color theme="1"/>
      <name val="ＭＳ ゴシック"/>
      <family val="3"/>
      <charset val="128"/>
    </font>
    <font>
      <sz val="12"/>
      <color theme="1"/>
      <name val="ＭＳ ゴシック"/>
      <family val="3"/>
      <charset val="128"/>
    </font>
    <font>
      <sz val="11"/>
      <color theme="1"/>
      <name val="ＭＳ ゴシック"/>
      <family val="3"/>
      <charset val="128"/>
    </font>
    <font>
      <sz val="11"/>
      <name val="ＭＳ ゴシック"/>
      <family val="3"/>
      <charset val="128"/>
    </font>
    <font>
      <sz val="12"/>
      <name val="ＭＳ ゴシック"/>
      <family val="3"/>
      <charset val="128"/>
    </font>
    <font>
      <b/>
      <sz val="11"/>
      <color theme="1"/>
      <name val="ＭＳ ゴシック"/>
      <family val="3"/>
      <charset val="128"/>
    </font>
    <font>
      <sz val="10"/>
      <name val="ＭＳ ゴシック"/>
      <family val="3"/>
      <charset val="128"/>
    </font>
    <font>
      <sz val="10"/>
      <name val="ＭＳ Ｐゴシック"/>
      <family val="3"/>
      <charset val="128"/>
    </font>
    <font>
      <b/>
      <sz val="18"/>
      <color indexed="8"/>
      <name val="ＭＳ Ｐゴシック"/>
      <family val="3"/>
      <charset val="128"/>
      <scheme val="minor"/>
    </font>
    <font>
      <b/>
      <sz val="12"/>
      <name val="ＭＳ Ｐゴシック"/>
      <family val="3"/>
      <charset val="128"/>
    </font>
    <font>
      <sz val="14"/>
      <name val="ＭＳ Ｐゴシック"/>
      <family val="3"/>
      <charset val="128"/>
    </font>
    <font>
      <sz val="12"/>
      <color indexed="8"/>
      <name val="ＭＳ Ｐゴシック"/>
      <family val="3"/>
      <charset val="128"/>
      <scheme val="minor"/>
    </font>
    <font>
      <sz val="10"/>
      <color theme="1"/>
      <name val="ＭＳ ゴシック"/>
      <family val="3"/>
      <charset val="128"/>
    </font>
    <font>
      <b/>
      <sz val="18"/>
      <color theme="1"/>
      <name val="ＭＳ Ｐゴシック"/>
      <family val="3"/>
      <charset val="128"/>
      <scheme val="minor"/>
    </font>
    <font>
      <b/>
      <sz val="16"/>
      <color theme="1"/>
      <name val="ＭＳ Ｐゴシック"/>
      <family val="3"/>
      <charset val="128"/>
      <scheme val="minor"/>
    </font>
    <font>
      <b/>
      <sz val="9"/>
      <color theme="1"/>
      <name val="ＭＳ Ｐゴシック"/>
      <family val="3"/>
      <charset val="128"/>
    </font>
    <font>
      <b/>
      <sz val="11"/>
      <color rgb="FFFF0000"/>
      <name val="ＭＳ Ｐゴシック"/>
      <family val="3"/>
      <charset val="128"/>
    </font>
    <font>
      <b/>
      <sz val="16"/>
      <name val="ＭＳ Ｐゴシック"/>
      <family val="3"/>
      <charset val="128"/>
    </font>
    <font>
      <sz val="11"/>
      <color rgb="FFFF0000"/>
      <name val="ＭＳ Ｐゴシック"/>
      <family val="3"/>
      <charset val="128"/>
    </font>
    <font>
      <b/>
      <u/>
      <sz val="11"/>
      <name val="ＭＳ Ｐゴシック"/>
      <family val="3"/>
      <charset val="128"/>
    </font>
    <font>
      <b/>
      <u/>
      <sz val="18"/>
      <color rgb="FFFF0000"/>
      <name val="ＭＳ Ｐゴシック"/>
      <family val="3"/>
      <charset val="128"/>
    </font>
    <font>
      <sz val="20"/>
      <color theme="1"/>
      <name val="ＭＳ Ｐゴシック"/>
      <family val="3"/>
      <charset val="128"/>
    </font>
    <font>
      <sz val="14"/>
      <color theme="0"/>
      <name val="ＭＳ Ｐゴシック"/>
      <family val="3"/>
      <charset val="128"/>
    </font>
    <font>
      <b/>
      <sz val="18"/>
      <color theme="1"/>
      <name val="ＭＳ Ｐゴシック"/>
      <family val="3"/>
      <charset val="128"/>
    </font>
    <font>
      <sz val="14"/>
      <color rgb="FFFF0000"/>
      <name val="ＭＳ Ｐゴシック"/>
      <family val="3"/>
      <charset val="128"/>
    </font>
    <font>
      <b/>
      <sz val="14"/>
      <color theme="1"/>
      <name val="ＭＳ Ｐゴシック"/>
      <family val="3"/>
      <charset val="128"/>
    </font>
    <font>
      <b/>
      <sz val="20"/>
      <color theme="1"/>
      <name val="ＭＳ Ｐゴシック"/>
      <family val="3"/>
      <charset val="128"/>
    </font>
    <font>
      <b/>
      <sz val="18"/>
      <name val="ＭＳ Ｐゴシック"/>
      <family val="3"/>
      <charset val="128"/>
      <scheme val="minor"/>
    </font>
    <font>
      <sz val="16"/>
      <color indexed="8"/>
      <name val="ＭＳ Ｐゴシック"/>
      <family val="3"/>
      <charset val="128"/>
      <scheme val="minor"/>
    </font>
    <font>
      <sz val="10"/>
      <name val="ＭＳ Ｐゴシック"/>
      <family val="3"/>
      <charset val="128"/>
      <scheme val="minor"/>
    </font>
    <font>
      <b/>
      <sz val="12"/>
      <color indexed="8"/>
      <name val="ＭＳ Ｐゴシック"/>
      <family val="3"/>
      <charset val="128"/>
      <scheme val="minor"/>
    </font>
    <font>
      <sz val="11"/>
      <color indexed="9"/>
      <name val="ＭＳ Ｐゴシック"/>
      <family val="3"/>
      <charset val="128"/>
      <scheme val="minor"/>
    </font>
    <font>
      <sz val="11"/>
      <color theme="2" tint="-0.49980162968840602"/>
      <name val="ＭＳ Ｐゴシック"/>
      <family val="3"/>
      <charset val="128"/>
      <scheme val="minor"/>
    </font>
    <font>
      <sz val="11"/>
      <color theme="2" tint="-0.24979400006103702"/>
      <name val="ＭＳ Ｐゴシック"/>
      <family val="3"/>
      <charset val="128"/>
      <scheme val="minor"/>
    </font>
    <font>
      <b/>
      <sz val="12"/>
      <name val="ＭＳ Ｐゴシック"/>
      <family val="3"/>
      <charset val="128"/>
      <scheme val="minor"/>
    </font>
    <font>
      <sz val="12"/>
      <color theme="2" tint="-0.24979400006103702"/>
      <name val="ＭＳ Ｐゴシック"/>
      <family val="3"/>
      <charset val="128"/>
      <scheme val="minor"/>
    </font>
    <font>
      <sz val="11"/>
      <color theme="0" tint="-0.24979400006103702"/>
      <name val="ＭＳ Ｐゴシック"/>
      <family val="3"/>
      <charset val="128"/>
      <scheme val="minor"/>
    </font>
    <font>
      <b/>
      <sz val="10"/>
      <name val="ＭＳ Ｐゴシック"/>
      <family val="3"/>
      <charset val="128"/>
      <scheme val="minor"/>
    </font>
    <font>
      <b/>
      <sz val="10"/>
      <color indexed="8"/>
      <name val="ＭＳ Ｐゴシック"/>
      <family val="3"/>
      <charset val="128"/>
      <scheme val="minor"/>
    </font>
    <font>
      <b/>
      <sz val="11"/>
      <name val="ＭＳ Ｐゴシック"/>
      <family val="3"/>
      <charset val="128"/>
      <scheme val="minor"/>
    </font>
    <font>
      <sz val="11"/>
      <color indexed="10"/>
      <name val="ＭＳ Ｐゴシック"/>
      <family val="3"/>
      <charset val="128"/>
      <scheme val="minor"/>
    </font>
    <font>
      <sz val="12"/>
      <color rgb="FFFF0000"/>
      <name val="ＭＳ ゴシック"/>
      <family val="3"/>
      <charset val="128"/>
    </font>
    <font>
      <sz val="16"/>
      <color rgb="FFFF0000"/>
      <name val="ＭＳ Ｐゴシック"/>
      <family val="3"/>
      <charset val="128"/>
      <scheme val="minor"/>
    </font>
    <font>
      <sz val="12"/>
      <color rgb="FFFF0000"/>
      <name val="ＭＳ Ｐゴシック"/>
      <family val="3"/>
      <charset val="128"/>
      <scheme val="minor"/>
    </font>
    <font>
      <sz val="11"/>
      <color rgb="FFFF0000"/>
      <name val="HG丸ｺﾞｼｯｸM-PRO"/>
      <family val="3"/>
      <charset val="128"/>
    </font>
    <font>
      <sz val="11"/>
      <color rgb="FF0070C0"/>
      <name val="ＭＳ ゴシック"/>
      <family val="3"/>
      <charset val="128"/>
    </font>
    <font>
      <sz val="14"/>
      <color rgb="FF0070C0"/>
      <name val="ＭＳ Ｐゴシック"/>
      <family val="3"/>
      <charset val="128"/>
      <scheme val="minor"/>
    </font>
    <font>
      <sz val="11"/>
      <color rgb="FF0070C0"/>
      <name val="ＭＳ Ｐゴシック"/>
      <family val="3"/>
      <charset val="128"/>
      <scheme val="minor"/>
    </font>
    <font>
      <sz val="11"/>
      <color theme="4"/>
      <name val="ＭＳ Ｐゴシック"/>
      <family val="3"/>
      <charset val="128"/>
      <scheme val="minor"/>
    </font>
    <font>
      <sz val="11"/>
      <color rgb="FF7030A0"/>
      <name val="ＭＳ Ｐゴシック"/>
      <family val="3"/>
      <charset val="128"/>
      <scheme val="minor"/>
    </font>
    <font>
      <sz val="10"/>
      <color rgb="FF7030A0"/>
      <name val="ＭＳ Ｐゴシック"/>
      <family val="3"/>
      <charset val="128"/>
    </font>
    <font>
      <sz val="14"/>
      <color rgb="FF7030A0"/>
      <name val="ＭＳ Ｐゴシック"/>
      <family val="3"/>
      <charset val="128"/>
      <scheme val="minor"/>
    </font>
    <font>
      <sz val="14"/>
      <color rgb="FF7030A0"/>
      <name val="ＭＳ Ｐゴシック"/>
      <family val="3"/>
      <charset val="128"/>
    </font>
    <font>
      <sz val="8"/>
      <color rgb="FFFF00FF"/>
      <name val="HGｺﾞｼｯｸM"/>
      <family val="3"/>
      <charset val="128"/>
    </font>
    <font>
      <sz val="11"/>
      <color rgb="FFFF00FF"/>
      <name val="HGｺﾞｼｯｸM"/>
      <family val="3"/>
      <charset val="128"/>
    </font>
    <font>
      <sz val="11"/>
      <color rgb="FFFF00FF"/>
      <name val="ＭＳ Ｐゴシック"/>
      <family val="3"/>
      <charset val="128"/>
      <scheme val="minor"/>
    </font>
    <font>
      <u/>
      <sz val="12"/>
      <color theme="1"/>
      <name val="ＭＳ Ｐゴシック"/>
      <family val="3"/>
      <charset val="128"/>
      <scheme val="minor"/>
    </font>
    <font>
      <b/>
      <u/>
      <sz val="12"/>
      <color theme="1"/>
      <name val="ＭＳ Ｐゴシック"/>
      <family val="3"/>
      <charset val="128"/>
      <scheme val="minor"/>
    </font>
    <font>
      <sz val="11"/>
      <color theme="2" tint="-0.249977111117893"/>
      <name val="ＭＳ Ｐゴシック"/>
      <family val="3"/>
      <charset val="128"/>
      <scheme val="minor"/>
    </font>
    <font>
      <sz val="11"/>
      <color theme="9" tint="-0.249977111117893"/>
      <name val="ＭＳ ゴシック"/>
      <family val="3"/>
      <charset val="128"/>
    </font>
    <font>
      <sz val="14"/>
      <color indexed="81"/>
      <name val="ＭＳ Ｐゴシック"/>
      <family val="3"/>
      <charset val="128"/>
    </font>
    <font>
      <sz val="10"/>
      <color rgb="FFFF00FF"/>
      <name val="HGｺﾞｼｯｸM"/>
      <family val="3"/>
      <charset val="128"/>
    </font>
    <font>
      <sz val="11"/>
      <color rgb="FFFF00FF"/>
      <name val="ＭＳ Ｐゴシック"/>
      <family val="2"/>
      <charset val="128"/>
      <scheme val="minor"/>
    </font>
    <font>
      <sz val="11"/>
      <color rgb="FFFF00FF"/>
      <name val="明朝"/>
      <family val="3"/>
      <charset val="128"/>
    </font>
    <font>
      <vertAlign val="superscript"/>
      <sz val="11"/>
      <color rgb="FFFF00FF"/>
      <name val="HGｺﾞｼｯｸM"/>
      <family val="3"/>
      <charset val="128"/>
    </font>
    <font>
      <sz val="11"/>
      <color theme="1"/>
      <name val="ＭＳ Ｐゴシック"/>
      <family val="2"/>
      <scheme val="minor"/>
    </font>
    <font>
      <u/>
      <sz val="11"/>
      <color theme="10"/>
      <name val="ＭＳ Ｐゴシック"/>
      <family val="2"/>
      <scheme val="minor"/>
    </font>
    <font>
      <sz val="11"/>
      <name val="ＭＳ Ｐゴシック"/>
      <family val="2"/>
      <charset val="128"/>
      <scheme val="minor"/>
    </font>
    <font>
      <sz val="9"/>
      <name val="HGｺﾞｼｯｸM"/>
      <family val="3"/>
      <charset val="128"/>
    </font>
    <font>
      <vertAlign val="superscript"/>
      <sz val="11"/>
      <name val="HGｺﾞｼｯｸM"/>
      <family val="3"/>
      <charset val="128"/>
    </font>
    <font>
      <sz val="18"/>
      <color theme="1"/>
      <name val="ＭＳ Ｐゴシック"/>
      <family val="3"/>
      <charset val="128"/>
      <scheme val="minor"/>
    </font>
    <font>
      <sz val="18"/>
      <color theme="1"/>
      <name val="BIZ UDゴシック"/>
      <family val="3"/>
      <charset val="128"/>
    </font>
    <font>
      <sz val="16"/>
      <color theme="1"/>
      <name val="BIZ UDゴシック"/>
      <family val="3"/>
      <charset val="128"/>
    </font>
    <font>
      <sz val="12"/>
      <color theme="1"/>
      <name val="BIZ UDゴシック"/>
      <family val="3"/>
      <charset val="128"/>
    </font>
    <font>
      <sz val="18"/>
      <color rgb="FFFF0000"/>
      <name val="BIZ UDゴシック"/>
      <family val="3"/>
      <charset val="128"/>
    </font>
    <font>
      <sz val="10"/>
      <color rgb="FFFF0000"/>
      <name val="ＭＳ Ｐゴシック"/>
      <family val="3"/>
      <charset val="128"/>
      <scheme val="minor"/>
    </font>
    <font>
      <sz val="9"/>
      <color theme="0"/>
      <name val="ＭＳ Ｐゴシック"/>
      <family val="3"/>
      <charset val="128"/>
      <scheme val="minor"/>
    </font>
    <font>
      <u val="double"/>
      <sz val="18"/>
      <color theme="1"/>
      <name val="BIZ UDゴシック"/>
      <family val="3"/>
      <charset val="128"/>
    </font>
    <font>
      <b/>
      <sz val="18"/>
      <color rgb="FFFF0000"/>
      <name val="BIZ UDゴシック"/>
      <family val="3"/>
      <charset val="128"/>
    </font>
    <font>
      <vertAlign val="superscript"/>
      <sz val="16"/>
      <color theme="1"/>
      <name val="BIZ UDゴシック"/>
      <family val="3"/>
      <charset val="128"/>
    </font>
  </fonts>
  <fills count="1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CC"/>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FFFF99"/>
        <bgColor indexed="64"/>
      </patternFill>
    </fill>
  </fills>
  <borders count="28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bottom style="thin">
        <color indexed="64"/>
      </bottom>
      <diagonal/>
    </border>
    <border>
      <left/>
      <right style="thin">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right style="thin">
        <color indexed="64"/>
      </right>
      <top/>
      <bottom style="hair">
        <color indexed="64"/>
      </bottom>
      <diagonal/>
    </border>
    <border>
      <left style="hair">
        <color indexed="64"/>
      </left>
      <right/>
      <top style="hair">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hair">
        <color indexed="64"/>
      </right>
      <top style="thin">
        <color indexed="64"/>
      </top>
      <bottom/>
      <diagonal/>
    </border>
    <border>
      <left/>
      <right style="hair">
        <color indexed="64"/>
      </right>
      <top/>
      <bottom/>
      <diagonal/>
    </border>
    <border>
      <left style="thin">
        <color indexed="64"/>
      </left>
      <right style="thin">
        <color indexed="64"/>
      </right>
      <top style="hair">
        <color indexed="64"/>
      </top>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dotted">
        <color indexed="64"/>
      </left>
      <right/>
      <top style="dotted">
        <color indexed="64"/>
      </top>
      <bottom style="dotted">
        <color indexed="64"/>
      </bottom>
      <diagonal/>
    </border>
    <border>
      <left/>
      <right style="thin">
        <color indexed="64"/>
      </right>
      <top style="thin">
        <color indexed="64"/>
      </top>
      <bottom style="dotted">
        <color indexed="64"/>
      </bottom>
      <diagonal/>
    </border>
    <border>
      <left style="thin">
        <color indexed="64"/>
      </left>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style="hair">
        <color indexed="64"/>
      </left>
      <right style="thin">
        <color indexed="64"/>
      </right>
      <top/>
      <bottom style="hair">
        <color indexed="64"/>
      </bottom>
      <diagonal/>
    </border>
    <border>
      <left/>
      <right style="hair">
        <color indexed="64"/>
      </right>
      <top/>
      <bottom style="thin">
        <color indexed="64"/>
      </bottom>
      <diagonal/>
    </border>
    <border>
      <left/>
      <right style="thin">
        <color indexed="64"/>
      </right>
      <top style="thin">
        <color indexed="64"/>
      </top>
      <bottom style="medium">
        <color indexed="64"/>
      </bottom>
      <diagonal/>
    </border>
    <border>
      <left/>
      <right/>
      <top style="dotted">
        <color indexed="64"/>
      </top>
      <bottom/>
      <diagonal/>
    </border>
    <border>
      <left style="dotted">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top/>
      <bottom style="hair">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tted">
        <color indexed="64"/>
      </bottom>
      <diagonal/>
    </border>
    <border>
      <left style="double">
        <color indexed="64"/>
      </left>
      <right style="double">
        <color indexed="64"/>
      </right>
      <top/>
      <bottom style="thin">
        <color indexed="64"/>
      </bottom>
      <diagonal/>
    </border>
    <border>
      <left style="medium">
        <color indexed="64"/>
      </left>
      <right style="thin">
        <color indexed="64"/>
      </right>
      <top style="medium">
        <color indexed="64"/>
      </top>
      <bottom/>
      <diagonal/>
    </border>
    <border>
      <left style="double">
        <color indexed="64"/>
      </left>
      <right style="double">
        <color indexed="64"/>
      </right>
      <top style="dotted">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bottom style="dotted">
        <color indexed="64"/>
      </bottom>
      <diagonal/>
    </border>
    <border>
      <left style="medium">
        <color indexed="64"/>
      </left>
      <right style="medium">
        <color indexed="64"/>
      </right>
      <top/>
      <bottom/>
      <diagonal/>
    </border>
    <border>
      <left style="thin">
        <color indexed="64"/>
      </left>
      <right style="dotted">
        <color indexed="64"/>
      </right>
      <top style="thin">
        <color indexed="64"/>
      </top>
      <bottom style="thin">
        <color indexed="64"/>
      </bottom>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double">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double">
        <color indexed="64"/>
      </right>
      <top/>
      <bottom style="thin">
        <color indexed="64"/>
      </bottom>
      <diagonal style="thin">
        <color indexed="64"/>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style="double">
        <color indexed="64"/>
      </right>
      <top style="medium">
        <color indexed="64"/>
      </top>
      <bottom style="dotted">
        <color indexed="64"/>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hair">
        <color indexed="64"/>
      </bottom>
      <diagonal/>
    </border>
    <border>
      <left style="medium">
        <color indexed="64"/>
      </left>
      <right/>
      <top style="thin">
        <color indexed="64"/>
      </top>
      <bottom/>
      <diagonal/>
    </border>
    <border>
      <left style="medium">
        <color indexed="64"/>
      </left>
      <right/>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medium">
        <color indexed="64"/>
      </right>
      <top style="thin">
        <color indexed="64"/>
      </top>
      <bottom style="hair">
        <color indexed="64"/>
      </bottom>
      <diagonal style="thin">
        <color indexed="64"/>
      </diagonal>
    </border>
    <border diagonalUp="1">
      <left style="thin">
        <color indexed="64"/>
      </left>
      <right style="thin">
        <color indexed="64"/>
      </right>
      <top/>
      <bottom style="hair">
        <color indexed="64"/>
      </bottom>
      <diagonal style="thin">
        <color indexed="64"/>
      </diagonal>
    </border>
    <border diagonalUp="1">
      <left style="thin">
        <color indexed="64"/>
      </left>
      <right style="medium">
        <color indexed="64"/>
      </right>
      <top/>
      <bottom style="hair">
        <color indexed="64"/>
      </bottom>
      <diagonal style="thin">
        <color indexed="64"/>
      </diagonal>
    </border>
    <border>
      <left style="medium">
        <color indexed="64"/>
      </left>
      <right style="medium">
        <color indexed="64"/>
      </right>
      <top style="thin">
        <color indexed="64"/>
      </top>
      <bottom style="hair">
        <color indexed="64"/>
      </bottom>
      <diagonal/>
    </border>
    <border diagonalUp="1">
      <left style="thin">
        <color indexed="64"/>
      </left>
      <right/>
      <top/>
      <bottom/>
      <diagonal style="thin">
        <color indexed="64"/>
      </diagonal>
    </border>
    <border>
      <left style="medium">
        <color indexed="64"/>
      </left>
      <right style="medium">
        <color indexed="64"/>
      </right>
      <top style="hair">
        <color indexed="64"/>
      </top>
      <bottom/>
      <diagonal/>
    </border>
    <border diagonalUp="1">
      <left style="thin">
        <color indexed="64"/>
      </left>
      <right style="medium">
        <color indexed="64"/>
      </right>
      <top style="hair">
        <color indexed="64"/>
      </top>
      <bottom style="thin">
        <color indexed="64"/>
      </bottom>
      <diagonal style="thin">
        <color indexed="64"/>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right/>
      <top/>
      <bottom style="hair">
        <color indexed="64"/>
      </bottom>
      <diagonal/>
    </border>
    <border diagonalUp="1">
      <left style="thin">
        <color indexed="64"/>
      </left>
      <right/>
      <top style="thin">
        <color indexed="64"/>
      </top>
      <bottom style="thin">
        <color indexed="64"/>
      </bottom>
      <diagonal style="thin">
        <color indexed="64"/>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style="hair">
        <color indexed="64"/>
      </right>
      <top style="hair">
        <color indexed="64"/>
      </top>
      <bottom/>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right/>
      <top/>
      <bottom style="double">
        <color indexed="64"/>
      </bottom>
      <diagonal/>
    </border>
    <border diagonalUp="1">
      <left style="thin">
        <color indexed="64"/>
      </left>
      <right/>
      <top/>
      <bottom style="double">
        <color indexed="64"/>
      </bottom>
      <diagonal style="thin">
        <color indexed="64"/>
      </diagonal>
    </border>
    <border>
      <left style="medium">
        <color indexed="64"/>
      </left>
      <right style="medium">
        <color indexed="64"/>
      </right>
      <top/>
      <bottom style="double">
        <color indexed="64"/>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medium">
        <color indexed="64"/>
      </left>
      <right/>
      <top style="hair">
        <color indexed="64"/>
      </top>
      <bottom style="double">
        <color indexed="64"/>
      </bottom>
      <diagonal/>
    </border>
    <border>
      <left/>
      <right style="medium">
        <color indexed="64"/>
      </right>
      <top style="hair">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diagonalUp="1">
      <left style="medium">
        <color indexed="64"/>
      </left>
      <right style="medium">
        <color indexed="64"/>
      </right>
      <top style="medium">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medium">
        <color indexed="64"/>
      </bottom>
      <diagonal/>
    </border>
    <border>
      <left style="thin">
        <color indexed="64"/>
      </left>
      <right/>
      <top/>
      <bottom style="dotted">
        <color indexed="64"/>
      </bottom>
      <diagonal/>
    </border>
    <border>
      <left/>
      <right style="medium">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diagonalUp="1">
      <left style="medium">
        <color indexed="64"/>
      </left>
      <right style="medium">
        <color indexed="64"/>
      </right>
      <top style="hair">
        <color indexed="64"/>
      </top>
      <bottom style="hair">
        <color indexed="64"/>
      </bottom>
      <diagonal style="thin">
        <color indexed="64"/>
      </diagonal>
    </border>
    <border>
      <left style="thin">
        <color indexed="64"/>
      </left>
      <right style="medium">
        <color indexed="64"/>
      </right>
      <top/>
      <bottom style="medium">
        <color indexed="64"/>
      </bottom>
      <diagonal/>
    </border>
    <border>
      <left/>
      <right/>
      <top style="dashed">
        <color indexed="64"/>
      </top>
      <bottom style="dashed">
        <color indexed="64"/>
      </bottom>
      <diagonal/>
    </border>
    <border>
      <left style="dotted">
        <color indexed="64"/>
      </left>
      <right style="thin">
        <color indexed="64"/>
      </right>
      <top/>
      <bottom style="dotted">
        <color indexed="64"/>
      </bottom>
      <diagonal/>
    </border>
    <border>
      <left style="dotted">
        <color indexed="64"/>
      </left>
      <right/>
      <top/>
      <bottom style="thin">
        <color indexed="64"/>
      </bottom>
      <diagonal/>
    </border>
    <border>
      <left style="double">
        <color indexed="64"/>
      </left>
      <right style="medium">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thin">
        <color indexed="64"/>
      </top>
      <bottom style="dotted">
        <color indexed="64"/>
      </bottom>
      <diagonal/>
    </border>
    <border>
      <left style="medium">
        <color indexed="64"/>
      </left>
      <right style="medium">
        <color indexed="64"/>
      </right>
      <top style="thin">
        <color indexed="64"/>
      </top>
      <bottom style="dotted">
        <color indexed="64"/>
      </bottom>
      <diagonal/>
    </border>
    <border>
      <left/>
      <right style="medium">
        <color indexed="64"/>
      </right>
      <top style="double">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thin">
        <color indexed="64"/>
      </bottom>
      <diagonal/>
    </border>
    <border>
      <left/>
      <right style="dashed">
        <color indexed="64"/>
      </right>
      <top/>
      <bottom/>
      <diagonal/>
    </border>
    <border>
      <left style="hair">
        <color indexed="64"/>
      </left>
      <right/>
      <top style="thin">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style="hair">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uble">
        <color indexed="64"/>
      </bottom>
      <diagonal/>
    </border>
    <border>
      <left style="dotted">
        <color indexed="64"/>
      </left>
      <right style="dotted">
        <color indexed="64"/>
      </right>
      <top style="dotted">
        <color indexed="64"/>
      </top>
      <bottom/>
      <diagonal/>
    </border>
    <border>
      <left style="dotted">
        <color indexed="64"/>
      </left>
      <right/>
      <top style="dotted">
        <color indexed="64"/>
      </top>
      <bottom/>
      <diagonal/>
    </border>
    <border>
      <left style="dotted">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thin">
        <color indexed="64"/>
      </right>
      <top/>
      <bottom style="dotted">
        <color indexed="64"/>
      </bottom>
      <diagonal/>
    </border>
    <border>
      <left style="thin">
        <color indexed="64"/>
      </left>
      <right/>
      <top style="dotted">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
      <left/>
      <right/>
      <top/>
      <bottom style="dashed">
        <color indexed="64"/>
      </bottom>
      <diagonal/>
    </border>
    <border>
      <left/>
      <right style="dotted">
        <color indexed="64"/>
      </right>
      <top style="dotted">
        <color indexed="64"/>
      </top>
      <bottom/>
      <diagonal/>
    </border>
    <border>
      <left style="dotted">
        <color indexed="64"/>
      </left>
      <right/>
      <top style="thin">
        <color indexed="64"/>
      </top>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dotted">
        <color indexed="64"/>
      </right>
      <top style="thin">
        <color indexed="64"/>
      </top>
      <bottom style="double">
        <color indexed="64"/>
      </bottom>
      <diagonal/>
    </border>
    <border>
      <left style="dotted">
        <color indexed="64"/>
      </left>
      <right/>
      <top style="thin">
        <color indexed="64"/>
      </top>
      <bottom style="double">
        <color indexed="64"/>
      </bottom>
      <diagonal/>
    </border>
    <border>
      <left/>
      <right style="thin">
        <color indexed="64"/>
      </right>
      <top style="medium">
        <color indexed="64"/>
      </top>
      <bottom style="double">
        <color indexed="64"/>
      </bottom>
      <diagonal/>
    </border>
    <border diagonalUp="1">
      <left style="thin">
        <color indexed="64"/>
      </left>
      <right style="hair">
        <color indexed="64"/>
      </right>
      <top style="thin">
        <color indexed="64"/>
      </top>
      <bottom style="thin">
        <color indexed="64"/>
      </bottom>
      <diagonal style="hair">
        <color indexed="64"/>
      </diagonal>
    </border>
    <border diagonalUp="1">
      <left style="hair">
        <color indexed="64"/>
      </left>
      <right style="hair">
        <color indexed="64"/>
      </right>
      <top style="thin">
        <color indexed="64"/>
      </top>
      <bottom style="thin">
        <color indexed="64"/>
      </bottom>
      <diagonal style="hair">
        <color indexed="64"/>
      </diagonal>
    </border>
    <border diagonalUp="1">
      <left style="thin">
        <color indexed="64"/>
      </left>
      <right style="hair">
        <color indexed="64"/>
      </right>
      <top style="thin">
        <color indexed="64"/>
      </top>
      <bottom/>
      <diagonal style="hair">
        <color indexed="64"/>
      </diagonal>
    </border>
    <border diagonalUp="1">
      <left style="hair">
        <color indexed="64"/>
      </left>
      <right style="hair">
        <color indexed="64"/>
      </right>
      <top style="thin">
        <color indexed="64"/>
      </top>
      <bottom/>
      <diagonal style="hair">
        <color indexed="64"/>
      </diagonal>
    </border>
    <border diagonalUp="1">
      <left style="hair">
        <color indexed="64"/>
      </left>
      <right style="thin">
        <color indexed="64"/>
      </right>
      <top style="thin">
        <color indexed="64"/>
      </top>
      <bottom/>
      <diagonal style="hair">
        <color indexed="64"/>
      </diagonal>
    </border>
    <border diagonalUp="1">
      <left style="thin">
        <color indexed="64"/>
      </left>
      <right style="hair">
        <color indexed="64"/>
      </right>
      <top/>
      <bottom/>
      <diagonal style="hair">
        <color indexed="64"/>
      </diagonal>
    </border>
    <border diagonalUp="1">
      <left style="hair">
        <color indexed="64"/>
      </left>
      <right style="hair">
        <color indexed="64"/>
      </right>
      <top/>
      <bottom/>
      <diagonal style="hair">
        <color indexed="64"/>
      </diagonal>
    </border>
    <border diagonalUp="1">
      <left style="hair">
        <color indexed="64"/>
      </left>
      <right style="thin">
        <color indexed="64"/>
      </right>
      <top/>
      <bottom/>
      <diagonal style="hair">
        <color indexed="64"/>
      </diagonal>
    </border>
    <border diagonalUp="1">
      <left style="thin">
        <color indexed="64"/>
      </left>
      <right style="hair">
        <color indexed="64"/>
      </right>
      <top/>
      <bottom style="thin">
        <color indexed="64"/>
      </bottom>
      <diagonal style="hair">
        <color indexed="64"/>
      </diagonal>
    </border>
    <border diagonalUp="1">
      <left style="hair">
        <color indexed="64"/>
      </left>
      <right style="hair">
        <color indexed="64"/>
      </right>
      <top/>
      <bottom style="thin">
        <color indexed="64"/>
      </bottom>
      <diagonal style="hair">
        <color indexed="64"/>
      </diagonal>
    </border>
    <border diagonalUp="1">
      <left style="hair">
        <color indexed="64"/>
      </left>
      <right style="thin">
        <color indexed="64"/>
      </right>
      <top/>
      <bottom style="thin">
        <color indexed="64"/>
      </bottom>
      <diagonal style="hair">
        <color indexed="64"/>
      </diagonal>
    </border>
    <border diagonalUp="1">
      <left style="thin">
        <color indexed="64"/>
      </left>
      <right/>
      <top style="thin">
        <color auto="1"/>
      </top>
      <bottom style="thin">
        <color auto="1"/>
      </bottom>
      <diagonal style="hair">
        <color auto="1"/>
      </diagonal>
    </border>
    <border diagonalUp="1">
      <left/>
      <right style="thin">
        <color indexed="64"/>
      </right>
      <top style="thin">
        <color auto="1"/>
      </top>
      <bottom style="thin">
        <color auto="1"/>
      </bottom>
      <diagonal style="hair">
        <color auto="1"/>
      </diagonal>
    </border>
    <border diagonalUp="1">
      <left style="hair">
        <color indexed="64"/>
      </left>
      <right/>
      <top style="thin">
        <color indexed="64"/>
      </top>
      <bottom/>
      <diagonal style="hair">
        <color indexed="64"/>
      </diagonal>
    </border>
    <border diagonalUp="1">
      <left style="hair">
        <color indexed="64"/>
      </left>
      <right/>
      <top/>
      <bottom/>
      <diagonal style="hair">
        <color indexed="64"/>
      </diagonal>
    </border>
    <border diagonalUp="1">
      <left style="hair">
        <color indexed="64"/>
      </left>
      <right/>
      <top/>
      <bottom style="thin">
        <color indexed="64"/>
      </bottom>
      <diagonal style="hair">
        <color indexed="64"/>
      </diagonal>
    </border>
    <border>
      <left style="thin">
        <color indexed="64"/>
      </left>
      <right/>
      <top style="medium">
        <color indexed="64"/>
      </top>
      <bottom style="medium">
        <color indexed="64"/>
      </bottom>
      <diagonal/>
    </border>
    <border diagonalUp="1">
      <left style="medium">
        <color indexed="64"/>
      </left>
      <right style="thin">
        <color indexed="64"/>
      </right>
      <top style="thin">
        <color indexed="64"/>
      </top>
      <bottom style="thin">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medium">
        <color indexed="64"/>
      </top>
      <bottom style="hair">
        <color indexed="64"/>
      </bottom>
      <diagonal/>
    </border>
    <border diagonalUp="1">
      <left style="medium">
        <color indexed="64"/>
      </left>
      <right style="medium">
        <color indexed="64"/>
      </right>
      <top style="medium">
        <color indexed="64"/>
      </top>
      <bottom style="hair">
        <color indexed="64"/>
      </bottom>
      <diagonal style="thin">
        <color indexed="64"/>
      </diagonal>
    </border>
    <border diagonalUp="1">
      <left style="medium">
        <color indexed="64"/>
      </left>
      <right style="medium">
        <color indexed="64"/>
      </right>
      <top style="hair">
        <color indexed="64"/>
      </top>
      <bottom style="medium">
        <color indexed="64"/>
      </bottom>
      <diagonal style="thin">
        <color indexed="64"/>
      </diagonal>
    </border>
    <border>
      <left/>
      <right style="medium">
        <color indexed="64"/>
      </right>
      <top style="hair">
        <color indexed="64"/>
      </top>
      <bottom/>
      <diagonal/>
    </border>
    <border>
      <left style="thin">
        <color indexed="64"/>
      </left>
      <right style="thin">
        <color indexed="64"/>
      </right>
      <top style="double">
        <color indexed="64"/>
      </top>
      <bottom style="thin">
        <color indexed="64"/>
      </bottom>
      <diagonal/>
    </border>
  </borders>
  <cellStyleXfs count="92">
    <xf numFmtId="0" fontId="0" fillId="0" borderId="0"/>
    <xf numFmtId="207" fontId="23" fillId="0" borderId="0" applyFill="0" applyBorder="0" applyAlignment="0"/>
    <xf numFmtId="0" fontId="24" fillId="0" borderId="1" applyNumberFormat="0" applyAlignment="0" applyProtection="0">
      <alignment horizontal="left" vertical="center"/>
    </xf>
    <xf numFmtId="0" fontId="24" fillId="0" borderId="2">
      <alignment horizontal="left" vertical="center"/>
    </xf>
    <xf numFmtId="0" fontId="25" fillId="0" borderId="0"/>
    <xf numFmtId="9" fontId="11" fillId="0" borderId="0" applyFont="0" applyFill="0" applyBorder="0" applyAlignment="0" applyProtection="0"/>
    <xf numFmtId="9" fontId="11" fillId="0" borderId="0" applyFont="0" applyFill="0" applyBorder="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5"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xf numFmtId="38" fontId="11" fillId="0" borderId="0" applyFont="0" applyFill="0" applyBorder="0" applyAlignment="0" applyProtection="0"/>
    <xf numFmtId="38" fontId="5" fillId="0" borderId="0" applyFont="0" applyFill="0" applyBorder="0" applyAlignment="0" applyProtection="0"/>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5"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0" applyNumberFormat="0" applyFont="0" applyFill="0" applyBorder="0" applyAlignment="0"/>
    <xf numFmtId="176" fontId="5" fillId="0" borderId="0" applyFont="0" applyFill="0" applyBorder="0" applyAlignment="0" applyProtection="0">
      <alignment vertical="center"/>
    </xf>
    <xf numFmtId="176" fontId="5" fillId="0" borderId="0" applyFont="0" applyFill="0" applyBorder="0" applyAlignment="0" applyProtection="0">
      <alignment vertical="center"/>
    </xf>
    <xf numFmtId="176" fontId="5" fillId="0" borderId="0" applyFont="0" applyFill="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1" fillId="0" borderId="0"/>
    <xf numFmtId="0" fontId="17" fillId="0" borderId="0"/>
    <xf numFmtId="0" fontId="11" fillId="0" borderId="0"/>
    <xf numFmtId="0" fontId="11" fillId="0" borderId="0"/>
    <xf numFmtId="0" fontId="26" fillId="0" borderId="0">
      <alignment vertical="center"/>
    </xf>
    <xf numFmtId="0" fontId="11" fillId="0" borderId="0"/>
    <xf numFmtId="0" fontId="28" fillId="0" borderId="0">
      <alignment vertical="center"/>
    </xf>
    <xf numFmtId="0" fontId="11" fillId="0" borderId="0"/>
    <xf numFmtId="0" fontId="11" fillId="0" borderId="0"/>
    <xf numFmtId="0" fontId="11" fillId="0" borderId="0"/>
    <xf numFmtId="0" fontId="26" fillId="0" borderId="0">
      <alignment vertical="center"/>
    </xf>
    <xf numFmtId="0" fontId="11" fillId="0" borderId="0"/>
    <xf numFmtId="0" fontId="11" fillId="0" borderId="0"/>
    <xf numFmtId="0" fontId="16" fillId="0" borderId="0"/>
    <xf numFmtId="0" fontId="11" fillId="0" borderId="0"/>
    <xf numFmtId="0" fontId="26" fillId="0" borderId="0">
      <alignment vertical="center"/>
    </xf>
    <xf numFmtId="0" fontId="5" fillId="0" borderId="0"/>
    <xf numFmtId="0" fontId="26" fillId="0" borderId="0"/>
    <xf numFmtId="0" fontId="5" fillId="0" borderId="0"/>
    <xf numFmtId="0" fontId="26" fillId="0" borderId="0">
      <alignment vertical="center"/>
    </xf>
    <xf numFmtId="0" fontId="16" fillId="0" borderId="0"/>
    <xf numFmtId="0" fontId="5" fillId="0" borderId="0">
      <alignment vertical="center"/>
    </xf>
    <xf numFmtId="0" fontId="5" fillId="0" borderId="0">
      <alignment vertical="center"/>
    </xf>
    <xf numFmtId="0" fontId="26" fillId="0" borderId="0">
      <alignment vertical="center"/>
    </xf>
    <xf numFmtId="0" fontId="11" fillId="0" borderId="0"/>
    <xf numFmtId="0" fontId="11"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9" fontId="26" fillId="0" borderId="0" applyFont="0" applyFill="0" applyBorder="0" applyAlignment="0" applyProtection="0">
      <alignment vertical="center"/>
    </xf>
    <xf numFmtId="0" fontId="3" fillId="0" borderId="0">
      <alignment vertical="center"/>
    </xf>
    <xf numFmtId="0" fontId="26" fillId="0" borderId="0">
      <alignment vertical="center"/>
    </xf>
    <xf numFmtId="0" fontId="62" fillId="0" borderId="0">
      <alignment vertical="center"/>
    </xf>
    <xf numFmtId="9" fontId="62" fillId="0" borderId="0" applyFont="0" applyFill="0" applyBorder="0" applyAlignment="0" applyProtection="0">
      <alignment vertical="center"/>
    </xf>
    <xf numFmtId="38" fontId="62" fillId="0" borderId="0" applyFont="0" applyFill="0" applyBorder="0" applyAlignment="0" applyProtection="0">
      <alignment vertical="center"/>
    </xf>
    <xf numFmtId="0" fontId="63" fillId="0" borderId="0">
      <alignment vertical="center"/>
    </xf>
    <xf numFmtId="38" fontId="63" fillId="0" borderId="0" applyFill="0" applyBorder="0" applyAlignment="0" applyProtection="0">
      <alignment vertical="center"/>
    </xf>
    <xf numFmtId="0" fontId="62" fillId="0" borderId="0">
      <alignment vertical="center"/>
    </xf>
    <xf numFmtId="0" fontId="84" fillId="0" borderId="0"/>
    <xf numFmtId="0" fontId="5" fillId="0" borderId="0"/>
    <xf numFmtId="0" fontId="2" fillId="0" borderId="0">
      <alignment vertical="center"/>
    </xf>
    <xf numFmtId="0" fontId="1" fillId="0" borderId="0">
      <alignment vertical="center"/>
    </xf>
    <xf numFmtId="0" fontId="142" fillId="0" borderId="0"/>
    <xf numFmtId="0" fontId="83" fillId="0" borderId="0">
      <alignment vertical="center"/>
    </xf>
    <xf numFmtId="0" fontId="143" fillId="0" borderId="0" applyNumberFormat="0" applyFill="0" applyBorder="0" applyAlignment="0" applyProtection="0"/>
  </cellStyleXfs>
  <cellXfs count="2789">
    <xf numFmtId="0" fontId="0" fillId="0" borderId="0" xfId="0"/>
    <xf numFmtId="3" fontId="9" fillId="0" borderId="0" xfId="58" applyNumberFormat="1" applyFont="1" applyAlignment="1">
      <alignment horizontal="left" vertical="center"/>
    </xf>
    <xf numFmtId="3" fontId="6" fillId="0" borderId="0" xfId="58" applyNumberFormat="1" applyFont="1" applyBorder="1" applyAlignment="1">
      <alignment horizontal="center" vertical="center"/>
    </xf>
    <xf numFmtId="177" fontId="6" fillId="0" borderId="0" xfId="58" applyNumberFormat="1" applyFont="1" applyBorder="1" applyAlignment="1">
      <alignment horizontal="center" vertical="center" wrapText="1"/>
    </xf>
    <xf numFmtId="0" fontId="9" fillId="0" borderId="0" xfId="58" applyFont="1" applyBorder="1">
      <alignment vertical="center"/>
    </xf>
    <xf numFmtId="0" fontId="9" fillId="0" borderId="0" xfId="58" applyFont="1">
      <alignment vertical="center"/>
    </xf>
    <xf numFmtId="3" fontId="6" fillId="0" borderId="2" xfId="58" applyNumberFormat="1" applyFont="1" applyBorder="1" applyAlignment="1">
      <alignment vertical="center" wrapText="1"/>
    </xf>
    <xf numFmtId="3" fontId="6" fillId="0" borderId="2" xfId="58" applyNumberFormat="1" applyFont="1" applyBorder="1" applyAlignment="1">
      <alignment vertical="center"/>
    </xf>
    <xf numFmtId="178" fontId="6" fillId="0" borderId="2" xfId="58" applyNumberFormat="1" applyFont="1" applyBorder="1" applyAlignment="1">
      <alignment horizontal="right" vertical="center"/>
    </xf>
    <xf numFmtId="177" fontId="6" fillId="0" borderId="2" xfId="58" applyNumberFormat="1" applyFont="1" applyBorder="1" applyAlignment="1">
      <alignment horizontal="right" vertical="center"/>
    </xf>
    <xf numFmtId="178" fontId="10" fillId="0" borderId="2" xfId="58" applyNumberFormat="1" applyFont="1" applyBorder="1" applyAlignment="1">
      <alignment vertical="center"/>
    </xf>
    <xf numFmtId="178" fontId="6" fillId="0" borderId="2" xfId="58" applyNumberFormat="1" applyFont="1" applyBorder="1" applyAlignment="1">
      <alignment horizontal="right" vertical="center" wrapText="1"/>
    </xf>
    <xf numFmtId="177" fontId="6" fillId="0" borderId="2" xfId="58" applyNumberFormat="1" applyFont="1" applyBorder="1" applyAlignment="1">
      <alignment horizontal="right" vertical="center" wrapText="1"/>
    </xf>
    <xf numFmtId="177" fontId="6" fillId="0" borderId="2" xfId="58" applyNumberFormat="1" applyFont="1" applyBorder="1" applyAlignment="1">
      <alignment horizontal="center" vertical="center" wrapText="1"/>
    </xf>
    <xf numFmtId="178" fontId="10" fillId="0" borderId="7" xfId="58" applyNumberFormat="1" applyFont="1" applyBorder="1" applyAlignment="1">
      <alignment vertical="center"/>
    </xf>
    <xf numFmtId="178" fontId="6" fillId="0" borderId="7" xfId="58" applyNumberFormat="1" applyFont="1" applyBorder="1" applyAlignment="1">
      <alignment vertical="center" wrapText="1"/>
    </xf>
    <xf numFmtId="179" fontId="6" fillId="0" borderId="2" xfId="58" applyNumberFormat="1" applyFont="1" applyBorder="1" applyAlignment="1">
      <alignment horizontal="right" vertical="center" wrapText="1"/>
    </xf>
    <xf numFmtId="179" fontId="6" fillId="0" borderId="7" xfId="58" applyNumberFormat="1" applyFont="1" applyBorder="1" applyAlignment="1">
      <alignment vertical="center" wrapText="1"/>
    </xf>
    <xf numFmtId="179" fontId="6" fillId="0" borderId="0" xfId="58" applyNumberFormat="1" applyFont="1" applyBorder="1" applyAlignment="1">
      <alignment vertical="center" wrapText="1"/>
    </xf>
    <xf numFmtId="179" fontId="10" fillId="0" borderId="7" xfId="58" applyNumberFormat="1" applyFont="1" applyBorder="1" applyAlignment="1">
      <alignment vertical="center"/>
    </xf>
    <xf numFmtId="178" fontId="6" fillId="0" borderId="0" xfId="58" applyNumberFormat="1" applyFont="1" applyBorder="1" applyAlignment="1">
      <alignment vertical="center" wrapText="1"/>
    </xf>
    <xf numFmtId="178" fontId="6" fillId="0" borderId="8" xfId="58" applyNumberFormat="1" applyFont="1" applyBorder="1" applyAlignment="1">
      <alignment horizontal="center" vertical="center" wrapText="1"/>
    </xf>
    <xf numFmtId="178" fontId="6" fillId="0" borderId="8" xfId="58" applyNumberFormat="1" applyFont="1" applyBorder="1" applyAlignment="1">
      <alignment horizontal="right" vertical="center" wrapText="1"/>
    </xf>
    <xf numFmtId="177" fontId="6" fillId="0" borderId="0" xfId="58" applyNumberFormat="1" applyFont="1" applyBorder="1" applyAlignment="1">
      <alignment horizontal="center" vertical="center"/>
    </xf>
    <xf numFmtId="178" fontId="6" fillId="0" borderId="11" xfId="58" applyNumberFormat="1" applyFont="1" applyFill="1" applyBorder="1" applyAlignment="1">
      <alignment vertical="center" wrapText="1"/>
    </xf>
    <xf numFmtId="3" fontId="10" fillId="0" borderId="0" xfId="58" applyNumberFormat="1" applyFont="1" applyBorder="1" applyAlignment="1">
      <alignment vertical="center"/>
    </xf>
    <xf numFmtId="179" fontId="6" fillId="0" borderId="0" xfId="58" applyNumberFormat="1" applyFont="1" applyBorder="1" applyAlignment="1">
      <alignment vertical="center"/>
    </xf>
    <xf numFmtId="3" fontId="10" fillId="0" borderId="0" xfId="58" applyNumberFormat="1" applyFont="1" applyAlignment="1">
      <alignment vertical="center"/>
    </xf>
    <xf numFmtId="3" fontId="6" fillId="0" borderId="0" xfId="58" applyNumberFormat="1" applyFont="1" applyAlignment="1">
      <alignment vertical="center"/>
    </xf>
    <xf numFmtId="178" fontId="6" fillId="0" borderId="0" xfId="58" applyNumberFormat="1" applyFont="1" applyAlignment="1">
      <alignment vertical="center"/>
    </xf>
    <xf numFmtId="177" fontId="6" fillId="0" borderId="0" xfId="58" applyNumberFormat="1" applyFont="1" applyAlignment="1">
      <alignment vertical="center"/>
    </xf>
    <xf numFmtId="178" fontId="10" fillId="0" borderId="0" xfId="58" applyNumberFormat="1" applyFont="1" applyAlignment="1">
      <alignment vertical="center"/>
    </xf>
    <xf numFmtId="177" fontId="6" fillId="0" borderId="0" xfId="58" applyNumberFormat="1" applyFont="1" applyAlignment="1">
      <alignment horizontal="center" vertical="center"/>
    </xf>
    <xf numFmtId="179" fontId="6" fillId="0" borderId="0" xfId="58" applyNumberFormat="1" applyFont="1" applyAlignment="1">
      <alignment vertical="center"/>
    </xf>
    <xf numFmtId="178" fontId="10" fillId="0" borderId="0" xfId="58" applyNumberFormat="1" applyFont="1" applyBorder="1" applyAlignment="1">
      <alignment vertical="center"/>
    </xf>
    <xf numFmtId="178" fontId="6" fillId="0" borderId="0" xfId="58" applyNumberFormat="1" applyFont="1" applyAlignment="1">
      <alignment horizontal="center" vertical="center"/>
    </xf>
    <xf numFmtId="179" fontId="10" fillId="0" borderId="0" xfId="58" applyNumberFormat="1" applyFont="1" applyAlignment="1">
      <alignment vertical="center"/>
    </xf>
    <xf numFmtId="178" fontId="6" fillId="0" borderId="0" xfId="58" applyNumberFormat="1" applyFont="1" applyAlignment="1">
      <alignment vertical="center" shrinkToFit="1"/>
    </xf>
    <xf numFmtId="179" fontId="6" fillId="0" borderId="0" xfId="58" applyNumberFormat="1" applyFont="1" applyAlignment="1">
      <alignment vertical="center" shrinkToFit="1"/>
    </xf>
    <xf numFmtId="178" fontId="6" fillId="0" borderId="0" xfId="58" applyNumberFormat="1" applyFont="1" applyFill="1" applyBorder="1" applyAlignment="1">
      <alignment vertical="center" wrapText="1"/>
    </xf>
    <xf numFmtId="178" fontId="13" fillId="0" borderId="0" xfId="58" applyNumberFormat="1" applyFont="1" applyFill="1" applyBorder="1" applyAlignment="1">
      <alignment vertical="center"/>
    </xf>
    <xf numFmtId="178" fontId="6" fillId="0" borderId="7" xfId="58" applyNumberFormat="1" applyFont="1" applyBorder="1" applyAlignment="1">
      <alignment vertical="center" shrinkToFit="1"/>
    </xf>
    <xf numFmtId="178" fontId="6" fillId="0" borderId="0" xfId="58" applyNumberFormat="1" applyFont="1" applyBorder="1" applyAlignment="1">
      <alignment vertical="center" shrinkToFit="1"/>
    </xf>
    <xf numFmtId="178" fontId="6" fillId="0" borderId="0" xfId="58" applyNumberFormat="1" applyFont="1" applyBorder="1" applyAlignment="1">
      <alignment horizontal="right" vertical="center" wrapText="1"/>
    </xf>
    <xf numFmtId="178" fontId="10" fillId="0" borderId="2" xfId="58" applyNumberFormat="1" applyFont="1" applyFill="1" applyBorder="1" applyAlignment="1">
      <alignment vertical="center"/>
    </xf>
    <xf numFmtId="178" fontId="10" fillId="0" borderId="0" xfId="58" applyNumberFormat="1" applyFont="1" applyFill="1" applyAlignment="1">
      <alignment vertical="center"/>
    </xf>
    <xf numFmtId="179" fontId="6" fillId="0" borderId="2" xfId="58" applyNumberFormat="1" applyFont="1" applyBorder="1" applyAlignment="1">
      <alignment horizontal="right" vertical="center" shrinkToFit="1"/>
    </xf>
    <xf numFmtId="3" fontId="6" fillId="0" borderId="0" xfId="58" applyNumberFormat="1" applyFont="1" applyBorder="1" applyAlignment="1">
      <alignment vertical="center"/>
    </xf>
    <xf numFmtId="179" fontId="6" fillId="0" borderId="2" xfId="58" applyNumberFormat="1" applyFont="1" applyBorder="1" applyAlignment="1">
      <alignment vertical="center" wrapText="1"/>
    </xf>
    <xf numFmtId="179" fontId="10" fillId="0" borderId="2" xfId="58" applyNumberFormat="1" applyFont="1" applyBorder="1" applyAlignment="1">
      <alignment vertical="center"/>
    </xf>
    <xf numFmtId="178" fontId="29" fillId="0" borderId="0" xfId="42" applyNumberFormat="1" applyFont="1" applyBorder="1" applyAlignment="1">
      <alignment vertical="center"/>
    </xf>
    <xf numFmtId="178" fontId="30" fillId="0" borderId="0" xfId="42" applyNumberFormat="1" applyFont="1" applyBorder="1" applyAlignment="1">
      <alignment vertical="center"/>
    </xf>
    <xf numFmtId="178" fontId="30" fillId="0" borderId="0" xfId="42" applyNumberFormat="1" applyFont="1" applyAlignment="1">
      <alignment vertical="center"/>
    </xf>
    <xf numFmtId="0" fontId="30" fillId="0" borderId="0" xfId="42" applyFont="1" applyAlignment="1">
      <alignment horizontal="center" vertical="center"/>
    </xf>
    <xf numFmtId="0" fontId="30" fillId="0" borderId="0" xfId="42" applyFont="1" applyAlignment="1">
      <alignment horizontal="distributed" vertical="center"/>
    </xf>
    <xf numFmtId="0" fontId="30" fillId="0" borderId="0" xfId="42" applyFont="1" applyAlignment="1">
      <alignment horizontal="right" vertical="center"/>
    </xf>
    <xf numFmtId="0" fontId="30" fillId="0" borderId="0" xfId="42" applyFont="1" applyAlignment="1">
      <alignment vertical="center"/>
    </xf>
    <xf numFmtId="0" fontId="31" fillId="0" borderId="0" xfId="42" applyFont="1" applyAlignment="1">
      <alignment vertical="center"/>
    </xf>
    <xf numFmtId="178" fontId="31" fillId="0" borderId="0" xfId="42" applyNumberFormat="1" applyFont="1" applyAlignment="1">
      <alignment vertical="center"/>
    </xf>
    <xf numFmtId="0" fontId="10" fillId="0" borderId="0" xfId="58" applyFont="1">
      <alignment vertical="center"/>
    </xf>
    <xf numFmtId="0" fontId="10" fillId="0" borderId="0" xfId="58" applyFont="1" applyBorder="1">
      <alignment vertical="center"/>
    </xf>
    <xf numFmtId="3" fontId="6" fillId="0" borderId="6" xfId="58" applyNumberFormat="1" applyFont="1" applyFill="1" applyBorder="1" applyAlignment="1">
      <alignment horizontal="center" vertical="center"/>
    </xf>
    <xf numFmtId="178" fontId="6" fillId="0" borderId="6" xfId="58" applyNumberFormat="1" applyFont="1" applyFill="1" applyBorder="1" applyAlignment="1">
      <alignment horizontal="center" vertical="center" wrapText="1"/>
    </xf>
    <xf numFmtId="178" fontId="10" fillId="0" borderId="7" xfId="58" applyNumberFormat="1" applyFont="1" applyFill="1" applyBorder="1" applyAlignment="1">
      <alignment vertical="center"/>
    </xf>
    <xf numFmtId="178" fontId="6" fillId="0" borderId="0" xfId="58" applyNumberFormat="1" applyFont="1" applyBorder="1" applyAlignment="1">
      <alignment horizontal="center" vertical="center" wrapText="1"/>
    </xf>
    <xf numFmtId="178" fontId="10" fillId="0" borderId="0" xfId="58" applyNumberFormat="1" applyFont="1" applyFill="1" applyBorder="1" applyAlignment="1">
      <alignment vertical="center"/>
    </xf>
    <xf numFmtId="0" fontId="30" fillId="0" borderId="0" xfId="42" applyFont="1" applyBorder="1" applyAlignment="1">
      <alignment horizontal="left" vertical="center"/>
    </xf>
    <xf numFmtId="178" fontId="10" fillId="0" borderId="8" xfId="58" applyNumberFormat="1" applyFont="1" applyBorder="1" applyAlignment="1">
      <alignment vertical="center"/>
    </xf>
    <xf numFmtId="0" fontId="30" fillId="0" borderId="8" xfId="42" applyFont="1" applyBorder="1" applyAlignment="1">
      <alignment vertical="center" wrapText="1"/>
    </xf>
    <xf numFmtId="0" fontId="30" fillId="0" borderId="8" xfId="42" applyFont="1" applyBorder="1" applyAlignment="1">
      <alignment vertical="center"/>
    </xf>
    <xf numFmtId="0" fontId="30" fillId="0" borderId="16" xfId="42" applyFont="1" applyBorder="1" applyAlignment="1">
      <alignment vertical="center"/>
    </xf>
    <xf numFmtId="0" fontId="30" fillId="0" borderId="0" xfId="42" applyFont="1" applyBorder="1" applyAlignment="1">
      <alignment horizontal="left" vertical="center" wrapText="1"/>
    </xf>
    <xf numFmtId="0" fontId="30" fillId="0" borderId="0" xfId="42" applyFont="1" applyBorder="1" applyAlignment="1">
      <alignment vertical="center"/>
    </xf>
    <xf numFmtId="0" fontId="30" fillId="0" borderId="10" xfId="42" applyFont="1" applyBorder="1" applyAlignment="1">
      <alignment vertical="center"/>
    </xf>
    <xf numFmtId="0" fontId="30" fillId="0" borderId="7" xfId="42" applyFont="1" applyBorder="1" applyAlignment="1">
      <alignment vertical="center" wrapText="1"/>
    </xf>
    <xf numFmtId="0" fontId="30" fillId="0" borderId="7" xfId="42" quotePrefix="1" applyFont="1" applyBorder="1" applyAlignment="1">
      <alignment vertical="center" wrapText="1"/>
    </xf>
    <xf numFmtId="3" fontId="6" fillId="0" borderId="2" xfId="58" applyNumberFormat="1" applyFont="1" applyBorder="1" applyAlignment="1">
      <alignment vertical="center" shrinkToFit="1"/>
    </xf>
    <xf numFmtId="3" fontId="6" fillId="0" borderId="0" xfId="58" applyNumberFormat="1" applyFont="1" applyAlignment="1">
      <alignment vertical="center" shrinkToFit="1"/>
    </xf>
    <xf numFmtId="193" fontId="9" fillId="0" borderId="0" xfId="58" applyNumberFormat="1" applyFont="1" applyAlignment="1">
      <alignment vertical="center"/>
    </xf>
    <xf numFmtId="0" fontId="9" fillId="0" borderId="0" xfId="58" applyFont="1" applyAlignment="1">
      <alignment vertical="center"/>
    </xf>
    <xf numFmtId="3" fontId="6" fillId="0" borderId="3" xfId="58" applyNumberFormat="1" applyFont="1" applyFill="1" applyBorder="1" applyAlignment="1">
      <alignment horizontal="center" vertical="center" wrapText="1"/>
    </xf>
    <xf numFmtId="3" fontId="6" fillId="0" borderId="0" xfId="58" applyNumberFormat="1" applyFont="1" applyFill="1" applyBorder="1" applyAlignment="1">
      <alignment horizontal="center" vertical="center" wrapText="1"/>
    </xf>
    <xf numFmtId="3" fontId="6" fillId="0" borderId="10" xfId="58" applyNumberFormat="1" applyFont="1" applyFill="1" applyBorder="1" applyAlignment="1">
      <alignment horizontal="center" vertical="center" wrapText="1"/>
    </xf>
    <xf numFmtId="3" fontId="6" fillId="0" borderId="11" xfId="58" applyNumberFormat="1" applyFont="1" applyFill="1" applyBorder="1" applyAlignment="1">
      <alignment horizontal="center" vertical="center" wrapText="1"/>
    </xf>
    <xf numFmtId="178" fontId="6" fillId="0" borderId="3" xfId="58" applyNumberFormat="1" applyFont="1" applyFill="1" applyBorder="1" applyAlignment="1">
      <alignment vertical="center" wrapText="1"/>
    </xf>
    <xf numFmtId="178" fontId="6" fillId="0" borderId="3" xfId="58" applyNumberFormat="1" applyFont="1" applyFill="1" applyBorder="1" applyAlignment="1">
      <alignment vertical="center"/>
    </xf>
    <xf numFmtId="178" fontId="6" fillId="0" borderId="10" xfId="58" applyNumberFormat="1" applyFont="1" applyFill="1" applyBorder="1" applyAlignment="1">
      <alignment vertical="center"/>
    </xf>
    <xf numFmtId="179" fontId="6" fillId="0" borderId="11" xfId="58" applyNumberFormat="1" applyFont="1" applyBorder="1" applyAlignment="1">
      <alignment vertical="center"/>
    </xf>
    <xf numFmtId="178" fontId="6" fillId="0" borderId="3" xfId="58" applyNumberFormat="1" applyFont="1" applyFill="1" applyBorder="1" applyAlignment="1">
      <alignment horizontal="center" vertical="center" wrapText="1"/>
    </xf>
    <xf numFmtId="3" fontId="6" fillId="0" borderId="0" xfId="58" applyNumberFormat="1" applyFont="1" applyFill="1" applyBorder="1" applyAlignment="1">
      <alignment vertical="center"/>
    </xf>
    <xf numFmtId="177" fontId="6" fillId="0" borderId="10" xfId="58" applyNumberFormat="1" applyFont="1" applyFill="1" applyBorder="1" applyAlignment="1">
      <alignment horizontal="center" vertical="center"/>
    </xf>
    <xf numFmtId="0" fontId="9" fillId="0" borderId="0" xfId="58" applyFont="1" applyFill="1" applyBorder="1">
      <alignment vertical="center"/>
    </xf>
    <xf numFmtId="177" fontId="6" fillId="0" borderId="0" xfId="58" applyNumberFormat="1" applyFont="1" applyFill="1" applyBorder="1" applyAlignment="1">
      <alignment horizontal="center" vertical="center"/>
    </xf>
    <xf numFmtId="3" fontId="6" fillId="0" borderId="0" xfId="58" applyNumberFormat="1" applyFont="1" applyFill="1" applyBorder="1" applyAlignment="1">
      <alignment horizontal="center" vertical="center"/>
    </xf>
    <xf numFmtId="177" fontId="6" fillId="0" borderId="0" xfId="58" applyNumberFormat="1" applyFont="1" applyFill="1" applyBorder="1" applyAlignment="1">
      <alignment vertical="center" wrapText="1"/>
    </xf>
    <xf numFmtId="177" fontId="6" fillId="0" borderId="0" xfId="58" applyNumberFormat="1" applyFont="1" applyFill="1" applyBorder="1" applyAlignment="1">
      <alignment horizontal="center" vertical="center" wrapText="1"/>
    </xf>
    <xf numFmtId="177" fontId="6" fillId="0" borderId="10" xfId="58" applyNumberFormat="1" applyFont="1" applyFill="1" applyBorder="1" applyAlignment="1">
      <alignment horizontal="center" vertical="center" wrapText="1"/>
    </xf>
    <xf numFmtId="177" fontId="6" fillId="0" borderId="22" xfId="58" applyNumberFormat="1" applyFont="1" applyFill="1" applyBorder="1" applyAlignment="1">
      <alignment vertical="center" wrapText="1"/>
    </xf>
    <xf numFmtId="178" fontId="6" fillId="0" borderId="0" xfId="58" applyNumberFormat="1" applyFont="1" applyFill="1" applyBorder="1" applyAlignment="1">
      <alignment horizontal="center" vertical="center" wrapText="1"/>
    </xf>
    <xf numFmtId="179" fontId="6" fillId="0" borderId="0" xfId="58" applyNumberFormat="1" applyFont="1" applyFill="1" applyBorder="1" applyAlignment="1">
      <alignment horizontal="center" vertical="center" wrapText="1"/>
    </xf>
    <xf numFmtId="177" fontId="6" fillId="0" borderId="5" xfId="58" applyNumberFormat="1" applyFont="1" applyFill="1" applyBorder="1" applyAlignment="1">
      <alignment horizontal="center" vertical="center"/>
    </xf>
    <xf numFmtId="177" fontId="6" fillId="0" borderId="4" xfId="58" applyNumberFormat="1" applyFont="1" applyFill="1" applyBorder="1" applyAlignment="1">
      <alignment horizontal="center" vertical="center" wrapText="1"/>
    </xf>
    <xf numFmtId="177" fontId="6" fillId="0" borderId="3" xfId="58" applyNumberFormat="1" applyFont="1" applyFill="1" applyBorder="1" applyAlignment="1">
      <alignment vertical="center" wrapText="1"/>
    </xf>
    <xf numFmtId="177" fontId="6" fillId="0" borderId="23" xfId="58" applyNumberFormat="1" applyFont="1" applyFill="1" applyBorder="1" applyAlignment="1">
      <alignment horizontal="center" vertical="center" wrapText="1"/>
    </xf>
    <xf numFmtId="178" fontId="6" fillId="0" borderId="4" xfId="58" applyNumberFormat="1" applyFont="1" applyFill="1" applyBorder="1" applyAlignment="1">
      <alignment horizontal="center" vertical="center" wrapText="1"/>
    </xf>
    <xf numFmtId="178" fontId="6" fillId="0" borderId="5" xfId="58" applyNumberFormat="1" applyFont="1" applyFill="1" applyBorder="1" applyAlignment="1">
      <alignment horizontal="center" vertical="center" wrapText="1"/>
    </xf>
    <xf numFmtId="3" fontId="6" fillId="0" borderId="6" xfId="58" applyNumberFormat="1" applyFont="1" applyFill="1" applyBorder="1" applyAlignment="1">
      <alignment horizontal="center" vertical="center" wrapText="1"/>
    </xf>
    <xf numFmtId="0" fontId="9" fillId="0" borderId="0" xfId="58" applyFont="1" applyBorder="1" applyAlignment="1">
      <alignment vertical="center"/>
    </xf>
    <xf numFmtId="193" fontId="9" fillId="0" borderId="0" xfId="58" applyNumberFormat="1" applyFont="1" applyBorder="1" applyAlignment="1">
      <alignment vertical="center" shrinkToFit="1"/>
    </xf>
    <xf numFmtId="178" fontId="6" fillId="0" borderId="0" xfId="58" applyNumberFormat="1" applyFont="1" applyFill="1" applyBorder="1" applyAlignment="1">
      <alignment vertical="center"/>
    </xf>
    <xf numFmtId="3" fontId="9" fillId="0" borderId="0" xfId="58" applyNumberFormat="1" applyFont="1" applyFill="1" applyBorder="1" applyAlignment="1">
      <alignment horizontal="left" vertical="center"/>
    </xf>
    <xf numFmtId="3" fontId="6" fillId="0" borderId="0" xfId="58" applyNumberFormat="1" applyFont="1" applyFill="1" applyBorder="1" applyAlignment="1">
      <alignment vertical="center" wrapText="1"/>
    </xf>
    <xf numFmtId="178" fontId="6" fillId="0" borderId="0" xfId="58" applyNumberFormat="1" applyFont="1" applyFill="1" applyBorder="1" applyAlignment="1">
      <alignment horizontal="right" vertical="center"/>
    </xf>
    <xf numFmtId="177" fontId="6" fillId="0" borderId="0" xfId="58" applyNumberFormat="1" applyFont="1" applyFill="1" applyBorder="1" applyAlignment="1">
      <alignment horizontal="right" vertical="center"/>
    </xf>
    <xf numFmtId="178" fontId="6" fillId="0" borderId="0" xfId="58" applyNumberFormat="1" applyFont="1" applyFill="1" applyBorder="1" applyAlignment="1">
      <alignment horizontal="right" vertical="center" wrapText="1"/>
    </xf>
    <xf numFmtId="177" fontId="6" fillId="0" borderId="0" xfId="58" applyNumberFormat="1" applyFont="1" applyFill="1" applyBorder="1" applyAlignment="1">
      <alignment horizontal="right" vertical="center" wrapText="1"/>
    </xf>
    <xf numFmtId="179" fontId="6" fillId="0" borderId="0" xfId="58" applyNumberFormat="1" applyFont="1" applyFill="1" applyBorder="1" applyAlignment="1">
      <alignment horizontal="right" vertical="center" wrapText="1"/>
    </xf>
    <xf numFmtId="179" fontId="6" fillId="0" borderId="0" xfId="58" applyNumberFormat="1" applyFont="1" applyFill="1" applyBorder="1" applyAlignment="1">
      <alignment vertical="center" wrapText="1"/>
    </xf>
    <xf numFmtId="179" fontId="10" fillId="0" borderId="0" xfId="58" applyNumberFormat="1" applyFont="1" applyFill="1" applyBorder="1" applyAlignment="1">
      <alignment vertical="center"/>
    </xf>
    <xf numFmtId="177" fontId="6" fillId="0" borderId="0" xfId="58" applyNumberFormat="1" applyFont="1" applyFill="1" applyBorder="1" applyAlignment="1">
      <alignment vertical="center"/>
    </xf>
    <xf numFmtId="179" fontId="6" fillId="0" borderId="0" xfId="58" applyNumberFormat="1" applyFont="1" applyFill="1" applyBorder="1" applyAlignment="1">
      <alignment vertical="center"/>
    </xf>
    <xf numFmtId="178" fontId="6" fillId="0" borderId="0" xfId="58" applyNumberFormat="1" applyFont="1" applyFill="1" applyBorder="1" applyAlignment="1">
      <alignment horizontal="center" vertical="center"/>
    </xf>
    <xf numFmtId="3" fontId="10" fillId="0" borderId="0" xfId="58" applyNumberFormat="1" applyFont="1" applyFill="1" applyBorder="1" applyAlignment="1">
      <alignment vertical="center"/>
    </xf>
    <xf numFmtId="178" fontId="29" fillId="0" borderId="0" xfId="51" applyNumberFormat="1" applyFont="1" applyFill="1" applyBorder="1" applyAlignment="1">
      <alignment vertical="center"/>
    </xf>
    <xf numFmtId="178" fontId="30" fillId="0" borderId="0" xfId="51" applyNumberFormat="1" applyFont="1" applyFill="1" applyBorder="1" applyAlignment="1">
      <alignment vertical="center"/>
    </xf>
    <xf numFmtId="178" fontId="30" fillId="0" borderId="0" xfId="51" applyNumberFormat="1" applyFont="1" applyFill="1" applyAlignment="1">
      <alignment vertical="center"/>
    </xf>
    <xf numFmtId="178" fontId="31" fillId="0" borderId="0" xfId="51" applyNumberFormat="1" applyFont="1" applyFill="1" applyAlignment="1">
      <alignment vertical="center"/>
    </xf>
    <xf numFmtId="0" fontId="9" fillId="0" borderId="0" xfId="58" applyFont="1" applyFill="1">
      <alignment vertical="center"/>
    </xf>
    <xf numFmtId="178" fontId="6" fillId="0" borderId="11" xfId="58" applyNumberFormat="1" applyFont="1" applyFill="1" applyBorder="1" applyAlignment="1">
      <alignment horizontal="center" vertical="center" wrapText="1"/>
    </xf>
    <xf numFmtId="3" fontId="6" fillId="0" borderId="7" xfId="58" applyNumberFormat="1" applyFont="1" applyFill="1" applyBorder="1" applyAlignment="1">
      <alignment horizontal="center" vertical="center" wrapText="1"/>
    </xf>
    <xf numFmtId="3" fontId="6" fillId="0" borderId="8" xfId="58" applyNumberFormat="1" applyFont="1" applyFill="1" applyBorder="1" applyAlignment="1">
      <alignment vertical="center"/>
    </xf>
    <xf numFmtId="3" fontId="6" fillId="0" borderId="16" xfId="58" applyNumberFormat="1" applyFont="1" applyFill="1" applyBorder="1" applyAlignment="1">
      <alignment vertical="center"/>
    </xf>
    <xf numFmtId="3" fontId="6" fillId="0" borderId="10" xfId="58" applyNumberFormat="1" applyFont="1" applyFill="1" applyBorder="1" applyAlignment="1">
      <alignment vertical="center"/>
    </xf>
    <xf numFmtId="177" fontId="6" fillId="0" borderId="5" xfId="58" applyNumberFormat="1" applyFont="1" applyFill="1" applyBorder="1" applyAlignment="1">
      <alignment vertical="center"/>
    </xf>
    <xf numFmtId="178" fontId="19" fillId="0" borderId="0" xfId="0" applyNumberFormat="1" applyFont="1" applyFill="1" applyBorder="1" applyAlignment="1">
      <alignment vertical="center"/>
    </xf>
    <xf numFmtId="178" fontId="10" fillId="0" borderId="0" xfId="0" applyNumberFormat="1" applyFont="1" applyFill="1" applyBorder="1" applyAlignment="1">
      <alignment vertical="center"/>
    </xf>
    <xf numFmtId="178" fontId="10" fillId="0" borderId="0" xfId="0" applyNumberFormat="1" applyFont="1" applyFill="1" applyAlignment="1">
      <alignment vertical="center"/>
    </xf>
    <xf numFmtId="178" fontId="9" fillId="0" borderId="0" xfId="0" applyNumberFormat="1" applyFont="1" applyFill="1" applyAlignment="1">
      <alignment vertical="center"/>
    </xf>
    <xf numFmtId="0" fontId="9" fillId="0" borderId="0" xfId="0" applyFont="1" applyFill="1" applyAlignment="1">
      <alignment vertical="center"/>
    </xf>
    <xf numFmtId="0" fontId="9" fillId="0" borderId="0" xfId="0" applyFont="1" applyFill="1" applyBorder="1" applyAlignment="1">
      <alignment vertical="center" wrapText="1"/>
    </xf>
    <xf numFmtId="0" fontId="9" fillId="0" borderId="0" xfId="0" applyFont="1" applyFill="1" applyAlignment="1">
      <alignment horizontal="center" vertical="center"/>
    </xf>
    <xf numFmtId="0" fontId="9" fillId="0" borderId="26" xfId="0" applyFont="1" applyFill="1" applyBorder="1" applyAlignment="1">
      <alignment vertical="center"/>
    </xf>
    <xf numFmtId="0" fontId="9" fillId="0" borderId="0" xfId="0" applyFont="1" applyFill="1" applyBorder="1" applyAlignment="1">
      <alignment vertical="center"/>
    </xf>
    <xf numFmtId="3" fontId="9" fillId="0" borderId="0" xfId="58" applyNumberFormat="1" applyFont="1" applyFill="1" applyAlignment="1">
      <alignment horizontal="left" vertical="center"/>
    </xf>
    <xf numFmtId="178" fontId="6" fillId="0" borderId="7" xfId="58" applyNumberFormat="1" applyFont="1" applyFill="1" applyBorder="1" applyAlignment="1">
      <alignment vertical="center" wrapText="1"/>
    </xf>
    <xf numFmtId="3" fontId="12" fillId="0" borderId="0" xfId="58" applyNumberFormat="1" applyFont="1" applyFill="1" applyAlignment="1">
      <alignment vertical="center"/>
    </xf>
    <xf numFmtId="3" fontId="6" fillId="0" borderId="0" xfId="58" applyNumberFormat="1" applyFont="1" applyFill="1" applyAlignment="1">
      <alignment vertical="center"/>
    </xf>
    <xf numFmtId="178" fontId="6" fillId="0" borderId="0" xfId="58" applyNumberFormat="1" applyFont="1" applyFill="1" applyAlignment="1">
      <alignment vertical="center"/>
    </xf>
    <xf numFmtId="177" fontId="6" fillId="0" borderId="0" xfId="58" applyNumberFormat="1" applyFont="1" applyFill="1" applyAlignment="1">
      <alignment vertical="center"/>
    </xf>
    <xf numFmtId="177" fontId="6" fillId="0" borderId="0" xfId="58" applyNumberFormat="1" applyFont="1" applyFill="1" applyAlignment="1">
      <alignment horizontal="center" vertical="center"/>
    </xf>
    <xf numFmtId="178" fontId="6" fillId="0" borderId="0" xfId="58" applyNumberFormat="1" applyFont="1" applyFill="1" applyAlignment="1">
      <alignment vertical="center" shrinkToFit="1"/>
    </xf>
    <xf numFmtId="179" fontId="6" fillId="0" borderId="0" xfId="58" applyNumberFormat="1" applyFont="1" applyFill="1" applyAlignment="1">
      <alignment vertical="center" shrinkToFit="1"/>
    </xf>
    <xf numFmtId="3" fontId="10" fillId="0" borderId="0" xfId="58" applyNumberFormat="1" applyFont="1" applyFill="1" applyAlignment="1">
      <alignment vertical="center"/>
    </xf>
    <xf numFmtId="3" fontId="13" fillId="0" borderId="0" xfId="58" applyNumberFormat="1" applyFont="1" applyFill="1" applyBorder="1" applyAlignment="1">
      <alignment vertical="center"/>
    </xf>
    <xf numFmtId="3" fontId="13" fillId="0" borderId="0" xfId="58" applyNumberFormat="1" applyFont="1" applyFill="1" applyBorder="1" applyAlignment="1">
      <alignment horizontal="center" vertical="center"/>
    </xf>
    <xf numFmtId="177" fontId="13" fillId="0" borderId="0" xfId="58" applyNumberFormat="1" applyFont="1" applyFill="1" applyBorder="1" applyAlignment="1">
      <alignment horizontal="center" vertical="center"/>
    </xf>
    <xf numFmtId="178" fontId="13" fillId="0" borderId="0" xfId="58" applyNumberFormat="1" applyFont="1" applyFill="1" applyBorder="1" applyAlignment="1">
      <alignment vertical="center" shrinkToFit="1"/>
    </xf>
    <xf numFmtId="179" fontId="13" fillId="0" borderId="0" xfId="58" applyNumberFormat="1" applyFont="1" applyFill="1" applyBorder="1" applyAlignment="1">
      <alignment vertical="center" shrinkToFit="1"/>
    </xf>
    <xf numFmtId="3" fontId="6" fillId="0" borderId="7" xfId="58" applyNumberFormat="1" applyFont="1" applyFill="1" applyBorder="1" applyAlignment="1">
      <alignment vertical="center" wrapText="1"/>
    </xf>
    <xf numFmtId="3" fontId="6" fillId="0" borderId="7" xfId="58" applyNumberFormat="1" applyFont="1" applyFill="1" applyBorder="1" applyAlignment="1">
      <alignment vertical="center"/>
    </xf>
    <xf numFmtId="178" fontId="6" fillId="0" borderId="7" xfId="58" applyNumberFormat="1" applyFont="1" applyFill="1" applyBorder="1" applyAlignment="1">
      <alignment horizontal="right" vertical="center"/>
    </xf>
    <xf numFmtId="177" fontId="6" fillId="0" borderId="7" xfId="58" applyNumberFormat="1" applyFont="1" applyFill="1" applyBorder="1" applyAlignment="1">
      <alignment horizontal="right" vertical="center"/>
    </xf>
    <xf numFmtId="178" fontId="6" fillId="0" borderId="7" xfId="58" applyNumberFormat="1" applyFont="1" applyFill="1" applyBorder="1" applyAlignment="1">
      <alignment horizontal="right" vertical="center" wrapText="1"/>
    </xf>
    <xf numFmtId="177" fontId="6" fillId="0" borderId="7" xfId="58" applyNumberFormat="1" applyFont="1" applyFill="1" applyBorder="1" applyAlignment="1">
      <alignment horizontal="right" vertical="center" wrapText="1"/>
    </xf>
    <xf numFmtId="177" fontId="6" fillId="0" borderId="7" xfId="58" applyNumberFormat="1" applyFont="1" applyFill="1" applyBorder="1" applyAlignment="1">
      <alignment horizontal="center" vertical="center" wrapText="1"/>
    </xf>
    <xf numFmtId="178" fontId="6" fillId="0" borderId="7" xfId="58" applyNumberFormat="1" applyFont="1" applyFill="1" applyBorder="1" applyAlignment="1">
      <alignment vertical="center" shrinkToFit="1"/>
    </xf>
    <xf numFmtId="179" fontId="6" fillId="0" borderId="7" xfId="58" applyNumberFormat="1" applyFont="1" applyFill="1" applyBorder="1" applyAlignment="1">
      <alignment horizontal="right" vertical="center" shrinkToFit="1"/>
    </xf>
    <xf numFmtId="178" fontId="6" fillId="0" borderId="0" xfId="58" applyNumberFormat="1" applyFont="1" applyFill="1" applyBorder="1" applyAlignment="1">
      <alignment vertical="center" shrinkToFit="1"/>
    </xf>
    <xf numFmtId="0" fontId="40" fillId="0" borderId="26" xfId="47" applyFont="1" applyBorder="1" applyAlignment="1" applyProtection="1">
      <alignment horizontal="center" vertical="center"/>
    </xf>
    <xf numFmtId="0" fontId="37" fillId="0" borderId="26" xfId="47" applyFont="1" applyBorder="1" applyAlignment="1" applyProtection="1">
      <alignment horizontal="center" vertical="center"/>
    </xf>
    <xf numFmtId="0" fontId="0" fillId="0" borderId="26" xfId="0" applyBorder="1" applyAlignment="1" applyProtection="1">
      <alignment horizontal="center" vertical="center"/>
    </xf>
    <xf numFmtId="38" fontId="37" fillId="0" borderId="26" xfId="47" applyNumberFormat="1" applyFont="1" applyBorder="1" applyAlignment="1" applyProtection="1">
      <alignment vertical="center"/>
    </xf>
    <xf numFmtId="197" fontId="32" fillId="2" borderId="26" xfId="0" applyNumberFormat="1" applyFont="1" applyFill="1" applyBorder="1" applyAlignment="1" applyProtection="1">
      <alignment horizontal="center" vertical="center" shrinkToFit="1"/>
    </xf>
    <xf numFmtId="199" fontId="32" fillId="2" borderId="26" xfId="0" applyNumberFormat="1" applyFont="1" applyFill="1" applyBorder="1" applyAlignment="1" applyProtection="1">
      <alignment horizontal="center" vertical="center" shrinkToFit="1"/>
    </xf>
    <xf numFmtId="197" fontId="33" fillId="2" borderId="26" xfId="0" applyNumberFormat="1" applyFont="1" applyFill="1" applyBorder="1" applyAlignment="1" applyProtection="1">
      <alignment horizontal="center" vertical="center" shrinkToFit="1"/>
    </xf>
    <xf numFmtId="199" fontId="33" fillId="2" borderId="26" xfId="0" applyNumberFormat="1" applyFont="1" applyFill="1" applyBorder="1" applyAlignment="1" applyProtection="1">
      <alignment horizontal="center" vertical="center" shrinkToFit="1"/>
    </xf>
    <xf numFmtId="0" fontId="0" fillId="0" borderId="0" xfId="0" applyProtection="1"/>
    <xf numFmtId="0" fontId="0" fillId="2" borderId="0" xfId="0" applyFill="1" applyProtection="1"/>
    <xf numFmtId="0" fontId="32" fillId="2" borderId="0" xfId="0" applyFont="1" applyFill="1" applyBorder="1" applyAlignment="1" applyProtection="1">
      <alignment vertical="center" wrapText="1" shrinkToFit="1"/>
    </xf>
    <xf numFmtId="0" fontId="32" fillId="2" borderId="49" xfId="0" applyFont="1" applyFill="1" applyBorder="1" applyAlignment="1" applyProtection="1">
      <alignment vertical="center" wrapText="1" shrinkToFit="1"/>
    </xf>
    <xf numFmtId="0" fontId="32" fillId="2" borderId="25" xfId="0" applyFont="1" applyFill="1" applyBorder="1" applyAlignment="1" applyProtection="1">
      <alignment vertical="center" wrapText="1" shrinkToFit="1"/>
    </xf>
    <xf numFmtId="0" fontId="32" fillId="2" borderId="50" xfId="0" applyFont="1" applyFill="1" applyBorder="1" applyAlignment="1" applyProtection="1">
      <alignment vertical="center" wrapText="1" shrinkToFit="1"/>
    </xf>
    <xf numFmtId="0" fontId="43" fillId="2" borderId="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shrinkToFit="1"/>
    </xf>
    <xf numFmtId="0" fontId="32" fillId="0" borderId="0" xfId="0" applyFont="1" applyBorder="1" applyAlignment="1" applyProtection="1">
      <alignment vertical="center" wrapText="1" shrinkToFit="1"/>
    </xf>
    <xf numFmtId="0" fontId="32" fillId="4" borderId="26" xfId="0" applyFont="1" applyFill="1" applyBorder="1" applyAlignment="1" applyProtection="1">
      <alignment horizontal="center" vertical="center" shrinkToFit="1"/>
      <protection locked="0"/>
    </xf>
    <xf numFmtId="0" fontId="33" fillId="2" borderId="0" xfId="0" applyFont="1" applyFill="1" applyBorder="1" applyAlignment="1" applyProtection="1">
      <alignment horizontal="center" vertical="center" shrinkToFit="1"/>
    </xf>
    <xf numFmtId="0" fontId="32" fillId="2" borderId="49" xfId="0" applyFont="1" applyFill="1" applyBorder="1" applyAlignment="1" applyProtection="1">
      <alignment horizontal="center" vertical="center" wrapText="1"/>
    </xf>
    <xf numFmtId="0" fontId="32" fillId="2" borderId="26" xfId="0" applyFont="1" applyFill="1" applyBorder="1" applyAlignment="1" applyProtection="1">
      <alignment horizontal="center" vertical="center" wrapText="1"/>
    </xf>
    <xf numFmtId="0" fontId="32" fillId="2" borderId="26" xfId="0" applyFont="1" applyFill="1" applyBorder="1" applyAlignment="1" applyProtection="1">
      <alignment vertical="center" wrapText="1" shrinkToFit="1"/>
    </xf>
    <xf numFmtId="38" fontId="32" fillId="2" borderId="25" xfId="9" applyFont="1" applyFill="1" applyBorder="1" applyAlignment="1" applyProtection="1">
      <alignment vertical="center" wrapText="1" shrinkToFit="1"/>
    </xf>
    <xf numFmtId="199" fontId="32" fillId="2" borderId="9" xfId="0" applyNumberFormat="1" applyFont="1" applyFill="1" applyBorder="1" applyAlignment="1" applyProtection="1">
      <alignment horizontal="center" vertical="center" shrinkToFit="1"/>
    </xf>
    <xf numFmtId="199" fontId="32" fillId="2" borderId="11" xfId="0" applyNumberFormat="1" applyFont="1" applyFill="1" applyBorder="1" applyAlignment="1" applyProtection="1">
      <alignment horizontal="center" vertical="center" shrinkToFit="1"/>
    </xf>
    <xf numFmtId="199" fontId="33" fillId="2" borderId="11" xfId="0" applyNumberFormat="1" applyFont="1" applyFill="1" applyBorder="1" applyAlignment="1" applyProtection="1">
      <alignment horizontal="center" vertical="center" shrinkToFit="1"/>
    </xf>
    <xf numFmtId="0" fontId="32" fillId="0" borderId="26" xfId="0" applyFont="1" applyBorder="1" applyAlignment="1" applyProtection="1">
      <alignment horizontal="center" vertical="center" shrinkToFit="1"/>
    </xf>
    <xf numFmtId="0" fontId="32" fillId="0" borderId="0" xfId="0" applyFont="1" applyBorder="1" applyAlignment="1" applyProtection="1">
      <alignment horizontal="center" vertical="center" shrinkToFit="1"/>
    </xf>
    <xf numFmtId="0" fontId="0" fillId="0" borderId="0" xfId="0" applyAlignment="1" applyProtection="1">
      <alignment vertical="center"/>
    </xf>
    <xf numFmtId="177" fontId="57" fillId="0" borderId="10" xfId="58" applyNumberFormat="1" applyFont="1" applyFill="1" applyBorder="1" applyAlignment="1">
      <alignment horizontal="center" vertical="center"/>
    </xf>
    <xf numFmtId="3" fontId="6" fillId="0" borderId="3" xfId="58" applyNumberFormat="1" applyFont="1" applyFill="1" applyBorder="1" applyAlignment="1">
      <alignment horizontal="center" vertical="center" wrapText="1"/>
    </xf>
    <xf numFmtId="3" fontId="6" fillId="0" borderId="0" xfId="58" applyNumberFormat="1" applyFont="1" applyFill="1" applyBorder="1" applyAlignment="1">
      <alignment horizontal="center" vertical="center" wrapText="1"/>
    </xf>
    <xf numFmtId="3" fontId="6" fillId="0" borderId="10" xfId="58" applyNumberFormat="1" applyFont="1" applyFill="1" applyBorder="1" applyAlignment="1">
      <alignment horizontal="center" vertical="center" wrapText="1"/>
    </xf>
    <xf numFmtId="178" fontId="6" fillId="0" borderId="6" xfId="58" applyNumberFormat="1" applyFont="1" applyFill="1" applyBorder="1" applyAlignment="1">
      <alignment horizontal="center" vertical="center" wrapText="1"/>
    </xf>
    <xf numFmtId="3" fontId="6" fillId="0" borderId="11" xfId="58" applyNumberFormat="1" applyFont="1" applyFill="1" applyBorder="1" applyAlignment="1">
      <alignment horizontal="center" vertical="center" wrapText="1"/>
    </xf>
    <xf numFmtId="3" fontId="6" fillId="0" borderId="6" xfId="58" applyNumberFormat="1" applyFont="1" applyFill="1" applyBorder="1" applyAlignment="1">
      <alignment horizontal="center" vertical="center" wrapText="1"/>
    </xf>
    <xf numFmtId="3" fontId="6" fillId="0" borderId="0" xfId="58" applyNumberFormat="1" applyFont="1" applyFill="1" applyBorder="1" applyAlignment="1">
      <alignment horizontal="center" vertical="center"/>
    </xf>
    <xf numFmtId="177" fontId="6" fillId="0" borderId="0" xfId="58" applyNumberFormat="1" applyFont="1" applyFill="1" applyBorder="1" applyAlignment="1">
      <alignment horizontal="center" vertical="center"/>
    </xf>
    <xf numFmtId="177" fontId="6" fillId="0" borderId="10" xfId="58" applyNumberFormat="1" applyFont="1" applyFill="1" applyBorder="1" applyAlignment="1">
      <alignment horizontal="center" vertical="center"/>
    </xf>
    <xf numFmtId="178" fontId="6" fillId="0" borderId="11" xfId="58" applyNumberFormat="1" applyFont="1" applyFill="1" applyBorder="1" applyAlignment="1">
      <alignment vertical="center" wrapText="1"/>
    </xf>
    <xf numFmtId="3" fontId="6" fillId="0" borderId="3" xfId="58" applyNumberFormat="1" applyFont="1" applyFill="1" applyBorder="1" applyAlignment="1">
      <alignment vertical="center"/>
    </xf>
    <xf numFmtId="3" fontId="6" fillId="0" borderId="0" xfId="58" applyNumberFormat="1" applyFont="1" applyFill="1" applyBorder="1" applyAlignment="1">
      <alignment vertical="center"/>
    </xf>
    <xf numFmtId="178" fontId="6" fillId="0" borderId="3" xfId="58" applyNumberFormat="1" applyFont="1" applyFill="1" applyBorder="1" applyAlignment="1">
      <alignment vertical="center" wrapText="1"/>
    </xf>
    <xf numFmtId="177" fontId="6" fillId="0" borderId="18" xfId="58" applyNumberFormat="1" applyFont="1" applyFill="1" applyBorder="1" applyAlignment="1">
      <alignment horizontal="center" vertical="center" wrapText="1"/>
    </xf>
    <xf numFmtId="178" fontId="6" fillId="0" borderId="109" xfId="58" applyNumberFormat="1" applyFont="1" applyFill="1" applyBorder="1" applyAlignment="1">
      <alignment horizontal="center" vertical="center" wrapText="1"/>
    </xf>
    <xf numFmtId="178" fontId="6" fillId="0" borderId="3" xfId="58" applyNumberFormat="1" applyFont="1" applyBorder="1" applyAlignment="1">
      <alignment horizontal="right" vertical="center" wrapText="1"/>
    </xf>
    <xf numFmtId="178" fontId="57" fillId="0" borderId="3" xfId="58" applyNumberFormat="1" applyFont="1" applyFill="1" applyBorder="1" applyAlignment="1">
      <alignment horizontal="right" vertical="center" wrapText="1"/>
    </xf>
    <xf numFmtId="3" fontId="57" fillId="0" borderId="10" xfId="58" applyNumberFormat="1" applyFont="1" applyFill="1" applyBorder="1" applyAlignment="1">
      <alignment horizontal="center" vertical="center" wrapText="1"/>
    </xf>
    <xf numFmtId="178" fontId="57" fillId="0" borderId="6" xfId="58" applyNumberFormat="1" applyFont="1" applyFill="1" applyBorder="1" applyAlignment="1">
      <alignment horizontal="center" vertical="center" wrapText="1"/>
    </xf>
    <xf numFmtId="178" fontId="19" fillId="0" borderId="0" xfId="37" applyNumberFormat="1" applyFont="1" applyFill="1" applyBorder="1" applyAlignment="1">
      <alignment vertical="center"/>
    </xf>
    <xf numFmtId="178" fontId="10" fillId="0" borderId="0" xfId="37" applyNumberFormat="1" applyFont="1" applyFill="1" applyBorder="1" applyAlignment="1">
      <alignment vertical="center"/>
    </xf>
    <xf numFmtId="178" fontId="10" fillId="0" borderId="0" xfId="37" applyNumberFormat="1" applyFont="1" applyFill="1" applyAlignment="1">
      <alignment vertical="center"/>
    </xf>
    <xf numFmtId="178" fontId="10" fillId="0" borderId="0" xfId="51" applyNumberFormat="1" applyFont="1" applyFill="1" applyAlignment="1">
      <alignment vertical="center"/>
    </xf>
    <xf numFmtId="178" fontId="9" fillId="0" borderId="0" xfId="37" applyNumberFormat="1" applyFont="1" applyFill="1" applyAlignment="1">
      <alignment vertical="center"/>
    </xf>
    <xf numFmtId="181" fontId="6" fillId="0" borderId="0" xfId="58" applyNumberFormat="1" applyFont="1" applyAlignment="1">
      <alignment vertical="center"/>
    </xf>
    <xf numFmtId="3" fontId="35" fillId="0" borderId="0" xfId="58" applyNumberFormat="1" applyFont="1" applyAlignment="1">
      <alignment horizontal="right" vertical="center"/>
    </xf>
    <xf numFmtId="3" fontId="35" fillId="0" borderId="0" xfId="58" applyNumberFormat="1" applyFont="1" applyAlignment="1">
      <alignment horizontal="left" vertical="center"/>
    </xf>
    <xf numFmtId="183" fontId="58" fillId="0" borderId="0" xfId="51" applyNumberFormat="1" applyFont="1" applyFill="1" applyBorder="1" applyAlignment="1">
      <alignment horizontal="centerContinuous" vertical="center"/>
    </xf>
    <xf numFmtId="177" fontId="6" fillId="0" borderId="0" xfId="58" applyNumberFormat="1" applyFont="1" applyFill="1" applyBorder="1" applyAlignment="1">
      <alignment horizontal="center" vertical="center"/>
    </xf>
    <xf numFmtId="183" fontId="58" fillId="0" borderId="0" xfId="51" applyNumberFormat="1" applyFont="1" applyFill="1" applyBorder="1" applyAlignment="1">
      <alignment horizontal="center" vertical="center"/>
    </xf>
    <xf numFmtId="181" fontId="6" fillId="0" borderId="0" xfId="58" applyNumberFormat="1" applyFont="1" applyFill="1" applyBorder="1" applyAlignment="1">
      <alignment vertical="top" shrinkToFit="1"/>
    </xf>
    <xf numFmtId="0" fontId="32" fillId="2" borderId="0" xfId="0" applyFont="1" applyFill="1" applyBorder="1" applyAlignment="1" applyProtection="1">
      <alignment vertical="center" wrapText="1"/>
    </xf>
    <xf numFmtId="3" fontId="61" fillId="0" borderId="0" xfId="58" applyNumberFormat="1" applyFont="1" applyFill="1" applyAlignment="1">
      <alignment vertical="center"/>
    </xf>
    <xf numFmtId="3" fontId="61" fillId="0" borderId="0" xfId="58" applyNumberFormat="1" applyFont="1" applyAlignment="1">
      <alignment vertical="center" wrapText="1"/>
    </xf>
    <xf numFmtId="3" fontId="61" fillId="0" borderId="0" xfId="58" applyNumberFormat="1" applyFont="1" applyAlignment="1">
      <alignment vertical="center"/>
    </xf>
    <xf numFmtId="208" fontId="6" fillId="0" borderId="0" xfId="58" applyNumberFormat="1" applyFont="1" applyFill="1" applyAlignment="1">
      <alignment vertical="center"/>
    </xf>
    <xf numFmtId="208" fontId="6" fillId="0" borderId="0" xfId="58" applyNumberFormat="1" applyFont="1" applyAlignment="1">
      <alignment vertical="center"/>
    </xf>
    <xf numFmtId="0" fontId="32" fillId="2" borderId="11" xfId="0" applyFont="1" applyFill="1" applyBorder="1" applyAlignment="1" applyProtection="1">
      <alignment vertical="center" wrapText="1"/>
    </xf>
    <xf numFmtId="177" fontId="6" fillId="0" borderId="0" xfId="58" applyNumberFormat="1" applyFont="1" applyFill="1" applyBorder="1" applyAlignment="1">
      <alignment horizontal="center" vertical="center"/>
    </xf>
    <xf numFmtId="178" fontId="6" fillId="0" borderId="11" xfId="58" applyNumberFormat="1" applyFont="1" applyFill="1" applyBorder="1" applyAlignment="1">
      <alignment vertical="center" wrapText="1"/>
    </xf>
    <xf numFmtId="177" fontId="6" fillId="0" borderId="10" xfId="58" applyNumberFormat="1" applyFont="1" applyFill="1" applyBorder="1" applyAlignment="1">
      <alignment horizontal="center" vertical="center"/>
    </xf>
    <xf numFmtId="3" fontId="6" fillId="0" borderId="0" xfId="58" applyNumberFormat="1" applyFont="1" applyFill="1" applyBorder="1" applyAlignment="1">
      <alignment horizontal="center" vertical="center"/>
    </xf>
    <xf numFmtId="3" fontId="6" fillId="0" borderId="11" xfId="58" applyNumberFormat="1" applyFont="1" applyFill="1" applyBorder="1" applyAlignment="1">
      <alignment horizontal="center" vertical="center" wrapText="1"/>
    </xf>
    <xf numFmtId="178" fontId="6" fillId="0" borderId="6" xfId="58" applyNumberFormat="1" applyFont="1" applyFill="1" applyBorder="1" applyAlignment="1">
      <alignment horizontal="center" vertical="center" wrapText="1"/>
    </xf>
    <xf numFmtId="3" fontId="6" fillId="0" borderId="6" xfId="58" applyNumberFormat="1" applyFont="1" applyFill="1" applyBorder="1" applyAlignment="1">
      <alignment horizontal="center" vertical="center" wrapText="1"/>
    </xf>
    <xf numFmtId="3" fontId="6" fillId="0" borderId="3" xfId="58" applyNumberFormat="1" applyFont="1" applyFill="1" applyBorder="1" applyAlignment="1">
      <alignment horizontal="center" vertical="center" wrapText="1"/>
    </xf>
    <xf numFmtId="3" fontId="6" fillId="0" borderId="0" xfId="58" applyNumberFormat="1" applyFont="1" applyFill="1" applyBorder="1" applyAlignment="1">
      <alignment horizontal="center" vertical="center" wrapText="1"/>
    </xf>
    <xf numFmtId="3" fontId="6" fillId="0" borderId="10" xfId="58" applyNumberFormat="1" applyFont="1" applyFill="1" applyBorder="1" applyAlignment="1">
      <alignment horizontal="center" vertical="center" wrapText="1"/>
    </xf>
    <xf numFmtId="178" fontId="6" fillId="0" borderId="3" xfId="58" applyNumberFormat="1" applyFont="1" applyFill="1" applyBorder="1" applyAlignment="1">
      <alignment vertical="center" wrapText="1"/>
    </xf>
    <xf numFmtId="178" fontId="6" fillId="0" borderId="3" xfId="58" applyNumberFormat="1" applyFont="1" applyFill="1" applyBorder="1" applyAlignment="1">
      <alignment horizontal="center" vertical="center" wrapText="1"/>
    </xf>
    <xf numFmtId="178" fontId="6" fillId="0" borderId="0" xfId="58" applyNumberFormat="1" applyFont="1" applyFill="1" applyBorder="1" applyAlignment="1">
      <alignment horizontal="center" vertical="center" wrapText="1"/>
    </xf>
    <xf numFmtId="3" fontId="6" fillId="0" borderId="11" xfId="58" applyNumberFormat="1" applyFont="1" applyFill="1" applyBorder="1" applyAlignment="1">
      <alignment horizontal="center" vertical="center" wrapText="1"/>
    </xf>
    <xf numFmtId="178" fontId="6" fillId="0" borderId="14" xfId="58" applyNumberFormat="1" applyFont="1" applyFill="1" applyBorder="1" applyAlignment="1">
      <alignment horizontal="center" vertical="center" wrapText="1"/>
    </xf>
    <xf numFmtId="3" fontId="57" fillId="0" borderId="16" xfId="58" applyNumberFormat="1" applyFont="1" applyFill="1" applyBorder="1" applyAlignment="1">
      <alignment horizontal="center" vertical="center"/>
    </xf>
    <xf numFmtId="3" fontId="57" fillId="0" borderId="10" xfId="58" applyNumberFormat="1" applyFont="1" applyFill="1" applyBorder="1" applyAlignment="1">
      <alignment horizontal="center" vertical="center"/>
    </xf>
    <xf numFmtId="0" fontId="32" fillId="2" borderId="124" xfId="0" applyFont="1" applyFill="1" applyBorder="1" applyAlignment="1" applyProtection="1">
      <alignment horizontal="center" vertical="center" wrapText="1"/>
    </xf>
    <xf numFmtId="0" fontId="32" fillId="2" borderId="119" xfId="0" applyFont="1" applyFill="1" applyBorder="1" applyAlignment="1" applyProtection="1">
      <alignment horizontal="center" vertical="center" shrinkToFit="1"/>
    </xf>
    <xf numFmtId="0" fontId="32" fillId="2" borderId="117" xfId="0" applyFont="1" applyFill="1" applyBorder="1" applyAlignment="1" applyProtection="1">
      <alignment horizontal="center" vertical="center" wrapText="1"/>
    </xf>
    <xf numFmtId="0" fontId="32" fillId="2" borderId="116" xfId="0" applyFont="1" applyFill="1" applyBorder="1" applyAlignment="1" applyProtection="1">
      <alignment horizontal="center" vertical="center" wrapText="1"/>
    </xf>
    <xf numFmtId="0" fontId="32" fillId="2" borderId="137" xfId="0" applyFont="1" applyFill="1" applyBorder="1" applyAlignment="1" applyProtection="1">
      <alignment horizontal="center" vertical="center" wrapText="1"/>
    </xf>
    <xf numFmtId="202" fontId="6" fillId="0" borderId="0" xfId="58" applyNumberFormat="1" applyFont="1" applyFill="1" applyBorder="1" applyAlignment="1">
      <alignment horizontal="left" vertical="center"/>
    </xf>
    <xf numFmtId="0" fontId="32" fillId="2" borderId="120" xfId="0" applyFont="1" applyFill="1" applyBorder="1" applyAlignment="1" applyProtection="1">
      <alignment horizontal="center" vertical="center" wrapText="1" shrinkToFit="1"/>
    </xf>
    <xf numFmtId="0" fontId="63" fillId="0" borderId="0" xfId="82" applyFont="1" applyAlignment="1" applyProtection="1">
      <alignment vertical="center"/>
    </xf>
    <xf numFmtId="0" fontId="63" fillId="0" borderId="26" xfId="82" applyFont="1" applyBorder="1" applyAlignment="1" applyProtection="1">
      <alignment vertical="center"/>
    </xf>
    <xf numFmtId="0" fontId="63" fillId="2" borderId="0" xfId="82" applyFont="1" applyFill="1" applyAlignment="1" applyProtection="1">
      <alignment vertical="center"/>
    </xf>
    <xf numFmtId="0" fontId="64" fillId="2" borderId="0" xfId="82" applyFont="1" applyFill="1" applyAlignment="1" applyProtection="1">
      <alignment vertical="center"/>
    </xf>
    <xf numFmtId="0" fontId="63" fillId="2" borderId="0" xfId="82" applyFont="1" applyFill="1" applyBorder="1" applyAlignment="1" applyProtection="1">
      <alignment horizontal="left" vertical="center"/>
    </xf>
    <xf numFmtId="0" fontId="63" fillId="2" borderId="0" xfId="82" applyFont="1" applyFill="1" applyBorder="1" applyAlignment="1" applyProtection="1">
      <alignment horizontal="center" vertical="center"/>
    </xf>
    <xf numFmtId="0" fontId="65" fillId="2" borderId="0" xfId="82" applyFont="1" applyFill="1" applyAlignment="1" applyProtection="1">
      <alignment vertical="center"/>
    </xf>
    <xf numFmtId="211" fontId="63" fillId="2" borderId="84" xfId="82" applyNumberFormat="1" applyFont="1" applyFill="1" applyBorder="1" applyAlignment="1" applyProtection="1">
      <alignment horizontal="center" vertical="center"/>
    </xf>
    <xf numFmtId="211" fontId="63" fillId="2" borderId="81" xfId="82" applyNumberFormat="1" applyFont="1" applyFill="1" applyBorder="1" applyAlignment="1" applyProtection="1">
      <alignment horizontal="center" vertical="center"/>
    </xf>
    <xf numFmtId="0" fontId="63" fillId="2" borderId="97" xfId="82" applyFont="1" applyFill="1" applyBorder="1" applyAlignment="1" applyProtection="1">
      <alignment horizontal="center" vertical="center"/>
    </xf>
    <xf numFmtId="212" fontId="63" fillId="5" borderId="28" xfId="82" applyNumberFormat="1" applyFont="1" applyFill="1" applyBorder="1" applyAlignment="1" applyProtection="1">
      <alignment vertical="center" shrinkToFit="1"/>
      <protection locked="0"/>
    </xf>
    <xf numFmtId="212" fontId="66" fillId="2" borderId="142" xfId="82" applyNumberFormat="1" applyFont="1" applyFill="1" applyBorder="1" applyAlignment="1" applyProtection="1">
      <alignment vertical="center" shrinkToFit="1"/>
    </xf>
    <xf numFmtId="0" fontId="63" fillId="2" borderId="27" xfId="82" applyFont="1" applyFill="1" applyBorder="1" applyAlignment="1" applyProtection="1">
      <alignment horizontal="center" vertical="center"/>
    </xf>
    <xf numFmtId="0" fontId="63" fillId="2" borderId="0" xfId="82" applyFont="1" applyFill="1" applyBorder="1" applyAlignment="1" applyProtection="1">
      <alignment vertical="center"/>
    </xf>
    <xf numFmtId="213" fontId="63" fillId="2" borderId="0" xfId="82" applyNumberFormat="1" applyFont="1" applyFill="1" applyBorder="1" applyAlignment="1" applyProtection="1">
      <alignment vertical="center"/>
    </xf>
    <xf numFmtId="214" fontId="63" fillId="2" borderId="0" xfId="82" applyNumberFormat="1" applyFont="1" applyFill="1" applyAlignment="1" applyProtection="1">
      <alignment vertical="center"/>
    </xf>
    <xf numFmtId="0" fontId="63" fillId="2" borderId="125" xfId="82" applyFont="1" applyFill="1" applyBorder="1" applyAlignment="1" applyProtection="1">
      <alignment horizontal="center" vertical="center"/>
    </xf>
    <xf numFmtId="212" fontId="63" fillId="2" borderId="24" xfId="82" applyNumberFormat="1" applyFont="1" applyFill="1" applyBorder="1" applyAlignment="1" applyProtection="1">
      <alignment vertical="center" shrinkToFit="1"/>
    </xf>
    <xf numFmtId="0" fontId="69" fillId="2" borderId="0" xfId="82" applyFont="1" applyFill="1" applyAlignment="1" applyProtection="1">
      <alignment vertical="center"/>
    </xf>
    <xf numFmtId="0" fontId="69" fillId="2" borderId="0" xfId="82" applyFont="1" applyFill="1" applyBorder="1" applyAlignment="1" applyProtection="1">
      <alignment vertical="center"/>
    </xf>
    <xf numFmtId="0" fontId="71" fillId="2" borderId="0" xfId="82" applyFont="1" applyFill="1" applyAlignment="1" applyProtection="1">
      <alignment vertical="center"/>
    </xf>
    <xf numFmtId="0" fontId="72" fillId="2" borderId="0" xfId="82" applyFont="1" applyFill="1" applyAlignment="1" applyProtection="1">
      <alignment vertical="center"/>
    </xf>
    <xf numFmtId="211" fontId="69" fillId="2" borderId="81" xfId="82" applyNumberFormat="1" applyFont="1" applyFill="1" applyBorder="1" applyAlignment="1" applyProtection="1">
      <alignment horizontal="center" vertical="center"/>
    </xf>
    <xf numFmtId="212" fontId="69" fillId="2" borderId="0" xfId="82" applyNumberFormat="1" applyFont="1" applyFill="1" applyBorder="1" applyAlignment="1" applyProtection="1">
      <alignment vertical="center"/>
    </xf>
    <xf numFmtId="0" fontId="71" fillId="2" borderId="10" xfId="82" applyFont="1" applyFill="1" applyBorder="1" applyAlignment="1" applyProtection="1">
      <alignment vertical="center"/>
    </xf>
    <xf numFmtId="0" fontId="33" fillId="2" borderId="0" xfId="82" applyFont="1" applyFill="1" applyAlignment="1" applyProtection="1">
      <alignment vertical="center"/>
    </xf>
    <xf numFmtId="0" fontId="71" fillId="2" borderId="0" xfId="82" applyFont="1" applyFill="1" applyBorder="1" applyAlignment="1" applyProtection="1">
      <alignment vertical="center"/>
    </xf>
    <xf numFmtId="0" fontId="33" fillId="2" borderId="73" xfId="82" applyFont="1" applyFill="1" applyBorder="1" applyAlignment="1" applyProtection="1">
      <alignment vertical="center"/>
    </xf>
    <xf numFmtId="0" fontId="33" fillId="2" borderId="0" xfId="82" applyFont="1" applyFill="1" applyBorder="1" applyAlignment="1" applyProtection="1">
      <alignment vertical="center"/>
    </xf>
    <xf numFmtId="0" fontId="69" fillId="0" borderId="0" xfId="82" applyFont="1" applyAlignment="1" applyProtection="1">
      <alignment vertical="center"/>
    </xf>
    <xf numFmtId="0" fontId="67" fillId="0" borderId="26" xfId="82" applyFont="1" applyBorder="1" applyAlignment="1" applyProtection="1">
      <alignment vertical="center"/>
    </xf>
    <xf numFmtId="0" fontId="67" fillId="0" borderId="24" xfId="82" applyFont="1" applyBorder="1" applyAlignment="1" applyProtection="1">
      <alignment vertical="center"/>
    </xf>
    <xf numFmtId="0" fontId="75" fillId="0" borderId="25" xfId="82" applyFont="1" applyBorder="1" applyAlignment="1" applyProtection="1">
      <alignment vertical="center"/>
    </xf>
    <xf numFmtId="0" fontId="75" fillId="0" borderId="26" xfId="82" applyFont="1" applyBorder="1" applyAlignment="1" applyProtection="1">
      <alignment vertical="center"/>
    </xf>
    <xf numFmtId="0" fontId="75" fillId="0" borderId="0" xfId="82" applyFont="1" applyAlignment="1" applyProtection="1">
      <alignment vertical="center"/>
    </xf>
    <xf numFmtId="0" fontId="32" fillId="0" borderId="26" xfId="58" applyFont="1" applyBorder="1" applyAlignment="1" applyProtection="1">
      <alignment shrinkToFit="1"/>
    </xf>
    <xf numFmtId="0" fontId="63" fillId="0" borderId="24" xfId="82" applyFont="1" applyBorder="1" applyAlignment="1" applyProtection="1">
      <alignment vertical="center"/>
    </xf>
    <xf numFmtId="0" fontId="63" fillId="0" borderId="25" xfId="82" applyFont="1" applyBorder="1" applyAlignment="1" applyProtection="1">
      <alignment vertical="center"/>
    </xf>
    <xf numFmtId="0" fontId="32" fillId="0" borderId="26" xfId="58" applyFont="1" applyFill="1" applyBorder="1" applyAlignment="1" applyProtection="1">
      <alignment shrinkToFit="1"/>
    </xf>
    <xf numFmtId="0" fontId="73" fillId="0" borderId="0" xfId="82" applyFont="1" applyAlignment="1" applyProtection="1">
      <alignment vertical="center"/>
    </xf>
    <xf numFmtId="0" fontId="76" fillId="2" borderId="0" xfId="82" applyFont="1" applyFill="1" applyAlignment="1" applyProtection="1">
      <alignment vertical="center"/>
    </xf>
    <xf numFmtId="0" fontId="76" fillId="0" borderId="0" xfId="82" applyFont="1" applyAlignment="1" applyProtection="1">
      <alignment vertical="center"/>
    </xf>
    <xf numFmtId="0" fontId="77" fillId="2" borderId="0" xfId="84" applyFont="1" applyFill="1" applyAlignment="1" applyProtection="1">
      <alignment horizontal="left" vertical="center"/>
    </xf>
    <xf numFmtId="0" fontId="78" fillId="2" borderId="0" xfId="84" applyFont="1" applyFill="1" applyProtection="1">
      <alignment vertical="center"/>
    </xf>
    <xf numFmtId="0" fontId="79" fillId="2" borderId="0" xfId="84" applyFont="1" applyFill="1" applyProtection="1">
      <alignment vertical="center"/>
    </xf>
    <xf numFmtId="0" fontId="80" fillId="0" borderId="0" xfId="84" applyFont="1" applyProtection="1">
      <alignment vertical="center"/>
    </xf>
    <xf numFmtId="0" fontId="79" fillId="0" borderId="0" xfId="84" applyFont="1" applyProtection="1">
      <alignment vertical="center"/>
    </xf>
    <xf numFmtId="0" fontId="79" fillId="0" borderId="24" xfId="84" applyFont="1" applyBorder="1" applyProtection="1">
      <alignment vertical="center"/>
    </xf>
    <xf numFmtId="0" fontId="79" fillId="0" borderId="2" xfId="84" applyFont="1" applyBorder="1" applyAlignment="1" applyProtection="1">
      <alignment horizontal="center" vertical="center"/>
    </xf>
    <xf numFmtId="0" fontId="79" fillId="0" borderId="26" xfId="84" applyFont="1" applyBorder="1" applyProtection="1">
      <alignment vertical="center"/>
    </xf>
    <xf numFmtId="0" fontId="81" fillId="2" borderId="0" xfId="58" applyFont="1" applyFill="1" applyAlignment="1" applyProtection="1">
      <alignment horizontal="left" vertical="center"/>
    </xf>
    <xf numFmtId="0" fontId="82" fillId="2" borderId="0" xfId="84" applyFont="1" applyFill="1" applyProtection="1">
      <alignment vertical="center"/>
    </xf>
    <xf numFmtId="0" fontId="79" fillId="2" borderId="0" xfId="84" applyFont="1" applyFill="1" applyAlignment="1" applyProtection="1">
      <alignment horizontal="center" vertical="center"/>
    </xf>
    <xf numFmtId="38" fontId="79" fillId="0" borderId="26" xfId="12" applyFont="1" applyBorder="1" applyProtection="1">
      <alignment vertical="center"/>
    </xf>
    <xf numFmtId="0" fontId="79" fillId="0" borderId="0" xfId="84" applyFont="1" applyAlignment="1" applyProtection="1">
      <alignment vertical="center" wrapText="1"/>
    </xf>
    <xf numFmtId="0" fontId="79" fillId="0" borderId="24" xfId="84" applyFont="1" applyBorder="1" applyAlignment="1" applyProtection="1">
      <alignment horizontal="center" vertical="center" wrapText="1"/>
    </xf>
    <xf numFmtId="0" fontId="79" fillId="0" borderId="26" xfId="84" applyFont="1" applyBorder="1" applyAlignment="1" applyProtection="1">
      <alignment vertical="center" wrapText="1"/>
    </xf>
    <xf numFmtId="0" fontId="79" fillId="0" borderId="0" xfId="84" applyFont="1" applyBorder="1" applyAlignment="1" applyProtection="1">
      <alignment vertical="center" wrapText="1"/>
    </xf>
    <xf numFmtId="0" fontId="79" fillId="0" borderId="6" xfId="84" applyFont="1" applyBorder="1" applyAlignment="1" applyProtection="1">
      <alignment vertical="center" wrapText="1"/>
    </xf>
    <xf numFmtId="0" fontId="79" fillId="0" borderId="0" xfId="84" applyFont="1" applyBorder="1" applyProtection="1">
      <alignment vertical="center"/>
    </xf>
    <xf numFmtId="220" fontId="80" fillId="2" borderId="205" xfId="58" applyNumberFormat="1" applyFont="1" applyFill="1" applyBorder="1" applyAlignment="1" applyProtection="1">
      <alignment horizontal="center" vertical="center"/>
    </xf>
    <xf numFmtId="220" fontId="80" fillId="2" borderId="2" xfId="58" applyNumberFormat="1" applyFont="1" applyFill="1" applyBorder="1" applyAlignment="1" applyProtection="1">
      <alignment horizontal="center" vertical="center"/>
    </xf>
    <xf numFmtId="220" fontId="80" fillId="2" borderId="65" xfId="58" applyNumberFormat="1" applyFont="1" applyFill="1" applyBorder="1" applyAlignment="1" applyProtection="1">
      <alignment horizontal="center" vertical="center"/>
    </xf>
    <xf numFmtId="215" fontId="27" fillId="0" borderId="26" xfId="84" applyNumberFormat="1" applyFont="1" applyBorder="1" applyAlignment="1" applyProtection="1">
      <alignment vertical="center" shrinkToFit="1"/>
    </xf>
    <xf numFmtId="0" fontId="27" fillId="0" borderId="26" xfId="84" applyFont="1" applyBorder="1" applyAlignment="1" applyProtection="1">
      <alignment vertical="center" shrinkToFit="1"/>
    </xf>
    <xf numFmtId="0" fontId="27" fillId="0" borderId="0" xfId="84" applyFont="1" applyAlignment="1" applyProtection="1">
      <alignment vertical="center" shrinkToFit="1"/>
    </xf>
    <xf numFmtId="220" fontId="80" fillId="2" borderId="206" xfId="58" applyNumberFormat="1" applyFont="1" applyFill="1" applyBorder="1" applyAlignment="1" applyProtection="1">
      <alignment horizontal="center" vertical="center"/>
    </xf>
    <xf numFmtId="220" fontId="80" fillId="2" borderId="8" xfId="58" applyNumberFormat="1" applyFont="1" applyFill="1" applyBorder="1" applyAlignment="1" applyProtection="1">
      <alignment horizontal="center" vertical="center"/>
    </xf>
    <xf numFmtId="220" fontId="80" fillId="2" borderId="54" xfId="58" applyNumberFormat="1" applyFont="1" applyFill="1" applyBorder="1" applyAlignment="1" applyProtection="1">
      <alignment horizontal="center" vertical="center"/>
    </xf>
    <xf numFmtId="220" fontId="80" fillId="2" borderId="201" xfId="58" applyNumberFormat="1" applyFont="1" applyFill="1" applyBorder="1" applyAlignment="1" applyProtection="1">
      <alignment horizontal="center" vertical="center"/>
    </xf>
    <xf numFmtId="0" fontId="80" fillId="0" borderId="26" xfId="84" applyFont="1" applyBorder="1" applyProtection="1">
      <alignment vertical="center"/>
    </xf>
    <xf numFmtId="220" fontId="80" fillId="2" borderId="0" xfId="58" applyNumberFormat="1" applyFont="1" applyFill="1" applyBorder="1" applyAlignment="1" applyProtection="1">
      <alignment horizontal="center" vertical="center"/>
    </xf>
    <xf numFmtId="0" fontId="79" fillId="0" borderId="26" xfId="84" applyFont="1" applyBorder="1" applyAlignment="1" applyProtection="1">
      <alignment vertical="center"/>
    </xf>
    <xf numFmtId="0" fontId="80" fillId="0" borderId="0" xfId="84" applyFont="1" applyBorder="1" applyProtection="1">
      <alignment vertical="center"/>
    </xf>
    <xf numFmtId="0" fontId="79" fillId="0" borderId="0" xfId="84" applyFont="1" applyBorder="1" applyAlignment="1" applyProtection="1">
      <alignment horizontal="center" vertical="center"/>
    </xf>
    <xf numFmtId="0" fontId="83" fillId="0" borderId="0" xfId="58" applyFont="1" applyBorder="1" applyAlignment="1" applyProtection="1">
      <alignment horizontal="center" vertical="center" wrapText="1"/>
    </xf>
    <xf numFmtId="0" fontId="83" fillId="0" borderId="0" xfId="58" applyFont="1" applyBorder="1" applyAlignment="1" applyProtection="1">
      <alignment vertical="center"/>
    </xf>
    <xf numFmtId="0" fontId="80" fillId="0" borderId="0" xfId="58" applyFont="1" applyBorder="1" applyAlignment="1" applyProtection="1">
      <alignment vertical="center"/>
    </xf>
    <xf numFmtId="0" fontId="80" fillId="0" borderId="0" xfId="58" applyFont="1" applyAlignment="1" applyProtection="1">
      <alignment vertical="center"/>
    </xf>
    <xf numFmtId="0" fontId="80" fillId="0" borderId="0" xfId="58" applyFont="1" applyAlignment="1" applyProtection="1">
      <alignment horizontal="center" vertical="center"/>
    </xf>
    <xf numFmtId="0" fontId="79" fillId="0" borderId="0" xfId="84" applyFont="1" applyAlignment="1" applyProtection="1">
      <alignment horizontal="center" vertical="center"/>
    </xf>
    <xf numFmtId="0" fontId="81" fillId="2" borderId="0" xfId="58" applyFont="1" applyFill="1" applyProtection="1">
      <alignment vertical="center"/>
    </xf>
    <xf numFmtId="0" fontId="63" fillId="0" borderId="0" xfId="82" applyFont="1" applyBorder="1" applyAlignment="1" applyProtection="1">
      <alignment horizontal="center" vertical="center"/>
    </xf>
    <xf numFmtId="0" fontId="63" fillId="2" borderId="130" xfId="82" applyFont="1" applyFill="1" applyBorder="1" applyAlignment="1" applyProtection="1">
      <alignment horizontal="center" vertical="center" wrapText="1"/>
    </xf>
    <xf numFmtId="0" fontId="63" fillId="2" borderId="9" xfId="82" applyFont="1" applyFill="1" applyBorder="1" applyAlignment="1" applyProtection="1">
      <alignment horizontal="center" vertical="center"/>
    </xf>
    <xf numFmtId="212" fontId="63" fillId="5" borderId="16" xfId="82" applyNumberFormat="1" applyFont="1" applyFill="1" applyBorder="1" applyAlignment="1" applyProtection="1">
      <alignment vertical="center" shrinkToFit="1"/>
      <protection locked="0"/>
    </xf>
    <xf numFmtId="212" fontId="66" fillId="2" borderId="76" xfId="82" applyNumberFormat="1" applyFont="1" applyFill="1" applyBorder="1" applyAlignment="1" applyProtection="1">
      <alignment vertical="center" shrinkToFit="1"/>
    </xf>
    <xf numFmtId="0" fontId="63" fillId="0" borderId="38" xfId="82" applyFont="1" applyBorder="1" applyAlignment="1" applyProtection="1">
      <alignment horizontal="center" vertical="center"/>
    </xf>
    <xf numFmtId="212" fontId="63" fillId="0" borderId="38" xfId="82" applyNumberFormat="1" applyFont="1" applyBorder="1" applyAlignment="1" applyProtection="1">
      <alignment vertical="center" shrinkToFit="1"/>
    </xf>
    <xf numFmtId="212" fontId="66" fillId="0" borderId="53" xfId="82" applyNumberFormat="1" applyFont="1" applyBorder="1" applyAlignment="1" applyProtection="1">
      <alignment vertical="center" shrinkToFit="1"/>
    </xf>
    <xf numFmtId="0" fontId="63" fillId="0" borderId="0" xfId="82" applyFont="1" applyBorder="1" applyAlignment="1" applyProtection="1">
      <alignment vertical="center" shrinkToFit="1"/>
    </xf>
    <xf numFmtId="211" fontId="63" fillId="2" borderId="0" xfId="82" applyNumberFormat="1" applyFont="1" applyFill="1" applyBorder="1" applyAlignment="1" applyProtection="1">
      <alignment horizontal="center" vertical="center"/>
    </xf>
    <xf numFmtId="0" fontId="63" fillId="0" borderId="0" xfId="82" applyFont="1" applyBorder="1" applyAlignment="1" applyProtection="1">
      <alignment vertical="center"/>
    </xf>
    <xf numFmtId="0" fontId="63" fillId="2" borderId="0" xfId="82" applyFont="1" applyFill="1" applyBorder="1" applyAlignment="1" applyProtection="1">
      <alignment vertical="center" shrinkToFit="1"/>
    </xf>
    <xf numFmtId="213" fontId="63" fillId="2" borderId="0" xfId="82" applyNumberFormat="1" applyFont="1" applyFill="1" applyBorder="1" applyAlignment="1" applyProtection="1">
      <alignment vertical="center" shrinkToFit="1"/>
    </xf>
    <xf numFmtId="214" fontId="66" fillId="2" borderId="0" xfId="82" applyNumberFormat="1" applyFont="1" applyFill="1" applyBorder="1" applyAlignment="1" applyProtection="1">
      <alignment vertical="center" shrinkToFit="1"/>
    </xf>
    <xf numFmtId="0" fontId="63" fillId="2" borderId="33" xfId="82" applyFont="1" applyFill="1" applyBorder="1" applyAlignment="1" applyProtection="1">
      <alignment horizontal="center" vertical="center"/>
    </xf>
    <xf numFmtId="212" fontId="63" fillId="5" borderId="93" xfId="82" applyNumberFormat="1" applyFont="1" applyFill="1" applyBorder="1" applyAlignment="1" applyProtection="1">
      <alignment vertical="center" shrinkToFit="1"/>
      <protection locked="0"/>
    </xf>
    <xf numFmtId="212" fontId="63" fillId="5" borderId="33" xfId="82" applyNumberFormat="1" applyFont="1" applyFill="1" applyBorder="1" applyAlignment="1" applyProtection="1">
      <alignment vertical="center" shrinkToFit="1"/>
      <protection locked="0"/>
    </xf>
    <xf numFmtId="0" fontId="63" fillId="2" borderId="0" xfId="82" applyFont="1" applyFill="1" applyBorder="1" applyAlignment="1" applyProtection="1">
      <alignment horizontal="center" vertical="center" shrinkToFit="1"/>
    </xf>
    <xf numFmtId="213" fontId="63" fillId="2" borderId="0" xfId="82" applyNumberFormat="1" applyFont="1" applyFill="1" applyBorder="1" applyAlignment="1" applyProtection="1">
      <alignment horizontal="center" vertical="center" shrinkToFit="1"/>
    </xf>
    <xf numFmtId="0" fontId="63" fillId="2" borderId="0" xfId="82" applyFont="1" applyFill="1" applyAlignment="1" applyProtection="1">
      <alignment vertical="center" shrinkToFit="1"/>
    </xf>
    <xf numFmtId="0" fontId="63" fillId="0" borderId="0" xfId="82" applyFont="1" applyAlignment="1" applyProtection="1">
      <alignment vertical="center" shrinkToFit="1"/>
    </xf>
    <xf numFmtId="0" fontId="68" fillId="2" borderId="34" xfId="82" applyFont="1" applyFill="1" applyBorder="1" applyAlignment="1" applyProtection="1">
      <alignment horizontal="center" vertical="center" shrinkToFit="1"/>
    </xf>
    <xf numFmtId="0" fontId="68" fillId="2" borderId="34" xfId="82" applyFont="1" applyFill="1" applyBorder="1" applyAlignment="1" applyProtection="1">
      <alignment vertical="center" shrinkToFit="1"/>
    </xf>
    <xf numFmtId="213" fontId="68" fillId="2" borderId="34" xfId="82" applyNumberFormat="1" applyFont="1" applyFill="1" applyBorder="1" applyAlignment="1" applyProtection="1">
      <alignment vertical="center" shrinkToFit="1"/>
    </xf>
    <xf numFmtId="0" fontId="69" fillId="2" borderId="81" xfId="82" applyFont="1" applyFill="1" applyBorder="1" applyAlignment="1" applyProtection="1">
      <alignment horizontal="center" vertical="center" wrapText="1"/>
    </xf>
    <xf numFmtId="0" fontId="70" fillId="2" borderId="0" xfId="82" applyFont="1" applyFill="1" applyBorder="1" applyAlignment="1" applyProtection="1">
      <alignment vertical="center"/>
    </xf>
    <xf numFmtId="0" fontId="69" fillId="2" borderId="0" xfId="82" applyFont="1" applyFill="1" applyBorder="1" applyAlignment="1" applyProtection="1">
      <alignment horizontal="center" vertical="center"/>
    </xf>
    <xf numFmtId="0" fontId="69" fillId="2" borderId="63" xfId="82" applyFont="1" applyFill="1" applyBorder="1" applyAlignment="1" applyProtection="1">
      <alignment horizontal="center" vertical="center"/>
    </xf>
    <xf numFmtId="210" fontId="33" fillId="2" borderId="85" xfId="82" applyNumberFormat="1" applyFont="1" applyFill="1" applyBorder="1" applyAlignment="1" applyProtection="1">
      <alignment horizontal="center" vertical="center"/>
    </xf>
    <xf numFmtId="0" fontId="69" fillId="2" borderId="80" xfId="82" applyFont="1" applyFill="1" applyBorder="1" applyAlignment="1" applyProtection="1">
      <alignment horizontal="center" vertical="center"/>
    </xf>
    <xf numFmtId="0" fontId="63" fillId="0" borderId="6" xfId="82" applyFont="1" applyBorder="1" applyAlignment="1" applyProtection="1">
      <alignment horizontal="center" vertical="center"/>
    </xf>
    <xf numFmtId="0" fontId="63" fillId="0" borderId="6" xfId="82" applyFont="1" applyBorder="1" applyAlignment="1" applyProtection="1">
      <alignment vertical="center"/>
    </xf>
    <xf numFmtId="0" fontId="63" fillId="0" borderId="13" xfId="82" applyFont="1" applyBorder="1" applyAlignment="1" applyProtection="1">
      <alignment vertical="center"/>
    </xf>
    <xf numFmtId="0" fontId="32" fillId="2" borderId="0" xfId="0" applyFont="1" applyFill="1" applyBorder="1" applyAlignment="1" applyProtection="1">
      <alignment vertical="center" shrinkToFit="1"/>
    </xf>
    <xf numFmtId="0" fontId="0" fillId="0" borderId="0" xfId="0" applyBorder="1" applyAlignment="1" applyProtection="1">
      <alignment vertical="center"/>
    </xf>
    <xf numFmtId="0" fontId="0" fillId="0" borderId="26" xfId="0" applyBorder="1" applyAlignment="1" applyProtection="1">
      <alignment horizontal="center" vertical="center" shrinkToFit="1"/>
    </xf>
    <xf numFmtId="0" fontId="0" fillId="0" borderId="24" xfId="0" applyBorder="1" applyAlignment="1" applyProtection="1">
      <alignment horizontal="center" vertical="center" shrinkToFit="1"/>
    </xf>
    <xf numFmtId="0" fontId="0" fillId="0" borderId="24" xfId="0" applyBorder="1" applyAlignment="1" applyProtection="1">
      <alignment horizontal="center" vertical="center"/>
    </xf>
    <xf numFmtId="0" fontId="5" fillId="0" borderId="0" xfId="58" applyProtection="1">
      <alignment vertical="center"/>
    </xf>
    <xf numFmtId="38" fontId="63" fillId="0" borderId="26" xfId="82" applyNumberFormat="1" applyFont="1" applyBorder="1" applyAlignment="1" applyProtection="1">
      <alignment vertical="center"/>
    </xf>
    <xf numFmtId="38" fontId="63" fillId="0" borderId="9" xfId="82" applyNumberFormat="1" applyFont="1" applyBorder="1" applyAlignment="1" applyProtection="1">
      <alignment vertical="center"/>
    </xf>
    <xf numFmtId="0" fontId="63" fillId="0" borderId="9" xfId="82" applyFont="1" applyBorder="1" applyAlignment="1" applyProtection="1">
      <alignment vertical="center"/>
    </xf>
    <xf numFmtId="0" fontId="63" fillId="0" borderId="79" xfId="82" applyFont="1" applyBorder="1" applyAlignment="1" applyProtection="1">
      <alignment vertical="center"/>
    </xf>
    <xf numFmtId="0" fontId="63" fillId="0" borderId="63" xfId="82" applyFont="1" applyBorder="1" applyAlignment="1" applyProtection="1">
      <alignment vertical="center"/>
    </xf>
    <xf numFmtId="0" fontId="63" fillId="0" borderId="80" xfId="82" applyFont="1" applyBorder="1" applyAlignment="1" applyProtection="1">
      <alignment vertical="center"/>
    </xf>
    <xf numFmtId="215" fontId="63" fillId="2" borderId="26" xfId="82" applyNumberFormat="1" applyFont="1" applyFill="1" applyBorder="1" applyAlignment="1" applyProtection="1">
      <alignment horizontal="center" vertical="center"/>
    </xf>
    <xf numFmtId="215" fontId="63" fillId="2" borderId="0" xfId="82" applyNumberFormat="1" applyFont="1" applyFill="1" applyBorder="1" applyAlignment="1" applyProtection="1">
      <alignment horizontal="center" vertical="center"/>
    </xf>
    <xf numFmtId="38" fontId="63" fillId="0" borderId="26" xfId="9" applyFont="1" applyBorder="1" applyAlignment="1" applyProtection="1">
      <alignment vertical="center"/>
    </xf>
    <xf numFmtId="0" fontId="81" fillId="0" borderId="0" xfId="58" applyFont="1" applyFill="1" applyProtection="1">
      <alignment vertical="center"/>
    </xf>
    <xf numFmtId="0" fontId="80" fillId="0" borderId="26" xfId="84" applyFont="1" applyBorder="1" applyAlignment="1" applyProtection="1">
      <alignment vertical="center" shrinkToFit="1"/>
    </xf>
    <xf numFmtId="0" fontId="88" fillId="2" borderId="0" xfId="82" applyFont="1" applyFill="1" applyAlignment="1" applyProtection="1">
      <alignment vertical="center"/>
    </xf>
    <xf numFmtId="0" fontId="80" fillId="2" borderId="0" xfId="58" applyFont="1" applyFill="1" applyBorder="1" applyAlignment="1" applyProtection="1">
      <alignment horizontal="center" vertical="center"/>
    </xf>
    <xf numFmtId="0" fontId="80" fillId="2" borderId="0" xfId="58" applyFont="1" applyFill="1" applyBorder="1" applyAlignment="1" applyProtection="1">
      <alignment vertical="center"/>
    </xf>
    <xf numFmtId="0" fontId="79" fillId="2" borderId="0" xfId="84" applyFont="1" applyFill="1" applyBorder="1" applyProtection="1">
      <alignment vertical="center"/>
    </xf>
    <xf numFmtId="0" fontId="79" fillId="0" borderId="25" xfId="84" applyFont="1" applyBorder="1" applyProtection="1">
      <alignment vertical="center"/>
    </xf>
    <xf numFmtId="38" fontId="79" fillId="0" borderId="25" xfId="12" applyFont="1" applyBorder="1" applyProtection="1">
      <alignment vertical="center"/>
    </xf>
    <xf numFmtId="0" fontId="92" fillId="0" borderId="26" xfId="47" applyFont="1" applyBorder="1" applyAlignment="1" applyProtection="1">
      <alignment horizontal="left" vertical="center"/>
    </xf>
    <xf numFmtId="0" fontId="63" fillId="0" borderId="0" xfId="82" applyFont="1" applyFill="1" applyBorder="1" applyAlignment="1" applyProtection="1">
      <alignment vertical="center"/>
    </xf>
    <xf numFmtId="0" fontId="55" fillId="2" borderId="0" xfId="0" applyFont="1" applyFill="1" applyBorder="1" applyAlignment="1" applyProtection="1">
      <alignment vertical="center" shrinkToFit="1"/>
    </xf>
    <xf numFmtId="0" fontId="55" fillId="2" borderId="7" xfId="0" applyFont="1" applyFill="1" applyBorder="1" applyAlignment="1" applyProtection="1">
      <alignment vertical="center" shrinkToFit="1"/>
    </xf>
    <xf numFmtId="0" fontId="32" fillId="2" borderId="26" xfId="0" applyFont="1" applyFill="1" applyBorder="1" applyAlignment="1" applyProtection="1">
      <alignment horizontal="center" vertical="center" wrapText="1" shrinkToFit="1"/>
    </xf>
    <xf numFmtId="0" fontId="32" fillId="2" borderId="0" xfId="0" applyFont="1" applyFill="1" applyBorder="1" applyAlignment="1" applyProtection="1">
      <alignment horizontal="center" vertical="center" shrinkToFit="1"/>
    </xf>
    <xf numFmtId="0" fontId="32" fillId="7" borderId="25" xfId="0" applyFont="1" applyFill="1" applyBorder="1" applyAlignment="1" applyProtection="1">
      <alignment horizontal="centerContinuous" vertical="center" shrinkToFit="1"/>
    </xf>
    <xf numFmtId="0" fontId="32" fillId="7" borderId="2" xfId="0" applyFont="1" applyFill="1" applyBorder="1" applyAlignment="1" applyProtection="1">
      <alignment horizontal="centerContinuous" vertical="center" shrinkToFit="1"/>
    </xf>
    <xf numFmtId="0" fontId="32" fillId="7" borderId="24" xfId="0" applyFont="1" applyFill="1" applyBorder="1" applyAlignment="1" applyProtection="1">
      <alignment horizontal="centerContinuous" vertical="center" shrinkToFit="1"/>
    </xf>
    <xf numFmtId="0" fontId="32" fillId="7" borderId="26" xfId="0" applyFont="1" applyFill="1" applyBorder="1" applyAlignment="1" applyProtection="1">
      <alignment horizontal="centerContinuous" vertical="center" shrinkToFit="1"/>
    </xf>
    <xf numFmtId="197" fontId="36" fillId="2" borderId="26" xfId="0" applyNumberFormat="1" applyFont="1" applyFill="1" applyBorder="1" applyAlignment="1" applyProtection="1">
      <alignment horizontal="center" vertical="center" shrinkToFit="1"/>
    </xf>
    <xf numFmtId="199" fontId="36" fillId="2" borderId="26" xfId="0" applyNumberFormat="1" applyFont="1" applyFill="1" applyBorder="1" applyAlignment="1" applyProtection="1">
      <alignment horizontal="center" vertical="center" shrinkToFit="1"/>
    </xf>
    <xf numFmtId="197" fontId="87" fillId="2" borderId="26" xfId="0" applyNumberFormat="1" applyFont="1" applyFill="1" applyBorder="1" applyAlignment="1" applyProtection="1">
      <alignment horizontal="center" vertical="center" shrinkToFit="1"/>
    </xf>
    <xf numFmtId="199" fontId="87" fillId="2" borderId="26" xfId="0" applyNumberFormat="1" applyFont="1" applyFill="1" applyBorder="1" applyAlignment="1" applyProtection="1">
      <alignment horizontal="center" vertical="center" shrinkToFit="1"/>
    </xf>
    <xf numFmtId="0" fontId="87" fillId="2" borderId="0" xfId="0" applyFont="1" applyFill="1" applyBorder="1" applyAlignment="1" applyProtection="1">
      <alignment horizontal="center" vertical="center" shrinkToFit="1"/>
    </xf>
    <xf numFmtId="199" fontId="36" fillId="2" borderId="0" xfId="0" applyNumberFormat="1" applyFont="1" applyFill="1" applyBorder="1" applyAlignment="1" applyProtection="1">
      <alignment horizontal="center" vertical="center" shrinkToFit="1"/>
    </xf>
    <xf numFmtId="0" fontId="36" fillId="7" borderId="25" xfId="0" applyFont="1" applyFill="1" applyBorder="1" applyAlignment="1" applyProtection="1">
      <alignment horizontal="centerContinuous" vertical="center" shrinkToFit="1"/>
    </xf>
    <xf numFmtId="0" fontId="36" fillId="7" borderId="2" xfId="0" applyFont="1" applyFill="1" applyBorder="1" applyAlignment="1" applyProtection="1">
      <alignment horizontal="centerContinuous" vertical="center" shrinkToFit="1"/>
    </xf>
    <xf numFmtId="0" fontId="36" fillId="7" borderId="24" xfId="0" applyFont="1" applyFill="1" applyBorder="1" applyAlignment="1" applyProtection="1">
      <alignment horizontal="centerContinuous" vertical="center" shrinkToFit="1"/>
    </xf>
    <xf numFmtId="0" fontId="36" fillId="7" borderId="26" xfId="0" applyFont="1" applyFill="1" applyBorder="1" applyAlignment="1" applyProtection="1">
      <alignment horizontal="centerContinuous" vertical="center" shrinkToFit="1"/>
    </xf>
    <xf numFmtId="0" fontId="36" fillId="4" borderId="26" xfId="0" applyFont="1" applyFill="1" applyBorder="1" applyAlignment="1" applyProtection="1">
      <alignment horizontal="center" vertical="center" shrinkToFit="1"/>
      <protection locked="0"/>
    </xf>
    <xf numFmtId="0" fontId="36" fillId="2" borderId="124"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shrinkToFit="1"/>
    </xf>
    <xf numFmtId="0" fontId="36" fillId="2" borderId="117" xfId="0" applyFont="1" applyFill="1" applyBorder="1" applyAlignment="1" applyProtection="1">
      <alignment horizontal="center" vertical="center" wrapText="1"/>
    </xf>
    <xf numFmtId="0" fontId="36" fillId="2" borderId="50" xfId="0" applyFont="1" applyFill="1" applyBorder="1" applyAlignment="1" applyProtection="1">
      <alignment vertical="center" wrapText="1" shrinkToFit="1"/>
    </xf>
    <xf numFmtId="0" fontId="36" fillId="2" borderId="26" xfId="0" applyFont="1" applyFill="1" applyBorder="1" applyAlignment="1" applyProtection="1">
      <alignment vertical="center" wrapText="1" shrinkToFit="1"/>
    </xf>
    <xf numFmtId="0" fontId="36" fillId="2" borderId="49" xfId="0" applyFont="1" applyFill="1" applyBorder="1" applyAlignment="1" applyProtection="1">
      <alignment vertical="center" wrapText="1" shrinkToFit="1"/>
    </xf>
    <xf numFmtId="0" fontId="43" fillId="7" borderId="26" xfId="0" applyFont="1" applyFill="1" applyBorder="1" applyAlignment="1" applyProtection="1">
      <alignment horizontal="center" vertical="center" shrinkToFit="1"/>
    </xf>
    <xf numFmtId="0" fontId="32" fillId="7" borderId="26" xfId="0" applyFont="1" applyFill="1" applyBorder="1" applyAlignment="1" applyProtection="1">
      <alignment horizontal="center" vertical="center"/>
    </xf>
    <xf numFmtId="0" fontId="32" fillId="2" borderId="0" xfId="0" applyFont="1" applyFill="1" applyBorder="1" applyAlignment="1" applyProtection="1">
      <alignment horizontal="right" vertical="center" wrapText="1" shrinkToFit="1"/>
    </xf>
    <xf numFmtId="0" fontId="75" fillId="2" borderId="0" xfId="82" applyFont="1" applyFill="1" applyAlignment="1" applyProtection="1">
      <alignment horizontal="center" vertical="center" shrinkToFit="1"/>
    </xf>
    <xf numFmtId="0" fontId="63" fillId="0" borderId="26" xfId="82" applyFont="1" applyBorder="1" applyAlignment="1" applyProtection="1">
      <alignment horizontal="center" vertical="center"/>
    </xf>
    <xf numFmtId="0" fontId="63" fillId="2" borderId="26" xfId="82" applyFont="1" applyFill="1" applyBorder="1" applyAlignment="1" applyProtection="1">
      <alignment horizontal="center" vertical="center"/>
    </xf>
    <xf numFmtId="0" fontId="32" fillId="0" borderId="21" xfId="58" applyFont="1" applyBorder="1" applyAlignment="1" applyProtection="1">
      <alignment horizontal="center" vertical="center" shrinkToFit="1"/>
    </xf>
    <xf numFmtId="0" fontId="32" fillId="0" borderId="16" xfId="58" applyFont="1" applyBorder="1" applyAlignment="1" applyProtection="1">
      <alignment horizontal="center" vertical="center" shrinkToFit="1"/>
    </xf>
    <xf numFmtId="0" fontId="0" fillId="2" borderId="0" xfId="58" applyFont="1" applyFill="1" applyAlignment="1" applyProtection="1">
      <alignment vertical="center"/>
    </xf>
    <xf numFmtId="0" fontId="20" fillId="2" borderId="71" xfId="58" applyFont="1" applyFill="1" applyBorder="1" applyAlignment="1" applyProtection="1">
      <alignment vertical="center"/>
    </xf>
    <xf numFmtId="0" fontId="21" fillId="2" borderId="0" xfId="58" applyFont="1" applyFill="1" applyBorder="1" applyAlignment="1" applyProtection="1">
      <alignment horizontal="left" vertical="center"/>
    </xf>
    <xf numFmtId="0" fontId="86" fillId="2" borderId="0" xfId="58" applyFont="1" applyFill="1" applyBorder="1" applyAlignment="1" applyProtection="1">
      <alignment horizontal="left" vertical="center"/>
    </xf>
    <xf numFmtId="0" fontId="5" fillId="2" borderId="0" xfId="58" applyFill="1" applyAlignment="1" applyProtection="1">
      <alignment vertical="center"/>
    </xf>
    <xf numFmtId="0" fontId="5" fillId="2" borderId="0" xfId="58" applyFill="1" applyAlignment="1" applyProtection="1">
      <alignment horizontal="center" vertical="center"/>
    </xf>
    <xf numFmtId="0" fontId="33" fillId="4" borderId="45" xfId="82" applyFont="1" applyFill="1" applyBorder="1" applyAlignment="1" applyProtection="1">
      <alignment horizontal="center" vertical="center"/>
      <protection locked="0"/>
    </xf>
    <xf numFmtId="212" fontId="63" fillId="5" borderId="24" xfId="82" applyNumberFormat="1" applyFont="1" applyFill="1" applyBorder="1" applyAlignment="1" applyProtection="1">
      <alignment vertical="center" shrinkToFit="1"/>
      <protection locked="0"/>
    </xf>
    <xf numFmtId="0" fontId="26" fillId="2" borderId="0" xfId="58" applyFont="1" applyFill="1" applyAlignment="1" applyProtection="1">
      <alignment vertical="center"/>
    </xf>
    <xf numFmtId="0" fontId="33" fillId="2" borderId="46" xfId="0" applyFont="1" applyFill="1" applyBorder="1" applyAlignment="1" applyProtection="1">
      <alignment horizontal="center" vertical="center" shrinkToFit="1"/>
    </xf>
    <xf numFmtId="215" fontId="63" fillId="2" borderId="0" xfId="82" applyNumberFormat="1" applyFont="1" applyFill="1" applyAlignment="1" applyProtection="1">
      <alignment vertical="center"/>
    </xf>
    <xf numFmtId="0" fontId="107" fillId="2" borderId="0" xfId="82" applyFont="1" applyFill="1" applyAlignment="1" applyProtection="1">
      <alignment vertical="center"/>
    </xf>
    <xf numFmtId="0" fontId="107" fillId="2" borderId="0" xfId="82" applyFont="1" applyFill="1" applyBorder="1" applyAlignment="1" applyProtection="1">
      <alignment vertical="center"/>
    </xf>
    <xf numFmtId="215" fontId="63" fillId="0" borderId="37" xfId="82" applyNumberFormat="1" applyFont="1" applyFill="1" applyBorder="1" applyAlignment="1" applyProtection="1">
      <alignment horizontal="center" vertical="center"/>
    </xf>
    <xf numFmtId="0" fontId="63" fillId="0" borderId="80" xfId="82" applyFont="1" applyFill="1" applyBorder="1" applyAlignment="1" applyProtection="1">
      <alignment horizontal="center" vertical="center"/>
    </xf>
    <xf numFmtId="0" fontId="63" fillId="2" borderId="37" xfId="82" applyFont="1" applyFill="1" applyBorder="1" applyAlignment="1" applyProtection="1">
      <alignment horizontal="right" vertical="center"/>
    </xf>
    <xf numFmtId="0" fontId="63" fillId="2" borderId="80" xfId="82" applyFont="1" applyFill="1" applyBorder="1" applyAlignment="1" applyProtection="1">
      <alignment horizontal="right" vertical="center"/>
    </xf>
    <xf numFmtId="0" fontId="63" fillId="2" borderId="3" xfId="82" applyFont="1" applyFill="1" applyBorder="1" applyAlignment="1" applyProtection="1">
      <alignment horizontal="left" vertical="center"/>
    </xf>
    <xf numFmtId="0" fontId="63" fillId="2" borderId="96" xfId="82" applyFont="1" applyFill="1" applyBorder="1" applyAlignment="1" applyProtection="1">
      <alignment vertical="center"/>
    </xf>
    <xf numFmtId="0" fontId="63" fillId="2" borderId="172" xfId="82" applyFont="1" applyFill="1" applyBorder="1" applyAlignment="1" applyProtection="1">
      <alignment horizontal="right" vertical="center"/>
    </xf>
    <xf numFmtId="0" fontId="63" fillId="2" borderId="173" xfId="82" applyFont="1" applyFill="1" applyBorder="1" applyAlignment="1" applyProtection="1">
      <alignment horizontal="right" vertical="center"/>
    </xf>
    <xf numFmtId="0" fontId="63" fillId="2" borderId="161" xfId="82" applyFont="1" applyFill="1" applyBorder="1" applyAlignment="1" applyProtection="1">
      <alignment horizontal="right" vertical="center"/>
    </xf>
    <xf numFmtId="0" fontId="63" fillId="2" borderId="174" xfId="82" applyFont="1" applyFill="1" applyBorder="1" applyAlignment="1" applyProtection="1">
      <alignment horizontal="right" vertical="center"/>
    </xf>
    <xf numFmtId="0" fontId="63" fillId="2" borderId="13" xfId="82" applyFont="1" applyFill="1" applyBorder="1" applyAlignment="1" applyProtection="1">
      <alignment vertical="center"/>
    </xf>
    <xf numFmtId="0" fontId="63" fillId="2" borderId="44" xfId="82" applyFont="1" applyFill="1" applyBorder="1" applyAlignment="1" applyProtection="1">
      <alignment vertical="center"/>
    </xf>
    <xf numFmtId="0" fontId="63" fillId="2" borderId="175" xfId="82" applyFont="1" applyFill="1" applyBorder="1" applyAlignment="1" applyProtection="1">
      <alignment horizontal="right" vertical="center"/>
    </xf>
    <xf numFmtId="0" fontId="63" fillId="2" borderId="176" xfId="82" applyFont="1" applyFill="1" applyBorder="1" applyAlignment="1" applyProtection="1">
      <alignment horizontal="right" vertical="center"/>
    </xf>
    <xf numFmtId="0" fontId="63" fillId="2" borderId="0" xfId="82" applyFont="1" applyFill="1" applyBorder="1" applyAlignment="1" applyProtection="1">
      <alignment vertical="center" wrapText="1"/>
    </xf>
    <xf numFmtId="0" fontId="63" fillId="2" borderId="0" xfId="82" applyFont="1" applyFill="1" applyBorder="1" applyAlignment="1" applyProtection="1">
      <alignment horizontal="left" vertical="top" wrapText="1"/>
    </xf>
    <xf numFmtId="0" fontId="63" fillId="2" borderId="26" xfId="82" applyFont="1" applyFill="1" applyBorder="1" applyAlignment="1" applyProtection="1">
      <alignment horizontal="left" vertical="center" wrapText="1"/>
    </xf>
    <xf numFmtId="0" fontId="63" fillId="2" borderId="26" xfId="82" applyFont="1" applyFill="1" applyBorder="1" applyAlignment="1" applyProtection="1">
      <alignment horizontal="center" vertical="center" wrapText="1"/>
    </xf>
    <xf numFmtId="0" fontId="63" fillId="2" borderId="25" xfId="82" applyFont="1" applyFill="1" applyBorder="1" applyAlignment="1" applyProtection="1">
      <alignment vertical="center"/>
    </xf>
    <xf numFmtId="0" fontId="63" fillId="2" borderId="2" xfId="82" applyFont="1" applyFill="1" applyBorder="1" applyAlignment="1" applyProtection="1">
      <alignment vertical="center"/>
    </xf>
    <xf numFmtId="0" fontId="67" fillId="2" borderId="106" xfId="82" applyFont="1" applyFill="1" applyBorder="1" applyAlignment="1" applyProtection="1">
      <alignment horizontal="center" vertical="center" wrapText="1"/>
    </xf>
    <xf numFmtId="0" fontId="67" fillId="2" borderId="13" xfId="82" applyFont="1" applyFill="1" applyBorder="1" applyAlignment="1" applyProtection="1">
      <alignment horizontal="center" vertical="center" wrapText="1"/>
    </xf>
    <xf numFmtId="0" fontId="63" fillId="2" borderId="64" xfId="82" applyFont="1" applyFill="1" applyBorder="1" applyAlignment="1" applyProtection="1">
      <alignment vertical="center"/>
    </xf>
    <xf numFmtId="216" fontId="108" fillId="2" borderId="65" xfId="82" applyNumberFormat="1" applyFont="1" applyFill="1" applyBorder="1" applyAlignment="1" applyProtection="1">
      <alignment vertical="center"/>
    </xf>
    <xf numFmtId="0" fontId="63" fillId="2" borderId="11" xfId="82" applyFont="1" applyFill="1" applyBorder="1" applyAlignment="1" applyProtection="1">
      <alignment horizontal="right" vertical="center"/>
    </xf>
    <xf numFmtId="0" fontId="63" fillId="2" borderId="111" xfId="82" applyFont="1" applyFill="1" applyBorder="1" applyAlignment="1" applyProtection="1">
      <alignment vertical="center"/>
    </xf>
    <xf numFmtId="0" fontId="63" fillId="2" borderId="162" xfId="82" applyFont="1" applyFill="1" applyBorder="1" applyAlignment="1" applyProtection="1">
      <alignment horizontal="right" vertical="center"/>
    </xf>
    <xf numFmtId="0" fontId="63" fillId="2" borderId="165" xfId="82" applyFont="1" applyFill="1" applyBorder="1" applyAlignment="1" applyProtection="1">
      <alignment vertical="center"/>
    </xf>
    <xf numFmtId="216" fontId="106" fillId="2" borderId="177" xfId="82" applyNumberFormat="1" applyFont="1" applyFill="1" applyBorder="1" applyAlignment="1" applyProtection="1">
      <alignment vertical="center"/>
    </xf>
    <xf numFmtId="0" fontId="63" fillId="2" borderId="57" xfId="82" applyFont="1" applyFill="1" applyBorder="1" applyAlignment="1" applyProtection="1">
      <alignment vertical="center"/>
    </xf>
    <xf numFmtId="0" fontId="63" fillId="2" borderId="96" xfId="82" applyFont="1" applyFill="1" applyBorder="1" applyAlignment="1" applyProtection="1">
      <alignment horizontal="right" vertical="center"/>
    </xf>
    <xf numFmtId="0" fontId="63" fillId="2" borderId="73" xfId="82" applyFont="1" applyFill="1" applyBorder="1" applyAlignment="1" applyProtection="1">
      <alignment vertical="center"/>
    </xf>
    <xf numFmtId="218" fontId="110" fillId="2" borderId="161" xfId="82" applyNumberFormat="1" applyFont="1" applyFill="1" applyBorder="1" applyAlignment="1" applyProtection="1">
      <alignment vertical="center"/>
    </xf>
    <xf numFmtId="216" fontId="106" fillId="2" borderId="178" xfId="82" applyNumberFormat="1" applyFont="1" applyFill="1" applyBorder="1" applyAlignment="1" applyProtection="1">
      <alignment vertical="center"/>
    </xf>
    <xf numFmtId="0" fontId="63" fillId="2" borderId="179" xfId="82" applyFont="1" applyFill="1" applyBorder="1" applyAlignment="1" applyProtection="1">
      <alignment vertical="center"/>
    </xf>
    <xf numFmtId="0" fontId="63" fillId="2" borderId="180" xfId="82" applyFont="1" applyFill="1" applyBorder="1" applyAlignment="1" applyProtection="1">
      <alignment horizontal="right" vertical="center"/>
    </xf>
    <xf numFmtId="218" fontId="110" fillId="2" borderId="181" xfId="82" applyNumberFormat="1" applyFont="1" applyFill="1" applyBorder="1" applyAlignment="1" applyProtection="1">
      <alignment vertical="center"/>
    </xf>
    <xf numFmtId="216" fontId="106" fillId="2" borderId="182" xfId="82" applyNumberFormat="1" applyFont="1" applyFill="1" applyBorder="1" applyAlignment="1" applyProtection="1">
      <alignment vertical="center"/>
    </xf>
    <xf numFmtId="0" fontId="63" fillId="2" borderId="3" xfId="82" applyFont="1" applyFill="1" applyBorder="1" applyAlignment="1" applyProtection="1">
      <alignment horizontal="right" vertical="center"/>
    </xf>
    <xf numFmtId="219" fontId="110" fillId="2" borderId="74" xfId="82" applyNumberFormat="1" applyFont="1" applyFill="1" applyBorder="1" applyAlignment="1" applyProtection="1">
      <alignment vertical="center"/>
    </xf>
    <xf numFmtId="216" fontId="69" fillId="2" borderId="75" xfId="82" applyNumberFormat="1" applyFont="1" applyFill="1" applyBorder="1" applyAlignment="1" applyProtection="1">
      <alignment vertical="center"/>
    </xf>
    <xf numFmtId="215" fontId="110" fillId="2" borderId="64" xfId="82" applyNumberFormat="1" applyFont="1" applyFill="1" applyBorder="1" applyAlignment="1" applyProtection="1">
      <alignment vertical="center"/>
    </xf>
    <xf numFmtId="216" fontId="63" fillId="2" borderId="65" xfId="82" applyNumberFormat="1" applyFont="1" applyFill="1" applyBorder="1" applyAlignment="1" applyProtection="1">
      <alignment vertical="center"/>
    </xf>
    <xf numFmtId="0" fontId="63" fillId="2" borderId="2" xfId="82" applyFont="1" applyFill="1" applyBorder="1" applyAlignment="1" applyProtection="1">
      <alignment horizontal="left" vertical="center"/>
    </xf>
    <xf numFmtId="0" fontId="63" fillId="2" borderId="2" xfId="82" applyFont="1" applyFill="1" applyBorder="1" applyAlignment="1" applyProtection="1">
      <alignment horizontal="right" vertical="center"/>
    </xf>
    <xf numFmtId="0" fontId="63" fillId="2" borderId="183" xfId="82" applyFont="1" applyFill="1" applyBorder="1" applyAlignment="1" applyProtection="1">
      <alignment horizontal="left" vertical="center"/>
    </xf>
    <xf numFmtId="0" fontId="63" fillId="2" borderId="169" xfId="82" applyFont="1" applyFill="1" applyBorder="1" applyAlignment="1" applyProtection="1">
      <alignment horizontal="left" vertical="center"/>
    </xf>
    <xf numFmtId="0" fontId="63" fillId="0" borderId="144" xfId="82" applyFont="1" applyFill="1" applyBorder="1" applyAlignment="1" applyProtection="1">
      <alignment vertical="center"/>
    </xf>
    <xf numFmtId="216" fontId="63" fillId="2" borderId="184" xfId="82" applyNumberFormat="1" applyFont="1" applyFill="1" applyBorder="1" applyAlignment="1" applyProtection="1">
      <alignment vertical="center"/>
    </xf>
    <xf numFmtId="0" fontId="69" fillId="2" borderId="3" xfId="82" applyFont="1" applyFill="1" applyBorder="1" applyAlignment="1" applyProtection="1">
      <alignment vertical="center"/>
    </xf>
    <xf numFmtId="215" fontId="110" fillId="2" borderId="73" xfId="82" applyNumberFormat="1" applyFont="1" applyFill="1" applyBorder="1" applyAlignment="1" applyProtection="1">
      <alignment vertical="center"/>
    </xf>
    <xf numFmtId="216" fontId="69" fillId="2" borderId="71" xfId="82" applyNumberFormat="1" applyFont="1" applyFill="1" applyBorder="1" applyAlignment="1" applyProtection="1">
      <alignment vertical="center"/>
    </xf>
    <xf numFmtId="215" fontId="112" fillId="2" borderId="37" xfId="82" applyNumberFormat="1" applyFont="1" applyFill="1" applyBorder="1" applyAlignment="1" applyProtection="1">
      <alignment vertical="center"/>
    </xf>
    <xf numFmtId="0" fontId="88" fillId="2" borderId="1" xfId="82" applyFont="1" applyFill="1" applyBorder="1" applyAlignment="1" applyProtection="1">
      <alignment vertical="center"/>
    </xf>
    <xf numFmtId="215" fontId="63" fillId="2" borderId="0" xfId="82" applyNumberFormat="1" applyFont="1" applyFill="1" applyBorder="1" applyAlignment="1" applyProtection="1">
      <alignment vertical="center"/>
    </xf>
    <xf numFmtId="215" fontId="110" fillId="2" borderId="0" xfId="82" applyNumberFormat="1" applyFont="1" applyFill="1" applyBorder="1" applyAlignment="1" applyProtection="1">
      <alignment vertical="center"/>
    </xf>
    <xf numFmtId="216" fontId="63" fillId="2" borderId="0" xfId="82" applyNumberFormat="1" applyFont="1" applyFill="1" applyBorder="1" applyAlignment="1" applyProtection="1">
      <alignment vertical="center"/>
    </xf>
    <xf numFmtId="215" fontId="68" fillId="2" borderId="0" xfId="82" applyNumberFormat="1" applyFont="1" applyFill="1" applyBorder="1" applyAlignment="1" applyProtection="1">
      <alignment vertical="center"/>
    </xf>
    <xf numFmtId="0" fontId="107" fillId="2" borderId="37" xfId="82" applyFont="1" applyFill="1" applyBorder="1" applyAlignment="1" applyProtection="1">
      <alignment vertical="center"/>
    </xf>
    <xf numFmtId="215" fontId="63" fillId="2" borderId="0" xfId="82" applyNumberFormat="1" applyFont="1" applyFill="1" applyBorder="1" applyAlignment="1" applyProtection="1">
      <alignment vertical="center" wrapText="1" shrinkToFit="1"/>
    </xf>
    <xf numFmtId="215" fontId="63" fillId="0" borderId="0" xfId="82" applyNumberFormat="1" applyFont="1" applyBorder="1" applyAlignment="1" applyProtection="1">
      <alignment vertical="center"/>
    </xf>
    <xf numFmtId="215" fontId="63" fillId="0" borderId="0" xfId="82" applyNumberFormat="1" applyFont="1" applyAlignment="1" applyProtection="1">
      <alignment vertical="center"/>
    </xf>
    <xf numFmtId="0" fontId="69" fillId="0" borderId="0" xfId="58" applyFont="1" applyProtection="1">
      <alignment vertical="center"/>
    </xf>
    <xf numFmtId="215" fontId="75" fillId="0" borderId="0" xfId="82" applyNumberFormat="1" applyFont="1" applyAlignment="1" applyProtection="1">
      <alignment vertical="center"/>
    </xf>
    <xf numFmtId="0" fontId="63" fillId="2" borderId="0" xfId="82" applyFont="1" applyFill="1" applyAlignment="1" applyProtection="1">
      <alignment horizontal="center" vertical="center"/>
    </xf>
    <xf numFmtId="0" fontId="63" fillId="2" borderId="147" xfId="82" applyFont="1" applyFill="1" applyBorder="1" applyAlignment="1" applyProtection="1">
      <alignment horizontal="center" vertical="center"/>
    </xf>
    <xf numFmtId="0" fontId="33" fillId="0" borderId="26" xfId="58" applyFont="1" applyBorder="1" applyAlignment="1" applyProtection="1"/>
    <xf numFmtId="0" fontId="63" fillId="2" borderId="121" xfId="82" applyFont="1" applyFill="1" applyBorder="1" applyAlignment="1" applyProtection="1">
      <alignment horizontal="right" vertical="center"/>
    </xf>
    <xf numFmtId="0" fontId="63" fillId="2" borderId="129" xfId="82" applyFont="1" applyFill="1" applyBorder="1" applyAlignment="1" applyProtection="1">
      <alignment horizontal="right" vertical="center"/>
    </xf>
    <xf numFmtId="0" fontId="63" fillId="2" borderId="148" xfId="82" applyFont="1" applyFill="1" applyBorder="1" applyAlignment="1" applyProtection="1">
      <alignment horizontal="right" vertical="center"/>
    </xf>
    <xf numFmtId="0" fontId="63" fillId="2" borderId="13" xfId="82" applyFont="1" applyFill="1" applyBorder="1" applyAlignment="1" applyProtection="1">
      <alignment horizontal="left" vertical="center"/>
    </xf>
    <xf numFmtId="0" fontId="63" fillId="2" borderId="151" xfId="82" applyFont="1" applyFill="1" applyBorder="1" applyAlignment="1" applyProtection="1">
      <alignment horizontal="right" vertical="center"/>
    </xf>
    <xf numFmtId="0" fontId="26" fillId="2" borderId="0" xfId="58" applyFont="1" applyFill="1" applyBorder="1" applyAlignment="1" applyProtection="1">
      <alignment horizontal="left" vertical="top" wrapText="1"/>
    </xf>
    <xf numFmtId="0" fontId="63" fillId="2" borderId="106" xfId="82" applyFont="1" applyFill="1" applyBorder="1" applyAlignment="1" applyProtection="1">
      <alignment vertical="center"/>
    </xf>
    <xf numFmtId="0" fontId="63" fillId="2" borderId="84" xfId="82" applyFont="1" applyFill="1" applyBorder="1" applyAlignment="1" applyProtection="1">
      <alignment vertical="center"/>
    </xf>
    <xf numFmtId="0" fontId="63" fillId="2" borderId="81" xfId="82" applyFont="1" applyFill="1" applyBorder="1" applyAlignment="1" applyProtection="1">
      <alignment horizontal="center" vertical="center" wrapText="1"/>
    </xf>
    <xf numFmtId="215" fontId="63" fillId="2" borderId="83" xfId="82" applyNumberFormat="1" applyFont="1" applyFill="1" applyBorder="1" applyAlignment="1" applyProtection="1">
      <alignment horizontal="center" vertical="center" wrapText="1"/>
    </xf>
    <xf numFmtId="215" fontId="63" fillId="2" borderId="147" xfId="82" applyNumberFormat="1" applyFont="1" applyFill="1" applyBorder="1" applyAlignment="1" applyProtection="1">
      <alignment horizontal="center" vertical="center" wrapText="1"/>
    </xf>
    <xf numFmtId="215" fontId="63" fillId="2" borderId="0" xfId="82" applyNumberFormat="1" applyFont="1" applyFill="1" applyBorder="1" applyAlignment="1" applyProtection="1">
      <alignment horizontal="center" vertical="center" wrapText="1"/>
    </xf>
    <xf numFmtId="0" fontId="63" fillId="2" borderId="8" xfId="82" applyFont="1" applyFill="1" applyBorder="1" applyAlignment="1" applyProtection="1">
      <alignment vertical="center" wrapText="1"/>
    </xf>
    <xf numFmtId="0" fontId="63" fillId="2" borderId="152" xfId="82" applyNumberFormat="1" applyFont="1" applyFill="1" applyBorder="1" applyAlignment="1" applyProtection="1">
      <alignment vertical="center"/>
    </xf>
    <xf numFmtId="0" fontId="63" fillId="2" borderId="153" xfId="82" applyNumberFormat="1" applyFont="1" applyFill="1" applyBorder="1" applyAlignment="1" applyProtection="1">
      <alignment vertical="center"/>
    </xf>
    <xf numFmtId="216" fontId="69" fillId="2" borderId="120" xfId="82" applyNumberFormat="1" applyFont="1" applyFill="1" applyBorder="1" applyAlignment="1" applyProtection="1">
      <alignment vertical="center"/>
    </xf>
    <xf numFmtId="216" fontId="69" fillId="2" borderId="0" xfId="82" applyNumberFormat="1" applyFont="1" applyFill="1" applyBorder="1" applyAlignment="1" applyProtection="1">
      <alignment vertical="center"/>
    </xf>
    <xf numFmtId="0" fontId="63" fillId="2" borderId="73" xfId="82" applyFont="1" applyFill="1" applyBorder="1" applyAlignment="1" applyProtection="1">
      <alignment horizontal="right" vertical="center"/>
    </xf>
    <xf numFmtId="0" fontId="63" fillId="2" borderId="27" xfId="82" applyFont="1" applyFill="1" applyBorder="1" applyAlignment="1" applyProtection="1">
      <alignment vertical="center"/>
    </xf>
    <xf numFmtId="0" fontId="63" fillId="2" borderId="154" xfId="82" applyNumberFormat="1" applyFont="1" applyFill="1" applyBorder="1" applyAlignment="1" applyProtection="1">
      <alignment vertical="center"/>
    </xf>
    <xf numFmtId="0" fontId="63" fillId="2" borderId="155" xfId="82" applyNumberFormat="1" applyFont="1" applyFill="1" applyBorder="1" applyAlignment="1" applyProtection="1">
      <alignment vertical="center"/>
    </xf>
    <xf numFmtId="216" fontId="113" fillId="2" borderId="156" xfId="82" applyNumberFormat="1" applyFont="1" applyFill="1" applyBorder="1" applyAlignment="1" applyProtection="1">
      <alignment vertical="center"/>
    </xf>
    <xf numFmtId="216" fontId="113" fillId="2" borderId="0" xfId="82" applyNumberFormat="1" applyFont="1" applyFill="1" applyBorder="1" applyAlignment="1" applyProtection="1">
      <alignment vertical="center"/>
    </xf>
    <xf numFmtId="0" fontId="63" fillId="2" borderId="31" xfId="82" applyFont="1" applyFill="1" applyBorder="1" applyAlignment="1" applyProtection="1">
      <alignment vertical="center"/>
    </xf>
    <xf numFmtId="0" fontId="63" fillId="6" borderId="97" xfId="82" applyFont="1" applyFill="1" applyBorder="1" applyAlignment="1" applyProtection="1">
      <alignment horizontal="center" vertical="center"/>
    </xf>
    <xf numFmtId="0" fontId="63" fillId="2" borderId="157" xfId="82" applyNumberFormat="1" applyFont="1" applyFill="1" applyBorder="1" applyAlignment="1" applyProtection="1">
      <alignment vertical="center"/>
    </xf>
    <xf numFmtId="216" fontId="113" fillId="2" borderId="0" xfId="82" applyNumberFormat="1" applyFont="1" applyFill="1" applyBorder="1" applyAlignment="1" applyProtection="1">
      <alignment horizontal="right" vertical="center"/>
    </xf>
    <xf numFmtId="0" fontId="68" fillId="2" borderId="0" xfId="82" applyFont="1" applyFill="1" applyBorder="1" applyAlignment="1" applyProtection="1">
      <alignment horizontal="left" vertical="center"/>
    </xf>
    <xf numFmtId="0" fontId="63" fillId="2" borderId="29" xfId="82" applyFont="1" applyFill="1" applyBorder="1" applyAlignment="1" applyProtection="1">
      <alignment vertical="center"/>
    </xf>
    <xf numFmtId="0" fontId="63" fillId="6" borderId="69" xfId="82" applyFont="1" applyFill="1" applyBorder="1" applyAlignment="1" applyProtection="1">
      <alignment horizontal="center" vertical="center"/>
    </xf>
    <xf numFmtId="0" fontId="63" fillId="2" borderId="159" xfId="82" applyNumberFormat="1" applyFont="1" applyFill="1" applyBorder="1" applyAlignment="1" applyProtection="1">
      <alignment vertical="center"/>
    </xf>
    <xf numFmtId="0" fontId="26" fillId="2" borderId="35" xfId="58" applyFont="1" applyFill="1" applyBorder="1" applyAlignment="1" applyProtection="1">
      <alignment horizontal="left" vertical="center"/>
    </xf>
    <xf numFmtId="0" fontId="63" fillId="6" borderId="27" xfId="82" applyFont="1" applyFill="1" applyBorder="1" applyAlignment="1" applyProtection="1">
      <alignment horizontal="center" vertical="center"/>
    </xf>
    <xf numFmtId="0" fontId="63" fillId="2" borderId="100" xfId="82" applyNumberFormat="1" applyFont="1" applyFill="1" applyBorder="1" applyAlignment="1" applyProtection="1">
      <alignment vertical="center"/>
    </xf>
    <xf numFmtId="216" fontId="63" fillId="2" borderId="148" xfId="82" applyNumberFormat="1" applyFont="1" applyFill="1" applyBorder="1" applyAlignment="1" applyProtection="1">
      <alignment vertical="center"/>
    </xf>
    <xf numFmtId="0" fontId="26" fillId="2" borderId="162" xfId="58" applyFont="1" applyFill="1" applyBorder="1" applyAlignment="1" applyProtection="1">
      <alignment horizontal="left" vertical="center"/>
    </xf>
    <xf numFmtId="215" fontId="63" fillId="6" borderId="96" xfId="82" applyNumberFormat="1" applyFont="1" applyFill="1" applyBorder="1" applyAlignment="1" applyProtection="1">
      <alignment horizontal="right" vertical="center"/>
    </xf>
    <xf numFmtId="0" fontId="26" fillId="2" borderId="96" xfId="58" applyFont="1" applyFill="1" applyBorder="1" applyAlignment="1" applyProtection="1">
      <alignment horizontal="left" vertical="center"/>
    </xf>
    <xf numFmtId="0" fontId="63" fillId="6" borderId="31" xfId="82" applyFont="1" applyFill="1" applyBorder="1" applyAlignment="1" applyProtection="1">
      <alignment horizontal="center" vertical="center"/>
    </xf>
    <xf numFmtId="0" fontId="63" fillId="2" borderId="163" xfId="82" applyNumberFormat="1" applyFont="1" applyFill="1" applyBorder="1" applyAlignment="1" applyProtection="1">
      <alignment vertical="center"/>
    </xf>
    <xf numFmtId="0" fontId="26" fillId="2" borderId="164" xfId="58" applyFont="1" applyFill="1" applyBorder="1" applyAlignment="1" applyProtection="1">
      <alignment horizontal="center" vertical="center"/>
    </xf>
    <xf numFmtId="217" fontId="63" fillId="2" borderId="148" xfId="82" applyNumberFormat="1" applyFont="1" applyFill="1" applyBorder="1" applyAlignment="1" applyProtection="1">
      <alignment vertical="center"/>
    </xf>
    <xf numFmtId="217" fontId="63" fillId="2" borderId="0" xfId="82" applyNumberFormat="1" applyFont="1" applyFill="1" applyBorder="1" applyAlignment="1" applyProtection="1">
      <alignment vertical="center"/>
    </xf>
    <xf numFmtId="0" fontId="63" fillId="6" borderId="29" xfId="82" applyFont="1" applyFill="1" applyBorder="1" applyAlignment="1" applyProtection="1">
      <alignment horizontal="center" vertical="center"/>
    </xf>
    <xf numFmtId="205" fontId="63" fillId="6" borderId="42" xfId="82" applyNumberFormat="1" applyFont="1" applyFill="1" applyBorder="1" applyAlignment="1" applyProtection="1">
      <alignment horizontal="right" vertical="center"/>
    </xf>
    <xf numFmtId="217" fontId="63" fillId="2" borderId="168" xfId="82" applyNumberFormat="1" applyFont="1" applyFill="1" applyBorder="1" applyAlignment="1" applyProtection="1">
      <alignment vertical="center"/>
    </xf>
    <xf numFmtId="0" fontId="69" fillId="2" borderId="144" xfId="82" applyFont="1" applyFill="1" applyBorder="1" applyAlignment="1" applyProtection="1">
      <alignment horizontal="left" vertical="center"/>
    </xf>
    <xf numFmtId="0" fontId="69" fillId="2" borderId="169" xfId="82" applyFont="1" applyFill="1" applyBorder="1" applyAlignment="1" applyProtection="1">
      <alignment horizontal="left" vertical="center"/>
    </xf>
    <xf numFmtId="0" fontId="63" fillId="2" borderId="170" xfId="82" applyNumberFormat="1" applyFont="1" applyFill="1" applyBorder="1" applyAlignment="1" applyProtection="1">
      <alignment vertical="center"/>
    </xf>
    <xf numFmtId="216" fontId="63" fillId="2" borderId="171" xfId="82" applyNumberFormat="1" applyFont="1" applyFill="1" applyBorder="1" applyAlignment="1" applyProtection="1">
      <alignment vertical="center"/>
    </xf>
    <xf numFmtId="0" fontId="69" fillId="2" borderId="55" xfId="82" applyFont="1" applyFill="1" applyBorder="1" applyAlignment="1" applyProtection="1">
      <alignment vertical="center"/>
    </xf>
    <xf numFmtId="0" fontId="63" fillId="2" borderId="39" xfId="82" applyFont="1" applyFill="1" applyBorder="1" applyAlignment="1" applyProtection="1">
      <alignment vertical="center"/>
    </xf>
    <xf numFmtId="215" fontId="63" fillId="2" borderId="39" xfId="82" applyNumberFormat="1" applyFont="1" applyFill="1" applyBorder="1" applyAlignment="1" applyProtection="1">
      <alignment vertical="center"/>
    </xf>
    <xf numFmtId="216" fontId="69" fillId="2" borderId="146" xfId="82" applyNumberFormat="1" applyFont="1" applyFill="1" applyBorder="1" applyAlignment="1" applyProtection="1">
      <alignment vertical="center"/>
    </xf>
    <xf numFmtId="0" fontId="111" fillId="2" borderId="37" xfId="82" applyFont="1" applyFill="1" applyBorder="1" applyAlignment="1" applyProtection="1">
      <alignment vertical="center"/>
    </xf>
    <xf numFmtId="215" fontId="88" fillId="2" borderId="1" xfId="82" applyNumberFormat="1" applyFont="1" applyFill="1" applyBorder="1" applyAlignment="1" applyProtection="1">
      <alignment vertical="center"/>
    </xf>
    <xf numFmtId="216" fontId="107" fillId="2" borderId="45" xfId="82" applyNumberFormat="1" applyFont="1" applyFill="1" applyBorder="1" applyAlignment="1" applyProtection="1">
      <alignment vertical="center"/>
    </xf>
    <xf numFmtId="216" fontId="107" fillId="2" borderId="0" xfId="82" applyNumberFormat="1" applyFont="1" applyFill="1" applyBorder="1" applyAlignment="1" applyProtection="1">
      <alignment vertical="center"/>
    </xf>
    <xf numFmtId="0" fontId="114" fillId="2" borderId="0" xfId="82" applyFont="1" applyFill="1" applyBorder="1" applyAlignment="1" applyProtection="1">
      <alignment vertical="center"/>
    </xf>
    <xf numFmtId="0" fontId="106" fillId="2" borderId="0" xfId="82" applyFont="1" applyFill="1" applyBorder="1" applyAlignment="1" applyProtection="1">
      <alignment vertical="center"/>
    </xf>
    <xf numFmtId="0" fontId="67" fillId="2" borderId="0" xfId="82" applyFont="1" applyFill="1" applyBorder="1" applyAlignment="1" applyProtection="1">
      <alignment vertical="center"/>
    </xf>
    <xf numFmtId="215" fontId="67" fillId="2" borderId="0" xfId="82" applyNumberFormat="1" applyFont="1" applyFill="1" applyBorder="1" applyAlignment="1" applyProtection="1">
      <alignment vertical="center"/>
    </xf>
    <xf numFmtId="216" fontId="115" fillId="2" borderId="0" xfId="82" applyNumberFormat="1" applyFont="1" applyFill="1" applyBorder="1" applyAlignment="1" applyProtection="1">
      <alignment vertical="center"/>
    </xf>
    <xf numFmtId="215" fontId="88" fillId="2" borderId="36" xfId="82" applyNumberFormat="1" applyFont="1" applyFill="1" applyBorder="1" applyAlignment="1" applyProtection="1">
      <alignment vertical="center"/>
    </xf>
    <xf numFmtId="0" fontId="26" fillId="2" borderId="160" xfId="58" applyFont="1" applyFill="1" applyBorder="1" applyAlignment="1" applyProtection="1">
      <alignment horizontal="center" vertical="center"/>
    </xf>
    <xf numFmtId="0" fontId="26" fillId="2" borderId="161" xfId="58" applyFont="1" applyFill="1" applyBorder="1" applyAlignment="1" applyProtection="1">
      <alignment horizontal="center" vertical="center"/>
    </xf>
    <xf numFmtId="0" fontId="63" fillId="2" borderId="143" xfId="82" applyFont="1" applyFill="1" applyBorder="1" applyAlignment="1" applyProtection="1">
      <alignment horizontal="center" vertical="center"/>
    </xf>
    <xf numFmtId="0" fontId="63" fillId="2" borderId="21" xfId="82" applyFont="1" applyFill="1" applyBorder="1" applyAlignment="1" applyProtection="1">
      <alignment horizontal="center" vertical="center"/>
    </xf>
    <xf numFmtId="0" fontId="63" fillId="2" borderId="11" xfId="82" applyFont="1" applyFill="1" applyBorder="1" applyAlignment="1" applyProtection="1">
      <alignment horizontal="center" vertical="center"/>
    </xf>
    <xf numFmtId="0" fontId="63" fillId="2" borderId="3" xfId="82" applyFont="1" applyFill="1" applyBorder="1" applyAlignment="1" applyProtection="1">
      <alignment horizontal="center" vertical="center"/>
    </xf>
    <xf numFmtId="0" fontId="63" fillId="2" borderId="25" xfId="82" applyFont="1" applyFill="1" applyBorder="1" applyAlignment="1" applyProtection="1">
      <alignment horizontal="center" vertical="center"/>
    </xf>
    <xf numFmtId="0" fontId="88" fillId="2" borderId="0" xfId="82" applyFont="1" applyFill="1" applyAlignment="1" applyProtection="1">
      <alignment horizontal="center" vertical="center" shrinkToFit="1"/>
    </xf>
    <xf numFmtId="0" fontId="63" fillId="0" borderId="45" xfId="82" applyFont="1" applyBorder="1" applyAlignment="1" applyProtection="1">
      <alignment horizontal="center" vertical="center" wrapText="1"/>
    </xf>
    <xf numFmtId="0" fontId="69" fillId="0" borderId="26" xfId="58" applyFont="1" applyBorder="1" applyAlignment="1" applyProtection="1"/>
    <xf numFmtId="215" fontId="63" fillId="2" borderId="107" xfId="82" applyNumberFormat="1" applyFont="1" applyFill="1" applyBorder="1" applyAlignment="1" applyProtection="1">
      <alignment horizontal="right" vertical="center"/>
    </xf>
    <xf numFmtId="0" fontId="63" fillId="2" borderId="21" xfId="82" applyFont="1" applyFill="1" applyBorder="1" applyAlignment="1" applyProtection="1">
      <alignment horizontal="left" vertical="center"/>
    </xf>
    <xf numFmtId="0" fontId="63" fillId="2" borderId="188" xfId="82" applyFont="1" applyFill="1" applyBorder="1" applyAlignment="1" applyProtection="1">
      <alignment horizontal="right" vertical="center"/>
    </xf>
    <xf numFmtId="0" fontId="63" fillId="2" borderId="189" xfId="82" applyFont="1" applyFill="1" applyBorder="1" applyAlignment="1" applyProtection="1">
      <alignment horizontal="right" vertical="center"/>
    </xf>
    <xf numFmtId="0" fontId="63" fillId="2" borderId="95" xfId="82" applyFont="1" applyFill="1" applyBorder="1" applyAlignment="1" applyProtection="1">
      <alignment horizontal="left" vertical="center"/>
    </xf>
    <xf numFmtId="0" fontId="63" fillId="2" borderId="96" xfId="82" applyFont="1" applyFill="1" applyBorder="1" applyAlignment="1" applyProtection="1">
      <alignment horizontal="left" vertical="center"/>
    </xf>
    <xf numFmtId="0" fontId="63" fillId="2" borderId="209" xfId="82" applyFont="1" applyFill="1" applyBorder="1" applyAlignment="1" applyProtection="1">
      <alignment horizontal="right" vertical="center"/>
    </xf>
    <xf numFmtId="0" fontId="63" fillId="2" borderId="0" xfId="82" applyFont="1" applyFill="1" applyBorder="1" applyAlignment="1" applyProtection="1">
      <alignment horizontal="center" vertical="top" wrapText="1"/>
    </xf>
    <xf numFmtId="215" fontId="63" fillId="2" borderId="65" xfId="82" applyNumberFormat="1" applyFont="1" applyFill="1" applyBorder="1" applyAlignment="1" applyProtection="1">
      <alignment horizontal="center" vertical="center" wrapText="1"/>
    </xf>
    <xf numFmtId="0" fontId="63" fillId="2" borderId="8" xfId="82" applyFont="1" applyFill="1" applyBorder="1" applyAlignment="1" applyProtection="1">
      <alignment vertical="center"/>
    </xf>
    <xf numFmtId="0" fontId="63" fillId="2" borderId="9" xfId="82" applyFont="1" applyFill="1" applyBorder="1" applyAlignment="1" applyProtection="1">
      <alignment vertical="center"/>
    </xf>
    <xf numFmtId="215" fontId="63" fillId="2" borderId="54" xfId="82" applyNumberFormat="1" applyFont="1" applyFill="1" applyBorder="1" applyAlignment="1" applyProtection="1">
      <alignment vertical="center"/>
    </xf>
    <xf numFmtId="215" fontId="63" fillId="2" borderId="143" xfId="82" applyNumberFormat="1" applyFont="1" applyFill="1" applyBorder="1" applyAlignment="1" applyProtection="1">
      <alignment vertical="center"/>
    </xf>
    <xf numFmtId="216" fontId="108" fillId="2" borderId="54" xfId="82" applyNumberFormat="1" applyFont="1" applyFill="1" applyBorder="1" applyAlignment="1" applyProtection="1">
      <alignment vertical="center"/>
    </xf>
    <xf numFmtId="0" fontId="63" fillId="2" borderId="40" xfId="82" applyFont="1" applyFill="1" applyBorder="1" applyAlignment="1" applyProtection="1">
      <alignment vertical="center"/>
    </xf>
    <xf numFmtId="216" fontId="106" fillId="2" borderId="190" xfId="82" applyNumberFormat="1" applyFont="1" applyFill="1" applyBorder="1" applyAlignment="1" applyProtection="1">
      <alignment vertical="center"/>
    </xf>
    <xf numFmtId="0" fontId="63" fillId="6" borderId="57" xfId="82" applyFont="1" applyFill="1" applyBorder="1" applyAlignment="1" applyProtection="1">
      <alignment horizontal="center" vertical="center"/>
    </xf>
    <xf numFmtId="0" fontId="63" fillId="2" borderId="7" xfId="82" applyFont="1" applyFill="1" applyBorder="1" applyAlignment="1" applyProtection="1">
      <alignment vertical="center"/>
    </xf>
    <xf numFmtId="215" fontId="63" fillId="2" borderId="75" xfId="82" applyNumberFormat="1" applyFont="1" applyFill="1" applyBorder="1" applyAlignment="1" applyProtection="1">
      <alignment horizontal="right" vertical="center"/>
    </xf>
    <xf numFmtId="215" fontId="68" fillId="2" borderId="65" xfId="82" applyNumberFormat="1" applyFont="1" applyFill="1" applyBorder="1" applyAlignment="1" applyProtection="1">
      <alignment vertical="center"/>
    </xf>
    <xf numFmtId="0" fontId="63" fillId="6" borderId="26" xfId="82" applyFont="1" applyFill="1" applyBorder="1" applyAlignment="1" applyProtection="1">
      <alignment horizontal="center" vertical="center"/>
    </xf>
    <xf numFmtId="215" fontId="63" fillId="6" borderId="45" xfId="82" applyNumberFormat="1" applyFont="1" applyFill="1" applyBorder="1" applyAlignment="1" applyProtection="1">
      <alignment horizontal="right" vertical="center"/>
    </xf>
    <xf numFmtId="217" fontId="63" fillId="2" borderId="65" xfId="82" applyNumberFormat="1" applyFont="1" applyFill="1" applyBorder="1" applyAlignment="1" applyProtection="1">
      <alignment vertical="center"/>
    </xf>
    <xf numFmtId="0" fontId="63" fillId="2" borderId="192" xfId="82" applyFont="1" applyFill="1" applyBorder="1" applyAlignment="1" applyProtection="1">
      <alignment horizontal="left" vertical="center"/>
    </xf>
    <xf numFmtId="0" fontId="63" fillId="2" borderId="193" xfId="82" applyFont="1" applyFill="1" applyBorder="1" applyAlignment="1" applyProtection="1">
      <alignment horizontal="left" vertical="center"/>
    </xf>
    <xf numFmtId="216" fontId="63" fillId="2" borderId="194" xfId="82" applyNumberFormat="1" applyFont="1" applyFill="1" applyBorder="1" applyAlignment="1" applyProtection="1">
      <alignment vertical="center"/>
    </xf>
    <xf numFmtId="215" fontId="63" fillId="2" borderId="71" xfId="82" applyNumberFormat="1" applyFont="1" applyFill="1" applyBorder="1" applyAlignment="1" applyProtection="1">
      <alignment vertical="center"/>
    </xf>
    <xf numFmtId="216" fontId="107" fillId="2" borderId="36" xfId="82" applyNumberFormat="1" applyFont="1" applyFill="1" applyBorder="1" applyAlignment="1" applyProtection="1">
      <alignment vertical="center"/>
    </xf>
    <xf numFmtId="0" fontId="88" fillId="2" borderId="0" xfId="82" applyFont="1" applyFill="1" applyBorder="1" applyAlignment="1" applyProtection="1">
      <alignment horizontal="center" vertical="center" shrinkToFit="1"/>
    </xf>
    <xf numFmtId="0" fontId="63" fillId="2" borderId="0" xfId="82" applyFont="1" applyFill="1" applyBorder="1" applyAlignment="1" applyProtection="1">
      <alignment horizontal="right" vertical="center"/>
    </xf>
    <xf numFmtId="215" fontId="63" fillId="2" borderId="0" xfId="82" applyNumberFormat="1" applyFont="1" applyFill="1" applyBorder="1" applyAlignment="1" applyProtection="1">
      <alignment horizontal="right" vertical="center" shrinkToFit="1"/>
    </xf>
    <xf numFmtId="215" fontId="67" fillId="2" borderId="0" xfId="82" applyNumberFormat="1" applyFont="1" applyFill="1" applyBorder="1" applyAlignment="1" applyProtection="1">
      <alignment vertical="center" wrapText="1" shrinkToFit="1"/>
    </xf>
    <xf numFmtId="0" fontId="105" fillId="2" borderId="0" xfId="82" applyFont="1" applyFill="1" applyAlignment="1" applyProtection="1">
      <alignment vertical="center"/>
    </xf>
    <xf numFmtId="0" fontId="63" fillId="2" borderId="0" xfId="82" applyFont="1" applyFill="1" applyBorder="1" applyAlignment="1" applyProtection="1">
      <alignment horizontal="center" vertical="center" wrapText="1"/>
    </xf>
    <xf numFmtId="0" fontId="26" fillId="2" borderId="40" xfId="58" applyFont="1" applyFill="1" applyBorder="1" applyProtection="1">
      <alignment vertical="center"/>
    </xf>
    <xf numFmtId="215" fontId="63" fillId="2" borderId="45" xfId="82" applyNumberFormat="1" applyFont="1" applyFill="1" applyBorder="1" applyAlignment="1" applyProtection="1">
      <alignment horizontal="right" vertical="center"/>
    </xf>
    <xf numFmtId="0" fontId="26" fillId="2" borderId="57" xfId="58" applyFont="1" applyFill="1" applyBorder="1" applyProtection="1">
      <alignment vertical="center"/>
    </xf>
    <xf numFmtId="0" fontId="68" fillId="0" borderId="0" xfId="82" applyFont="1" applyBorder="1" applyAlignment="1" applyProtection="1">
      <alignment horizontal="left" vertical="center"/>
    </xf>
    <xf numFmtId="0" fontId="63" fillId="6" borderId="179" xfId="82" applyFont="1" applyFill="1" applyBorder="1" applyAlignment="1" applyProtection="1">
      <alignment horizontal="center" vertical="center"/>
    </xf>
    <xf numFmtId="215" fontId="63" fillId="6" borderId="185" xfId="82" applyNumberFormat="1" applyFont="1" applyFill="1" applyBorder="1" applyAlignment="1" applyProtection="1">
      <alignment horizontal="right" vertical="center"/>
    </xf>
    <xf numFmtId="0" fontId="63" fillId="2" borderId="6" xfId="82" applyFont="1" applyFill="1" applyBorder="1" applyAlignment="1" applyProtection="1">
      <alignment vertical="center"/>
    </xf>
    <xf numFmtId="0" fontId="63" fillId="2" borderId="24" xfId="82" applyFont="1" applyFill="1" applyBorder="1" applyAlignment="1" applyProtection="1">
      <alignment horizontal="left" vertical="center"/>
    </xf>
    <xf numFmtId="0" fontId="63" fillId="2" borderId="192" xfId="82" applyFont="1" applyFill="1" applyBorder="1" applyAlignment="1" applyProtection="1">
      <alignment vertical="center"/>
    </xf>
    <xf numFmtId="0" fontId="63" fillId="2" borderId="193" xfId="82" applyFont="1" applyFill="1" applyBorder="1" applyAlignment="1" applyProtection="1">
      <alignment vertical="center"/>
    </xf>
    <xf numFmtId="0" fontId="63" fillId="2" borderId="198" xfId="82" applyFont="1" applyFill="1" applyBorder="1" applyAlignment="1" applyProtection="1">
      <alignment vertical="center"/>
    </xf>
    <xf numFmtId="215" fontId="63" fillId="2" borderId="194" xfId="82" applyNumberFormat="1" applyFont="1" applyFill="1" applyBorder="1" applyAlignment="1" applyProtection="1">
      <alignment horizontal="right" vertical="center"/>
    </xf>
    <xf numFmtId="215" fontId="63" fillId="2" borderId="145" xfId="82" applyNumberFormat="1" applyFont="1" applyFill="1" applyBorder="1" applyAlignment="1" applyProtection="1">
      <alignment vertical="center"/>
    </xf>
    <xf numFmtId="0" fontId="26" fillId="0" borderId="26" xfId="0" applyFont="1" applyBorder="1" applyAlignment="1" applyProtection="1">
      <alignment horizontal="center" vertical="center" shrinkToFit="1"/>
    </xf>
    <xf numFmtId="0" fontId="26" fillId="0" borderId="9" xfId="0" applyFont="1" applyBorder="1" applyAlignment="1" applyProtection="1">
      <alignment horizontal="center" vertical="center" shrinkToFit="1"/>
    </xf>
    <xf numFmtId="0" fontId="63" fillId="2" borderId="195" xfId="82" applyFont="1" applyFill="1" applyBorder="1" applyAlignment="1" applyProtection="1">
      <alignment vertical="center"/>
    </xf>
    <xf numFmtId="215" fontId="63" fillId="2" borderId="184" xfId="82" applyNumberFormat="1" applyFont="1" applyFill="1" applyBorder="1" applyAlignment="1" applyProtection="1">
      <alignment horizontal="right" vertical="center"/>
    </xf>
    <xf numFmtId="219" fontId="110" fillId="2" borderId="144" xfId="82" applyNumberFormat="1" applyFont="1" applyFill="1" applyBorder="1" applyAlignment="1" applyProtection="1">
      <alignment vertical="center"/>
    </xf>
    <xf numFmtId="216" fontId="106" fillId="2" borderId="184" xfId="82" applyNumberFormat="1" applyFont="1" applyFill="1" applyBorder="1" applyAlignment="1" applyProtection="1">
      <alignment vertical="center"/>
    </xf>
    <xf numFmtId="0" fontId="88" fillId="2" borderId="1" xfId="82" applyFont="1" applyFill="1" applyBorder="1" applyAlignment="1" applyProtection="1">
      <alignment horizontal="left" vertical="center"/>
    </xf>
    <xf numFmtId="215" fontId="88" fillId="2" borderId="36" xfId="82" applyNumberFormat="1" applyFont="1" applyFill="1" applyBorder="1" applyAlignment="1" applyProtection="1">
      <alignment horizontal="left" vertical="center"/>
    </xf>
    <xf numFmtId="0" fontId="107" fillId="2" borderId="0" xfId="82" applyFont="1" applyFill="1" applyBorder="1" applyAlignment="1" applyProtection="1">
      <alignment horizontal="left" vertical="center"/>
    </xf>
    <xf numFmtId="218" fontId="110" fillId="2" borderId="0" xfId="82" applyNumberFormat="1" applyFont="1" applyFill="1" applyBorder="1" applyAlignment="1" applyProtection="1">
      <alignment vertical="center"/>
    </xf>
    <xf numFmtId="215" fontId="111" fillId="2" borderId="0" xfId="82" applyNumberFormat="1" applyFont="1" applyFill="1" applyBorder="1" applyAlignment="1" applyProtection="1">
      <alignment vertical="center"/>
    </xf>
    <xf numFmtId="0" fontId="46" fillId="0" borderId="0" xfId="58" applyFont="1" applyProtection="1">
      <alignment vertical="center"/>
    </xf>
    <xf numFmtId="0" fontId="5" fillId="0" borderId="26" xfId="58" applyBorder="1" applyProtection="1">
      <alignment vertical="center"/>
    </xf>
    <xf numFmtId="0" fontId="63" fillId="6" borderId="161" xfId="82" applyFont="1" applyFill="1" applyBorder="1" applyAlignment="1" applyProtection="1">
      <alignment horizontal="center" vertical="center"/>
    </xf>
    <xf numFmtId="0" fontId="63" fillId="6" borderId="49" xfId="82" applyFont="1" applyFill="1" applyBorder="1" applyAlignment="1" applyProtection="1">
      <alignment horizontal="center" vertical="center"/>
    </xf>
    <xf numFmtId="0" fontId="5" fillId="2" borderId="0" xfId="86" applyFill="1" applyBorder="1" applyAlignment="1" applyProtection="1">
      <alignment horizontal="right" vertical="center"/>
    </xf>
    <xf numFmtId="0" fontId="21" fillId="2" borderId="0" xfId="58" applyFont="1" applyFill="1" applyBorder="1" applyAlignment="1" applyProtection="1">
      <alignment horizontal="left" vertical="center"/>
    </xf>
    <xf numFmtId="0" fontId="86" fillId="2" borderId="0" xfId="58" applyFont="1" applyFill="1" applyBorder="1" applyAlignment="1" applyProtection="1">
      <alignment horizontal="left" vertical="center"/>
    </xf>
    <xf numFmtId="0" fontId="63" fillId="2" borderId="0" xfId="82" applyFont="1" applyFill="1" applyBorder="1" applyAlignment="1" applyProtection="1">
      <alignment vertical="center"/>
    </xf>
    <xf numFmtId="0" fontId="32" fillId="0" borderId="25" xfId="0" applyFont="1" applyFill="1" applyBorder="1" applyAlignment="1" applyProtection="1">
      <alignment horizontal="center" vertical="center" shrinkToFit="1"/>
    </xf>
    <xf numFmtId="0" fontId="32" fillId="4" borderId="126" xfId="0" applyFont="1" applyFill="1" applyBorder="1" applyAlignment="1" applyProtection="1">
      <alignment horizontal="center" vertical="center" shrinkToFit="1"/>
      <protection locked="0"/>
    </xf>
    <xf numFmtId="0" fontId="32" fillId="5" borderId="26" xfId="0" applyFont="1" applyFill="1" applyBorder="1" applyAlignment="1" applyProtection="1">
      <alignment horizontal="center" vertical="center" shrinkToFit="1"/>
      <protection locked="0"/>
    </xf>
    <xf numFmtId="0" fontId="32" fillId="2" borderId="51" xfId="0" applyFont="1" applyFill="1" applyBorder="1" applyAlignment="1" applyProtection="1">
      <alignment horizontal="center" vertical="center" shrinkToFit="1"/>
    </xf>
    <xf numFmtId="0" fontId="36" fillId="2" borderId="51" xfId="0" applyFont="1" applyFill="1" applyBorder="1" applyAlignment="1" applyProtection="1">
      <alignment horizontal="center" vertical="center" shrinkToFit="1"/>
    </xf>
    <xf numFmtId="0" fontId="32" fillId="2" borderId="0" xfId="0" applyFont="1" applyFill="1" applyAlignment="1" applyProtection="1">
      <alignment vertical="center" shrinkToFit="1"/>
    </xf>
    <xf numFmtId="0" fontId="32" fillId="0" borderId="0" xfId="0" applyFont="1" applyAlignment="1" applyProtection="1">
      <alignment vertical="center" shrinkToFit="1"/>
    </xf>
    <xf numFmtId="203" fontId="32" fillId="0" borderId="26" xfId="0" applyNumberFormat="1" applyFont="1" applyBorder="1" applyAlignment="1" applyProtection="1">
      <alignment vertical="center" shrinkToFit="1"/>
    </xf>
    <xf numFmtId="0" fontId="32" fillId="0" borderId="6" xfId="0" applyFont="1" applyBorder="1" applyAlignment="1" applyProtection="1">
      <alignment vertical="center" shrinkToFit="1"/>
    </xf>
    <xf numFmtId="0" fontId="32" fillId="0" borderId="24" xfId="0" applyFont="1" applyBorder="1" applyAlignment="1" applyProtection="1">
      <alignment vertical="center" shrinkToFit="1"/>
    </xf>
    <xf numFmtId="0" fontId="32" fillId="0" borderId="26" xfId="0" applyFont="1" applyBorder="1" applyAlignment="1" applyProtection="1">
      <alignment vertical="center" shrinkToFit="1"/>
    </xf>
    <xf numFmtId="0" fontId="0" fillId="0" borderId="26" xfId="0" applyBorder="1" applyAlignment="1" applyProtection="1">
      <alignment vertical="center"/>
    </xf>
    <xf numFmtId="193" fontId="34" fillId="2" borderId="45" xfId="0" applyNumberFormat="1" applyFont="1" applyFill="1" applyBorder="1" applyAlignment="1" applyProtection="1">
      <alignment horizontal="center" vertical="center" wrapText="1" shrinkToFit="1"/>
    </xf>
    <xf numFmtId="0" fontId="32" fillId="2" borderId="25" xfId="0" applyFont="1" applyFill="1" applyBorder="1" applyAlignment="1" applyProtection="1">
      <alignment horizontal="center" vertical="center" wrapText="1" shrinkToFit="1"/>
    </xf>
    <xf numFmtId="0" fontId="32" fillId="2" borderId="147" xfId="0" applyFont="1" applyFill="1" applyBorder="1" applyAlignment="1" applyProtection="1">
      <alignment horizontal="center" vertical="center" wrapText="1" shrinkToFit="1"/>
    </xf>
    <xf numFmtId="0" fontId="32" fillId="2" borderId="121" xfId="0" applyFont="1" applyFill="1" applyBorder="1" applyAlignment="1" applyProtection="1">
      <alignment horizontal="center" vertical="center" wrapText="1" shrinkToFit="1"/>
    </xf>
    <xf numFmtId="0" fontId="5" fillId="2" borderId="0" xfId="86" applyFill="1" applyProtection="1"/>
    <xf numFmtId="0" fontId="118" fillId="0" borderId="0" xfId="87" applyFont="1" applyAlignment="1" applyProtection="1">
      <alignment horizontal="center" vertical="center"/>
    </xf>
    <xf numFmtId="0" fontId="5" fillId="0" borderId="0" xfId="86" applyProtection="1"/>
    <xf numFmtId="38" fontId="5" fillId="2" borderId="0" xfId="86" applyNumberFormat="1" applyFill="1" applyAlignment="1" applyProtection="1">
      <alignment horizontal="right"/>
    </xf>
    <xf numFmtId="0" fontId="94" fillId="2" borderId="0" xfId="86" applyFont="1" applyFill="1" applyProtection="1"/>
    <xf numFmtId="14" fontId="5" fillId="2" borderId="0" xfId="86" applyNumberFormat="1" applyFill="1" applyAlignment="1" applyProtection="1">
      <alignment horizontal="right"/>
    </xf>
    <xf numFmtId="223" fontId="5" fillId="2" borderId="0" xfId="86" applyNumberFormat="1" applyFill="1" applyAlignment="1" applyProtection="1">
      <alignment horizontal="right"/>
    </xf>
    <xf numFmtId="0" fontId="20" fillId="2" borderId="216" xfId="86" applyFont="1" applyFill="1" applyBorder="1" applyAlignment="1" applyProtection="1">
      <alignment horizontal="center" vertical="center"/>
    </xf>
    <xf numFmtId="0" fontId="20" fillId="2" borderId="217" xfId="86" applyFont="1" applyFill="1" applyBorder="1" applyAlignment="1" applyProtection="1">
      <alignment horizontal="center" vertical="center"/>
    </xf>
    <xf numFmtId="0" fontId="20" fillId="2" borderId="218" xfId="86" applyFont="1" applyFill="1" applyBorder="1" applyAlignment="1" applyProtection="1">
      <alignment horizontal="center" vertical="center" wrapText="1"/>
    </xf>
    <xf numFmtId="0" fontId="5" fillId="12" borderId="221" xfId="86" applyFill="1" applyBorder="1" applyAlignment="1" applyProtection="1">
      <alignment vertical="center"/>
    </xf>
    <xf numFmtId="0" fontId="5" fillId="2" borderId="220" xfId="86" applyFill="1" applyBorder="1" applyAlignment="1" applyProtection="1">
      <alignment horizontal="center" vertical="center"/>
    </xf>
    <xf numFmtId="0" fontId="5" fillId="2" borderId="219" xfId="86" applyFill="1" applyBorder="1" applyAlignment="1" applyProtection="1">
      <alignment horizontal="center" vertical="center"/>
    </xf>
    <xf numFmtId="0" fontId="5" fillId="2" borderId="33" xfId="86" applyFill="1" applyBorder="1" applyAlignment="1" applyProtection="1">
      <alignment vertical="center"/>
    </xf>
    <xf numFmtId="0" fontId="95" fillId="2" borderId="48" xfId="86" applyFont="1" applyFill="1" applyBorder="1" applyAlignment="1" applyProtection="1">
      <alignment vertical="center" shrinkToFit="1"/>
    </xf>
    <xf numFmtId="0" fontId="95" fillId="2" borderId="48" xfId="86" applyFont="1" applyFill="1" applyBorder="1" applyAlignment="1" applyProtection="1">
      <alignment vertical="center" wrapText="1" shrinkToFit="1"/>
    </xf>
    <xf numFmtId="0" fontId="5" fillId="2" borderId="219" xfId="86" applyFont="1" applyFill="1" applyBorder="1" applyAlignment="1" applyProtection="1">
      <alignment horizontal="center" vertical="center" wrapText="1"/>
    </xf>
    <xf numFmtId="0" fontId="5" fillId="12" borderId="75" xfId="86" applyFill="1" applyBorder="1" applyAlignment="1" applyProtection="1">
      <alignment vertical="center"/>
    </xf>
    <xf numFmtId="0" fontId="5" fillId="2" borderId="47" xfId="86" applyFill="1" applyBorder="1" applyAlignment="1" applyProtection="1">
      <alignment horizontal="center" vertical="center"/>
    </xf>
    <xf numFmtId="0" fontId="5" fillId="2" borderId="14" xfId="86" applyFill="1" applyBorder="1" applyAlignment="1" applyProtection="1">
      <alignment vertical="center"/>
    </xf>
    <xf numFmtId="0" fontId="5" fillId="2" borderId="6" xfId="86" applyFill="1" applyBorder="1" applyAlignment="1" applyProtection="1">
      <alignment vertical="center"/>
    </xf>
    <xf numFmtId="0" fontId="95" fillId="2" borderId="48" xfId="86" applyFont="1" applyFill="1" applyBorder="1" applyAlignment="1" applyProtection="1">
      <alignment vertical="center"/>
    </xf>
    <xf numFmtId="0" fontId="5" fillId="2" borderId="49" xfId="86" applyFill="1" applyBorder="1" applyAlignment="1" applyProtection="1">
      <alignment horizontal="center" vertical="center"/>
    </xf>
    <xf numFmtId="0" fontId="5" fillId="2" borderId="49" xfId="86" applyFill="1" applyBorder="1" applyAlignment="1" applyProtection="1">
      <alignment horizontal="center" vertical="center" shrinkToFit="1"/>
    </xf>
    <xf numFmtId="38" fontId="5" fillId="2" borderId="26" xfId="86" applyNumberFormat="1" applyFill="1" applyBorder="1" applyAlignment="1" applyProtection="1">
      <alignment vertical="center" wrapText="1"/>
    </xf>
    <xf numFmtId="0" fontId="5" fillId="2" borderId="26" xfId="86" applyFill="1" applyBorder="1" applyAlignment="1" applyProtection="1">
      <alignment vertical="center" wrapText="1"/>
    </xf>
    <xf numFmtId="0" fontId="95" fillId="2" borderId="50" xfId="86" applyFont="1" applyFill="1" applyBorder="1" applyAlignment="1" applyProtection="1">
      <alignment vertical="center"/>
    </xf>
    <xf numFmtId="0" fontId="5" fillId="2" borderId="49" xfId="86" applyFill="1" applyBorder="1" applyAlignment="1" applyProtection="1">
      <alignment horizontal="center" vertical="center" wrapText="1"/>
    </xf>
    <xf numFmtId="0" fontId="95" fillId="2" borderId="26" xfId="86" applyFont="1" applyFill="1" applyBorder="1" applyAlignment="1" applyProtection="1">
      <alignment vertical="center"/>
    </xf>
    <xf numFmtId="0" fontId="5" fillId="2" borderId="120" xfId="86" applyFill="1" applyBorder="1" applyAlignment="1" applyProtection="1">
      <alignment horizontal="center" vertical="center"/>
    </xf>
    <xf numFmtId="0" fontId="5" fillId="2" borderId="6" xfId="86" applyFill="1" applyBorder="1" applyAlignment="1" applyProtection="1">
      <alignment vertical="center" wrapText="1"/>
    </xf>
    <xf numFmtId="0" fontId="95" fillId="2" borderId="6" xfId="86" applyFont="1" applyFill="1" applyBorder="1" applyAlignment="1" applyProtection="1">
      <alignment vertical="center"/>
    </xf>
    <xf numFmtId="0" fontId="5" fillId="2" borderId="139" xfId="86" applyFill="1" applyBorder="1" applyAlignment="1" applyProtection="1">
      <alignment horizontal="center" vertical="center"/>
    </xf>
    <xf numFmtId="0" fontId="5" fillId="2" borderId="140" xfId="86" applyFill="1" applyBorder="1" applyAlignment="1" applyProtection="1">
      <alignment horizontal="center" vertical="center"/>
    </xf>
    <xf numFmtId="0" fontId="5" fillId="2" borderId="188" xfId="86" applyFill="1" applyBorder="1" applyAlignment="1" applyProtection="1">
      <alignment vertical="center" wrapText="1"/>
    </xf>
    <xf numFmtId="0" fontId="95" fillId="2" borderId="210" xfId="86" applyFont="1" applyFill="1" applyBorder="1" applyAlignment="1" applyProtection="1">
      <alignment vertical="center"/>
    </xf>
    <xf numFmtId="0" fontId="5" fillId="2" borderId="91" xfId="86" applyFont="1" applyFill="1" applyBorder="1" applyAlignment="1" applyProtection="1">
      <alignment vertical="center"/>
    </xf>
    <xf numFmtId="0" fontId="5" fillId="2" borderId="91" xfId="86" applyFont="1" applyFill="1" applyBorder="1" applyAlignment="1" applyProtection="1">
      <alignment vertical="center" wrapText="1"/>
    </xf>
    <xf numFmtId="0" fontId="96" fillId="2" borderId="0" xfId="86" applyFont="1" applyFill="1" applyBorder="1" applyAlignment="1" applyProtection="1">
      <alignment horizontal="left" vertical="center"/>
    </xf>
    <xf numFmtId="0" fontId="5" fillId="2" borderId="0" xfId="86" applyFont="1" applyFill="1" applyBorder="1" applyAlignment="1" applyProtection="1">
      <alignment vertical="center" wrapText="1"/>
    </xf>
    <xf numFmtId="0" fontId="5" fillId="2" borderId="0" xfId="86" applyFill="1" applyBorder="1" applyAlignment="1" applyProtection="1">
      <alignment horizontal="right" vertical="center" wrapText="1"/>
    </xf>
    <xf numFmtId="0" fontId="97" fillId="2" borderId="0" xfId="86" applyFont="1" applyFill="1" applyBorder="1" applyAlignment="1" applyProtection="1">
      <alignment horizontal="left"/>
    </xf>
    <xf numFmtId="0" fontId="5" fillId="5" borderId="26" xfId="86" applyFill="1" applyBorder="1" applyAlignment="1" applyProtection="1">
      <alignment horizontal="left" vertical="center" indent="2"/>
      <protection locked="0"/>
    </xf>
    <xf numFmtId="0" fontId="5" fillId="5" borderId="26" xfId="86" applyFont="1" applyFill="1" applyBorder="1" applyAlignment="1" applyProtection="1">
      <alignment horizontal="left" vertical="center" wrapText="1" indent="2"/>
      <protection locked="0"/>
    </xf>
    <xf numFmtId="0" fontId="73" fillId="0" borderId="26" xfId="82" applyFont="1" applyBorder="1" applyAlignment="1" applyProtection="1">
      <alignment vertical="center"/>
    </xf>
    <xf numFmtId="0" fontId="73" fillId="2" borderId="2" xfId="82" applyFont="1" applyFill="1" applyBorder="1" applyAlignment="1" applyProtection="1">
      <alignment horizontal="left" vertical="center"/>
    </xf>
    <xf numFmtId="0" fontId="32" fillId="2" borderId="26" xfId="0" applyFont="1" applyFill="1" applyBorder="1" applyAlignment="1" applyProtection="1">
      <alignment horizontal="center" vertical="center" shrinkToFit="1"/>
    </xf>
    <xf numFmtId="0" fontId="32" fillId="2" borderId="74" xfId="0" applyFont="1" applyFill="1" applyBorder="1" applyAlignment="1" applyProtection="1">
      <alignment horizontal="center" vertical="center" shrinkToFit="1"/>
    </xf>
    <xf numFmtId="0" fontId="36" fillId="2" borderId="0" xfId="0" applyFont="1" applyFill="1" applyBorder="1" applyAlignment="1" applyProtection="1">
      <alignment horizontal="center" vertical="center" shrinkToFit="1"/>
    </xf>
    <xf numFmtId="0" fontId="36" fillId="2" borderId="26" xfId="0" applyFont="1" applyFill="1" applyBorder="1" applyAlignment="1" applyProtection="1">
      <alignment horizontal="center" vertical="center" shrinkToFit="1"/>
    </xf>
    <xf numFmtId="0" fontId="32" fillId="7" borderId="26" xfId="0" applyFont="1" applyFill="1" applyBorder="1" applyAlignment="1" applyProtection="1">
      <alignment horizontal="center" vertical="center" shrinkToFit="1"/>
    </xf>
    <xf numFmtId="0" fontId="43" fillId="2" borderId="13" xfId="0" applyFont="1" applyFill="1" applyBorder="1" applyAlignment="1" applyProtection="1">
      <alignment horizontal="center" vertical="center" wrapText="1" shrinkToFit="1"/>
    </xf>
    <xf numFmtId="0" fontId="43" fillId="2" borderId="6" xfId="0" applyFont="1" applyFill="1" applyBorder="1" applyAlignment="1" applyProtection="1">
      <alignment horizontal="center" vertical="center" wrapText="1" shrinkToFit="1"/>
    </xf>
    <xf numFmtId="0" fontId="32" fillId="2" borderId="47" xfId="0" applyFont="1" applyFill="1" applyBorder="1" applyAlignment="1" applyProtection="1">
      <alignment horizontal="center" vertical="center" wrapText="1"/>
    </xf>
    <xf numFmtId="0" fontId="32" fillId="2" borderId="6"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7" borderId="25" xfId="0" applyFont="1" applyFill="1" applyBorder="1" applyAlignment="1" applyProtection="1">
      <alignment horizontal="center" vertical="center" shrinkToFit="1"/>
    </xf>
    <xf numFmtId="0" fontId="32" fillId="7" borderId="24" xfId="0" applyFont="1" applyFill="1" applyBorder="1" applyAlignment="1" applyProtection="1">
      <alignment horizontal="center" vertical="center" shrinkToFit="1"/>
    </xf>
    <xf numFmtId="0" fontId="32" fillId="4" borderId="25" xfId="0" applyFont="1" applyFill="1" applyBorder="1" applyAlignment="1" applyProtection="1">
      <alignment horizontal="center" vertical="center" shrinkToFit="1"/>
      <protection locked="0"/>
    </xf>
    <xf numFmtId="0" fontId="32" fillId="4" borderId="24" xfId="0" applyFont="1" applyFill="1" applyBorder="1" applyAlignment="1" applyProtection="1">
      <alignment horizontal="center" vertical="center" shrinkToFit="1"/>
      <protection locked="0"/>
    </xf>
    <xf numFmtId="0" fontId="122" fillId="0" borderId="26" xfId="84" applyFont="1" applyBorder="1" applyAlignment="1" applyProtection="1">
      <alignment vertical="center" shrinkToFit="1"/>
    </xf>
    <xf numFmtId="0" fontId="41" fillId="2" borderId="0" xfId="0" applyFont="1" applyFill="1" applyAlignment="1" applyProtection="1">
      <alignment vertical="center"/>
    </xf>
    <xf numFmtId="0" fontId="36" fillId="2" borderId="0" xfId="0" applyFont="1" applyFill="1" applyAlignment="1" applyProtection="1">
      <alignment vertical="center" shrinkToFit="1"/>
    </xf>
    <xf numFmtId="0" fontId="39" fillId="0" borderId="0" xfId="0" applyFont="1" applyAlignment="1" applyProtection="1">
      <alignment vertical="center"/>
    </xf>
    <xf numFmtId="0" fontId="36" fillId="0" borderId="26" xfId="0" applyFont="1" applyBorder="1" applyAlignment="1" applyProtection="1">
      <alignment vertical="center" shrinkToFit="1"/>
    </xf>
    <xf numFmtId="0" fontId="36" fillId="0" borderId="9" xfId="0" applyFont="1" applyBorder="1" applyAlignment="1" applyProtection="1">
      <alignment vertical="center" shrinkToFit="1"/>
    </xf>
    <xf numFmtId="0" fontId="36" fillId="0" borderId="24" xfId="0" applyFont="1" applyBorder="1" applyAlignment="1" applyProtection="1">
      <alignment vertical="center" shrinkToFit="1"/>
    </xf>
    <xf numFmtId="0" fontId="36" fillId="0" borderId="0" xfId="0" applyFont="1" applyAlignment="1" applyProtection="1">
      <alignment vertical="center" shrinkToFit="1"/>
    </xf>
    <xf numFmtId="0" fontId="36" fillId="0" borderId="25" xfId="0" applyFont="1" applyBorder="1" applyAlignment="1" applyProtection="1">
      <alignment vertical="center" shrinkToFit="1"/>
    </xf>
    <xf numFmtId="200" fontId="36" fillId="0" borderId="45" xfId="0" applyNumberFormat="1" applyFont="1" applyBorder="1" applyAlignment="1" applyProtection="1">
      <alignment vertical="center" shrinkToFit="1"/>
    </xf>
    <xf numFmtId="208" fontId="99" fillId="2" borderId="26" xfId="0" applyNumberFormat="1" applyFont="1" applyFill="1" applyBorder="1" applyAlignment="1" applyProtection="1">
      <alignment horizontal="center" vertical="center" shrinkToFit="1"/>
    </xf>
    <xf numFmtId="203" fontId="36" fillId="0" borderId="26" xfId="0" applyNumberFormat="1" applyFont="1" applyBorder="1" applyAlignment="1" applyProtection="1">
      <alignment vertical="center" shrinkToFit="1"/>
    </xf>
    <xf numFmtId="0" fontId="36" fillId="0" borderId="6" xfId="0" applyFont="1" applyBorder="1" applyAlignment="1" applyProtection="1">
      <alignment vertical="center" shrinkToFit="1"/>
    </xf>
    <xf numFmtId="0" fontId="39" fillId="0" borderId="26" xfId="0" applyFont="1" applyBorder="1" applyAlignment="1" applyProtection="1">
      <alignment vertical="center"/>
    </xf>
    <xf numFmtId="0" fontId="101" fillId="2" borderId="0" xfId="0" applyFont="1" applyFill="1" applyBorder="1" applyAlignment="1" applyProtection="1">
      <alignment vertical="center" shrinkToFit="1"/>
    </xf>
    <xf numFmtId="0" fontId="102" fillId="2" borderId="0" xfId="0" applyFont="1" applyFill="1" applyAlignment="1" applyProtection="1">
      <alignment vertical="center" shrinkToFit="1"/>
    </xf>
    <xf numFmtId="0" fontId="36" fillId="0" borderId="26" xfId="0" applyFont="1" applyFill="1" applyBorder="1" applyAlignment="1" applyProtection="1">
      <alignment vertical="center" shrinkToFit="1"/>
    </xf>
    <xf numFmtId="0" fontId="36" fillId="5" borderId="26" xfId="0" applyFont="1" applyFill="1" applyBorder="1" applyAlignment="1" applyProtection="1">
      <alignment vertical="center" shrinkToFit="1"/>
    </xf>
    <xf numFmtId="0" fontId="36" fillId="4" borderId="26" xfId="0" applyFont="1" applyFill="1" applyBorder="1" applyAlignment="1" applyProtection="1">
      <alignment vertical="center" shrinkToFit="1"/>
    </xf>
    <xf numFmtId="0" fontId="36" fillId="2" borderId="0" xfId="0" applyFont="1" applyFill="1" applyAlignment="1" applyProtection="1">
      <alignment vertical="center"/>
    </xf>
    <xf numFmtId="0" fontId="36" fillId="2" borderId="0" xfId="0" applyFont="1" applyFill="1" applyBorder="1" applyAlignment="1" applyProtection="1">
      <alignment vertical="center" shrinkToFit="1"/>
    </xf>
    <xf numFmtId="0" fontId="39" fillId="0" borderId="0" xfId="0" applyFont="1" applyBorder="1" applyAlignment="1" applyProtection="1">
      <alignment vertical="center"/>
    </xf>
    <xf numFmtId="0" fontId="87" fillId="2" borderId="0" xfId="0" applyFont="1" applyFill="1" applyAlignment="1" applyProtection="1">
      <alignment vertical="center" shrinkToFit="1"/>
    </xf>
    <xf numFmtId="0" fontId="36" fillId="0" borderId="0" xfId="0" applyFont="1" applyBorder="1" applyAlignment="1" applyProtection="1">
      <alignment vertical="center" shrinkToFit="1"/>
    </xf>
    <xf numFmtId="38" fontId="36" fillId="2" borderId="26" xfId="9" applyFont="1" applyFill="1" applyBorder="1" applyAlignment="1" applyProtection="1">
      <alignment vertical="center" shrinkToFit="1"/>
    </xf>
    <xf numFmtId="38" fontId="36" fillId="2" borderId="51" xfId="9" applyFont="1" applyFill="1" applyBorder="1" applyAlignment="1" applyProtection="1">
      <alignment vertical="center" shrinkToFit="1"/>
    </xf>
    <xf numFmtId="38" fontId="36" fillId="2" borderId="25" xfId="9" applyFont="1" applyFill="1" applyBorder="1" applyAlignment="1" applyProtection="1">
      <alignment vertical="center" shrinkToFit="1"/>
    </xf>
    <xf numFmtId="38" fontId="36" fillId="2" borderId="115" xfId="9" applyFont="1" applyFill="1" applyBorder="1" applyAlignment="1" applyProtection="1">
      <alignment vertical="center" shrinkToFit="1"/>
    </xf>
    <xf numFmtId="38" fontId="36" fillId="2" borderId="24" xfId="9" applyFont="1" applyFill="1" applyBorder="1" applyAlignment="1" applyProtection="1">
      <alignment vertical="center" shrinkToFit="1"/>
    </xf>
    <xf numFmtId="38" fontId="36" fillId="2" borderId="121" xfId="9" applyFont="1" applyFill="1" applyBorder="1" applyAlignment="1" applyProtection="1">
      <alignment vertical="center" shrinkToFit="1"/>
    </xf>
    <xf numFmtId="193" fontId="36" fillId="2" borderId="0" xfId="0" applyNumberFormat="1" applyFont="1" applyFill="1" applyBorder="1" applyAlignment="1" applyProtection="1">
      <alignment vertical="center" shrinkToFit="1"/>
    </xf>
    <xf numFmtId="38" fontId="36" fillId="2" borderId="9" xfId="9" applyFont="1" applyFill="1" applyBorder="1" applyAlignment="1" applyProtection="1">
      <alignment vertical="center" shrinkToFit="1"/>
    </xf>
    <xf numFmtId="38" fontId="36" fillId="2" borderId="131" xfId="9" applyFont="1" applyFill="1" applyBorder="1" applyAlignment="1" applyProtection="1">
      <alignment vertical="center" shrinkToFit="1"/>
    </xf>
    <xf numFmtId="38" fontId="36" fillId="2" borderId="21" xfId="9" applyFont="1" applyFill="1" applyBorder="1" applyAlignment="1" applyProtection="1">
      <alignment vertical="center" shrinkToFit="1"/>
    </xf>
    <xf numFmtId="0" fontId="36" fillId="2" borderId="8" xfId="0" applyFont="1" applyFill="1" applyBorder="1" applyAlignment="1" applyProtection="1">
      <alignment horizontal="center" vertical="center" shrinkToFit="1"/>
    </xf>
    <xf numFmtId="193" fontId="36" fillId="2" borderId="21" xfId="0" applyNumberFormat="1" applyFont="1" applyFill="1" applyBorder="1" applyAlignment="1" applyProtection="1">
      <alignment vertical="center" shrinkToFit="1"/>
    </xf>
    <xf numFmtId="193" fontId="36" fillId="2" borderId="8" xfId="0" applyNumberFormat="1" applyFont="1" applyFill="1" applyBorder="1" applyAlignment="1" applyProtection="1">
      <alignment vertical="center" shrinkToFit="1"/>
    </xf>
    <xf numFmtId="193" fontId="36" fillId="2" borderId="2" xfId="0" applyNumberFormat="1" applyFont="1" applyFill="1" applyBorder="1" applyAlignment="1" applyProtection="1">
      <alignment vertical="center" shrinkToFit="1"/>
    </xf>
    <xf numFmtId="0" fontId="36" fillId="2" borderId="121" xfId="0" applyFont="1" applyFill="1" applyBorder="1" applyAlignment="1" applyProtection="1">
      <alignment vertical="center" shrinkToFit="1"/>
    </xf>
    <xf numFmtId="38" fontId="36" fillId="2" borderId="123" xfId="9" applyFont="1" applyFill="1" applyBorder="1" applyAlignment="1" applyProtection="1">
      <alignment vertical="center" shrinkToFit="1"/>
    </xf>
    <xf numFmtId="38" fontId="36" fillId="2" borderId="26" xfId="9" applyFont="1" applyFill="1" applyBorder="1" applyAlignment="1" applyProtection="1">
      <alignment horizontal="right" vertical="center" shrinkToFit="1"/>
    </xf>
    <xf numFmtId="38" fontId="36" fillId="2" borderId="122" xfId="9" applyFont="1" applyFill="1" applyBorder="1" applyAlignment="1" applyProtection="1">
      <alignment vertical="center" shrinkToFit="1"/>
    </xf>
    <xf numFmtId="0" fontId="102" fillId="2" borderId="0" xfId="0" applyFont="1" applyFill="1" applyBorder="1" applyAlignment="1" applyProtection="1">
      <alignment vertical="center" shrinkToFit="1"/>
    </xf>
    <xf numFmtId="0" fontId="36" fillId="2" borderId="0" xfId="0" applyFont="1" applyFill="1" applyBorder="1" applyAlignment="1" applyProtection="1">
      <alignment horizontal="right" vertical="center" shrinkToFit="1"/>
    </xf>
    <xf numFmtId="0" fontId="100" fillId="2" borderId="0" xfId="0" applyFont="1" applyFill="1" applyAlignment="1" applyProtection="1">
      <alignment horizontal="left" vertical="center"/>
    </xf>
    <xf numFmtId="38" fontId="36" fillId="2" borderId="49" xfId="9" applyFont="1" applyFill="1" applyBorder="1" applyAlignment="1" applyProtection="1">
      <alignment vertical="center" shrinkToFit="1"/>
    </xf>
    <xf numFmtId="38" fontId="36" fillId="2" borderId="50" xfId="9" applyFont="1" applyFill="1" applyBorder="1" applyAlignment="1" applyProtection="1">
      <alignment horizontal="right" vertical="center" shrinkToFit="1"/>
    </xf>
    <xf numFmtId="0" fontId="54" fillId="2" borderId="0" xfId="0" applyFont="1" applyFill="1" applyBorder="1" applyAlignment="1" applyProtection="1">
      <alignment vertical="center" wrapText="1" shrinkToFit="1"/>
    </xf>
    <xf numFmtId="0" fontId="54" fillId="2" borderId="0" xfId="0" applyFont="1" applyFill="1" applyBorder="1" applyAlignment="1" applyProtection="1">
      <alignment horizontal="right" vertical="center" wrapText="1" shrinkToFit="1"/>
    </xf>
    <xf numFmtId="0" fontId="36" fillId="2" borderId="64" xfId="0" applyFont="1" applyFill="1" applyBorder="1" applyAlignment="1" applyProtection="1">
      <alignment vertical="center" shrinkToFit="1"/>
    </xf>
    <xf numFmtId="0" fontId="36" fillId="2" borderId="2" xfId="0" applyFont="1" applyFill="1" applyBorder="1" applyAlignment="1" applyProtection="1">
      <alignment vertical="center" shrinkToFit="1"/>
    </xf>
    <xf numFmtId="0" fontId="36" fillId="2" borderId="65" xfId="0" applyFont="1" applyFill="1" applyBorder="1" applyAlignment="1" applyProtection="1">
      <alignment vertical="center" shrinkToFit="1"/>
    </xf>
    <xf numFmtId="38" fontId="36" fillId="2" borderId="50" xfId="9" applyFont="1" applyFill="1" applyBorder="1" applyAlignment="1" applyProtection="1">
      <alignment vertical="center" shrinkToFit="1"/>
    </xf>
    <xf numFmtId="38" fontId="36" fillId="2" borderId="66" xfId="9" applyFont="1" applyFill="1" applyBorder="1" applyAlignment="1" applyProtection="1">
      <alignment vertical="center" shrinkToFit="1"/>
    </xf>
    <xf numFmtId="38" fontId="36" fillId="2" borderId="66" xfId="9" applyFont="1" applyFill="1" applyBorder="1" applyAlignment="1" applyProtection="1">
      <alignment horizontal="right" vertical="center" shrinkToFit="1"/>
    </xf>
    <xf numFmtId="0" fontId="36" fillId="2" borderId="55" xfId="0" applyFont="1" applyFill="1" applyBorder="1" applyAlignment="1" applyProtection="1">
      <alignment horizontal="center" vertical="center" shrinkToFit="1"/>
    </xf>
    <xf numFmtId="38" fontId="36" fillId="2" borderId="56" xfId="9" applyFont="1" applyFill="1" applyBorder="1" applyAlignment="1" applyProtection="1">
      <alignment vertical="center" shrinkToFit="1"/>
    </xf>
    <xf numFmtId="0" fontId="36" fillId="2" borderId="39" xfId="0" applyFont="1" applyFill="1" applyBorder="1" applyAlignment="1" applyProtection="1">
      <alignment horizontal="center" vertical="center" shrinkToFit="1"/>
    </xf>
    <xf numFmtId="38" fontId="36" fillId="2" borderId="0" xfId="0" applyNumberFormat="1" applyFont="1" applyFill="1" applyBorder="1" applyAlignment="1" applyProtection="1">
      <alignment vertical="center" shrinkToFit="1"/>
    </xf>
    <xf numFmtId="196" fontId="36" fillId="2" borderId="0" xfId="0" applyNumberFormat="1" applyFont="1" applyFill="1" applyAlignment="1" applyProtection="1">
      <alignment vertical="center" shrinkToFit="1"/>
    </xf>
    <xf numFmtId="0" fontId="36" fillId="0" borderId="0" xfId="0" applyFont="1" applyBorder="1" applyAlignment="1" applyProtection="1">
      <alignment horizontal="center" vertical="center" shrinkToFit="1"/>
    </xf>
    <xf numFmtId="38" fontId="36" fillId="0" borderId="0" xfId="0" applyNumberFormat="1" applyFont="1" applyBorder="1" applyAlignment="1" applyProtection="1">
      <alignment vertical="center" shrinkToFit="1"/>
    </xf>
    <xf numFmtId="38" fontId="36" fillId="0" borderId="0" xfId="9" applyFont="1" applyBorder="1" applyAlignment="1" applyProtection="1">
      <alignment vertical="center" shrinkToFit="1"/>
    </xf>
    <xf numFmtId="206" fontId="36" fillId="0" borderId="0" xfId="0" applyNumberFormat="1" applyFont="1" applyBorder="1" applyAlignment="1" applyProtection="1">
      <alignment vertical="center" shrinkToFit="1"/>
    </xf>
    <xf numFmtId="0" fontId="48" fillId="2" borderId="0" xfId="0" applyFont="1" applyFill="1" applyAlignment="1" applyProtection="1">
      <alignment vertical="center"/>
    </xf>
    <xf numFmtId="0" fontId="32" fillId="2" borderId="0" xfId="0" applyFont="1" applyFill="1" applyAlignment="1" applyProtection="1">
      <alignment horizontal="center" vertical="center" shrinkToFit="1"/>
    </xf>
    <xf numFmtId="0" fontId="32" fillId="0" borderId="9" xfId="0" applyFont="1" applyBorder="1" applyAlignment="1" applyProtection="1">
      <alignment vertical="center" shrinkToFit="1"/>
    </xf>
    <xf numFmtId="0" fontId="32" fillId="2" borderId="0" xfId="0" applyFont="1" applyFill="1" applyAlignment="1" applyProtection="1">
      <alignment vertical="center"/>
    </xf>
    <xf numFmtId="0" fontId="32" fillId="0" borderId="25" xfId="0" applyFont="1" applyBorder="1" applyAlignment="1" applyProtection="1">
      <alignment vertical="center" shrinkToFit="1"/>
    </xf>
    <xf numFmtId="200" fontId="32" fillId="0" borderId="45" xfId="0" applyNumberFormat="1" applyFont="1" applyBorder="1" applyAlignment="1" applyProtection="1">
      <alignment vertical="center" shrinkToFit="1"/>
    </xf>
    <xf numFmtId="0" fontId="32" fillId="0" borderId="3" xfId="0" applyFont="1" applyBorder="1" applyAlignment="1" applyProtection="1">
      <alignment vertical="center" shrinkToFit="1"/>
    </xf>
    <xf numFmtId="0" fontId="32" fillId="0" borderId="10" xfId="0" applyFont="1" applyBorder="1" applyAlignment="1" applyProtection="1">
      <alignment vertical="center" shrinkToFit="1"/>
    </xf>
    <xf numFmtId="208" fontId="49" fillId="0" borderId="24" xfId="0" applyNumberFormat="1" applyFont="1" applyBorder="1" applyAlignment="1" applyProtection="1">
      <alignment vertical="center" shrinkToFit="1"/>
    </xf>
    <xf numFmtId="0" fontId="32" fillId="0" borderId="3" xfId="0" applyFont="1" applyFill="1" applyBorder="1" applyAlignment="1" applyProtection="1">
      <alignment vertical="center" shrinkToFit="1"/>
    </xf>
    <xf numFmtId="0" fontId="0" fillId="0" borderId="10" xfId="0" applyBorder="1" applyAlignment="1" applyProtection="1">
      <alignment vertical="center"/>
    </xf>
    <xf numFmtId="0" fontId="34" fillId="2" borderId="0" xfId="0" applyFont="1" applyFill="1" applyAlignment="1" applyProtection="1">
      <alignment vertical="center" shrinkToFit="1"/>
    </xf>
    <xf numFmtId="0" fontId="32" fillId="0" borderId="10" xfId="0" applyFont="1" applyFill="1" applyBorder="1" applyAlignment="1" applyProtection="1">
      <alignment vertical="center" shrinkToFit="1"/>
    </xf>
    <xf numFmtId="0" fontId="32" fillId="5" borderId="26" xfId="0" applyFont="1" applyFill="1" applyBorder="1" applyAlignment="1" applyProtection="1">
      <alignment vertical="center" shrinkToFit="1"/>
    </xf>
    <xf numFmtId="0" fontId="32" fillId="4" borderId="26" xfId="0" applyFont="1" applyFill="1" applyBorder="1" applyAlignment="1" applyProtection="1">
      <alignment vertical="center" shrinkToFit="1"/>
    </xf>
    <xf numFmtId="0" fontId="32" fillId="0" borderId="13" xfId="0" applyFont="1" applyBorder="1" applyAlignment="1" applyProtection="1">
      <alignment vertical="center" shrinkToFit="1"/>
    </xf>
    <xf numFmtId="0" fontId="32" fillId="0" borderId="14" xfId="0" applyFont="1" applyBorder="1" applyAlignment="1" applyProtection="1">
      <alignment vertical="center" shrinkToFit="1"/>
    </xf>
    <xf numFmtId="0" fontId="42" fillId="2" borderId="0" xfId="0" applyFont="1" applyFill="1" applyBorder="1" applyAlignment="1" applyProtection="1">
      <alignment vertical="center" shrinkToFit="1"/>
    </xf>
    <xf numFmtId="0" fontId="49" fillId="2" borderId="0" xfId="0" applyFont="1" applyFill="1" applyBorder="1" applyAlignment="1" applyProtection="1">
      <alignment vertical="center" shrinkToFit="1"/>
    </xf>
    <xf numFmtId="0" fontId="42" fillId="2" borderId="0" xfId="0" applyFont="1" applyFill="1" applyAlignment="1" applyProtection="1">
      <alignment horizontal="left" vertical="center"/>
    </xf>
    <xf numFmtId="0" fontId="33" fillId="2" borderId="0" xfId="0" applyFont="1" applyFill="1" applyAlignment="1" applyProtection="1">
      <alignment vertical="center" shrinkToFit="1"/>
    </xf>
    <xf numFmtId="0" fontId="0" fillId="2" borderId="0" xfId="0" applyFill="1" applyAlignment="1" applyProtection="1">
      <alignment vertical="center"/>
    </xf>
    <xf numFmtId="0" fontId="34" fillId="2" borderId="0" xfId="0" applyFont="1" applyFill="1" applyBorder="1" applyAlignment="1" applyProtection="1">
      <alignment vertical="center" shrinkToFit="1"/>
    </xf>
    <xf numFmtId="0" fontId="34" fillId="2" borderId="0" xfId="0" applyFont="1" applyFill="1" applyBorder="1" applyAlignment="1" applyProtection="1">
      <alignment horizontal="center" vertical="center" shrinkToFit="1"/>
    </xf>
    <xf numFmtId="38" fontId="32" fillId="2" borderId="26" xfId="9" applyFont="1" applyFill="1" applyBorder="1" applyAlignment="1" applyProtection="1">
      <alignment vertical="center" shrinkToFit="1"/>
    </xf>
    <xf numFmtId="38" fontId="32" fillId="2" borderId="25" xfId="9" applyFont="1" applyFill="1" applyBorder="1" applyAlignment="1" applyProtection="1">
      <alignment vertical="center" shrinkToFit="1"/>
    </xf>
    <xf numFmtId="38" fontId="123" fillId="2" borderId="115" xfId="9" applyFont="1" applyFill="1" applyBorder="1" applyAlignment="1" applyProtection="1">
      <alignment vertical="center" shrinkToFit="1"/>
    </xf>
    <xf numFmtId="38" fontId="32" fillId="2" borderId="24" xfId="9" applyFont="1" applyFill="1" applyBorder="1" applyAlignment="1" applyProtection="1">
      <alignment vertical="center" shrinkToFit="1"/>
    </xf>
    <xf numFmtId="38" fontId="32" fillId="2" borderId="51" xfId="9" applyFont="1" applyFill="1" applyBorder="1" applyAlignment="1" applyProtection="1">
      <alignment vertical="center" shrinkToFit="1"/>
    </xf>
    <xf numFmtId="193" fontId="32" fillId="2" borderId="0" xfId="0" applyNumberFormat="1" applyFont="1" applyFill="1" applyBorder="1" applyAlignment="1" applyProtection="1">
      <alignment vertical="center" shrinkToFit="1"/>
    </xf>
    <xf numFmtId="38" fontId="32" fillId="0" borderId="0" xfId="9" applyFont="1" applyAlignment="1" applyProtection="1">
      <alignment vertical="center" shrinkToFit="1"/>
    </xf>
    <xf numFmtId="0" fontId="90" fillId="2" borderId="0" xfId="0" applyFont="1" applyFill="1" applyAlignment="1" applyProtection="1">
      <alignment horizontal="left" vertical="center"/>
    </xf>
    <xf numFmtId="38" fontId="32" fillId="0" borderId="0" xfId="0" applyNumberFormat="1" applyFont="1" applyAlignment="1" applyProtection="1">
      <alignment vertical="center" shrinkToFit="1"/>
    </xf>
    <xf numFmtId="38" fontId="32" fillId="2" borderId="121" xfId="9" applyFont="1" applyFill="1" applyBorder="1" applyAlignment="1" applyProtection="1">
      <alignment vertical="center" shrinkToFit="1"/>
    </xf>
    <xf numFmtId="38" fontId="32" fillId="2" borderId="49" xfId="9" applyFont="1" applyFill="1" applyBorder="1" applyAlignment="1" applyProtection="1">
      <alignment vertical="center" shrinkToFit="1"/>
    </xf>
    <xf numFmtId="38" fontId="32" fillId="2" borderId="50" xfId="9" applyFont="1" applyFill="1" applyBorder="1" applyAlignment="1" applyProtection="1">
      <alignment vertical="center" shrinkToFit="1"/>
    </xf>
    <xf numFmtId="0" fontId="91" fillId="2" borderId="0" xfId="0" applyFont="1" applyFill="1" applyBorder="1" applyAlignment="1" applyProtection="1">
      <alignment vertical="center" wrapText="1" shrinkToFit="1"/>
    </xf>
    <xf numFmtId="38" fontId="32" fillId="2" borderId="122" xfId="9" applyFont="1" applyFill="1" applyBorder="1" applyAlignment="1" applyProtection="1">
      <alignment vertical="center" shrinkToFit="1"/>
    </xf>
    <xf numFmtId="0" fontId="32" fillId="2" borderId="71" xfId="0" applyFont="1" applyFill="1" applyBorder="1" applyAlignment="1" applyProtection="1">
      <alignment vertical="center" shrinkToFit="1"/>
    </xf>
    <xf numFmtId="0" fontId="32" fillId="2" borderId="55" xfId="0" applyFont="1" applyFill="1" applyBorder="1" applyAlignment="1" applyProtection="1">
      <alignment horizontal="center" vertical="center" shrinkToFit="1"/>
    </xf>
    <xf numFmtId="38" fontId="32" fillId="2" borderId="56" xfId="0" applyNumberFormat="1" applyFont="1" applyFill="1" applyBorder="1" applyAlignment="1" applyProtection="1">
      <alignment vertical="center" shrinkToFit="1"/>
    </xf>
    <xf numFmtId="0" fontId="32" fillId="2" borderId="39" xfId="0" applyFont="1" applyFill="1" applyBorder="1" applyAlignment="1" applyProtection="1">
      <alignment horizontal="center" vertical="center" shrinkToFit="1"/>
    </xf>
    <xf numFmtId="0" fontId="91" fillId="2" borderId="0" xfId="0" applyFont="1" applyFill="1" applyBorder="1" applyAlignment="1" applyProtection="1">
      <alignment horizontal="right" vertical="center" wrapText="1" shrinkToFit="1"/>
    </xf>
    <xf numFmtId="38" fontId="32" fillId="2" borderId="0" xfId="9" applyFont="1" applyFill="1" applyBorder="1" applyAlignment="1" applyProtection="1">
      <alignment vertical="center" shrinkToFit="1"/>
    </xf>
    <xf numFmtId="38" fontId="32" fillId="2" borderId="0" xfId="9" applyFont="1" applyFill="1" applyAlignment="1" applyProtection="1">
      <alignment vertical="center" shrinkToFit="1"/>
    </xf>
    <xf numFmtId="38" fontId="44" fillId="2" borderId="0" xfId="0" applyNumberFormat="1" applyFont="1" applyFill="1" applyBorder="1" applyAlignment="1" applyProtection="1">
      <alignment vertical="center" shrinkToFit="1"/>
    </xf>
    <xf numFmtId="38" fontId="32" fillId="2" borderId="0" xfId="0" applyNumberFormat="1" applyFont="1" applyFill="1" applyBorder="1" applyAlignment="1" applyProtection="1">
      <alignment vertical="center" shrinkToFit="1"/>
    </xf>
    <xf numFmtId="206" fontId="32" fillId="0" borderId="0" xfId="0" applyNumberFormat="1" applyFont="1" applyAlignment="1" applyProtection="1">
      <alignment vertical="center" shrinkToFit="1"/>
    </xf>
    <xf numFmtId="194" fontId="32" fillId="2" borderId="0" xfId="0" applyNumberFormat="1" applyFont="1" applyFill="1" applyAlignment="1" applyProtection="1">
      <alignment vertical="center" shrinkToFit="1"/>
    </xf>
    <xf numFmtId="195" fontId="32" fillId="2" borderId="0" xfId="0" applyNumberFormat="1" applyFont="1" applyFill="1" applyAlignment="1" applyProtection="1">
      <alignment vertical="center" shrinkToFit="1"/>
    </xf>
    <xf numFmtId="0" fontId="32" fillId="0" borderId="0" xfId="0" applyFont="1" applyBorder="1" applyAlignment="1" applyProtection="1">
      <alignment vertical="center" shrinkToFit="1"/>
    </xf>
    <xf numFmtId="193" fontId="32" fillId="0" borderId="0" xfId="0" applyNumberFormat="1" applyFont="1" applyBorder="1" applyAlignment="1" applyProtection="1">
      <alignment vertical="center" shrinkToFit="1"/>
    </xf>
    <xf numFmtId="38" fontId="32" fillId="0" borderId="0" xfId="0" applyNumberFormat="1" applyFont="1" applyBorder="1" applyAlignment="1" applyProtection="1">
      <alignment vertical="center" shrinkToFit="1"/>
    </xf>
    <xf numFmtId="196" fontId="32" fillId="0" borderId="0" xfId="0" applyNumberFormat="1" applyFont="1" applyAlignment="1" applyProtection="1">
      <alignment vertical="center" shrinkToFit="1"/>
    </xf>
    <xf numFmtId="38" fontId="32" fillId="2" borderId="49" xfId="9" applyFont="1" applyFill="1" applyBorder="1" applyAlignment="1" applyProtection="1">
      <alignment horizontal="right" vertical="center" shrinkToFit="1"/>
    </xf>
    <xf numFmtId="38" fontId="32" fillId="2" borderId="50" xfId="9" applyFont="1" applyFill="1" applyBorder="1" applyAlignment="1" applyProtection="1">
      <alignment horizontal="right" vertical="center" shrinkToFit="1"/>
    </xf>
    <xf numFmtId="38" fontId="32" fillId="2" borderId="56" xfId="0" applyNumberFormat="1" applyFont="1" applyFill="1" applyBorder="1" applyAlignment="1" applyProtection="1">
      <alignment horizontal="right" vertical="center" shrinkToFit="1"/>
    </xf>
    <xf numFmtId="38" fontId="36" fillId="2" borderId="56" xfId="9" applyFont="1" applyFill="1" applyBorder="1" applyAlignment="1" applyProtection="1">
      <alignment horizontal="right" vertical="center" shrinkToFit="1"/>
    </xf>
    <xf numFmtId="0" fontId="32" fillId="0" borderId="45" xfId="0" applyFont="1" applyBorder="1" applyAlignment="1" applyProtection="1">
      <alignment vertical="center" shrinkToFit="1"/>
    </xf>
    <xf numFmtId="198" fontId="32" fillId="0" borderId="24" xfId="0" applyNumberFormat="1" applyFont="1" applyBorder="1" applyAlignment="1" applyProtection="1">
      <alignment vertical="center" shrinkToFit="1"/>
    </xf>
    <xf numFmtId="0" fontId="90" fillId="2" borderId="0" xfId="0" applyFont="1" applyFill="1" applyAlignment="1" applyProtection="1">
      <alignment vertical="center" shrinkToFit="1"/>
    </xf>
    <xf numFmtId="0" fontId="32" fillId="0" borderId="26" xfId="0" applyFont="1" applyFill="1" applyBorder="1" applyAlignment="1" applyProtection="1">
      <alignment vertical="center" shrinkToFit="1"/>
    </xf>
    <xf numFmtId="203" fontId="32" fillId="0" borderId="8" xfId="0" applyNumberFormat="1" applyFont="1" applyBorder="1" applyAlignment="1" applyProtection="1">
      <alignment vertical="center" shrinkToFit="1"/>
    </xf>
    <xf numFmtId="0" fontId="32" fillId="0" borderId="8" xfId="0" applyFont="1" applyBorder="1" applyAlignment="1" applyProtection="1">
      <alignment vertical="center" shrinkToFit="1"/>
    </xf>
    <xf numFmtId="38" fontId="32" fillId="2" borderId="115" xfId="9" applyFont="1" applyFill="1" applyBorder="1" applyAlignment="1" applyProtection="1">
      <alignment vertical="center" shrinkToFit="1"/>
    </xf>
    <xf numFmtId="0" fontId="32" fillId="2" borderId="8" xfId="0" applyFont="1" applyFill="1" applyBorder="1" applyAlignment="1" applyProtection="1">
      <alignment horizontal="center" vertical="center" shrinkToFit="1"/>
    </xf>
    <xf numFmtId="193" fontId="32" fillId="2" borderId="25" xfId="0" applyNumberFormat="1" applyFont="1" applyFill="1" applyBorder="1" applyAlignment="1" applyProtection="1">
      <alignment vertical="center" shrinkToFit="1"/>
    </xf>
    <xf numFmtId="193" fontId="32" fillId="2" borderId="2" xfId="0" applyNumberFormat="1" applyFont="1" applyFill="1" applyBorder="1" applyAlignment="1" applyProtection="1">
      <alignment vertical="center" shrinkToFit="1"/>
    </xf>
    <xf numFmtId="0" fontId="32" fillId="2" borderId="2" xfId="0" applyFont="1" applyFill="1" applyBorder="1" applyAlignment="1" applyProtection="1">
      <alignment vertical="center" shrinkToFit="1"/>
    </xf>
    <xf numFmtId="0" fontId="32" fillId="2" borderId="10" xfId="0" applyFont="1" applyFill="1" applyBorder="1" applyAlignment="1" applyProtection="1">
      <alignment vertical="center" shrinkToFit="1"/>
    </xf>
    <xf numFmtId="0" fontId="32" fillId="0" borderId="125" xfId="0" applyFont="1" applyBorder="1" applyAlignment="1" applyProtection="1">
      <alignment vertical="center" shrinkToFit="1"/>
    </xf>
    <xf numFmtId="38" fontId="32" fillId="2" borderId="25" xfId="9" applyFont="1" applyFill="1" applyBorder="1" applyAlignment="1" applyProtection="1">
      <alignment horizontal="right" vertical="center" shrinkToFit="1"/>
    </xf>
    <xf numFmtId="0" fontId="32" fillId="2" borderId="64" xfId="0" applyFont="1" applyFill="1" applyBorder="1" applyAlignment="1" applyProtection="1">
      <alignment vertical="center" shrinkToFit="1"/>
    </xf>
    <xf numFmtId="0" fontId="32" fillId="2" borderId="65" xfId="0" applyFont="1" applyFill="1" applyBorder="1" applyAlignment="1" applyProtection="1">
      <alignment vertical="center" shrinkToFit="1"/>
    </xf>
    <xf numFmtId="38" fontId="32" fillId="2" borderId="66" xfId="9" applyFont="1" applyFill="1" applyBorder="1" applyAlignment="1" applyProtection="1">
      <alignment vertical="center" shrinkToFit="1"/>
    </xf>
    <xf numFmtId="38" fontId="32" fillId="2" borderId="56" xfId="9" applyFont="1" applyFill="1" applyBorder="1" applyAlignment="1" applyProtection="1">
      <alignment vertical="center" shrinkToFit="1"/>
    </xf>
    <xf numFmtId="38" fontId="32" fillId="0" borderId="0" xfId="9" applyFont="1" applyBorder="1" applyAlignment="1" applyProtection="1">
      <alignment vertical="center" shrinkToFit="1"/>
    </xf>
    <xf numFmtId="38" fontId="32" fillId="2" borderId="26" xfId="9" applyFont="1" applyFill="1" applyBorder="1" applyAlignment="1" applyProtection="1">
      <alignment horizontal="right" vertical="center" shrinkToFit="1"/>
    </xf>
    <xf numFmtId="38" fontId="32" fillId="2" borderId="66" xfId="9" applyFont="1" applyFill="1" applyBorder="1" applyAlignment="1" applyProtection="1">
      <alignment horizontal="right" vertical="center" shrinkToFit="1"/>
    </xf>
    <xf numFmtId="38" fontId="32" fillId="2" borderId="56" xfId="9" applyFont="1" applyFill="1" applyBorder="1" applyAlignment="1" applyProtection="1">
      <alignment horizontal="right" vertical="center" shrinkToFit="1"/>
    </xf>
    <xf numFmtId="38" fontId="123" fillId="2" borderId="26" xfId="9" applyFont="1" applyFill="1" applyBorder="1" applyAlignment="1" applyProtection="1">
      <alignment vertical="center" shrinkToFit="1"/>
    </xf>
    <xf numFmtId="0" fontId="32" fillId="0" borderId="2" xfId="0" applyFont="1" applyBorder="1" applyAlignment="1" applyProtection="1">
      <alignment vertical="center" shrinkToFit="1"/>
    </xf>
    <xf numFmtId="208" fontId="32" fillId="0" borderId="26" xfId="0" applyNumberFormat="1" applyFont="1" applyBorder="1" applyAlignment="1" applyProtection="1">
      <alignment vertical="center" shrinkToFit="1"/>
    </xf>
    <xf numFmtId="200" fontId="32" fillId="2" borderId="0" xfId="0" applyNumberFormat="1" applyFont="1" applyFill="1" applyBorder="1" applyAlignment="1" applyProtection="1">
      <alignment horizontal="center" vertical="center" shrinkToFit="1"/>
    </xf>
    <xf numFmtId="0" fontId="90" fillId="2" borderId="7" xfId="0" applyFont="1" applyFill="1" applyBorder="1" applyAlignment="1" applyProtection="1">
      <alignment horizontal="left" vertical="center"/>
    </xf>
    <xf numFmtId="0" fontId="32" fillId="2" borderId="7" xfId="0" applyFont="1" applyFill="1" applyBorder="1" applyAlignment="1" applyProtection="1">
      <alignment horizontal="left" vertical="center"/>
    </xf>
    <xf numFmtId="38" fontId="32" fillId="5" borderId="26" xfId="9" applyFont="1" applyFill="1" applyBorder="1" applyAlignment="1" applyProtection="1">
      <alignment vertical="center" shrinkToFit="1"/>
      <protection locked="0"/>
    </xf>
    <xf numFmtId="0" fontId="32" fillId="2" borderId="8" xfId="0" applyFont="1" applyFill="1" applyBorder="1" applyAlignment="1" applyProtection="1">
      <alignment vertical="center" shrinkToFit="1"/>
    </xf>
    <xf numFmtId="0" fontId="32" fillId="2" borderId="0" xfId="0" applyFont="1" applyFill="1" applyBorder="1" applyAlignment="1" applyProtection="1">
      <alignment horizontal="right" vertical="center" shrinkToFit="1"/>
    </xf>
    <xf numFmtId="38" fontId="33" fillId="2" borderId="0" xfId="0" applyNumberFormat="1" applyFont="1" applyFill="1" applyBorder="1" applyAlignment="1" applyProtection="1">
      <alignment vertical="center" shrinkToFit="1"/>
    </xf>
    <xf numFmtId="38" fontId="123" fillId="2" borderId="2" xfId="9" applyFont="1" applyFill="1" applyBorder="1" applyAlignment="1" applyProtection="1">
      <alignment vertical="center" shrinkToFit="1"/>
    </xf>
    <xf numFmtId="194" fontId="32" fillId="0" borderId="0" xfId="0" applyNumberFormat="1" applyFont="1" applyAlignment="1" applyProtection="1">
      <alignment vertical="center" shrinkToFit="1"/>
    </xf>
    <xf numFmtId="38" fontId="32" fillId="2" borderId="121" xfId="9" applyFont="1" applyFill="1" applyBorder="1" applyAlignment="1" applyProtection="1">
      <alignment horizontal="right" vertical="center" shrinkToFit="1"/>
    </xf>
    <xf numFmtId="0" fontId="32" fillId="2" borderId="3" xfId="0" applyFont="1" applyFill="1" applyBorder="1" applyAlignment="1" applyProtection="1">
      <alignment vertical="center" shrinkToFit="1"/>
    </xf>
    <xf numFmtId="38" fontId="32" fillId="2" borderId="125" xfId="9" applyFont="1" applyFill="1" applyBorder="1" applyAlignment="1" applyProtection="1">
      <alignment horizontal="center" vertical="center" shrinkToFit="1"/>
    </xf>
    <xf numFmtId="38" fontId="123" fillId="2" borderId="45" xfId="0" applyNumberFormat="1" applyFont="1" applyFill="1" applyBorder="1" applyAlignment="1" applyProtection="1">
      <alignment vertical="center" shrinkToFit="1"/>
    </xf>
    <xf numFmtId="38" fontId="123" fillId="2" borderId="25" xfId="9" applyFont="1" applyFill="1" applyBorder="1" applyAlignment="1" applyProtection="1">
      <alignment vertical="center" shrinkToFit="1"/>
    </xf>
    <xf numFmtId="0" fontId="32" fillId="2" borderId="73" xfId="0" applyFont="1" applyFill="1" applyBorder="1" applyAlignment="1" applyProtection="1">
      <alignment horizontal="center" vertical="center" shrinkToFit="1"/>
    </xf>
    <xf numFmtId="38" fontId="32" fillId="2" borderId="71" xfId="0" applyNumberFormat="1" applyFont="1" applyFill="1" applyBorder="1" applyAlignment="1" applyProtection="1">
      <alignment vertical="center" shrinkToFit="1"/>
    </xf>
    <xf numFmtId="0" fontId="32" fillId="2" borderId="73" xfId="0" applyFont="1" applyFill="1" applyBorder="1" applyAlignment="1" applyProtection="1">
      <alignment vertical="center" shrinkToFit="1"/>
    </xf>
    <xf numFmtId="0" fontId="91" fillId="2" borderId="0" xfId="0" applyFont="1" applyFill="1" applyBorder="1" applyAlignment="1" applyProtection="1">
      <alignment horizontal="center" vertical="center" wrapText="1" shrinkToFit="1"/>
    </xf>
    <xf numFmtId="38" fontId="32" fillId="2" borderId="76" xfId="9" applyFont="1" applyFill="1" applyBorder="1" applyAlignment="1" applyProtection="1">
      <alignment vertical="center" shrinkToFit="1"/>
    </xf>
    <xf numFmtId="0" fontId="32" fillId="2" borderId="0" xfId="0" applyFont="1" applyFill="1" applyAlignment="1" applyProtection="1">
      <alignment horizontal="right" vertical="center" shrinkToFit="1"/>
    </xf>
    <xf numFmtId="38" fontId="32" fillId="2" borderId="76" xfId="9" applyFont="1" applyFill="1" applyBorder="1" applyAlignment="1" applyProtection="1">
      <alignment horizontal="right" vertical="center" shrinkToFit="1"/>
    </xf>
    <xf numFmtId="38" fontId="123" fillId="2" borderId="121" xfId="9" applyFont="1" applyFill="1" applyBorder="1" applyAlignment="1" applyProtection="1">
      <alignment vertical="center" shrinkToFit="1"/>
    </xf>
    <xf numFmtId="38" fontId="123" fillId="2" borderId="122" xfId="9" applyFont="1" applyFill="1" applyBorder="1" applyAlignment="1" applyProtection="1">
      <alignment vertical="center" shrinkToFit="1"/>
    </xf>
    <xf numFmtId="38" fontId="123" fillId="2" borderId="24" xfId="9" applyFont="1" applyFill="1" applyBorder="1" applyAlignment="1" applyProtection="1">
      <alignment vertical="center" shrinkToFit="1"/>
    </xf>
    <xf numFmtId="196" fontId="32" fillId="2" borderId="0" xfId="0" applyNumberFormat="1" applyFont="1" applyFill="1" applyAlignment="1" applyProtection="1">
      <alignment vertical="center" shrinkToFit="1"/>
    </xf>
    <xf numFmtId="38" fontId="32" fillId="2" borderId="52" xfId="9" applyFont="1" applyFill="1" applyBorder="1" applyAlignment="1" applyProtection="1">
      <alignment vertical="center" shrinkToFit="1"/>
    </xf>
    <xf numFmtId="38" fontId="32" fillId="2" borderId="38" xfId="9" applyFont="1" applyFill="1" applyBorder="1" applyAlignment="1" applyProtection="1">
      <alignment vertical="center" shrinkToFit="1"/>
    </xf>
    <xf numFmtId="38" fontId="123" fillId="2" borderId="141" xfId="9" applyFont="1" applyFill="1" applyBorder="1" applyAlignment="1" applyProtection="1">
      <alignment vertical="center" shrinkToFit="1"/>
    </xf>
    <xf numFmtId="193" fontId="32" fillId="2" borderId="0" xfId="0" applyNumberFormat="1" applyFont="1" applyFill="1" applyBorder="1" applyAlignment="1" applyProtection="1">
      <alignment horizontal="center" vertical="center" shrinkToFit="1"/>
    </xf>
    <xf numFmtId="38" fontId="34" fillId="2" borderId="0" xfId="9" applyFont="1" applyFill="1" applyBorder="1" applyAlignment="1" applyProtection="1">
      <alignment vertical="center" shrinkToFit="1"/>
    </xf>
    <xf numFmtId="0" fontId="34" fillId="2" borderId="0" xfId="0" applyFont="1" applyFill="1" applyBorder="1" applyAlignment="1" applyProtection="1">
      <alignment horizontal="right" vertical="center" wrapText="1" shrinkToFit="1"/>
    </xf>
    <xf numFmtId="38" fontId="32" fillId="2" borderId="73" xfId="9" applyFont="1" applyFill="1" applyBorder="1" applyAlignment="1" applyProtection="1">
      <alignment vertical="center" shrinkToFit="1"/>
    </xf>
    <xf numFmtId="38" fontId="32" fillId="2" borderId="71" xfId="9" applyFont="1" applyFill="1" applyBorder="1" applyAlignment="1" applyProtection="1">
      <alignment vertical="center" shrinkToFit="1"/>
    </xf>
    <xf numFmtId="0" fontId="32" fillId="2" borderId="71" xfId="0" applyFont="1" applyFill="1" applyBorder="1" applyAlignment="1" applyProtection="1">
      <alignment horizontal="center" vertical="center" shrinkToFit="1"/>
    </xf>
    <xf numFmtId="38" fontId="32" fillId="2" borderId="21" xfId="9" applyFont="1" applyFill="1" applyBorder="1" applyAlignment="1" applyProtection="1">
      <alignment vertical="center" shrinkToFit="1"/>
    </xf>
    <xf numFmtId="0" fontId="34" fillId="2" borderId="0" xfId="0" applyFont="1" applyFill="1" applyBorder="1" applyAlignment="1" applyProtection="1">
      <alignment vertical="center" wrapText="1" shrinkToFit="1"/>
    </xf>
    <xf numFmtId="193" fontId="32" fillId="2" borderId="55" xfId="0" applyNumberFormat="1" applyFont="1" applyFill="1" applyBorder="1" applyAlignment="1" applyProtection="1">
      <alignment horizontal="center" vertical="center" shrinkToFit="1"/>
    </xf>
    <xf numFmtId="38" fontId="34" fillId="2" borderId="215" xfId="9" applyFont="1" applyFill="1" applyBorder="1" applyAlignment="1" applyProtection="1">
      <alignment vertical="center" shrinkToFit="1"/>
    </xf>
    <xf numFmtId="38" fontId="34" fillId="2" borderId="214" xfId="9" applyFont="1" applyFill="1" applyBorder="1" applyAlignment="1" applyProtection="1">
      <alignment vertical="center" shrinkToFit="1"/>
    </xf>
    <xf numFmtId="193" fontId="32" fillId="2" borderId="39" xfId="0" applyNumberFormat="1" applyFont="1" applyFill="1" applyBorder="1" applyAlignment="1" applyProtection="1">
      <alignment horizontal="center" vertical="center" shrinkToFit="1"/>
    </xf>
    <xf numFmtId="0" fontId="32" fillId="2" borderId="7" xfId="0" applyFont="1" applyFill="1" applyBorder="1" applyAlignment="1" applyProtection="1">
      <alignment horizontal="left" vertical="center" shrinkToFit="1"/>
    </xf>
    <xf numFmtId="0" fontId="32" fillId="2" borderId="37" xfId="0" applyFont="1" applyFill="1" applyBorder="1" applyAlignment="1" applyProtection="1">
      <alignment horizontal="centerContinuous" vertical="center" shrinkToFit="1"/>
    </xf>
    <xf numFmtId="0" fontId="32" fillId="2" borderId="1" xfId="0" applyFont="1" applyFill="1" applyBorder="1" applyAlignment="1" applyProtection="1">
      <alignment horizontal="centerContinuous" vertical="center" shrinkToFit="1"/>
    </xf>
    <xf numFmtId="0" fontId="32" fillId="2" borderId="36" xfId="0" applyFont="1" applyFill="1" applyBorder="1" applyAlignment="1" applyProtection="1">
      <alignment horizontal="centerContinuous" vertical="center" shrinkToFit="1"/>
    </xf>
    <xf numFmtId="216" fontId="124" fillId="2" borderId="65" xfId="82" applyNumberFormat="1" applyFont="1" applyFill="1" applyBorder="1" applyAlignment="1" applyProtection="1">
      <alignment vertical="center"/>
    </xf>
    <xf numFmtId="0" fontId="124" fillId="2" borderId="2" xfId="82" applyFont="1" applyFill="1" applyBorder="1" applyAlignment="1" applyProtection="1">
      <alignment horizontal="left" vertical="center"/>
    </xf>
    <xf numFmtId="0" fontId="125" fillId="2" borderId="3" xfId="82" applyFont="1" applyFill="1" applyBorder="1" applyAlignment="1" applyProtection="1">
      <alignment vertical="center"/>
    </xf>
    <xf numFmtId="0" fontId="125" fillId="2" borderId="2" xfId="82" applyFont="1" applyFill="1" applyBorder="1" applyAlignment="1" applyProtection="1">
      <alignment horizontal="left" vertical="center"/>
    </xf>
    <xf numFmtId="216" fontId="125" fillId="2" borderId="65" xfId="82" applyNumberFormat="1" applyFont="1" applyFill="1" applyBorder="1" applyAlignment="1" applyProtection="1">
      <alignment vertical="center"/>
    </xf>
    <xf numFmtId="38" fontId="127" fillId="0" borderId="26" xfId="47" applyNumberFormat="1" applyFont="1" applyBorder="1" applyAlignment="1" applyProtection="1">
      <alignment vertical="center"/>
    </xf>
    <xf numFmtId="0" fontId="32" fillId="2" borderId="143" xfId="0" applyFont="1" applyFill="1" applyBorder="1" applyAlignment="1" applyProtection="1">
      <alignment horizontal="center" vertical="center" shrinkToFit="1"/>
    </xf>
    <xf numFmtId="0" fontId="36" fillId="2" borderId="0" xfId="0" applyFont="1" applyFill="1" applyBorder="1" applyAlignment="1" applyProtection="1">
      <alignment horizontal="center" vertical="center" shrinkToFit="1"/>
    </xf>
    <xf numFmtId="0" fontId="32" fillId="2" borderId="0" xfId="0" applyFont="1" applyFill="1" applyBorder="1" applyAlignment="1" applyProtection="1">
      <alignment horizontal="center" vertical="center" shrinkToFit="1"/>
    </xf>
    <xf numFmtId="0" fontId="36" fillId="2" borderId="76" xfId="0" applyFont="1" applyFill="1" applyBorder="1" applyAlignment="1" applyProtection="1">
      <alignment horizontal="center" vertical="center" shrinkToFit="1"/>
    </xf>
    <xf numFmtId="0" fontId="39" fillId="2" borderId="24" xfId="0" applyFont="1" applyFill="1" applyBorder="1" applyAlignment="1" applyProtection="1">
      <alignment vertical="center" wrapText="1" shrinkToFit="1"/>
    </xf>
    <xf numFmtId="0" fontId="36" fillId="2" borderId="86" xfId="0" applyFont="1" applyFill="1" applyBorder="1" applyAlignment="1" applyProtection="1">
      <alignment vertical="center" wrapText="1" shrinkToFit="1"/>
    </xf>
    <xf numFmtId="0" fontId="36" fillId="2" borderId="87" xfId="0" applyFont="1" applyFill="1" applyBorder="1" applyAlignment="1" applyProtection="1">
      <alignment vertical="center" wrapText="1" shrinkToFit="1"/>
    </xf>
    <xf numFmtId="38" fontId="36" fillId="2" borderId="50" xfId="9" applyFont="1" applyFill="1" applyBorder="1" applyAlignment="1" applyProtection="1">
      <alignment vertical="center" wrapText="1" shrinkToFit="1"/>
    </xf>
    <xf numFmtId="38" fontId="36" fillId="2" borderId="56" xfId="0" applyNumberFormat="1" applyFont="1" applyFill="1" applyBorder="1" applyAlignment="1" applyProtection="1">
      <alignment vertical="center" shrinkToFit="1"/>
    </xf>
    <xf numFmtId="0" fontId="102" fillId="2" borderId="106" xfId="0" applyFont="1" applyFill="1" applyBorder="1" applyAlignment="1" applyProtection="1">
      <alignment horizontal="center" vertical="center" shrinkToFit="1"/>
    </xf>
    <xf numFmtId="0" fontId="36" fillId="2" borderId="64" xfId="0" applyFont="1" applyFill="1" applyBorder="1" applyAlignment="1" applyProtection="1">
      <alignment horizontal="center" vertical="center" shrinkToFit="1"/>
    </xf>
    <xf numFmtId="0" fontId="102" fillId="2" borderId="64" xfId="0" applyFont="1" applyFill="1" applyBorder="1" applyAlignment="1" applyProtection="1">
      <alignment horizontal="center" vertical="center" shrinkToFit="1"/>
    </xf>
    <xf numFmtId="0" fontId="36" fillId="2" borderId="143" xfId="0" applyFont="1" applyFill="1" applyBorder="1" applyAlignment="1" applyProtection="1">
      <alignment horizontal="center" vertical="center" shrinkToFit="1"/>
    </xf>
    <xf numFmtId="38" fontId="36" fillId="2" borderId="0" xfId="9" applyFont="1" applyFill="1" applyBorder="1" applyAlignment="1" applyProtection="1">
      <alignment vertical="center" shrinkToFit="1"/>
    </xf>
    <xf numFmtId="0" fontId="34" fillId="2" borderId="106" xfId="0" applyFont="1" applyFill="1" applyBorder="1" applyAlignment="1" applyProtection="1">
      <alignment vertical="center" shrinkToFit="1"/>
    </xf>
    <xf numFmtId="0" fontId="32" fillId="2" borderId="49" xfId="0" applyFont="1" applyFill="1" applyBorder="1" applyAlignment="1" applyProtection="1">
      <alignment vertical="center" shrinkToFit="1"/>
    </xf>
    <xf numFmtId="0" fontId="32" fillId="2" borderId="78" xfId="0" applyFont="1" applyFill="1" applyBorder="1" applyAlignment="1" applyProtection="1">
      <alignment vertical="center" shrinkToFit="1"/>
    </xf>
    <xf numFmtId="0" fontId="36" fillId="2" borderId="224" xfId="0" applyFont="1" applyFill="1" applyBorder="1" applyAlignment="1" applyProtection="1">
      <alignment horizontal="center" vertical="center" shrinkToFit="1"/>
    </xf>
    <xf numFmtId="0" fontId="36" fillId="2" borderId="87" xfId="0" applyFont="1" applyFill="1" applyBorder="1" applyAlignment="1" applyProtection="1">
      <alignment horizontal="center" vertical="center" shrinkToFit="1"/>
    </xf>
    <xf numFmtId="0" fontId="36" fillId="2" borderId="50" xfId="0" applyFont="1" applyFill="1" applyBorder="1" applyAlignment="1" applyProtection="1">
      <alignment horizontal="center" vertical="center" shrinkToFit="1"/>
    </xf>
    <xf numFmtId="0" fontId="32" fillId="2" borderId="225" xfId="0" applyFont="1" applyFill="1" applyBorder="1" applyAlignment="1" applyProtection="1">
      <alignment horizontal="center" vertical="center" shrinkToFit="1"/>
    </xf>
    <xf numFmtId="0" fontId="32" fillId="2" borderId="224" xfId="0" applyFont="1" applyFill="1" applyBorder="1" applyAlignment="1" applyProtection="1">
      <alignment horizontal="center" vertical="center" shrinkToFit="1"/>
    </xf>
    <xf numFmtId="0" fontId="32" fillId="2" borderId="76" xfId="0" applyFont="1" applyFill="1" applyBorder="1" applyAlignment="1" applyProtection="1">
      <alignment horizontal="center" vertical="center" shrinkToFit="1"/>
    </xf>
    <xf numFmtId="0" fontId="34" fillId="2" borderId="64" xfId="0" applyFont="1" applyFill="1" applyBorder="1" applyAlignment="1" applyProtection="1">
      <alignment vertical="center" shrinkToFit="1"/>
    </xf>
    <xf numFmtId="38" fontId="123" fillId="2" borderId="56" xfId="0" applyNumberFormat="1" applyFont="1" applyFill="1" applyBorder="1" applyAlignment="1" applyProtection="1">
      <alignment vertical="center" shrinkToFit="1"/>
    </xf>
    <xf numFmtId="0" fontId="32" fillId="2" borderId="50" xfId="0" applyFont="1" applyFill="1" applyBorder="1" applyAlignment="1" applyProtection="1">
      <alignment horizontal="center" vertical="center" shrinkToFit="1"/>
    </xf>
    <xf numFmtId="38" fontId="123" fillId="2" borderId="56" xfId="9" applyFont="1" applyFill="1" applyBorder="1" applyAlignment="1" applyProtection="1">
      <alignment vertical="center" shrinkToFit="1"/>
    </xf>
    <xf numFmtId="0" fontId="126" fillId="2" borderId="2" xfId="82" applyFont="1" applyFill="1" applyBorder="1" applyAlignment="1" applyProtection="1">
      <alignment horizontal="left" vertical="center"/>
    </xf>
    <xf numFmtId="38" fontId="128" fillId="2" borderId="26" xfId="9" applyFont="1" applyFill="1" applyBorder="1" applyAlignment="1" applyProtection="1">
      <alignment vertical="center" shrinkToFit="1"/>
    </xf>
    <xf numFmtId="38" fontId="128" fillId="2" borderId="50" xfId="0" applyNumberFormat="1" applyFont="1" applyFill="1" applyBorder="1" applyAlignment="1" applyProtection="1">
      <alignment vertical="center" shrinkToFit="1"/>
    </xf>
    <xf numFmtId="38" fontId="128" fillId="2" borderId="76" xfId="0" applyNumberFormat="1" applyFont="1" applyFill="1" applyBorder="1" applyAlignment="1" applyProtection="1">
      <alignment vertical="center" shrinkToFit="1"/>
    </xf>
    <xf numFmtId="38" fontId="128" fillId="2" borderId="50" xfId="9" applyFont="1" applyFill="1" applyBorder="1" applyAlignment="1" applyProtection="1">
      <alignment vertical="center" shrinkToFit="1"/>
    </xf>
    <xf numFmtId="38" fontId="128" fillId="2" borderId="65" xfId="0" applyNumberFormat="1" applyFont="1" applyFill="1" applyBorder="1" applyAlignment="1" applyProtection="1">
      <alignment vertical="center" shrinkToFit="1"/>
    </xf>
    <xf numFmtId="38" fontId="128" fillId="2" borderId="66" xfId="9" applyFont="1" applyFill="1" applyBorder="1" applyAlignment="1" applyProtection="1">
      <alignment vertical="center" shrinkToFit="1"/>
    </xf>
    <xf numFmtId="38" fontId="128" fillId="2" borderId="76" xfId="9" applyFont="1" applyFill="1" applyBorder="1" applyAlignment="1" applyProtection="1">
      <alignment vertical="center" shrinkToFit="1"/>
    </xf>
    <xf numFmtId="38" fontId="129" fillId="2" borderId="50" xfId="9" applyFont="1" applyFill="1" applyBorder="1" applyAlignment="1" applyProtection="1">
      <alignment vertical="center" shrinkToFit="1"/>
    </xf>
    <xf numFmtId="38" fontId="129" fillId="2" borderId="76" xfId="9" applyFont="1" applyFill="1" applyBorder="1" applyAlignment="1" applyProtection="1">
      <alignment vertical="center" shrinkToFit="1"/>
    </xf>
    <xf numFmtId="0" fontId="128" fillId="2" borderId="26" xfId="0" applyFont="1" applyFill="1" applyBorder="1" applyAlignment="1" applyProtection="1">
      <alignment horizontal="center" vertical="center" wrapText="1"/>
    </xf>
    <xf numFmtId="38" fontId="128" fillId="2" borderId="49" xfId="9" applyFont="1" applyFill="1" applyBorder="1" applyAlignment="1" applyProtection="1">
      <alignment vertical="center" shrinkToFit="1"/>
    </xf>
    <xf numFmtId="0" fontId="101" fillId="5" borderId="26" xfId="0" applyFont="1" applyFill="1" applyBorder="1" applyAlignment="1" applyProtection="1">
      <alignment horizontal="center" vertical="center" shrinkToFit="1"/>
      <protection locked="0"/>
    </xf>
    <xf numFmtId="203" fontId="32" fillId="0" borderId="0" xfId="0" applyNumberFormat="1" applyFont="1" applyBorder="1" applyAlignment="1" applyProtection="1">
      <alignment vertical="center" shrinkToFit="1"/>
    </xf>
    <xf numFmtId="0" fontId="80" fillId="2" borderId="2" xfId="58" applyFont="1" applyFill="1" applyBorder="1" applyAlignment="1" applyProtection="1">
      <alignment horizontal="center" vertical="center" shrinkToFit="1"/>
      <protection locked="0"/>
    </xf>
    <xf numFmtId="0" fontId="80" fillId="0" borderId="0" xfId="84" applyFont="1" applyBorder="1" applyAlignment="1" applyProtection="1">
      <alignment horizontal="center" vertical="center" wrapText="1"/>
    </xf>
    <xf numFmtId="178" fontId="130" fillId="0" borderId="9" xfId="58" applyNumberFormat="1" applyFont="1" applyFill="1" applyBorder="1" applyAlignment="1">
      <alignment wrapText="1"/>
    </xf>
    <xf numFmtId="181" fontId="130" fillId="0" borderId="11" xfId="58" applyNumberFormat="1" applyFont="1" applyFill="1" applyBorder="1" applyAlignment="1">
      <alignment vertical="top" wrapText="1"/>
    </xf>
    <xf numFmtId="181" fontId="130" fillId="0" borderId="6" xfId="58" applyNumberFormat="1" applyFont="1" applyFill="1" applyBorder="1" applyAlignment="1">
      <alignment vertical="top" wrapText="1"/>
    </xf>
    <xf numFmtId="0" fontId="34" fillId="2" borderId="0" xfId="0" applyFont="1" applyFill="1"/>
    <xf numFmtId="0" fontId="0" fillId="2" borderId="0" xfId="0" applyFill="1"/>
    <xf numFmtId="0" fontId="32" fillId="2" borderId="0" xfId="0" applyFont="1" applyFill="1"/>
    <xf numFmtId="0" fontId="32" fillId="2" borderId="0" xfId="0" applyFont="1" applyFill="1" applyAlignment="1">
      <alignment horizontal="left"/>
    </xf>
    <xf numFmtId="0" fontId="33" fillId="2" borderId="0" xfId="0" applyFont="1" applyFill="1" applyBorder="1" applyAlignment="1">
      <alignment horizontal="center" vertical="center" shrinkToFit="1"/>
    </xf>
    <xf numFmtId="0" fontId="33" fillId="2" borderId="0" xfId="0" applyFont="1" applyFill="1"/>
    <xf numFmtId="0" fontId="32" fillId="2" borderId="0" xfId="0" applyFont="1" applyFill="1" applyAlignment="1">
      <alignment vertical="center"/>
    </xf>
    <xf numFmtId="0" fontId="32" fillId="2" borderId="0" xfId="0" applyFont="1" applyFill="1" applyAlignment="1">
      <alignment vertical="center" wrapText="1"/>
    </xf>
    <xf numFmtId="0" fontId="63" fillId="2" borderId="2" xfId="82" applyFont="1" applyFill="1" applyBorder="1" applyAlignment="1" applyProtection="1">
      <alignment vertical="center"/>
    </xf>
    <xf numFmtId="0" fontId="63" fillId="2" borderId="25" xfId="82" applyFont="1" applyFill="1" applyBorder="1" applyAlignment="1" applyProtection="1">
      <alignment horizontal="center" vertical="center"/>
    </xf>
    <xf numFmtId="0" fontId="63" fillId="2" borderId="0" xfId="82" applyFont="1" applyFill="1" applyBorder="1" applyAlignment="1" applyProtection="1">
      <alignment vertical="center"/>
    </xf>
    <xf numFmtId="0" fontId="70" fillId="2" borderId="0" xfId="82" applyFont="1" applyFill="1" applyBorder="1" applyAlignment="1" applyProtection="1">
      <alignment horizontal="center" vertical="center" wrapText="1"/>
    </xf>
    <xf numFmtId="0" fontId="88" fillId="2" borderId="0" xfId="82" applyFont="1" applyFill="1" applyAlignment="1" applyProtection="1">
      <alignment horizontal="center" vertical="center" shrinkToFit="1"/>
    </xf>
    <xf numFmtId="0" fontId="120" fillId="2" borderId="0" xfId="82" applyFont="1" applyFill="1" applyAlignment="1" applyProtection="1">
      <alignment horizontal="center" vertical="center" shrinkToFit="1"/>
    </xf>
    <xf numFmtId="0" fontId="63" fillId="2" borderId="21" xfId="82" applyFont="1" applyFill="1" applyBorder="1" applyAlignment="1" applyProtection="1">
      <alignment horizontal="center" vertical="center"/>
    </xf>
    <xf numFmtId="0" fontId="73" fillId="2" borderId="0" xfId="82" applyFont="1" applyFill="1" applyAlignment="1" applyProtection="1">
      <alignment horizontal="center" vertical="center" shrinkToFit="1"/>
    </xf>
    <xf numFmtId="0" fontId="63" fillId="2" borderId="24" xfId="82" applyFont="1" applyFill="1" applyBorder="1" applyAlignment="1" applyProtection="1">
      <alignment horizontal="left" vertical="center"/>
    </xf>
    <xf numFmtId="0" fontId="63" fillId="2" borderId="0" xfId="82" applyFont="1" applyFill="1" applyBorder="1" applyAlignment="1" applyProtection="1">
      <alignment horizontal="center" vertical="center"/>
    </xf>
    <xf numFmtId="215" fontId="73" fillId="2" borderId="0" xfId="82" applyNumberFormat="1" applyFont="1" applyFill="1" applyBorder="1" applyAlignment="1" applyProtection="1">
      <alignment horizontal="center" vertical="center" wrapText="1"/>
    </xf>
    <xf numFmtId="215" fontId="63" fillId="2" borderId="0" xfId="82" applyNumberFormat="1" applyFont="1" applyFill="1" applyBorder="1" applyAlignment="1" applyProtection="1">
      <alignment horizontal="center" vertical="center"/>
    </xf>
    <xf numFmtId="0" fontId="79" fillId="0" borderId="25" xfId="84" applyFont="1" applyBorder="1" applyAlignment="1" applyProtection="1">
      <alignment vertical="center"/>
    </xf>
    <xf numFmtId="0" fontId="66" fillId="2" borderId="0" xfId="82" applyFont="1" applyFill="1" applyBorder="1" applyAlignment="1" applyProtection="1">
      <alignment vertical="center"/>
    </xf>
    <xf numFmtId="0" fontId="63" fillId="2" borderId="161" xfId="82" applyFont="1" applyFill="1" applyBorder="1" applyAlignment="1" applyProtection="1">
      <alignment vertical="center"/>
    </xf>
    <xf numFmtId="0" fontId="63" fillId="2" borderId="181" xfId="82" applyFont="1" applyFill="1" applyBorder="1" applyAlignment="1" applyProtection="1">
      <alignment vertical="center"/>
    </xf>
    <xf numFmtId="0" fontId="63" fillId="2" borderId="169" xfId="82" applyFont="1" applyFill="1" applyBorder="1" applyAlignment="1" applyProtection="1">
      <alignment vertical="center"/>
    </xf>
    <xf numFmtId="215" fontId="63" fillId="2" borderId="2" xfId="82" applyNumberFormat="1" applyFont="1" applyFill="1" applyBorder="1" applyAlignment="1" applyProtection="1">
      <alignment vertical="center"/>
    </xf>
    <xf numFmtId="218" fontId="110" fillId="2" borderId="162" xfId="82" applyNumberFormat="1" applyFont="1" applyFill="1" applyBorder="1" applyAlignment="1" applyProtection="1">
      <alignment vertical="center"/>
    </xf>
    <xf numFmtId="218" fontId="110" fillId="2" borderId="96" xfId="82" applyNumberFormat="1" applyFont="1" applyFill="1" applyBorder="1" applyAlignment="1" applyProtection="1">
      <alignment vertical="center"/>
    </xf>
    <xf numFmtId="218" fontId="110" fillId="2" borderId="180" xfId="82" applyNumberFormat="1" applyFont="1" applyFill="1" applyBorder="1" applyAlignment="1" applyProtection="1">
      <alignment vertical="center"/>
    </xf>
    <xf numFmtId="0" fontId="67" fillId="2" borderId="81" xfId="82" applyFont="1" applyFill="1" applyBorder="1" applyAlignment="1" applyProtection="1">
      <alignment horizontal="center" vertical="center"/>
    </xf>
    <xf numFmtId="215" fontId="63" fillId="2" borderId="26" xfId="82" applyNumberFormat="1" applyFont="1" applyFill="1" applyBorder="1" applyAlignment="1" applyProtection="1">
      <alignment vertical="center"/>
    </xf>
    <xf numFmtId="215" fontId="109" fillId="2" borderId="97" xfId="82" applyNumberFormat="1" applyFont="1" applyFill="1" applyBorder="1" applyAlignment="1" applyProtection="1">
      <alignment horizontal="right" vertical="center"/>
    </xf>
    <xf numFmtId="215" fontId="109" fillId="2" borderId="31" xfId="82" applyNumberFormat="1" applyFont="1" applyFill="1" applyBorder="1" applyAlignment="1" applyProtection="1">
      <alignment horizontal="right" vertical="center"/>
    </xf>
    <xf numFmtId="215" fontId="109" fillId="0" borderId="31" xfId="82" applyNumberFormat="1" applyFont="1" applyFill="1" applyBorder="1" applyAlignment="1" applyProtection="1">
      <alignment horizontal="right" vertical="center"/>
    </xf>
    <xf numFmtId="215" fontId="109" fillId="2" borderId="233" xfId="82" applyNumberFormat="1" applyFont="1" applyFill="1" applyBorder="1" applyAlignment="1" applyProtection="1">
      <alignment horizontal="right" vertical="center"/>
    </xf>
    <xf numFmtId="215" fontId="110" fillId="2" borderId="2" xfId="82" applyNumberFormat="1" applyFont="1" applyFill="1" applyBorder="1" applyAlignment="1" applyProtection="1">
      <alignment vertical="center"/>
    </xf>
    <xf numFmtId="215" fontId="110" fillId="2" borderId="169" xfId="82" applyNumberFormat="1" applyFont="1" applyFill="1" applyBorder="1" applyAlignment="1" applyProtection="1">
      <alignment vertical="center"/>
    </xf>
    <xf numFmtId="215" fontId="69" fillId="2" borderId="26" xfId="82" applyNumberFormat="1" applyFont="1" applyFill="1" applyBorder="1" applyAlignment="1" applyProtection="1">
      <alignment vertical="center"/>
    </xf>
    <xf numFmtId="215" fontId="69" fillId="2" borderId="24" xfId="82" applyNumberFormat="1" applyFont="1" applyFill="1" applyBorder="1" applyAlignment="1" applyProtection="1">
      <alignment vertical="center"/>
    </xf>
    <xf numFmtId="0" fontId="69" fillId="2" borderId="235" xfId="82" applyFont="1" applyFill="1" applyBorder="1" applyAlignment="1" applyProtection="1">
      <alignment vertical="center"/>
    </xf>
    <xf numFmtId="215" fontId="63" fillId="0" borderId="26" xfId="82" applyNumberFormat="1" applyFont="1" applyFill="1" applyBorder="1" applyAlignment="1" applyProtection="1">
      <alignment vertical="center"/>
    </xf>
    <xf numFmtId="0" fontId="63" fillId="2" borderId="234" xfId="82" applyFont="1" applyFill="1" applyBorder="1" applyAlignment="1" applyProtection="1">
      <alignment vertical="center"/>
    </xf>
    <xf numFmtId="215" fontId="63" fillId="2" borderId="0" xfId="82" applyNumberFormat="1" applyFont="1" applyFill="1" applyBorder="1" applyAlignment="1" applyProtection="1">
      <alignment horizontal="left" vertical="center"/>
    </xf>
    <xf numFmtId="0" fontId="63" fillId="2" borderId="162" xfId="82" applyFont="1" applyFill="1" applyBorder="1" applyAlignment="1" applyProtection="1">
      <alignment vertical="center"/>
    </xf>
    <xf numFmtId="0" fontId="63" fillId="2" borderId="180" xfId="82" applyFont="1" applyFill="1" applyBorder="1" applyAlignment="1" applyProtection="1">
      <alignment vertical="center"/>
    </xf>
    <xf numFmtId="0" fontId="63" fillId="2" borderId="78" xfId="82" applyFont="1" applyFill="1" applyBorder="1" applyAlignment="1" applyProtection="1">
      <alignment vertical="center"/>
    </xf>
    <xf numFmtId="0" fontId="63" fillId="2" borderId="160" xfId="82" applyFont="1" applyFill="1" applyBorder="1" applyAlignment="1" applyProtection="1">
      <alignment vertical="center"/>
    </xf>
    <xf numFmtId="215" fontId="63" fillId="2" borderId="161" xfId="82" applyNumberFormat="1" applyFont="1" applyFill="1" applyBorder="1" applyAlignment="1" applyProtection="1">
      <alignment vertical="center"/>
    </xf>
    <xf numFmtId="215" fontId="68" fillId="2" borderId="49" xfId="82" applyNumberFormat="1" applyFont="1" applyFill="1" applyBorder="1" applyAlignment="1" applyProtection="1">
      <alignment vertical="center"/>
    </xf>
    <xf numFmtId="0" fontId="63" fillId="6" borderId="64" xfId="82" applyFont="1" applyFill="1" applyBorder="1" applyAlignment="1" applyProtection="1">
      <alignment horizontal="center" vertical="center"/>
    </xf>
    <xf numFmtId="0" fontId="63" fillId="2" borderId="47" xfId="82" applyFont="1" applyFill="1" applyBorder="1" applyAlignment="1" applyProtection="1">
      <alignment horizontal="center" vertical="center" wrapText="1"/>
    </xf>
    <xf numFmtId="215" fontId="63" fillId="2" borderId="7" xfId="82" applyNumberFormat="1" applyFont="1" applyFill="1" applyBorder="1" applyAlignment="1" applyProtection="1">
      <alignment horizontal="center" vertical="center" wrapText="1"/>
    </xf>
    <xf numFmtId="215" fontId="63" fillId="2" borderId="8" xfId="82" applyNumberFormat="1" applyFont="1" applyFill="1" applyBorder="1" applyAlignment="1" applyProtection="1">
      <alignment vertical="center"/>
    </xf>
    <xf numFmtId="215" fontId="109" fillId="2" borderId="40" xfId="82" applyNumberFormat="1" applyFont="1" applyFill="1" applyBorder="1" applyAlignment="1" applyProtection="1">
      <alignment horizontal="right" vertical="center"/>
    </xf>
    <xf numFmtId="215" fontId="109" fillId="2" borderId="57" xfId="82" applyNumberFormat="1" applyFont="1" applyFill="1" applyBorder="1" applyAlignment="1" applyProtection="1">
      <alignment horizontal="right" vertical="center"/>
    </xf>
    <xf numFmtId="215" fontId="109" fillId="2" borderId="111" xfId="82" applyNumberFormat="1" applyFont="1" applyFill="1" applyBorder="1" applyAlignment="1" applyProtection="1">
      <alignment horizontal="right" vertical="center"/>
    </xf>
    <xf numFmtId="215" fontId="109" fillId="2" borderId="179" xfId="82" applyNumberFormat="1" applyFont="1" applyFill="1" applyBorder="1" applyAlignment="1" applyProtection="1">
      <alignment horizontal="right" vertical="center"/>
    </xf>
    <xf numFmtId="215" fontId="68" fillId="2" borderId="2" xfId="82" applyNumberFormat="1" applyFont="1" applyFill="1" applyBorder="1" applyAlignment="1" applyProtection="1">
      <alignment vertical="center"/>
    </xf>
    <xf numFmtId="215" fontId="68" fillId="2" borderId="8" xfId="82" applyNumberFormat="1" applyFont="1" applyFill="1" applyBorder="1" applyAlignment="1" applyProtection="1">
      <alignment vertical="center"/>
    </xf>
    <xf numFmtId="215" fontId="63" fillId="6" borderId="37" xfId="82" applyNumberFormat="1" applyFont="1" applyFill="1" applyBorder="1" applyAlignment="1" applyProtection="1">
      <alignment horizontal="right" vertical="center"/>
    </xf>
    <xf numFmtId="215" fontId="68" fillId="2" borderId="7" xfId="82" applyNumberFormat="1" applyFont="1" applyFill="1" applyBorder="1" applyAlignment="1" applyProtection="1">
      <alignment vertical="center"/>
    </xf>
    <xf numFmtId="215" fontId="68" fillId="2" borderId="169" xfId="82" applyNumberFormat="1" applyFont="1" applyFill="1" applyBorder="1" applyAlignment="1" applyProtection="1">
      <alignment vertical="center"/>
    </xf>
    <xf numFmtId="215" fontId="63" fillId="2" borderId="21" xfId="82" applyNumberFormat="1" applyFont="1" applyFill="1" applyBorder="1" applyAlignment="1" applyProtection="1">
      <alignment vertical="center"/>
    </xf>
    <xf numFmtId="218" fontId="110" fillId="2" borderId="40" xfId="82" applyNumberFormat="1" applyFont="1" applyFill="1" applyBorder="1" applyAlignment="1" applyProtection="1">
      <alignment vertical="center"/>
    </xf>
    <xf numFmtId="218" fontId="110" fillId="2" borderId="57" xfId="82" applyNumberFormat="1" applyFont="1" applyFill="1" applyBorder="1" applyAlignment="1" applyProtection="1">
      <alignment vertical="center"/>
    </xf>
    <xf numFmtId="218" fontId="110" fillId="2" borderId="111" xfId="82" applyNumberFormat="1" applyFont="1" applyFill="1" applyBorder="1" applyAlignment="1" applyProtection="1">
      <alignment vertical="center"/>
    </xf>
    <xf numFmtId="218" fontId="110" fillId="2" borderId="179" xfId="82" applyNumberFormat="1" applyFont="1" applyFill="1" applyBorder="1" applyAlignment="1" applyProtection="1">
      <alignment vertical="center"/>
    </xf>
    <xf numFmtId="215" fontId="110" fillId="2" borderId="25" xfId="82" applyNumberFormat="1" applyFont="1" applyFill="1" applyBorder="1" applyAlignment="1" applyProtection="1">
      <alignment vertical="center"/>
    </xf>
    <xf numFmtId="215" fontId="63" fillId="2" borderId="25" xfId="82" applyNumberFormat="1" applyFont="1" applyFill="1" applyBorder="1" applyAlignment="1" applyProtection="1">
      <alignment vertical="center"/>
    </xf>
    <xf numFmtId="215" fontId="109" fillId="2" borderId="192" xfId="82" applyNumberFormat="1" applyFont="1" applyFill="1" applyBorder="1" applyAlignment="1" applyProtection="1">
      <alignment horizontal="right" vertical="center"/>
    </xf>
    <xf numFmtId="215" fontId="68" fillId="2" borderId="193" xfId="82" applyNumberFormat="1" applyFont="1" applyFill="1" applyBorder="1" applyAlignment="1" applyProtection="1">
      <alignment vertical="center"/>
    </xf>
    <xf numFmtId="0" fontId="63" fillId="0" borderId="192" xfId="82" applyFont="1" applyBorder="1" applyAlignment="1" applyProtection="1">
      <alignment vertical="center"/>
    </xf>
    <xf numFmtId="0" fontId="66" fillId="2" borderId="0" xfId="82" applyFont="1" applyFill="1" applyAlignment="1" applyProtection="1">
      <alignment vertical="center"/>
    </xf>
    <xf numFmtId="0" fontId="116" fillId="2" borderId="37" xfId="82" applyFont="1" applyFill="1" applyBorder="1" applyAlignment="1" applyProtection="1">
      <alignment horizontal="left" vertical="center"/>
    </xf>
    <xf numFmtId="0" fontId="67" fillId="2" borderId="0" xfId="82" applyFont="1" applyFill="1" applyBorder="1" applyAlignment="1" applyProtection="1">
      <alignment horizontal="center" vertical="center" wrapText="1" shrinkToFit="1"/>
    </xf>
    <xf numFmtId="38" fontId="110" fillId="2" borderId="0" xfId="9" applyFont="1" applyFill="1" applyBorder="1" applyAlignment="1" applyProtection="1">
      <alignment vertical="center"/>
    </xf>
    <xf numFmtId="215" fontId="135" fillId="2" borderId="0" xfId="82" applyNumberFormat="1" applyFont="1" applyFill="1" applyBorder="1" applyAlignment="1" applyProtection="1">
      <alignment vertical="center"/>
    </xf>
    <xf numFmtId="216" fontId="135" fillId="2" borderId="0" xfId="82" applyNumberFormat="1" applyFont="1" applyFill="1" applyBorder="1" applyAlignment="1" applyProtection="1">
      <alignment horizontal="center" vertical="center"/>
    </xf>
    <xf numFmtId="0" fontId="116" fillId="2" borderId="37" xfId="82" applyFont="1" applyFill="1" applyBorder="1" applyAlignment="1" applyProtection="1">
      <alignment vertical="center"/>
    </xf>
    <xf numFmtId="0" fontId="51" fillId="2" borderId="37" xfId="82" applyFont="1" applyFill="1" applyBorder="1" applyAlignment="1" applyProtection="1">
      <alignment vertical="center"/>
    </xf>
    <xf numFmtId="0" fontId="79" fillId="2" borderId="0" xfId="84" applyFont="1" applyFill="1" applyBorder="1" applyAlignment="1" applyProtection="1">
      <alignment horizontal="center" vertical="center"/>
    </xf>
    <xf numFmtId="0" fontId="80" fillId="4" borderId="25" xfId="58" applyFont="1" applyFill="1" applyBorder="1" applyAlignment="1" applyProtection="1">
      <alignment horizontal="center" vertical="center" shrinkToFit="1"/>
      <protection locked="0"/>
    </xf>
    <xf numFmtId="0" fontId="80" fillId="4" borderId="24" xfId="58" applyFont="1" applyFill="1" applyBorder="1" applyAlignment="1" applyProtection="1">
      <alignment horizontal="center" vertical="center" shrinkToFit="1"/>
      <protection locked="0"/>
    </xf>
    <xf numFmtId="0" fontId="79" fillId="0" borderId="24" xfId="84" applyFont="1" applyBorder="1" applyAlignment="1" applyProtection="1">
      <alignment horizontal="center" vertical="center"/>
    </xf>
    <xf numFmtId="10" fontId="79" fillId="0" borderId="26" xfId="84" applyNumberFormat="1" applyFont="1" applyBorder="1" applyProtection="1">
      <alignment vertical="center"/>
    </xf>
    <xf numFmtId="0" fontId="79" fillId="2" borderId="21" xfId="84" applyFont="1" applyFill="1" applyBorder="1" applyAlignment="1" applyProtection="1">
      <alignment vertical="center"/>
    </xf>
    <xf numFmtId="0" fontId="79" fillId="2" borderId="16" xfId="84" applyFont="1" applyFill="1" applyBorder="1" applyAlignment="1" applyProtection="1">
      <alignment vertical="center"/>
    </xf>
    <xf numFmtId="0" fontId="79" fillId="2" borderId="13" xfId="84" applyFont="1" applyFill="1" applyBorder="1" applyAlignment="1" applyProtection="1">
      <alignment vertical="center"/>
    </xf>
    <xf numFmtId="0" fontId="79" fillId="2" borderId="14" xfId="84" applyFont="1" applyFill="1" applyBorder="1" applyAlignment="1" applyProtection="1">
      <alignment vertical="center"/>
    </xf>
    <xf numFmtId="0" fontId="79" fillId="2" borderId="3" xfId="84" applyFont="1" applyFill="1" applyBorder="1" applyAlignment="1" applyProtection="1">
      <alignment vertical="center"/>
    </xf>
    <xf numFmtId="0" fontId="79" fillId="2" borderId="10" xfId="84" applyFont="1" applyFill="1" applyBorder="1" applyAlignment="1" applyProtection="1">
      <alignment vertical="center"/>
    </xf>
    <xf numFmtId="0" fontId="78" fillId="0" borderId="0" xfId="84" applyFont="1" applyProtection="1">
      <alignment vertical="center"/>
    </xf>
    <xf numFmtId="0" fontId="121" fillId="2" borderId="0" xfId="82" applyFont="1" applyFill="1" applyAlignment="1" applyProtection="1">
      <alignment horizontal="center" vertical="center" shrinkToFit="1"/>
    </xf>
    <xf numFmtId="0" fontId="79" fillId="0" borderId="48" xfId="84" applyFont="1" applyBorder="1" applyAlignment="1" applyProtection="1">
      <alignment horizontal="center" vertical="center" wrapText="1"/>
    </xf>
    <xf numFmtId="0" fontId="27" fillId="0" borderId="50" xfId="84" applyFont="1" applyBorder="1" applyAlignment="1" applyProtection="1">
      <alignment vertical="center" shrinkToFit="1"/>
    </xf>
    <xf numFmtId="0" fontId="27" fillId="0" borderId="53" xfId="84" applyFont="1" applyBorder="1" applyAlignment="1" applyProtection="1">
      <alignment vertical="center" shrinkToFit="1"/>
    </xf>
    <xf numFmtId="0" fontId="79" fillId="0" borderId="14" xfId="84" applyFont="1" applyBorder="1" applyAlignment="1" applyProtection="1">
      <alignment horizontal="center" vertical="center" wrapText="1"/>
    </xf>
    <xf numFmtId="0" fontId="27" fillId="0" borderId="24" xfId="84" applyFont="1" applyBorder="1" applyAlignment="1" applyProtection="1">
      <alignment vertical="center" shrinkToFit="1"/>
    </xf>
    <xf numFmtId="0" fontId="27" fillId="0" borderId="103" xfId="84" applyFont="1" applyBorder="1" applyAlignment="1" applyProtection="1">
      <alignment vertical="center" shrinkToFit="1"/>
    </xf>
    <xf numFmtId="0" fontId="80" fillId="0" borderId="47" xfId="84" applyFont="1" applyBorder="1" applyAlignment="1" applyProtection="1">
      <alignment vertical="center" wrapText="1"/>
    </xf>
    <xf numFmtId="0" fontId="79" fillId="0" borderId="48" xfId="84" applyFont="1" applyBorder="1" applyAlignment="1" applyProtection="1">
      <alignment vertical="center" wrapText="1"/>
    </xf>
    <xf numFmtId="0" fontId="80" fillId="0" borderId="49" xfId="84" applyFont="1" applyBorder="1" applyAlignment="1" applyProtection="1">
      <alignment vertical="center" shrinkToFit="1"/>
    </xf>
    <xf numFmtId="0" fontId="5" fillId="0" borderId="50" xfId="58" applyBorder="1" applyProtection="1">
      <alignment vertical="center"/>
    </xf>
    <xf numFmtId="0" fontId="5" fillId="0" borderId="245" xfId="58" applyBorder="1" applyProtection="1">
      <alignment vertical="center"/>
    </xf>
    <xf numFmtId="0" fontId="80" fillId="0" borderId="52" xfId="84" applyFont="1" applyBorder="1" applyProtection="1">
      <alignment vertical="center"/>
    </xf>
    <xf numFmtId="215" fontId="27" fillId="0" borderId="38" xfId="84" applyNumberFormat="1" applyFont="1" applyBorder="1" applyAlignment="1" applyProtection="1">
      <alignment vertical="center" shrinkToFit="1"/>
    </xf>
    <xf numFmtId="0" fontId="80" fillId="0" borderId="38" xfId="84" applyFont="1" applyBorder="1" applyProtection="1">
      <alignment vertical="center"/>
    </xf>
    <xf numFmtId="0" fontId="80" fillId="0" borderId="53" xfId="84" applyFont="1" applyBorder="1" applyProtection="1">
      <alignment vertical="center"/>
    </xf>
    <xf numFmtId="38" fontId="89" fillId="0" borderId="26" xfId="47" applyNumberFormat="1" applyFont="1" applyBorder="1" applyAlignment="1" applyProtection="1">
      <alignment vertical="center"/>
    </xf>
    <xf numFmtId="0" fontId="79" fillId="2" borderId="0" xfId="84" applyFont="1" applyFill="1" applyBorder="1" applyAlignment="1" applyProtection="1">
      <alignment horizontal="center" vertical="center"/>
    </xf>
    <xf numFmtId="0" fontId="63" fillId="2" borderId="91" xfId="82" applyFont="1" applyFill="1" applyBorder="1" applyAlignment="1" applyProtection="1">
      <alignment vertical="center"/>
    </xf>
    <xf numFmtId="38" fontId="87" fillId="2" borderId="25" xfId="9" applyFont="1" applyFill="1" applyBorder="1" applyAlignment="1" applyProtection="1">
      <alignment vertical="center" shrinkToFit="1"/>
    </xf>
    <xf numFmtId="0" fontId="80" fillId="4" borderId="25" xfId="58" applyFont="1" applyFill="1" applyBorder="1" applyAlignment="1" applyProtection="1">
      <alignment horizontal="center" vertical="center" shrinkToFit="1"/>
      <protection locked="0"/>
    </xf>
    <xf numFmtId="0" fontId="80" fillId="4" borderId="24" xfId="58" applyFont="1" applyFill="1" applyBorder="1" applyAlignment="1" applyProtection="1">
      <alignment horizontal="center" vertical="center" shrinkToFit="1"/>
      <protection locked="0"/>
    </xf>
    <xf numFmtId="38" fontId="89" fillId="2" borderId="0" xfId="58" applyNumberFormat="1" applyFont="1" applyFill="1" applyBorder="1" applyAlignment="1" applyProtection="1">
      <alignment vertical="center"/>
    </xf>
    <xf numFmtId="0" fontId="79" fillId="2" borderId="246" xfId="84" applyFont="1" applyFill="1" applyBorder="1" applyProtection="1">
      <alignment vertical="center"/>
    </xf>
    <xf numFmtId="0" fontId="79" fillId="2" borderId="211" xfId="84" applyFont="1" applyFill="1" applyBorder="1" applyProtection="1">
      <alignment vertical="center"/>
    </xf>
    <xf numFmtId="0" fontId="80" fillId="2" borderId="2" xfId="58" applyFont="1" applyFill="1" applyBorder="1" applyAlignment="1" applyProtection="1">
      <alignment horizontal="center" vertical="center" shrinkToFit="1"/>
    </xf>
    <xf numFmtId="0" fontId="63" fillId="2" borderId="25" xfId="82" applyFont="1" applyFill="1" applyBorder="1" applyAlignment="1" applyProtection="1">
      <alignment horizontal="center" vertical="center"/>
    </xf>
    <xf numFmtId="0" fontId="69" fillId="2" borderId="100" xfId="58" applyFont="1" applyFill="1" applyBorder="1" applyAlignment="1" applyProtection="1">
      <alignment horizontal="left" vertical="center"/>
    </xf>
    <xf numFmtId="216" fontId="69" fillId="2" borderId="228" xfId="82" applyNumberFormat="1" applyFont="1" applyFill="1" applyBorder="1" applyAlignment="1" applyProtection="1">
      <alignment vertical="center"/>
    </xf>
    <xf numFmtId="216" fontId="69" fillId="2" borderId="229" xfId="82" applyNumberFormat="1" applyFont="1" applyFill="1" applyBorder="1" applyAlignment="1" applyProtection="1">
      <alignment vertical="center"/>
    </xf>
    <xf numFmtId="216" fontId="69" fillId="2" borderId="221" xfId="82" applyNumberFormat="1" applyFont="1" applyFill="1" applyBorder="1" applyAlignment="1" applyProtection="1">
      <alignment vertical="center"/>
    </xf>
    <xf numFmtId="38" fontId="87" fillId="2" borderId="26" xfId="9" applyFont="1" applyFill="1" applyBorder="1" applyAlignment="1" applyProtection="1">
      <alignment vertical="center" shrinkToFit="1"/>
    </xf>
    <xf numFmtId="0" fontId="79" fillId="2" borderId="0" xfId="84" applyFont="1" applyFill="1" applyBorder="1" applyAlignment="1" applyProtection="1">
      <alignment vertical="top"/>
    </xf>
    <xf numFmtId="0" fontId="79" fillId="2" borderId="0" xfId="84" applyFont="1" applyFill="1" applyBorder="1" applyAlignment="1" applyProtection="1">
      <alignment horizontal="center" vertical="center"/>
    </xf>
    <xf numFmtId="0" fontId="79" fillId="2" borderId="8" xfId="84" applyFont="1" applyFill="1" applyBorder="1" applyProtection="1">
      <alignment vertical="center"/>
    </xf>
    <xf numFmtId="0" fontId="32" fillId="2" borderId="3" xfId="0" applyFont="1" applyFill="1" applyBorder="1" applyAlignment="1" applyProtection="1">
      <alignment horizontal="center" vertical="center" shrinkToFit="1"/>
    </xf>
    <xf numFmtId="0" fontId="32" fillId="2" borderId="21" xfId="0" applyFont="1" applyFill="1" applyBorder="1" applyAlignment="1" applyProtection="1">
      <alignment vertical="center" shrinkToFit="1"/>
    </xf>
    <xf numFmtId="0" fontId="32" fillId="2" borderId="13" xfId="0" applyFont="1" applyFill="1" applyBorder="1" applyAlignment="1" applyProtection="1">
      <alignment vertical="center" shrinkToFit="1"/>
    </xf>
    <xf numFmtId="0" fontId="0" fillId="2" borderId="26" xfId="0" applyFill="1" applyBorder="1" applyAlignment="1">
      <alignment horizontal="right" vertical="center"/>
    </xf>
    <xf numFmtId="0" fontId="0" fillId="2" borderId="26" xfId="0" applyFill="1" applyBorder="1" applyAlignment="1">
      <alignment vertical="center"/>
    </xf>
    <xf numFmtId="0" fontId="0" fillId="2" borderId="26" xfId="0" applyFill="1" applyBorder="1" applyAlignment="1">
      <alignment vertical="center" wrapText="1"/>
    </xf>
    <xf numFmtId="0" fontId="0" fillId="2" borderId="9" xfId="0" applyFill="1" applyBorder="1" applyAlignment="1">
      <alignment vertical="center"/>
    </xf>
    <xf numFmtId="0" fontId="0" fillId="2" borderId="9" xfId="0" applyFill="1" applyBorder="1" applyAlignment="1">
      <alignment horizontal="right" vertical="center"/>
    </xf>
    <xf numFmtId="0" fontId="0" fillId="2" borderId="6" xfId="0" applyFill="1" applyBorder="1" applyAlignment="1">
      <alignment vertical="center" wrapText="1"/>
    </xf>
    <xf numFmtId="0" fontId="131" fillId="0" borderId="10" xfId="51" applyFont="1" applyFill="1" applyBorder="1" applyAlignment="1">
      <alignment vertical="center" wrapText="1"/>
    </xf>
    <xf numFmtId="0" fontId="131" fillId="0" borderId="14" xfId="51" applyFont="1" applyFill="1" applyBorder="1" applyAlignment="1">
      <alignment vertical="center" wrapText="1"/>
    </xf>
    <xf numFmtId="177" fontId="130" fillId="0" borderId="0" xfId="58" applyNumberFormat="1" applyFont="1" applyFill="1" applyBorder="1" applyAlignment="1">
      <alignment horizontal="center" vertical="center"/>
    </xf>
    <xf numFmtId="3" fontId="130" fillId="2" borderId="27" xfId="58" applyNumberFormat="1" applyFont="1" applyFill="1" applyBorder="1" applyAlignment="1">
      <alignment horizontal="distributed" vertical="center"/>
    </xf>
    <xf numFmtId="3" fontId="130" fillId="2" borderId="3" xfId="58" applyNumberFormat="1" applyFont="1" applyFill="1" applyBorder="1" applyAlignment="1">
      <alignment horizontal="distributed" vertical="center"/>
    </xf>
    <xf numFmtId="179" fontId="130" fillId="2" borderId="3" xfId="58" applyNumberFormat="1" applyFont="1" applyFill="1" applyBorder="1" applyAlignment="1">
      <alignment vertical="center"/>
    </xf>
    <xf numFmtId="179" fontId="130" fillId="2" borderId="11" xfId="58" applyNumberFormat="1" applyFont="1" applyFill="1" applyBorder="1" applyAlignment="1">
      <alignment vertical="center"/>
    </xf>
    <xf numFmtId="3" fontId="130" fillId="2" borderId="31" xfId="58" applyNumberFormat="1" applyFont="1" applyFill="1" applyBorder="1" applyAlignment="1">
      <alignment horizontal="distributed" vertical="center"/>
    </xf>
    <xf numFmtId="3" fontId="130" fillId="2" borderId="29" xfId="58" applyNumberFormat="1" applyFont="1" applyFill="1" applyBorder="1" applyAlignment="1">
      <alignment horizontal="distributed" vertical="center"/>
    </xf>
    <xf numFmtId="0" fontId="131" fillId="0" borderId="0" xfId="0" applyFont="1" applyFill="1" applyAlignment="1">
      <alignment horizontal="center" vertical="center"/>
    </xf>
    <xf numFmtId="0" fontId="131" fillId="0" borderId="0" xfId="0" applyFont="1" applyFill="1" applyBorder="1" applyAlignment="1">
      <alignment vertical="center" wrapText="1"/>
    </xf>
    <xf numFmtId="0" fontId="131" fillId="0" borderId="25" xfId="0" applyFont="1" applyFill="1" applyBorder="1" applyAlignment="1">
      <alignment vertical="center" wrapText="1"/>
    </xf>
    <xf numFmtId="0" fontId="131" fillId="0" borderId="24" xfId="0" applyFont="1" applyFill="1" applyBorder="1" applyAlignment="1">
      <alignment vertical="center" wrapText="1"/>
    </xf>
    <xf numFmtId="0" fontId="131" fillId="0" borderId="0" xfId="51" applyFont="1" applyFill="1" applyBorder="1" applyAlignment="1">
      <alignment vertical="center" wrapText="1"/>
    </xf>
    <xf numFmtId="3" fontId="130" fillId="0" borderId="27" xfId="58" applyNumberFormat="1" applyFont="1" applyFill="1" applyBorder="1" applyAlignment="1">
      <alignment horizontal="distributed" vertical="center"/>
    </xf>
    <xf numFmtId="3" fontId="130" fillId="0" borderId="3" xfId="58" applyNumberFormat="1" applyFont="1" applyFill="1" applyBorder="1" applyAlignment="1">
      <alignment horizontal="distributed" vertical="center"/>
    </xf>
    <xf numFmtId="177" fontId="130" fillId="0" borderId="3" xfId="58" applyNumberFormat="1" applyFont="1" applyFill="1" applyBorder="1" applyAlignment="1">
      <alignment vertical="center"/>
    </xf>
    <xf numFmtId="177" fontId="130" fillId="0" borderId="0" xfId="58" applyNumberFormat="1" applyFont="1" applyFill="1" applyBorder="1" applyAlignment="1">
      <alignment horizontal="center" vertical="center" wrapText="1"/>
    </xf>
    <xf numFmtId="3" fontId="130" fillId="0" borderId="29" xfId="58" applyNumberFormat="1" applyFont="1" applyFill="1" applyBorder="1" applyAlignment="1">
      <alignment horizontal="distributed" vertical="center"/>
    </xf>
    <xf numFmtId="0" fontId="138" fillId="0" borderId="0" xfId="58" applyFont="1" applyFill="1">
      <alignment vertical="center"/>
    </xf>
    <xf numFmtId="0" fontId="131" fillId="0" borderId="0" xfId="51" applyFont="1" applyFill="1" applyAlignment="1">
      <alignment horizontal="center" vertical="center"/>
    </xf>
    <xf numFmtId="0" fontId="131" fillId="0" borderId="2" xfId="51" applyFont="1" applyFill="1" applyBorder="1" applyAlignment="1">
      <alignment horizontal="center" vertical="center"/>
    </xf>
    <xf numFmtId="0" fontId="131" fillId="0" borderId="25" xfId="51" applyFont="1" applyFill="1" applyBorder="1" applyAlignment="1">
      <alignment vertical="center" wrapText="1"/>
    </xf>
    <xf numFmtId="0" fontId="131" fillId="0" borderId="24" xfId="51" applyFont="1" applyFill="1" applyBorder="1" applyAlignment="1">
      <alignment vertical="center" wrapText="1"/>
    </xf>
    <xf numFmtId="0" fontId="140" fillId="0" borderId="0" xfId="0" applyFont="1" applyFill="1" applyBorder="1" applyAlignment="1">
      <alignment vertical="center" wrapText="1"/>
    </xf>
    <xf numFmtId="3" fontId="130" fillId="0" borderId="31" xfId="58" applyNumberFormat="1" applyFont="1" applyFill="1" applyBorder="1" applyAlignment="1">
      <alignment horizontal="distributed" vertical="center"/>
    </xf>
    <xf numFmtId="178" fontId="131" fillId="0" borderId="0" xfId="0" applyNumberFormat="1" applyFont="1" applyFill="1" applyAlignment="1">
      <alignment vertical="center"/>
    </xf>
    <xf numFmtId="0" fontId="93" fillId="2" borderId="0" xfId="86" applyFont="1" applyFill="1" applyAlignment="1" applyProtection="1">
      <alignment horizontal="center"/>
    </xf>
    <xf numFmtId="0" fontId="5" fillId="2" borderId="26" xfId="86" applyFill="1" applyBorder="1" applyAlignment="1" applyProtection="1">
      <alignment vertical="center"/>
    </xf>
    <xf numFmtId="0" fontId="95" fillId="2" borderId="26" xfId="86" applyFont="1" applyFill="1" applyBorder="1" applyAlignment="1" applyProtection="1">
      <alignment vertical="center" shrinkToFit="1"/>
    </xf>
    <xf numFmtId="0" fontId="20" fillId="2" borderId="256" xfId="86" applyFont="1" applyFill="1" applyBorder="1" applyAlignment="1" applyProtection="1">
      <alignment horizontal="center" vertical="center"/>
    </xf>
    <xf numFmtId="0" fontId="5" fillId="2" borderId="93" xfId="86" applyFill="1" applyBorder="1" applyAlignment="1" applyProtection="1">
      <alignment horizontal="center" vertical="center"/>
    </xf>
    <xf numFmtId="0" fontId="36" fillId="7" borderId="26" xfId="0" applyFont="1" applyFill="1" applyBorder="1" applyAlignment="1" applyProtection="1">
      <alignment horizontal="center" vertical="center" shrinkToFit="1"/>
    </xf>
    <xf numFmtId="0" fontId="32" fillId="7" borderId="26" xfId="0" applyFont="1" applyFill="1" applyBorder="1" applyAlignment="1" applyProtection="1">
      <alignment horizontal="center" vertical="center" shrinkToFit="1"/>
    </xf>
    <xf numFmtId="178" fontId="6" fillId="0" borderId="40" xfId="58" applyNumberFormat="1" applyFont="1" applyBorder="1" applyAlignment="1">
      <alignment horizontal="right" vertical="center"/>
    </xf>
    <xf numFmtId="177" fontId="6" fillId="0" borderId="41" xfId="58" applyNumberFormat="1" applyFont="1" applyBorder="1" applyAlignment="1">
      <alignment horizontal="right" vertical="center"/>
    </xf>
    <xf numFmtId="177" fontId="6" fillId="0" borderId="10" xfId="58" applyNumberFormat="1" applyFont="1" applyBorder="1" applyAlignment="1">
      <alignment horizontal="center" vertical="center"/>
    </xf>
    <xf numFmtId="178" fontId="6" fillId="0" borderId="40" xfId="58" applyNumberFormat="1" applyFont="1" applyBorder="1" applyAlignment="1">
      <alignment horizontal="right" vertical="center" wrapText="1"/>
    </xf>
    <xf numFmtId="177" fontId="6" fillId="0" borderId="43" xfId="58" applyNumberFormat="1" applyFont="1" applyBorder="1" applyAlignment="1">
      <alignment horizontal="right" vertical="center" wrapText="1"/>
    </xf>
    <xf numFmtId="177" fontId="6" fillId="0" borderId="28" xfId="58" applyNumberFormat="1" applyFont="1" applyBorder="1" applyAlignment="1">
      <alignment horizontal="center" vertical="center" wrapText="1"/>
    </xf>
    <xf numFmtId="177" fontId="6" fillId="0" borderId="40" xfId="58" applyNumberFormat="1" applyFont="1" applyBorder="1" applyAlignment="1">
      <alignment horizontal="right" vertical="center" wrapText="1"/>
    </xf>
    <xf numFmtId="180" fontId="6" fillId="0" borderId="27" xfId="58" applyNumberFormat="1" applyFont="1" applyBorder="1" applyAlignment="1">
      <alignment vertical="center" wrapText="1"/>
    </xf>
    <xf numFmtId="178" fontId="6" fillId="0" borderId="9" xfId="58" applyNumberFormat="1" applyFont="1" applyBorder="1">
      <alignment vertical="center"/>
    </xf>
    <xf numFmtId="179" fontId="6" fillId="0" borderId="9" xfId="58" applyNumberFormat="1" applyFont="1" applyBorder="1">
      <alignment vertical="center"/>
    </xf>
    <xf numFmtId="179" fontId="6" fillId="0" borderId="3" xfId="58" applyNumberFormat="1" applyFont="1" applyBorder="1">
      <alignment vertical="center"/>
    </xf>
    <xf numFmtId="178" fontId="6" fillId="0" borderId="28" xfId="58" applyNumberFormat="1" applyFont="1" applyBorder="1">
      <alignment vertical="center"/>
    </xf>
    <xf numFmtId="178" fontId="6" fillId="0" borderId="21" xfId="58" applyNumberFormat="1" applyFont="1" applyBorder="1" applyAlignment="1">
      <alignment horizontal="center" vertical="center" wrapText="1"/>
    </xf>
    <xf numFmtId="178" fontId="6" fillId="0" borderId="61" xfId="58" applyNumberFormat="1" applyFont="1" applyBorder="1" applyAlignment="1">
      <alignment horizontal="right" vertical="center" wrapText="1"/>
    </xf>
    <xf numFmtId="178" fontId="6" fillId="0" borderId="62" xfId="58" applyNumberFormat="1" applyFont="1" applyBorder="1" applyAlignment="1">
      <alignment horizontal="right" vertical="center" wrapText="1"/>
    </xf>
    <xf numFmtId="178" fontId="6" fillId="2" borderId="9" xfId="58" applyNumberFormat="1" applyFont="1" applyFill="1" applyBorder="1" applyAlignment="1">
      <alignment wrapText="1"/>
    </xf>
    <xf numFmtId="178" fontId="6" fillId="0" borderId="57" xfId="58" applyNumberFormat="1" applyFont="1" applyBorder="1" applyAlignment="1">
      <alignment horizontal="right" vertical="center"/>
    </xf>
    <xf numFmtId="177" fontId="6" fillId="0" borderId="58" xfId="58" applyNumberFormat="1" applyFont="1" applyBorder="1" applyAlignment="1">
      <alignment horizontal="right" vertical="center"/>
    </xf>
    <xf numFmtId="178" fontId="6" fillId="0" borderId="57" xfId="58" applyNumberFormat="1" applyFont="1" applyBorder="1" applyAlignment="1">
      <alignment horizontal="right" vertical="center" wrapText="1"/>
    </xf>
    <xf numFmtId="177" fontId="6" fillId="0" borderId="59" xfId="58" applyNumberFormat="1" applyFont="1" applyBorder="1" applyAlignment="1">
      <alignment horizontal="right" vertical="center" wrapText="1"/>
    </xf>
    <xf numFmtId="177" fontId="6" fillId="0" borderId="32" xfId="58" applyNumberFormat="1" applyFont="1" applyBorder="1" applyAlignment="1">
      <alignment horizontal="center" vertical="center" wrapText="1"/>
    </xf>
    <xf numFmtId="178" fontId="6" fillId="0" borderId="42" xfId="58" applyNumberFormat="1" applyFont="1" applyBorder="1" applyAlignment="1">
      <alignment horizontal="right" vertical="center" wrapText="1"/>
    </xf>
    <xf numFmtId="179" fontId="6" fillId="0" borderId="29" xfId="58" applyNumberFormat="1" applyFont="1" applyBorder="1" applyAlignment="1">
      <alignment vertical="center" wrapText="1"/>
    </xf>
    <xf numFmtId="178" fontId="6" fillId="0" borderId="11" xfId="58" applyNumberFormat="1" applyFont="1" applyBorder="1">
      <alignment vertical="center"/>
    </xf>
    <xf numFmtId="179" fontId="6" fillId="0" borderId="11" xfId="58" applyNumberFormat="1" applyFont="1" applyBorder="1">
      <alignment vertical="center"/>
    </xf>
    <xf numFmtId="178" fontId="6" fillId="0" borderId="58" xfId="58" applyNumberFormat="1" applyFont="1" applyBorder="1">
      <alignment vertical="center"/>
    </xf>
    <xf numFmtId="178" fontId="6" fillId="0" borderId="3" xfId="58" applyNumberFormat="1" applyFont="1" applyBorder="1" applyAlignment="1">
      <alignment horizontal="center" vertical="center" wrapText="1"/>
    </xf>
    <xf numFmtId="178" fontId="6" fillId="0" borderId="17" xfId="58" applyNumberFormat="1" applyFont="1" applyBorder="1" applyAlignment="1">
      <alignment horizontal="right" vertical="center" wrapText="1"/>
    </xf>
    <xf numFmtId="178" fontId="6" fillId="0" borderId="18" xfId="58" applyNumberFormat="1" applyFont="1" applyBorder="1" applyAlignment="1">
      <alignment horizontal="right" vertical="center" wrapText="1"/>
    </xf>
    <xf numFmtId="178" fontId="6" fillId="2" borderId="11" xfId="58" applyNumberFormat="1" applyFont="1" applyFill="1" applyBorder="1" applyAlignment="1">
      <alignment wrapText="1"/>
    </xf>
    <xf numFmtId="177" fontId="6" fillId="0" borderId="0" xfId="58" applyNumberFormat="1" applyFont="1">
      <alignment vertical="center"/>
    </xf>
    <xf numFmtId="178" fontId="6" fillId="0" borderId="0" xfId="58" applyNumberFormat="1" applyFont="1">
      <alignment vertical="center"/>
    </xf>
    <xf numFmtId="179" fontId="6" fillId="0" borderId="8" xfId="58" applyNumberFormat="1" applyFont="1" applyBorder="1">
      <alignment vertical="center"/>
    </xf>
    <xf numFmtId="178" fontId="6" fillId="0" borderId="60" xfId="58" applyNumberFormat="1" applyFont="1" applyBorder="1">
      <alignment vertical="center"/>
    </xf>
    <xf numFmtId="178" fontId="6" fillId="0" borderId="0" xfId="58" applyNumberFormat="1" applyFont="1" applyAlignment="1">
      <alignment vertical="center" wrapText="1"/>
    </xf>
    <xf numFmtId="178" fontId="6" fillId="0" borderId="42" xfId="58" applyNumberFormat="1" applyFont="1" applyBorder="1" applyAlignment="1">
      <alignment horizontal="right" vertical="center"/>
    </xf>
    <xf numFmtId="177" fontId="6" fillId="0" borderId="30" xfId="58" applyNumberFormat="1" applyFont="1" applyBorder="1" applyAlignment="1">
      <alignment horizontal="right" vertical="center"/>
    </xf>
    <xf numFmtId="177" fontId="6" fillId="0" borderId="44" xfId="58" applyNumberFormat="1" applyFont="1" applyBorder="1" applyAlignment="1">
      <alignment horizontal="right" vertical="center" wrapText="1"/>
    </xf>
    <xf numFmtId="177" fontId="6" fillId="0" borderId="30" xfId="58" applyNumberFormat="1" applyFont="1" applyBorder="1" applyAlignment="1">
      <alignment horizontal="center" vertical="center" wrapText="1"/>
    </xf>
    <xf numFmtId="179" fontId="6" fillId="0" borderId="7" xfId="58" applyNumberFormat="1" applyFont="1" applyBorder="1">
      <alignment vertical="center"/>
    </xf>
    <xf numFmtId="178" fontId="6" fillId="0" borderId="14" xfId="58" applyNumberFormat="1" applyFont="1" applyBorder="1">
      <alignment vertical="center"/>
    </xf>
    <xf numFmtId="178" fontId="6" fillId="0" borderId="13" xfId="58" applyNumberFormat="1" applyFont="1" applyBorder="1" applyAlignment="1">
      <alignment horizontal="center" vertical="center" wrapText="1"/>
    </xf>
    <xf numFmtId="178" fontId="6" fillId="0" borderId="20" xfId="58" applyNumberFormat="1" applyFont="1" applyBorder="1" applyAlignment="1">
      <alignment horizontal="right" vertical="center" wrapText="1"/>
    </xf>
    <xf numFmtId="178" fontId="6" fillId="0" borderId="19" xfId="58" applyNumberFormat="1" applyFont="1" applyBorder="1" applyAlignment="1">
      <alignment horizontal="right" vertical="center" wrapText="1"/>
    </xf>
    <xf numFmtId="0" fontId="9" fillId="0" borderId="11" xfId="58" applyFont="1" applyBorder="1">
      <alignment vertical="center"/>
    </xf>
    <xf numFmtId="178" fontId="6" fillId="0" borderId="3" xfId="58" applyNumberFormat="1" applyFont="1" applyBorder="1" applyAlignment="1">
      <alignment vertical="center" wrapText="1"/>
    </xf>
    <xf numFmtId="178" fontId="6" fillId="0" borderId="11" xfId="58" applyNumberFormat="1" applyFont="1" applyBorder="1" applyAlignment="1">
      <alignment vertical="center" wrapText="1"/>
    </xf>
    <xf numFmtId="178" fontId="6" fillId="0" borderId="3" xfId="58" applyNumberFormat="1" applyFont="1" applyBorder="1">
      <alignment vertical="center"/>
    </xf>
    <xf numFmtId="3" fontId="10" fillId="0" borderId="11" xfId="58" applyNumberFormat="1" applyFont="1" applyBorder="1">
      <alignment vertical="center"/>
    </xf>
    <xf numFmtId="179" fontId="10" fillId="0" borderId="11" xfId="58" applyNumberFormat="1" applyFont="1" applyBorder="1">
      <alignment vertical="center"/>
    </xf>
    <xf numFmtId="3" fontId="10" fillId="0" borderId="3" xfId="58" applyNumberFormat="1" applyFont="1" applyBorder="1">
      <alignment vertical="center"/>
    </xf>
    <xf numFmtId="3" fontId="10" fillId="2" borderId="11" xfId="58" applyNumberFormat="1" applyFont="1" applyFill="1" applyBorder="1">
      <alignment vertical="center"/>
    </xf>
    <xf numFmtId="178" fontId="6" fillId="2" borderId="11" xfId="58" applyNumberFormat="1" applyFont="1" applyFill="1" applyBorder="1" applyAlignment="1">
      <alignment horizontal="center" vertical="center" wrapText="1"/>
    </xf>
    <xf numFmtId="182" fontId="6" fillId="0" borderId="8" xfId="58" applyNumberFormat="1" applyFont="1" applyBorder="1">
      <alignment vertical="center"/>
    </xf>
    <xf numFmtId="182" fontId="6" fillId="0" borderId="0" xfId="58" applyNumberFormat="1" applyFont="1">
      <alignment vertical="center"/>
    </xf>
    <xf numFmtId="179" fontId="6" fillId="0" borderId="11" xfId="58" applyNumberFormat="1" applyFont="1" applyBorder="1" applyAlignment="1">
      <alignment horizontal="right" vertical="center"/>
    </xf>
    <xf numFmtId="179" fontId="6" fillId="0" borderId="0" xfId="58" applyNumberFormat="1" applyFont="1">
      <alignment vertical="center"/>
    </xf>
    <xf numFmtId="178" fontId="6" fillId="0" borderId="6" xfId="58" applyNumberFormat="1" applyFont="1" applyBorder="1">
      <alignment vertical="center"/>
    </xf>
    <xf numFmtId="179" fontId="6" fillId="0" borderId="6" xfId="58" applyNumberFormat="1" applyFont="1" applyBorder="1">
      <alignment vertical="center"/>
    </xf>
    <xf numFmtId="178" fontId="6" fillId="2" borderId="6" xfId="58" applyNumberFormat="1" applyFont="1" applyFill="1" applyBorder="1" applyAlignment="1">
      <alignment horizontal="center" vertical="center" wrapText="1"/>
    </xf>
    <xf numFmtId="0" fontId="10" fillId="0" borderId="8" xfId="0" applyFont="1" applyBorder="1" applyAlignment="1">
      <alignment vertical="center"/>
    </xf>
    <xf numFmtId="0" fontId="10" fillId="0" borderId="7" xfId="0" applyFont="1" applyBorder="1" applyAlignment="1">
      <alignment vertical="center" wrapText="1"/>
    </xf>
    <xf numFmtId="0" fontId="10" fillId="0" borderId="7" xfId="0" quotePrefix="1" applyFont="1" applyBorder="1" applyAlignment="1">
      <alignment vertical="center" wrapText="1"/>
    </xf>
    <xf numFmtId="0" fontId="10" fillId="0" borderId="8" xfId="0" applyFont="1" applyBorder="1" applyAlignment="1">
      <alignment vertical="center" wrapText="1"/>
    </xf>
    <xf numFmtId="0" fontId="10" fillId="0" borderId="16" xfId="0" applyFont="1" applyBorder="1" applyAlignment="1">
      <alignment vertical="center"/>
    </xf>
    <xf numFmtId="0" fontId="10" fillId="0" borderId="0" xfId="0" applyFont="1" applyAlignment="1">
      <alignment horizontal="left" vertical="center" wrapText="1"/>
    </xf>
    <xf numFmtId="0" fontId="10" fillId="0" borderId="0" xfId="0" applyFont="1" applyAlignment="1">
      <alignment vertical="center"/>
    </xf>
    <xf numFmtId="0" fontId="10" fillId="0" borderId="0" xfId="0" applyFont="1" applyAlignment="1">
      <alignment horizontal="left" vertical="center"/>
    </xf>
    <xf numFmtId="0" fontId="10" fillId="0" borderId="10" xfId="0" applyFont="1" applyBorder="1" applyAlignment="1">
      <alignment vertical="center"/>
    </xf>
    <xf numFmtId="0" fontId="10" fillId="0" borderId="0" xfId="0" applyFont="1" applyAlignment="1">
      <alignment horizontal="center" vertical="center"/>
    </xf>
    <xf numFmtId="0" fontId="10" fillId="0" borderId="0" xfId="0" applyFont="1" applyAlignment="1">
      <alignment horizontal="distributed" vertical="center"/>
    </xf>
    <xf numFmtId="0" fontId="10" fillId="0" borderId="0" xfId="0" applyFont="1" applyAlignment="1">
      <alignment horizontal="right" vertical="center"/>
    </xf>
    <xf numFmtId="0" fontId="10" fillId="0" borderId="0" xfId="0" applyFont="1" applyAlignment="1">
      <alignment vertical="center" wrapText="1"/>
    </xf>
    <xf numFmtId="0" fontId="10" fillId="0" borderId="0" xfId="0" quotePrefix="1" applyFont="1" applyAlignment="1">
      <alignment vertical="center" wrapText="1"/>
    </xf>
    <xf numFmtId="0" fontId="10" fillId="0" borderId="0" xfId="0" applyFont="1" applyAlignment="1">
      <alignment horizontal="left" vertical="top" wrapText="1"/>
    </xf>
    <xf numFmtId="3" fontId="10" fillId="0" borderId="8" xfId="0" applyNumberFormat="1" applyFont="1" applyBorder="1" applyAlignment="1">
      <alignment vertical="center" wrapText="1"/>
    </xf>
    <xf numFmtId="3" fontId="10" fillId="0" borderId="16" xfId="0" applyNumberFormat="1" applyFont="1" applyBorder="1" applyAlignment="1">
      <alignment vertical="center" wrapText="1"/>
    </xf>
    <xf numFmtId="184" fontId="10" fillId="0" borderId="0" xfId="51" applyNumberFormat="1" applyFont="1" applyAlignment="1">
      <alignment horizontal="center" vertical="center" wrapText="1"/>
    </xf>
    <xf numFmtId="0" fontId="0" fillId="0" borderId="8" xfId="0" applyBorder="1" applyAlignment="1">
      <alignment wrapText="1"/>
    </xf>
    <xf numFmtId="178" fontId="10" fillId="0" borderId="8" xfId="51" applyNumberFormat="1" applyFont="1" applyBorder="1" applyAlignment="1">
      <alignment vertical="center"/>
    </xf>
    <xf numFmtId="178" fontId="10" fillId="0" borderId="16" xfId="51" applyNumberFormat="1" applyFont="1" applyBorder="1" applyAlignment="1">
      <alignment vertical="center"/>
    </xf>
    <xf numFmtId="178" fontId="10" fillId="0" borderId="0" xfId="51" applyNumberFormat="1" applyFont="1" applyAlignment="1">
      <alignment vertical="center"/>
    </xf>
    <xf numFmtId="0" fontId="10" fillId="0" borderId="0" xfId="51" applyFont="1" applyAlignment="1">
      <alignment horizontal="left" vertical="center"/>
    </xf>
    <xf numFmtId="178" fontId="10" fillId="0" borderId="10" xfId="51" applyNumberFormat="1" applyFont="1" applyBorder="1" applyAlignment="1">
      <alignment vertical="center"/>
    </xf>
    <xf numFmtId="178" fontId="10" fillId="0" borderId="7" xfId="51" applyNumberFormat="1" applyFont="1" applyBorder="1" applyAlignment="1">
      <alignment vertical="center"/>
    </xf>
    <xf numFmtId="0" fontId="0" fillId="0" borderId="7" xfId="0" applyBorder="1" applyAlignment="1">
      <alignment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3" fontId="19" fillId="0" borderId="0" xfId="58" applyNumberFormat="1" applyFont="1">
      <alignment vertical="center"/>
    </xf>
    <xf numFmtId="3" fontId="6" fillId="0" borderId="0" xfId="58" applyNumberFormat="1" applyFont="1">
      <alignment vertical="center"/>
    </xf>
    <xf numFmtId="0" fontId="10" fillId="0" borderId="0" xfId="37" applyFont="1"/>
    <xf numFmtId="3" fontId="6" fillId="0" borderId="2" xfId="58" applyNumberFormat="1" applyFont="1" applyBorder="1">
      <alignment vertical="center"/>
    </xf>
    <xf numFmtId="3" fontId="6" fillId="0" borderId="0" xfId="58" applyNumberFormat="1" applyFont="1" applyAlignment="1">
      <alignment vertical="center" wrapText="1"/>
    </xf>
    <xf numFmtId="3" fontId="6" fillId="0" borderId="27" xfId="58" applyNumberFormat="1" applyFont="1" applyBorder="1" applyAlignment="1">
      <alignment horizontal="distributed" vertical="center"/>
    </xf>
    <xf numFmtId="3" fontId="6" fillId="0" borderId="31" xfId="58" applyNumberFormat="1" applyFont="1" applyBorder="1" applyAlignment="1">
      <alignment horizontal="distributed" vertical="center"/>
    </xf>
    <xf numFmtId="3" fontId="6" fillId="0" borderId="29" xfId="58" applyNumberFormat="1" applyFont="1" applyBorder="1" applyAlignment="1">
      <alignment horizontal="distributed" vertical="center"/>
    </xf>
    <xf numFmtId="180" fontId="6" fillId="0" borderId="27" xfId="58" applyNumberFormat="1" applyFont="1" applyBorder="1" applyAlignment="1">
      <alignment vertical="center" shrinkToFit="1"/>
    </xf>
    <xf numFmtId="177" fontId="6" fillId="0" borderId="3" xfId="58" applyNumberFormat="1" applyFont="1" applyBorder="1">
      <alignment vertical="center"/>
    </xf>
    <xf numFmtId="179" fontId="6" fillId="0" borderId="7" xfId="58" applyNumberFormat="1" applyFont="1" applyBorder="1" applyAlignment="1">
      <alignment vertical="center" shrinkToFit="1"/>
    </xf>
    <xf numFmtId="193" fontId="6" fillId="0" borderId="9" xfId="58" applyNumberFormat="1" applyFont="1" applyBorder="1" applyAlignment="1">
      <alignment horizontal="left" wrapText="1" indent="1"/>
    </xf>
    <xf numFmtId="193" fontId="6" fillId="0" borderId="9" xfId="58" applyNumberFormat="1" applyFont="1" applyBorder="1" applyAlignment="1">
      <alignment horizontal="left" indent="1"/>
    </xf>
    <xf numFmtId="209" fontId="6" fillId="0" borderId="9" xfId="58" applyNumberFormat="1" applyFont="1" applyBorder="1" applyAlignment="1">
      <alignment horizontal="left" wrapText="1" indent="1"/>
    </xf>
    <xf numFmtId="186" fontId="6" fillId="0" borderId="9" xfId="58" applyNumberFormat="1" applyFont="1" applyBorder="1" applyAlignment="1">
      <alignment horizontal="left" wrapText="1"/>
    </xf>
    <xf numFmtId="179" fontId="6" fillId="0" borderId="29" xfId="58" applyNumberFormat="1" applyFont="1" applyBorder="1" applyAlignment="1">
      <alignment vertical="center" shrinkToFit="1"/>
    </xf>
    <xf numFmtId="177" fontId="6" fillId="0" borderId="11" xfId="58" applyNumberFormat="1" applyFont="1" applyBorder="1">
      <alignment vertical="center"/>
    </xf>
    <xf numFmtId="178" fontId="6" fillId="0" borderId="26" xfId="58" applyNumberFormat="1" applyFont="1" applyBorder="1" applyAlignment="1">
      <alignment horizontal="right" vertical="center" wrapText="1"/>
    </xf>
    <xf numFmtId="179" fontId="6" fillId="0" borderId="26" xfId="58" applyNumberFormat="1" applyFont="1" applyBorder="1" applyAlignment="1">
      <alignment vertical="center" shrinkToFit="1"/>
    </xf>
    <xf numFmtId="177" fontId="6" fillId="0" borderId="10" xfId="58" applyNumberFormat="1" applyFont="1" applyBorder="1">
      <alignment vertical="center"/>
    </xf>
    <xf numFmtId="178" fontId="6" fillId="0" borderId="26" xfId="58" applyNumberFormat="1" applyFont="1" applyBorder="1">
      <alignment vertical="center"/>
    </xf>
    <xf numFmtId="187" fontId="6" fillId="0" borderId="6" xfId="58" applyNumberFormat="1" applyFont="1" applyBorder="1" applyAlignment="1">
      <alignment horizontal="right" vertical="top" wrapText="1"/>
    </xf>
    <xf numFmtId="3" fontId="6" fillId="0" borderId="6" xfId="58" applyNumberFormat="1" applyFont="1" applyBorder="1" applyAlignment="1">
      <alignment horizontal="left" vertical="top" wrapText="1" indent="2"/>
    </xf>
    <xf numFmtId="189" fontId="6" fillId="0" borderId="6" xfId="58" applyNumberFormat="1" applyFont="1" applyBorder="1" applyAlignment="1">
      <alignment vertical="top" wrapText="1"/>
    </xf>
    <xf numFmtId="0" fontId="10" fillId="0" borderId="8" xfId="51" applyFont="1" applyBorder="1" applyAlignment="1">
      <alignment vertical="center" wrapText="1"/>
    </xf>
    <xf numFmtId="0" fontId="10" fillId="0" borderId="8" xfId="51" applyFont="1" applyBorder="1" applyAlignment="1">
      <alignment vertical="center"/>
    </xf>
    <xf numFmtId="0" fontId="10" fillId="0" borderId="16" xfId="51" applyFont="1" applyBorder="1" applyAlignment="1">
      <alignment vertical="center"/>
    </xf>
    <xf numFmtId="0" fontId="10" fillId="0" borderId="0" xfId="51" applyFont="1" applyAlignment="1">
      <alignment horizontal="left" vertical="center" wrapText="1"/>
    </xf>
    <xf numFmtId="0" fontId="10" fillId="0" borderId="0" xfId="51" applyFont="1" applyAlignment="1">
      <alignment vertical="center"/>
    </xf>
    <xf numFmtId="0" fontId="10" fillId="0" borderId="10" xfId="51" applyFont="1" applyBorder="1" applyAlignment="1">
      <alignment vertical="center"/>
    </xf>
    <xf numFmtId="0" fontId="10" fillId="0" borderId="7" xfId="51" applyFont="1" applyBorder="1" applyAlignment="1">
      <alignment vertical="center" wrapText="1"/>
    </xf>
    <xf numFmtId="0" fontId="10" fillId="0" borderId="7" xfId="51" quotePrefix="1" applyFont="1" applyBorder="1" applyAlignment="1">
      <alignment vertical="center" wrapText="1"/>
    </xf>
    <xf numFmtId="0" fontId="10" fillId="0" borderId="0" xfId="51" applyFont="1" applyAlignment="1">
      <alignment horizontal="center" vertical="center"/>
    </xf>
    <xf numFmtId="0" fontId="10" fillId="0" borderId="0" xfId="51" applyFont="1" applyAlignment="1">
      <alignment horizontal="distributed" vertical="center"/>
    </xf>
    <xf numFmtId="0" fontId="10" fillId="0" borderId="0" xfId="51" applyFont="1" applyAlignment="1">
      <alignment horizontal="right" vertical="center"/>
    </xf>
    <xf numFmtId="0" fontId="9" fillId="0" borderId="0" xfId="51" applyFont="1" applyAlignment="1">
      <alignment vertical="center"/>
    </xf>
    <xf numFmtId="0" fontId="10" fillId="0" borderId="2" xfId="51" applyFont="1" applyBorder="1" applyAlignment="1">
      <alignment horizontal="center" vertical="center"/>
    </xf>
    <xf numFmtId="0" fontId="10" fillId="0" borderId="2" xfId="51" applyFont="1" applyBorder="1" applyAlignment="1">
      <alignment horizontal="distributed" vertical="center"/>
    </xf>
    <xf numFmtId="0" fontId="10" fillId="0" borderId="2" xfId="51" applyFont="1" applyBorder="1" applyAlignment="1">
      <alignment horizontal="right" vertical="center"/>
    </xf>
    <xf numFmtId="0" fontId="10" fillId="0" borderId="2" xfId="51" applyFont="1" applyBorder="1" applyAlignment="1">
      <alignment vertical="center"/>
    </xf>
    <xf numFmtId="0" fontId="9" fillId="0" borderId="2" xfId="51" applyFont="1" applyBorder="1" applyAlignment="1">
      <alignment vertical="center"/>
    </xf>
    <xf numFmtId="3" fontId="10" fillId="0" borderId="0" xfId="51" applyNumberFormat="1" applyFont="1" applyAlignment="1">
      <alignment horizontal="right" vertical="center" wrapText="1"/>
    </xf>
    <xf numFmtId="3" fontId="10" fillId="0" borderId="7" xfId="51" applyNumberFormat="1" applyFont="1" applyBorder="1" applyAlignment="1">
      <alignment horizontal="right" vertical="center" wrapText="1"/>
    </xf>
    <xf numFmtId="0" fontId="10" fillId="0" borderId="7" xfId="51" applyFont="1" applyBorder="1" applyAlignment="1">
      <alignment vertical="center"/>
    </xf>
    <xf numFmtId="0" fontId="9" fillId="0" borderId="0" xfId="0" applyFont="1" applyAlignment="1">
      <alignment vertical="center"/>
    </xf>
    <xf numFmtId="0" fontId="9" fillId="0" borderId="26" xfId="51" applyFont="1" applyBorder="1" applyAlignment="1">
      <alignment vertical="center"/>
    </xf>
    <xf numFmtId="0" fontId="9" fillId="0" borderId="0" xfId="51" applyFont="1" applyAlignment="1">
      <alignment horizontal="center" vertical="center"/>
    </xf>
    <xf numFmtId="3" fontId="10" fillId="0" borderId="8" xfId="51" applyNumberFormat="1" applyFont="1" applyBorder="1" applyAlignment="1">
      <alignment vertical="center" wrapText="1"/>
    </xf>
    <xf numFmtId="3" fontId="10" fillId="0" borderId="16" xfId="51" applyNumberFormat="1" applyFont="1" applyBorder="1" applyAlignment="1">
      <alignment vertical="center" wrapText="1"/>
    </xf>
    <xf numFmtId="0" fontId="9" fillId="0" borderId="9" xfId="51" applyFont="1" applyBorder="1" applyAlignment="1">
      <alignment vertical="center"/>
    </xf>
    <xf numFmtId="0" fontId="9" fillId="0" borderId="11" xfId="51" applyFont="1" applyBorder="1" applyAlignment="1">
      <alignment vertical="center"/>
    </xf>
    <xf numFmtId="0" fontId="9" fillId="0" borderId="11" xfId="51" applyFont="1" applyBorder="1" applyAlignment="1">
      <alignment vertical="center" wrapText="1"/>
    </xf>
    <xf numFmtId="0" fontId="10" fillId="0" borderId="21" xfId="51" applyFont="1" applyBorder="1" applyAlignment="1">
      <alignment vertical="center" wrapText="1"/>
    </xf>
    <xf numFmtId="0" fontId="9" fillId="0" borderId="11" xfId="0" applyFont="1" applyBorder="1" applyAlignment="1">
      <alignment vertical="center" wrapText="1"/>
    </xf>
    <xf numFmtId="0" fontId="10" fillId="0" borderId="13" xfId="51" applyFont="1" applyBorder="1" applyAlignment="1">
      <alignment horizontal="left" vertical="center" wrapText="1"/>
    </xf>
    <xf numFmtId="183" fontId="10" fillId="0" borderId="7" xfId="51" applyNumberFormat="1" applyFont="1" applyBorder="1" applyAlignment="1">
      <alignment vertical="center"/>
    </xf>
    <xf numFmtId="0" fontId="10" fillId="0" borderId="7" xfId="51" applyFont="1" applyBorder="1" applyAlignment="1">
      <alignment horizontal="left" vertical="center"/>
    </xf>
    <xf numFmtId="0" fontId="10" fillId="0" borderId="14" xfId="51" applyFont="1" applyBorder="1" applyAlignment="1">
      <alignment vertical="center"/>
    </xf>
    <xf numFmtId="0" fontId="9" fillId="0" borderId="6" xfId="0" applyFont="1" applyBorder="1" applyAlignment="1">
      <alignment vertical="center" wrapText="1"/>
    </xf>
    <xf numFmtId="0" fontId="10" fillId="0" borderId="0" xfId="51" applyFont="1"/>
    <xf numFmtId="0" fontId="12" fillId="0" borderId="0" xfId="51" applyFont="1"/>
    <xf numFmtId="204" fontId="6" fillId="0" borderId="9" xfId="58" applyNumberFormat="1" applyFont="1" applyBorder="1" applyAlignment="1"/>
    <xf numFmtId="178" fontId="6" fillId="0" borderId="9" xfId="58" applyNumberFormat="1" applyFont="1" applyBorder="1" applyAlignment="1"/>
    <xf numFmtId="3" fontId="145" fillId="0" borderId="3" xfId="58" applyNumberFormat="1" applyFont="1" applyBorder="1" applyAlignment="1">
      <alignment vertical="center" wrapText="1"/>
    </xf>
    <xf numFmtId="3" fontId="145" fillId="0" borderId="10" xfId="58" applyNumberFormat="1" applyFont="1" applyBorder="1" applyAlignment="1">
      <alignment horizontal="center" vertical="center" wrapText="1"/>
    </xf>
    <xf numFmtId="225" fontId="6" fillId="0" borderId="0" xfId="58" applyNumberFormat="1" applyFont="1" applyAlignment="1">
      <alignment horizontal="center" vertical="center"/>
    </xf>
    <xf numFmtId="204" fontId="6" fillId="0" borderId="11" xfId="58" applyNumberFormat="1" applyFont="1" applyBorder="1" applyAlignment="1">
      <alignment vertical="top"/>
    </xf>
    <xf numFmtId="178" fontId="6" fillId="0" borderId="11" xfId="58" applyNumberFormat="1" applyFont="1" applyBorder="1" applyAlignment="1">
      <alignment vertical="top"/>
    </xf>
    <xf numFmtId="188" fontId="6" fillId="0" borderId="6" xfId="58" applyNumberFormat="1" applyFont="1" applyBorder="1" applyAlignment="1">
      <alignment vertical="top" wrapText="1"/>
    </xf>
    <xf numFmtId="204" fontId="6" fillId="0" borderId="11" xfId="58" applyNumberFormat="1" applyFont="1" applyBorder="1" applyAlignment="1"/>
    <xf numFmtId="178" fontId="6" fillId="0" borderId="11" xfId="58" applyNumberFormat="1" applyFont="1" applyBorder="1" applyAlignment="1"/>
    <xf numFmtId="178" fontId="6" fillId="0" borderId="6" xfId="58" applyNumberFormat="1" applyFont="1" applyBorder="1" applyAlignment="1">
      <alignment vertical="top"/>
    </xf>
    <xf numFmtId="3" fontId="145" fillId="0" borderId="13" xfId="58" applyNumberFormat="1" applyFont="1" applyBorder="1" applyAlignment="1">
      <alignment vertical="center" wrapText="1"/>
    </xf>
    <xf numFmtId="3" fontId="145" fillId="0" borderId="14" xfId="58" applyNumberFormat="1" applyFont="1" applyBorder="1" applyAlignment="1">
      <alignment horizontal="center" vertical="center" wrapText="1"/>
    </xf>
    <xf numFmtId="0" fontId="11" fillId="0" borderId="0" xfId="0" applyFont="1"/>
    <xf numFmtId="0" fontId="11" fillId="0" borderId="0" xfId="0" applyFont="1" applyAlignment="1">
      <alignment vertical="center" wrapText="1"/>
    </xf>
    <xf numFmtId="178" fontId="6" fillId="0" borderId="61" xfId="58" applyNumberFormat="1" applyFont="1" applyBorder="1">
      <alignment vertical="center"/>
    </xf>
    <xf numFmtId="178" fontId="6" fillId="0" borderId="62" xfId="58" applyNumberFormat="1" applyFont="1" applyBorder="1">
      <alignment vertical="center"/>
    </xf>
    <xf numFmtId="178" fontId="6" fillId="0" borderId="67" xfId="58" applyNumberFormat="1" applyFont="1" applyBorder="1">
      <alignment vertical="center"/>
    </xf>
    <xf numFmtId="178" fontId="6" fillId="0" borderId="16" xfId="58" applyNumberFormat="1" applyFont="1" applyBorder="1">
      <alignment vertical="center"/>
    </xf>
    <xf numFmtId="186" fontId="6" fillId="0" borderId="9" xfId="58" applyNumberFormat="1" applyFont="1" applyBorder="1" applyAlignment="1">
      <alignment horizontal="left" vertical="center" wrapText="1"/>
    </xf>
    <xf numFmtId="178" fontId="6" fillId="0" borderId="17" xfId="58" applyNumberFormat="1" applyFont="1" applyBorder="1">
      <alignment vertical="center"/>
    </xf>
    <xf numFmtId="178" fontId="6" fillId="0" borderId="18" xfId="58" applyNumberFormat="1" applyFont="1" applyBorder="1">
      <alignment vertical="center"/>
    </xf>
    <xf numFmtId="178" fontId="6" fillId="0" borderId="12" xfId="58" applyNumberFormat="1" applyFont="1" applyBorder="1">
      <alignment vertical="center"/>
    </xf>
    <xf numFmtId="178" fontId="6" fillId="0" borderId="10" xfId="58" applyNumberFormat="1" applyFont="1" applyBorder="1">
      <alignment vertical="center"/>
    </xf>
    <xf numFmtId="186" fontId="6" fillId="0" borderId="11" xfId="58" applyNumberFormat="1" applyFont="1" applyBorder="1" applyAlignment="1">
      <alignment horizontal="left" vertical="center" wrapText="1"/>
    </xf>
    <xf numFmtId="178" fontId="6" fillId="0" borderId="8" xfId="58" applyNumberFormat="1" applyFont="1" applyBorder="1" applyAlignment="1">
      <alignment vertical="center" wrapText="1"/>
    </xf>
    <xf numFmtId="188" fontId="6" fillId="0" borderId="11" xfId="58" applyNumberFormat="1" applyFont="1" applyBorder="1" applyAlignment="1">
      <alignment vertical="center" wrapText="1"/>
    </xf>
    <xf numFmtId="178" fontId="6" fillId="0" borderId="20" xfId="58" applyNumberFormat="1" applyFont="1" applyBorder="1">
      <alignment vertical="center"/>
    </xf>
    <xf numFmtId="178" fontId="6" fillId="0" borderId="19" xfId="58" applyNumberFormat="1" applyFont="1" applyBorder="1">
      <alignment vertical="center"/>
    </xf>
    <xf numFmtId="178" fontId="6" fillId="0" borderId="15" xfId="58" applyNumberFormat="1" applyFont="1" applyBorder="1">
      <alignment vertical="center"/>
    </xf>
    <xf numFmtId="178" fontId="6" fillId="0" borderId="6" xfId="58" applyNumberFormat="1" applyFont="1" applyBorder="1" applyAlignment="1">
      <alignment vertical="center" wrapText="1"/>
    </xf>
    <xf numFmtId="178" fontId="6" fillId="0" borderId="6" xfId="58" applyNumberFormat="1" applyFont="1" applyBorder="1" applyAlignment="1">
      <alignment horizontal="right" vertical="center" wrapText="1"/>
    </xf>
    <xf numFmtId="178" fontId="6" fillId="0" borderId="68" xfId="58" applyNumberFormat="1" applyFont="1" applyBorder="1">
      <alignment vertical="center"/>
    </xf>
    <xf numFmtId="182" fontId="6" fillId="0" borderId="11" xfId="58" applyNumberFormat="1" applyFont="1" applyBorder="1">
      <alignment vertical="center"/>
    </xf>
    <xf numFmtId="178" fontId="10" fillId="0" borderId="11" xfId="58" applyNumberFormat="1" applyFont="1" applyBorder="1">
      <alignment vertical="center"/>
    </xf>
    <xf numFmtId="178" fontId="10" fillId="0" borderId="6" xfId="58" applyNumberFormat="1" applyFont="1" applyBorder="1">
      <alignment vertical="center"/>
    </xf>
    <xf numFmtId="204" fontId="6" fillId="0" borderId="6" xfId="58" applyNumberFormat="1" applyFont="1" applyBorder="1" applyAlignment="1">
      <alignment vertical="top"/>
    </xf>
    <xf numFmtId="0" fontId="9" fillId="0" borderId="0" xfId="0" applyFont="1" applyAlignment="1">
      <alignment vertical="center" wrapText="1"/>
    </xf>
    <xf numFmtId="0" fontId="9" fillId="0" borderId="26" xfId="0" applyFont="1" applyBorder="1" applyAlignment="1">
      <alignment vertical="center"/>
    </xf>
    <xf numFmtId="0" fontId="9" fillId="0" borderId="0" xfId="0" applyFont="1" applyAlignment="1">
      <alignment horizontal="center" vertical="center"/>
    </xf>
    <xf numFmtId="177" fontId="6" fillId="0" borderId="11" xfId="58" applyNumberFormat="1" applyFont="1" applyBorder="1" applyAlignment="1">
      <alignment horizontal="center" vertical="center"/>
    </xf>
    <xf numFmtId="201" fontId="6" fillId="0" borderId="11" xfId="58" applyNumberFormat="1" applyFont="1" applyBorder="1" applyAlignment="1">
      <alignment vertical="top"/>
    </xf>
    <xf numFmtId="178" fontId="6" fillId="0" borderId="13" xfId="58" applyNumberFormat="1" applyFont="1" applyBorder="1">
      <alignment vertical="center"/>
    </xf>
    <xf numFmtId="201" fontId="6" fillId="0" borderId="6" xfId="58" applyNumberFormat="1" applyFont="1" applyBorder="1" applyAlignment="1">
      <alignment vertical="top"/>
    </xf>
    <xf numFmtId="178" fontId="6" fillId="0" borderId="21" xfId="58" applyNumberFormat="1" applyFont="1" applyBorder="1" applyAlignment="1">
      <alignment vertical="center" wrapText="1"/>
    </xf>
    <xf numFmtId="178" fontId="6" fillId="0" borderId="16" xfId="58" applyNumberFormat="1" applyFont="1" applyBorder="1" applyAlignment="1">
      <alignment vertical="center" wrapText="1"/>
    </xf>
    <xf numFmtId="178" fontId="6" fillId="0" borderId="8" xfId="58" applyNumberFormat="1" applyFont="1" applyBorder="1" applyAlignment="1">
      <alignment wrapText="1"/>
    </xf>
    <xf numFmtId="178" fontId="6" fillId="0" borderId="10" xfId="58" applyNumberFormat="1" applyFont="1" applyBorder="1" applyAlignment="1">
      <alignment vertical="center" wrapText="1"/>
    </xf>
    <xf numFmtId="178" fontId="6" fillId="0" borderId="0" xfId="58" applyNumberFormat="1" applyFont="1" applyAlignment="1"/>
    <xf numFmtId="178" fontId="10" fillId="0" borderId="0" xfId="0" applyNumberFormat="1" applyFont="1" applyAlignment="1">
      <alignment vertical="center"/>
    </xf>
    <xf numFmtId="178" fontId="9" fillId="0" borderId="0" xfId="0" applyNumberFormat="1" applyFont="1" applyAlignment="1">
      <alignment vertical="center"/>
    </xf>
    <xf numFmtId="3" fontId="6" fillId="0" borderId="3" xfId="58" applyNumberFormat="1" applyFont="1" applyBorder="1" applyAlignment="1">
      <alignment horizontal="distributed" vertical="center"/>
    </xf>
    <xf numFmtId="178" fontId="6" fillId="0" borderId="16" xfId="58" applyNumberFormat="1" applyFont="1" applyBorder="1" applyAlignment="1">
      <alignment wrapText="1"/>
    </xf>
    <xf numFmtId="178" fontId="6" fillId="0" borderId="10" xfId="58" applyNumberFormat="1" applyFont="1" applyBorder="1" applyAlignment="1"/>
    <xf numFmtId="181" fontId="6" fillId="0" borderId="10" xfId="58" applyNumberFormat="1" applyFont="1" applyBorder="1" applyAlignment="1">
      <alignment vertical="top"/>
    </xf>
    <xf numFmtId="181" fontId="6" fillId="0" borderId="0" xfId="58" applyNumberFormat="1" applyFont="1" applyAlignment="1">
      <alignment vertical="top"/>
    </xf>
    <xf numFmtId="0" fontId="9" fillId="0" borderId="13" xfId="58" applyFont="1" applyBorder="1">
      <alignment vertical="center"/>
    </xf>
    <xf numFmtId="0" fontId="9" fillId="0" borderId="14" xfId="58" applyFont="1" applyBorder="1">
      <alignment vertical="center"/>
    </xf>
    <xf numFmtId="0" fontId="9" fillId="0" borderId="6" xfId="58" applyFont="1" applyBorder="1">
      <alignment vertical="center"/>
    </xf>
    <xf numFmtId="0" fontId="10" fillId="0" borderId="13" xfId="0" applyFont="1" applyBorder="1" applyAlignment="1">
      <alignment vertical="center"/>
    </xf>
    <xf numFmtId="0" fontId="10" fillId="0" borderId="7" xfId="0" applyFont="1" applyBorder="1" applyAlignment="1">
      <alignment vertical="center"/>
    </xf>
    <xf numFmtId="0" fontId="10" fillId="0" borderId="7" xfId="0" applyFont="1" applyBorder="1" applyAlignment="1">
      <alignment horizontal="left" vertical="center"/>
    </xf>
    <xf numFmtId="0" fontId="0" fillId="0" borderId="14" xfId="0" applyBorder="1" applyAlignment="1">
      <alignment vertical="center"/>
    </xf>
    <xf numFmtId="0" fontId="9" fillId="0" borderId="21" xfId="58" applyFont="1" applyBorder="1">
      <alignment vertical="center"/>
    </xf>
    <xf numFmtId="0" fontId="9" fillId="0" borderId="8" xfId="58" applyFont="1" applyBorder="1">
      <alignment vertical="center"/>
    </xf>
    <xf numFmtId="179" fontId="9" fillId="0" borderId="16" xfId="58" applyNumberFormat="1" applyFont="1" applyBorder="1">
      <alignment vertical="center"/>
    </xf>
    <xf numFmtId="0" fontId="9" fillId="0" borderId="3" xfId="58" applyFont="1" applyBorder="1">
      <alignment vertical="center"/>
    </xf>
    <xf numFmtId="179" fontId="9" fillId="0" borderId="10" xfId="58" applyNumberFormat="1" applyFont="1" applyBorder="1">
      <alignment vertical="center"/>
    </xf>
    <xf numFmtId="0" fontId="9" fillId="0" borderId="10" xfId="58" applyFont="1" applyBorder="1">
      <alignment vertical="center"/>
    </xf>
    <xf numFmtId="178" fontId="6" fillId="0" borderId="9" xfId="58" applyNumberFormat="1" applyFont="1" applyBorder="1" applyAlignment="1">
      <alignment vertical="center" wrapText="1"/>
    </xf>
    <xf numFmtId="181" fontId="6" fillId="0" borderId="11" xfId="58" applyNumberFormat="1" applyFont="1" applyBorder="1">
      <alignment vertical="center"/>
    </xf>
    <xf numFmtId="178" fontId="6" fillId="0" borderId="69" xfId="58" applyNumberFormat="1" applyFont="1" applyBorder="1" applyAlignment="1"/>
    <xf numFmtId="181" fontId="6" fillId="0" borderId="6" xfId="58" applyNumberFormat="1" applyFont="1" applyBorder="1">
      <alignment vertical="center"/>
    </xf>
    <xf numFmtId="0" fontId="10" fillId="0" borderId="14" xfId="0" applyFont="1" applyBorder="1" applyAlignment="1">
      <alignment vertical="center"/>
    </xf>
    <xf numFmtId="0" fontId="10" fillId="0" borderId="7" xfId="0" applyFont="1" applyBorder="1" applyAlignment="1">
      <alignment horizontal="center" vertical="center"/>
    </xf>
    <xf numFmtId="0" fontId="0" fillId="0" borderId="7" xfId="0" applyBorder="1" applyAlignment="1">
      <alignment horizontal="center" vertical="center"/>
    </xf>
    <xf numFmtId="178" fontId="9" fillId="0" borderId="2" xfId="0" applyNumberFormat="1" applyFont="1" applyBorder="1" applyAlignment="1">
      <alignment vertical="center"/>
    </xf>
    <xf numFmtId="3" fontId="6" fillId="0" borderId="2" xfId="58" applyNumberFormat="1" applyFont="1" applyBorder="1" applyAlignment="1">
      <alignment horizontal="center" vertical="center"/>
    </xf>
    <xf numFmtId="216" fontId="63" fillId="2" borderId="65" xfId="82" applyNumberFormat="1" applyFont="1" applyFill="1" applyBorder="1" applyAlignment="1" applyProtection="1">
      <alignment horizontal="right" vertical="center"/>
    </xf>
    <xf numFmtId="215" fontId="63" fillId="15" borderId="138" xfId="82" applyNumberFormat="1" applyFont="1" applyFill="1" applyBorder="1" applyAlignment="1" applyProtection="1">
      <alignment horizontal="right" vertical="center"/>
    </xf>
    <xf numFmtId="0" fontId="147" fillId="7" borderId="26" xfId="0" applyFont="1" applyFill="1" applyBorder="1" applyAlignment="1" applyProtection="1">
      <alignment horizontal="center" vertical="center" shrinkToFit="1"/>
    </xf>
    <xf numFmtId="0" fontId="55" fillId="7" borderId="26" xfId="0" applyFont="1" applyFill="1" applyBorder="1" applyAlignment="1" applyProtection="1">
      <alignment horizontal="center" vertical="center" shrinkToFit="1"/>
    </xf>
    <xf numFmtId="215" fontId="63" fillId="6" borderId="147" xfId="82" applyNumberFormat="1" applyFont="1" applyFill="1" applyBorder="1" applyAlignment="1" applyProtection="1">
      <alignment horizontal="right" vertical="center"/>
    </xf>
    <xf numFmtId="215" fontId="63" fillId="6" borderId="186" xfId="82" applyNumberFormat="1" applyFont="1" applyFill="1" applyBorder="1" applyAlignment="1" applyProtection="1">
      <alignment horizontal="right" vertical="center"/>
    </xf>
    <xf numFmtId="215" fontId="63" fillId="6" borderId="121" xfId="82" applyNumberFormat="1" applyFont="1" applyFill="1" applyBorder="1" applyAlignment="1" applyProtection="1">
      <alignment horizontal="right" vertical="center"/>
    </xf>
    <xf numFmtId="215" fontId="63" fillId="6" borderId="187" xfId="82" applyNumberFormat="1" applyFont="1" applyFill="1" applyBorder="1" applyAlignment="1" applyProtection="1">
      <alignment horizontal="right" vertical="center"/>
    </xf>
    <xf numFmtId="215" fontId="63" fillId="6" borderId="122" xfId="82" applyNumberFormat="1" applyFont="1" applyFill="1" applyBorder="1" applyAlignment="1" applyProtection="1">
      <alignment horizontal="right" vertical="center"/>
    </xf>
    <xf numFmtId="0" fontId="55" fillId="0" borderId="0" xfId="0" applyFont="1"/>
    <xf numFmtId="0" fontId="148" fillId="0" borderId="0" xfId="0" applyFont="1"/>
    <xf numFmtId="0" fontId="148" fillId="0" borderId="0" xfId="0" applyFont="1" applyAlignment="1">
      <alignment horizontal="left" vertical="center"/>
    </xf>
    <xf numFmtId="0" fontId="53" fillId="0" borderId="0" xfId="0" applyFont="1" applyAlignment="1">
      <alignment horizontal="left" vertical="center"/>
    </xf>
    <xf numFmtId="0" fontId="0" fillId="0" borderId="0" xfId="0" applyAlignment="1">
      <alignment horizontal="left" vertical="center"/>
    </xf>
    <xf numFmtId="0" fontId="149" fillId="0" borderId="0" xfId="0" applyFont="1" applyAlignment="1">
      <alignment horizontal="left" vertical="center"/>
    </xf>
    <xf numFmtId="0" fontId="150" fillId="0" borderId="0" xfId="0" applyFont="1" applyAlignment="1">
      <alignment horizontal="left" vertical="center"/>
    </xf>
    <xf numFmtId="0" fontId="151" fillId="0" borderId="0" xfId="0" applyFont="1" applyAlignment="1">
      <alignment horizontal="left" vertical="center"/>
    </xf>
    <xf numFmtId="0" fontId="63" fillId="2" borderId="25" xfId="82" applyFont="1" applyFill="1" applyBorder="1" applyAlignment="1" applyProtection="1">
      <alignment horizontal="center" vertical="center"/>
    </xf>
    <xf numFmtId="0" fontId="63" fillId="2" borderId="2" xfId="82" applyFont="1" applyFill="1" applyBorder="1" applyAlignment="1" applyProtection="1">
      <alignment horizontal="left" vertical="center"/>
    </xf>
    <xf numFmtId="0" fontId="63" fillId="2" borderId="0" xfId="82" applyFont="1" applyFill="1" applyBorder="1" applyAlignment="1" applyProtection="1">
      <alignment vertical="center"/>
    </xf>
    <xf numFmtId="0" fontId="63" fillId="2" borderId="143" xfId="82" applyFont="1" applyFill="1" applyBorder="1" applyAlignment="1" applyProtection="1">
      <alignment horizontal="center" vertical="center"/>
    </xf>
    <xf numFmtId="0" fontId="63" fillId="2" borderId="8" xfId="82" applyFont="1" applyFill="1" applyBorder="1" applyAlignment="1" applyProtection="1">
      <alignment horizontal="center" vertical="center"/>
    </xf>
    <xf numFmtId="0" fontId="63" fillId="2" borderId="2" xfId="82" applyFont="1" applyFill="1" applyBorder="1" applyAlignment="1" applyProtection="1">
      <alignment horizontal="left" vertical="center"/>
    </xf>
    <xf numFmtId="0" fontId="63" fillId="2" borderId="0" xfId="82" applyFont="1" applyFill="1" applyBorder="1" applyAlignment="1" applyProtection="1">
      <alignment vertical="center"/>
    </xf>
    <xf numFmtId="0" fontId="63" fillId="2" borderId="25" xfId="82" applyFont="1" applyFill="1" applyBorder="1" applyAlignment="1" applyProtection="1">
      <alignment horizontal="center" vertical="center"/>
    </xf>
    <xf numFmtId="0" fontId="63" fillId="2" borderId="143" xfId="82" applyFont="1" applyFill="1" applyBorder="1" applyAlignment="1" applyProtection="1">
      <alignment horizontal="center" vertical="center"/>
    </xf>
    <xf numFmtId="0" fontId="63" fillId="2" borderId="8" xfId="82" applyFont="1" applyFill="1" applyBorder="1" applyAlignment="1" applyProtection="1">
      <alignment horizontal="center" vertical="center"/>
    </xf>
    <xf numFmtId="0" fontId="63" fillId="2" borderId="2" xfId="82" applyFont="1" applyFill="1" applyBorder="1" applyAlignment="1" applyProtection="1">
      <alignment horizontal="left" vertical="center" wrapText="1"/>
    </xf>
    <xf numFmtId="0" fontId="26" fillId="2" borderId="2" xfId="82" applyFont="1" applyFill="1" applyBorder="1" applyAlignment="1" applyProtection="1">
      <alignment horizontal="left" vertical="center"/>
    </xf>
    <xf numFmtId="0" fontId="0" fillId="2" borderId="2" xfId="82" applyFont="1" applyFill="1" applyBorder="1" applyAlignment="1" applyProtection="1">
      <alignment horizontal="left" vertical="center"/>
    </xf>
    <xf numFmtId="0" fontId="63" fillId="2" borderId="2" xfId="82" applyFont="1" applyFill="1" applyBorder="1" applyAlignment="1" applyProtection="1">
      <alignment horizontal="left" vertical="center"/>
    </xf>
    <xf numFmtId="0" fontId="63" fillId="2" borderId="0" xfId="82" applyFont="1" applyFill="1" applyBorder="1" applyAlignment="1" applyProtection="1">
      <alignment vertical="center"/>
    </xf>
    <xf numFmtId="0" fontId="63" fillId="2" borderId="25" xfId="82" applyFont="1" applyFill="1" applyBorder="1" applyAlignment="1" applyProtection="1">
      <alignment horizontal="center" vertical="center"/>
    </xf>
    <xf numFmtId="0" fontId="63" fillId="0" borderId="74" xfId="82" applyFont="1" applyFill="1" applyBorder="1" applyAlignment="1" applyProtection="1">
      <alignment horizontal="center" vertical="center"/>
    </xf>
    <xf numFmtId="0" fontId="63" fillId="0" borderId="14" xfId="82" applyFont="1" applyFill="1" applyBorder="1" applyAlignment="1" applyProtection="1">
      <alignment horizontal="center" vertical="center"/>
    </xf>
    <xf numFmtId="0" fontId="126" fillId="2" borderId="24" xfId="82" applyFont="1" applyFill="1" applyBorder="1" applyAlignment="1" applyProtection="1">
      <alignment horizontal="left" vertical="center"/>
    </xf>
    <xf numFmtId="205" fontId="63" fillId="0" borderId="26" xfId="82" applyNumberFormat="1" applyFont="1" applyFill="1" applyBorder="1" applyAlignment="1" applyProtection="1">
      <alignment horizontal="right" vertical="center"/>
    </xf>
    <xf numFmtId="205" fontId="63" fillId="6" borderId="79" xfId="82" applyNumberFormat="1" applyFont="1" applyFill="1" applyBorder="1" applyAlignment="1" applyProtection="1">
      <alignment horizontal="right" vertical="center"/>
    </xf>
    <xf numFmtId="205" fontId="63" fillId="0" borderId="11" xfId="82" applyNumberFormat="1" applyFont="1" applyFill="1" applyBorder="1" applyAlignment="1" applyProtection="1">
      <alignment horizontal="right" vertical="center"/>
    </xf>
    <xf numFmtId="0" fontId="63" fillId="0" borderId="64" xfId="82" applyFont="1" applyFill="1" applyBorder="1" applyAlignment="1" applyProtection="1">
      <alignment horizontal="center" vertical="center"/>
    </xf>
    <xf numFmtId="215" fontId="109" fillId="2" borderId="145" xfId="82" applyNumberFormat="1" applyFont="1" applyFill="1" applyBorder="1" applyAlignment="1" applyProtection="1">
      <alignment horizontal="right" vertical="center"/>
    </xf>
    <xf numFmtId="0" fontId="63" fillId="2" borderId="25" xfId="82" applyFont="1" applyFill="1" applyBorder="1" applyAlignment="1" applyProtection="1">
      <alignment horizontal="center" vertical="center"/>
    </xf>
    <xf numFmtId="0" fontId="63" fillId="2" borderId="0" xfId="82" applyFont="1" applyFill="1" applyBorder="1" applyAlignment="1" applyProtection="1">
      <alignment vertical="center"/>
    </xf>
    <xf numFmtId="0" fontId="126" fillId="2" borderId="24" xfId="82" applyFont="1" applyFill="1" applyBorder="1" applyAlignment="1" applyProtection="1">
      <alignment horizontal="left" vertical="center"/>
    </xf>
    <xf numFmtId="0" fontId="63" fillId="2" borderId="21" xfId="82" applyFont="1" applyFill="1" applyBorder="1" applyAlignment="1" applyProtection="1">
      <alignment horizontal="center" vertical="center"/>
    </xf>
    <xf numFmtId="215" fontId="63" fillId="2" borderId="8" xfId="82" applyNumberFormat="1" applyFont="1" applyFill="1" applyBorder="1" applyAlignment="1" applyProtection="1">
      <alignment horizontal="center" vertical="center" wrapText="1"/>
    </xf>
    <xf numFmtId="0" fontId="0" fillId="2" borderId="100" xfId="58" applyFont="1" applyFill="1" applyBorder="1" applyAlignment="1" applyProtection="1">
      <alignment horizontal="left" vertical="center"/>
    </xf>
    <xf numFmtId="0" fontId="0" fillId="2" borderId="166" xfId="58" applyFont="1" applyFill="1" applyBorder="1" applyAlignment="1" applyProtection="1">
      <alignment horizontal="center" vertical="center"/>
    </xf>
    <xf numFmtId="0" fontId="0" fillId="2" borderId="167" xfId="58" applyFont="1" applyFill="1" applyBorder="1" applyAlignment="1" applyProtection="1">
      <alignment horizontal="center" vertical="center"/>
    </xf>
    <xf numFmtId="216" fontId="26" fillId="2" borderId="148" xfId="82" applyNumberFormat="1" applyFont="1" applyFill="1" applyBorder="1" applyAlignment="1" applyProtection="1">
      <alignment vertical="center"/>
    </xf>
    <xf numFmtId="0" fontId="88" fillId="2" borderId="0" xfId="82" applyFont="1" applyFill="1" applyBorder="1" applyAlignment="1" applyProtection="1">
      <alignment vertical="center"/>
    </xf>
    <xf numFmtId="227" fontId="107" fillId="2" borderId="1" xfId="82" applyNumberFormat="1" applyFont="1" applyFill="1" applyBorder="1" applyAlignment="1" applyProtection="1">
      <alignment horizontal="left" vertical="center"/>
    </xf>
    <xf numFmtId="0" fontId="63" fillId="0" borderId="49" xfId="82" applyFont="1" applyFill="1" applyBorder="1" applyAlignment="1" applyProtection="1">
      <alignment horizontal="center" vertical="center"/>
    </xf>
    <xf numFmtId="0" fontId="73" fillId="2" borderId="44" xfId="58" applyFont="1" applyFill="1" applyBorder="1" applyAlignment="1" applyProtection="1">
      <alignment horizontal="left" vertical="center"/>
    </xf>
    <xf numFmtId="0" fontId="63" fillId="2" borderId="21" xfId="82" applyFont="1" applyFill="1" applyBorder="1" applyAlignment="1" applyProtection="1">
      <alignment vertical="center"/>
    </xf>
    <xf numFmtId="0" fontId="63" fillId="6" borderId="9" xfId="82" applyFont="1" applyFill="1" applyBorder="1" applyAlignment="1" applyProtection="1">
      <alignment horizontal="center" vertical="center"/>
    </xf>
    <xf numFmtId="215" fontId="68" fillId="2" borderId="54" xfId="82" applyNumberFormat="1" applyFont="1" applyFill="1" applyBorder="1" applyAlignment="1" applyProtection="1">
      <alignment vertical="center"/>
    </xf>
    <xf numFmtId="215" fontId="110" fillId="2" borderId="143" xfId="82" applyNumberFormat="1" applyFont="1" applyFill="1" applyBorder="1" applyAlignment="1" applyProtection="1">
      <alignment vertical="center"/>
    </xf>
    <xf numFmtId="217" fontId="63" fillId="2" borderId="54" xfId="82" applyNumberFormat="1" applyFont="1" applyFill="1" applyBorder="1" applyAlignment="1" applyProtection="1">
      <alignment vertical="center"/>
    </xf>
    <xf numFmtId="0" fontId="152" fillId="2" borderId="8" xfId="82" applyFont="1" applyFill="1" applyBorder="1" applyAlignment="1" applyProtection="1">
      <alignment horizontal="left" vertical="center"/>
    </xf>
    <xf numFmtId="0" fontId="152" fillId="2" borderId="8" xfId="82" applyFont="1" applyFill="1" applyBorder="1" applyAlignment="1" applyProtection="1">
      <alignment horizontal="left" vertical="center" wrapText="1"/>
    </xf>
    <xf numFmtId="0" fontId="63" fillId="0" borderId="273" xfId="82" applyFont="1" applyBorder="1" applyAlignment="1" applyProtection="1">
      <alignment vertical="center"/>
    </xf>
    <xf numFmtId="0" fontId="67" fillId="2" borderId="8" xfId="82" applyFont="1" applyFill="1" applyBorder="1" applyAlignment="1" applyProtection="1">
      <alignment horizontal="left" vertical="center" wrapText="1"/>
    </xf>
    <xf numFmtId="0" fontId="51" fillId="2" borderId="0" xfId="82" applyFont="1" applyFill="1" applyBorder="1" applyAlignment="1" applyProtection="1">
      <alignment vertical="center"/>
    </xf>
    <xf numFmtId="0" fontId="50" fillId="2" borderId="0" xfId="82" applyFont="1" applyFill="1" applyBorder="1" applyAlignment="1" applyProtection="1">
      <alignment vertical="center"/>
    </xf>
    <xf numFmtId="0" fontId="63" fillId="6" borderId="25" xfId="82" applyFont="1" applyFill="1" applyBorder="1" applyAlignment="1" applyProtection="1">
      <alignment horizontal="center" vertical="center"/>
    </xf>
    <xf numFmtId="215" fontId="68" fillId="6" borderId="45" xfId="82" applyNumberFormat="1" applyFont="1" applyFill="1" applyBorder="1" applyAlignment="1" applyProtection="1">
      <alignment vertical="center"/>
    </xf>
    <xf numFmtId="215" fontId="63" fillId="2" borderId="193" xfId="82" applyNumberFormat="1" applyFont="1" applyFill="1" applyBorder="1" applyAlignment="1" applyProtection="1">
      <alignment horizontal="right" vertical="center"/>
    </xf>
    <xf numFmtId="215" fontId="110" fillId="2" borderId="55" xfId="82" applyNumberFormat="1" applyFont="1" applyFill="1" applyBorder="1" applyAlignment="1" applyProtection="1">
      <alignment vertical="center"/>
    </xf>
    <xf numFmtId="216" fontId="69" fillId="2" borderId="72" xfId="82" applyNumberFormat="1" applyFont="1" applyFill="1" applyBorder="1" applyAlignment="1" applyProtection="1">
      <alignment vertical="center"/>
    </xf>
    <xf numFmtId="215" fontId="153" fillId="2" borderId="21" xfId="82" applyNumberFormat="1" applyFont="1" applyFill="1" applyBorder="1" applyAlignment="1" applyProtection="1">
      <alignment vertical="center"/>
    </xf>
    <xf numFmtId="217" fontId="73" fillId="2" borderId="65" xfId="82" applyNumberFormat="1" applyFont="1" applyFill="1" applyBorder="1" applyAlignment="1" applyProtection="1">
      <alignment vertical="center"/>
    </xf>
    <xf numFmtId="217" fontId="73" fillId="2" borderId="54" xfId="82" applyNumberFormat="1" applyFont="1" applyFill="1" applyBorder="1" applyAlignment="1" applyProtection="1">
      <alignment vertical="center"/>
    </xf>
    <xf numFmtId="0" fontId="63" fillId="6" borderId="51" xfId="82" applyFont="1" applyFill="1" applyBorder="1" applyAlignment="1" applyProtection="1">
      <alignment horizontal="center" vertical="center"/>
    </xf>
    <xf numFmtId="0" fontId="63" fillId="6" borderId="274" xfId="82" applyFont="1" applyFill="1" applyBorder="1" applyAlignment="1" applyProtection="1">
      <alignment horizontal="center" vertical="center"/>
    </xf>
    <xf numFmtId="228" fontId="69" fillId="6" borderId="37" xfId="82" applyNumberFormat="1" applyFont="1" applyFill="1" applyBorder="1" applyAlignment="1" applyProtection="1">
      <alignment horizontal="right" vertical="center"/>
    </xf>
    <xf numFmtId="0" fontId="0" fillId="2" borderId="39" xfId="0" applyFill="1" applyBorder="1"/>
    <xf numFmtId="0" fontId="50" fillId="2" borderId="63" xfId="0" applyFont="1" applyFill="1" applyBorder="1" applyAlignment="1">
      <alignment horizontal="center" vertical="center"/>
    </xf>
    <xf numFmtId="0" fontId="50" fillId="2" borderId="80" xfId="0" applyFont="1" applyFill="1" applyBorder="1" applyAlignment="1">
      <alignment horizontal="center" vertical="center"/>
    </xf>
    <xf numFmtId="0" fontId="53" fillId="7" borderId="89" xfId="0" applyFont="1" applyFill="1" applyBorder="1" applyAlignment="1">
      <alignment vertical="center"/>
    </xf>
    <xf numFmtId="0" fontId="53" fillId="7" borderId="83" xfId="0" applyFont="1" applyFill="1" applyBorder="1" applyAlignment="1">
      <alignment vertical="center"/>
    </xf>
    <xf numFmtId="0" fontId="53" fillId="7" borderId="70" xfId="0" applyFont="1" applyFill="1" applyBorder="1" applyAlignment="1">
      <alignment vertical="center"/>
    </xf>
    <xf numFmtId="0" fontId="53" fillId="7" borderId="73" xfId="0" applyFont="1" applyFill="1" applyBorder="1" applyAlignment="1">
      <alignment vertical="center"/>
    </xf>
    <xf numFmtId="0" fontId="32" fillId="7" borderId="11" xfId="0" applyFont="1" applyFill="1" applyBorder="1" applyAlignment="1">
      <alignment vertical="center"/>
    </xf>
    <xf numFmtId="0" fontId="53" fillId="7" borderId="11" xfId="0" applyFont="1" applyFill="1" applyBorder="1" applyAlignment="1">
      <alignment vertical="center"/>
    </xf>
    <xf numFmtId="0" fontId="51" fillId="2" borderId="26" xfId="0" applyFont="1" applyFill="1" applyBorder="1" applyAlignment="1">
      <alignment horizontal="center" vertical="center" shrinkToFit="1"/>
    </xf>
    <xf numFmtId="0" fontId="0" fillId="0" borderId="13" xfId="0" applyBorder="1" applyAlignment="1">
      <alignment horizontal="center" vertical="center" shrinkToFit="1"/>
    </xf>
    <xf numFmtId="0" fontId="0" fillId="16" borderId="45" xfId="0" applyFill="1" applyBorder="1" applyAlignment="1">
      <alignment horizontal="center" vertical="center" shrinkToFit="1"/>
    </xf>
    <xf numFmtId="0" fontId="0" fillId="0" borderId="24" xfId="0" applyBorder="1" applyAlignment="1">
      <alignment horizontal="center" vertical="center" shrinkToFit="1"/>
    </xf>
    <xf numFmtId="0" fontId="0" fillId="0" borderId="26" xfId="0" applyBorder="1" applyAlignment="1">
      <alignment horizontal="center" vertical="center" shrinkToFit="1"/>
    </xf>
    <xf numFmtId="197" fontId="32" fillId="2" borderId="26" xfId="0" applyNumberFormat="1" applyFont="1" applyFill="1" applyBorder="1" applyAlignment="1">
      <alignment horizontal="center" vertical="center" shrinkToFit="1"/>
    </xf>
    <xf numFmtId="0" fontId="0" fillId="0" borderId="0" xfId="0" applyAlignment="1">
      <alignment horizontal="center" vertical="center"/>
    </xf>
    <xf numFmtId="0" fontId="32" fillId="0" borderId="26" xfId="0" applyFont="1" applyBorder="1" applyAlignment="1">
      <alignment horizontal="center" vertical="center" shrinkToFit="1"/>
    </xf>
    <xf numFmtId="0" fontId="0" fillId="0" borderId="0" xfId="0" applyAlignment="1">
      <alignment horizontal="center" vertical="center" shrinkToFit="1"/>
    </xf>
    <xf numFmtId="0" fontId="42" fillId="0" borderId="26" xfId="0" applyFont="1" applyBorder="1" applyAlignment="1">
      <alignment horizontal="center" vertical="center" shrinkToFit="1"/>
    </xf>
    <xf numFmtId="197" fontId="33" fillId="2" borderId="26" xfId="0" applyNumberFormat="1" applyFont="1" applyFill="1" applyBorder="1" applyAlignment="1">
      <alignment horizontal="center" vertical="center" shrinkToFit="1"/>
    </xf>
    <xf numFmtId="0" fontId="0" fillId="0" borderId="0" xfId="0" applyAlignment="1">
      <alignment shrinkToFit="1"/>
    </xf>
    <xf numFmtId="0" fontId="32" fillId="0" borderId="6" xfId="0" applyFont="1" applyBorder="1" applyAlignment="1">
      <alignment horizontal="center" vertical="center" shrinkToFit="1"/>
    </xf>
    <xf numFmtId="0" fontId="5" fillId="2" borderId="275" xfId="55" applyFill="1" applyBorder="1" applyAlignment="1">
      <alignment vertical="center" wrapText="1"/>
    </xf>
    <xf numFmtId="0" fontId="53" fillId="7" borderId="55" xfId="0" applyFont="1" applyFill="1" applyBorder="1" applyAlignment="1">
      <alignment vertical="center"/>
    </xf>
    <xf numFmtId="0" fontId="53" fillId="7" borderId="188" xfId="0" applyFont="1" applyFill="1" applyBorder="1" applyAlignment="1">
      <alignment vertical="center"/>
    </xf>
    <xf numFmtId="0" fontId="51" fillId="2" borderId="38" xfId="0" applyFont="1" applyFill="1" applyBorder="1" applyAlignment="1">
      <alignment horizontal="center" vertical="center" shrinkToFit="1"/>
    </xf>
    <xf numFmtId="0" fontId="0" fillId="5" borderId="26" xfId="0" applyFill="1" applyBorder="1" applyAlignment="1" applyProtection="1">
      <alignment horizontal="center" vertical="center"/>
      <protection locked="0"/>
    </xf>
    <xf numFmtId="0" fontId="0" fillId="5" borderId="38" xfId="0" applyFill="1" applyBorder="1" applyAlignment="1" applyProtection="1">
      <alignment horizontal="center" vertical="center"/>
      <protection locked="0"/>
    </xf>
    <xf numFmtId="0" fontId="0" fillId="0" borderId="51" xfId="0" applyFill="1" applyBorder="1" applyAlignment="1" applyProtection="1">
      <alignment horizontal="center" vertical="center"/>
      <protection locked="0"/>
    </xf>
    <xf numFmtId="0" fontId="21" fillId="4" borderId="25" xfId="55" applyFont="1" applyFill="1" applyBorder="1" applyAlignment="1" applyProtection="1">
      <alignment horizontal="center" vertical="center"/>
      <protection locked="0"/>
    </xf>
    <xf numFmtId="0" fontId="63" fillId="2" borderId="0" xfId="82" applyFont="1" applyFill="1" applyBorder="1" applyAlignment="1" applyProtection="1">
      <alignment vertical="center"/>
    </xf>
    <xf numFmtId="0" fontId="63" fillId="2" borderId="95" xfId="82" applyFont="1" applyFill="1" applyBorder="1" applyAlignment="1" applyProtection="1">
      <alignment horizontal="left" vertical="center"/>
    </xf>
    <xf numFmtId="0" fontId="63" fillId="2" borderId="96" xfId="82" applyFont="1" applyFill="1" applyBorder="1" applyAlignment="1" applyProtection="1">
      <alignment horizontal="left" vertical="center"/>
    </xf>
    <xf numFmtId="0" fontId="63" fillId="2" borderId="277" xfId="82" applyFont="1" applyFill="1" applyBorder="1" applyAlignment="1" applyProtection="1">
      <alignment horizontal="right" vertical="center"/>
    </xf>
    <xf numFmtId="0" fontId="63" fillId="2" borderId="278" xfId="82" applyFont="1" applyFill="1" applyBorder="1" applyAlignment="1" applyProtection="1">
      <alignment horizontal="right" vertical="center"/>
    </xf>
    <xf numFmtId="0" fontId="63" fillId="2" borderId="279" xfId="82" applyFont="1" applyFill="1" applyBorder="1" applyAlignment="1" applyProtection="1">
      <alignment horizontal="right" vertical="center"/>
    </xf>
    <xf numFmtId="0" fontId="63" fillId="6" borderId="165" xfId="82" applyFont="1" applyFill="1" applyBorder="1" applyAlignment="1" applyProtection="1">
      <alignment horizontal="center" vertical="center"/>
    </xf>
    <xf numFmtId="0" fontId="63" fillId="2" borderId="190" xfId="82" applyFont="1" applyFill="1" applyBorder="1" applyAlignment="1" applyProtection="1">
      <alignment vertical="center"/>
    </xf>
    <xf numFmtId="0" fontId="63" fillId="2" borderId="178" xfId="82" applyFont="1" applyFill="1" applyBorder="1" applyAlignment="1" applyProtection="1">
      <alignment vertical="center"/>
    </xf>
    <xf numFmtId="0" fontId="63" fillId="2" borderId="69" xfId="82" applyFont="1" applyFill="1" applyBorder="1" applyAlignment="1" applyProtection="1">
      <alignment vertical="center"/>
    </xf>
    <xf numFmtId="0" fontId="63" fillId="2" borderId="280" xfId="82" applyFont="1" applyFill="1" applyBorder="1" applyAlignment="1" applyProtection="1">
      <alignment vertical="center"/>
    </xf>
    <xf numFmtId="0" fontId="63" fillId="6" borderId="164" xfId="82" applyFont="1" applyFill="1" applyBorder="1" applyAlignment="1" applyProtection="1">
      <alignment horizontal="center" vertical="center"/>
    </xf>
    <xf numFmtId="215" fontId="109" fillId="2" borderId="94" xfId="82" applyNumberFormat="1" applyFont="1" applyFill="1" applyBorder="1" applyAlignment="1" applyProtection="1">
      <alignment horizontal="right" vertical="center"/>
    </xf>
    <xf numFmtId="218" fontId="110" fillId="2" borderId="94" xfId="82" applyNumberFormat="1" applyFont="1" applyFill="1" applyBorder="1" applyAlignment="1" applyProtection="1">
      <alignment vertical="center"/>
    </xf>
    <xf numFmtId="216" fontId="106" fillId="2" borderId="280" xfId="82" applyNumberFormat="1" applyFont="1" applyFill="1" applyBorder="1" applyAlignment="1" applyProtection="1">
      <alignment vertical="center"/>
    </xf>
    <xf numFmtId="0" fontId="63" fillId="2" borderId="196" xfId="82" applyFont="1" applyFill="1" applyBorder="1" applyAlignment="1" applyProtection="1">
      <alignment vertical="center"/>
    </xf>
    <xf numFmtId="0" fontId="63" fillId="2" borderId="221" xfId="82" applyFont="1" applyFill="1" applyBorder="1" applyAlignment="1" applyProtection="1">
      <alignment vertical="center"/>
    </xf>
    <xf numFmtId="0" fontId="63" fillId="0" borderId="165" xfId="82" applyFont="1" applyFill="1" applyBorder="1" applyAlignment="1" applyProtection="1">
      <alignment horizontal="center" vertical="center"/>
    </xf>
    <xf numFmtId="0" fontId="63" fillId="0" borderId="228" xfId="82" applyFont="1" applyFill="1" applyBorder="1" applyAlignment="1" applyProtection="1">
      <alignment horizontal="center" vertical="center"/>
    </xf>
    <xf numFmtId="215" fontId="109" fillId="2" borderId="196" xfId="82" applyNumberFormat="1" applyFont="1" applyFill="1" applyBorder="1" applyAlignment="1" applyProtection="1">
      <alignment horizontal="right" vertical="center"/>
    </xf>
    <xf numFmtId="218" fontId="110" fillId="2" borderId="196" xfId="82" applyNumberFormat="1" applyFont="1" applyFill="1" applyBorder="1" applyAlignment="1" applyProtection="1">
      <alignment vertical="center"/>
    </xf>
    <xf numFmtId="216" fontId="106" fillId="2" borderId="221" xfId="82" applyNumberFormat="1" applyFont="1" applyFill="1" applyBorder="1" applyAlignment="1" applyProtection="1">
      <alignment vertical="center"/>
    </xf>
    <xf numFmtId="216" fontId="69" fillId="2" borderId="281" xfId="82" applyNumberFormat="1" applyFont="1" applyFill="1" applyBorder="1" applyAlignment="1" applyProtection="1">
      <alignment vertical="center"/>
    </xf>
    <xf numFmtId="216" fontId="26" fillId="2" borderId="54" xfId="82" applyNumberFormat="1" applyFont="1" applyFill="1" applyBorder="1" applyAlignment="1" applyProtection="1">
      <alignment vertical="center"/>
    </xf>
    <xf numFmtId="0" fontId="155" fillId="0" borderId="0" xfId="0" applyFont="1" applyAlignment="1">
      <alignment horizontal="left" vertical="center"/>
    </xf>
    <xf numFmtId="0" fontId="95" fillId="2" borderId="76" xfId="86" applyFont="1" applyFill="1" applyBorder="1" applyAlignment="1" applyProtection="1">
      <alignment horizontal="left" vertical="center" wrapText="1" shrinkToFit="1"/>
    </xf>
    <xf numFmtId="0" fontId="95" fillId="2" borderId="48" xfId="86" applyFont="1" applyFill="1" applyBorder="1" applyAlignment="1" applyProtection="1">
      <alignment horizontal="left" vertical="center" wrapText="1" shrinkToFit="1"/>
    </xf>
    <xf numFmtId="0" fontId="93" fillId="2" borderId="0" xfId="86" applyFont="1" applyFill="1" applyAlignment="1" applyProtection="1">
      <alignment horizontal="center"/>
    </xf>
    <xf numFmtId="0" fontId="5" fillId="12" borderId="64" xfId="86" applyFill="1" applyBorder="1" applyAlignment="1" applyProtection="1">
      <alignment horizontal="left" vertical="center" indent="1"/>
    </xf>
    <xf numFmtId="0" fontId="5" fillId="12" borderId="2" xfId="86" applyFill="1" applyBorder="1" applyAlignment="1" applyProtection="1">
      <alignment horizontal="left" vertical="center" indent="1"/>
    </xf>
    <xf numFmtId="0" fontId="0" fillId="2" borderId="275" xfId="0" applyFill="1" applyBorder="1" applyAlignment="1">
      <alignment horizontal="left" vertical="center" wrapText="1"/>
    </xf>
    <xf numFmtId="0" fontId="0" fillId="2" borderId="276" xfId="0" applyFill="1" applyBorder="1" applyAlignment="1">
      <alignment horizontal="left" vertical="center" wrapText="1"/>
    </xf>
    <xf numFmtId="0" fontId="51" fillId="2" borderId="26" xfId="0" applyFont="1" applyFill="1" applyBorder="1" applyAlignment="1">
      <alignment horizontal="center" vertical="center" shrinkToFit="1"/>
    </xf>
    <xf numFmtId="0" fontId="51" fillId="2" borderId="38" xfId="0" applyFont="1" applyFill="1" applyBorder="1" applyAlignment="1">
      <alignment horizontal="center" vertical="center" shrinkToFit="1"/>
    </xf>
    <xf numFmtId="0" fontId="50" fillId="2" borderId="63" xfId="0" applyFont="1" applyFill="1" applyBorder="1" applyAlignment="1">
      <alignment horizontal="center" vertical="center" shrinkToFit="1"/>
    </xf>
    <xf numFmtId="0" fontId="20" fillId="0" borderId="2" xfId="55" applyFont="1" applyBorder="1" applyAlignment="1">
      <alignment horizontal="center" vertical="center" shrinkToFit="1"/>
    </xf>
    <xf numFmtId="0" fontId="20" fillId="0" borderId="24" xfId="55" applyFont="1" applyBorder="1" applyAlignment="1">
      <alignment horizontal="center" vertical="center" shrinkToFit="1"/>
    </xf>
    <xf numFmtId="0" fontId="51" fillId="2" borderId="24" xfId="0" applyFont="1" applyFill="1" applyBorder="1" applyAlignment="1">
      <alignment horizontal="center" vertical="center" shrinkToFit="1"/>
    </xf>
    <xf numFmtId="0" fontId="51" fillId="2" borderId="103" xfId="0" applyFont="1" applyFill="1" applyBorder="1" applyAlignment="1">
      <alignment horizontal="center" vertical="center" shrinkToFit="1"/>
    </xf>
    <xf numFmtId="212" fontId="66" fillId="2" borderId="76" xfId="82" applyNumberFormat="1" applyFont="1" applyFill="1" applyBorder="1" applyAlignment="1" applyProtection="1">
      <alignment horizontal="right" vertical="center" shrinkToFit="1"/>
    </xf>
    <xf numFmtId="212" fontId="66" fillId="2" borderId="48" xfId="82" applyNumberFormat="1" applyFont="1" applyFill="1" applyBorder="1" applyAlignment="1" applyProtection="1">
      <alignment horizontal="right" vertical="center" shrinkToFit="1"/>
    </xf>
    <xf numFmtId="0" fontId="32" fillId="2" borderId="143" xfId="0" applyFont="1" applyFill="1" applyBorder="1" applyAlignment="1" applyProtection="1">
      <alignment horizontal="center" vertical="center" shrinkToFit="1"/>
    </xf>
    <xf numFmtId="0" fontId="32" fillId="2" borderId="16" xfId="0" applyFont="1" applyFill="1" applyBorder="1" applyAlignment="1" applyProtection="1">
      <alignment horizontal="center" vertical="center" shrinkToFit="1"/>
    </xf>
    <xf numFmtId="0" fontId="32" fillId="2" borderId="74" xfId="0" applyFont="1" applyFill="1" applyBorder="1" applyAlignment="1" applyProtection="1">
      <alignment horizontal="center" vertical="center" shrinkToFit="1"/>
    </xf>
    <xf numFmtId="0" fontId="32" fillId="2" borderId="14" xfId="0" applyFont="1" applyFill="1" applyBorder="1" applyAlignment="1" applyProtection="1">
      <alignment horizontal="center" vertical="center" shrinkToFit="1"/>
    </xf>
    <xf numFmtId="0" fontId="63" fillId="0" borderId="77" xfId="82" applyFont="1" applyBorder="1" applyAlignment="1" applyProtection="1">
      <alignment horizontal="center" vertical="center"/>
    </xf>
    <xf numFmtId="0" fontId="63" fillId="0" borderId="103" xfId="82" applyFont="1" applyBorder="1" applyAlignment="1" applyProtection="1">
      <alignment horizontal="center" vertical="center"/>
    </xf>
    <xf numFmtId="0" fontId="63" fillId="0" borderId="25" xfId="82" applyFont="1" applyBorder="1" applyAlignment="1" applyProtection="1">
      <alignment horizontal="center" vertical="center"/>
    </xf>
    <xf numFmtId="0" fontId="63" fillId="0" borderId="2" xfId="82" applyFont="1" applyBorder="1" applyAlignment="1" applyProtection="1">
      <alignment horizontal="center" vertical="center"/>
    </xf>
    <xf numFmtId="0" fontId="63" fillId="0" borderId="24" xfId="82" applyFont="1" applyBorder="1" applyAlignment="1" applyProtection="1">
      <alignment horizontal="center" vertical="center"/>
    </xf>
    <xf numFmtId="0" fontId="42" fillId="2" borderId="0" xfId="82" applyFont="1" applyFill="1" applyAlignment="1" applyProtection="1">
      <alignment horizontal="center" vertical="center" shrinkToFit="1"/>
    </xf>
    <xf numFmtId="0" fontId="85" fillId="2" borderId="0" xfId="82" applyFont="1" applyFill="1" applyAlignment="1" applyProtection="1">
      <alignment horizontal="center" vertical="center" shrinkToFit="1"/>
    </xf>
    <xf numFmtId="0" fontId="66" fillId="10" borderId="106" xfId="82" applyFont="1" applyFill="1" applyBorder="1" applyAlignment="1" applyProtection="1">
      <alignment horizontal="center" vertical="center"/>
    </xf>
    <xf numFmtId="0" fontId="66" fillId="10" borderId="84" xfId="82" applyFont="1" applyFill="1" applyBorder="1" applyAlignment="1" applyProtection="1">
      <alignment horizontal="center" vertical="center"/>
    </xf>
    <xf numFmtId="0" fontId="66" fillId="9" borderId="106" xfId="82" applyFont="1" applyFill="1" applyBorder="1" applyAlignment="1" applyProtection="1">
      <alignment horizontal="center" vertical="center"/>
    </xf>
    <xf numFmtId="0" fontId="66" fillId="9" borderId="84" xfId="82" applyFont="1" applyFill="1" applyBorder="1" applyAlignment="1" applyProtection="1">
      <alignment horizontal="center" vertical="center"/>
    </xf>
    <xf numFmtId="0" fontId="32" fillId="2" borderId="78" xfId="0" applyFont="1" applyFill="1" applyBorder="1" applyAlignment="1" applyProtection="1">
      <alignment horizontal="center" vertical="center" shrinkToFit="1"/>
    </xf>
    <xf numFmtId="0" fontId="32" fillId="2" borderId="9" xfId="0" applyFont="1" applyFill="1" applyBorder="1" applyAlignment="1" applyProtection="1">
      <alignment horizontal="center" vertical="center" shrinkToFit="1"/>
    </xf>
    <xf numFmtId="0" fontId="32" fillId="2" borderId="49" xfId="0" applyFont="1" applyFill="1" applyBorder="1" applyAlignment="1" applyProtection="1">
      <alignment horizontal="center" vertical="center" shrinkToFit="1"/>
    </xf>
    <xf numFmtId="0" fontId="32" fillId="2" borderId="26" xfId="0" applyFont="1" applyFill="1" applyBorder="1" applyAlignment="1" applyProtection="1">
      <alignment horizontal="center" vertical="center" shrinkToFit="1"/>
    </xf>
    <xf numFmtId="0" fontId="33" fillId="5" borderId="89" xfId="82" applyFont="1" applyFill="1" applyBorder="1" applyAlignment="1" applyProtection="1">
      <alignment horizontal="left" vertical="top" wrapText="1"/>
      <protection locked="0"/>
    </xf>
    <xf numFmtId="0" fontId="33" fillId="5" borderId="91" xfId="82" applyFont="1" applyFill="1" applyBorder="1" applyAlignment="1" applyProtection="1">
      <alignment horizontal="left" vertical="top" wrapText="1"/>
      <protection locked="0"/>
    </xf>
    <xf numFmtId="0" fontId="33" fillId="5" borderId="90" xfId="82" applyFont="1" applyFill="1" applyBorder="1" applyAlignment="1" applyProtection="1">
      <alignment horizontal="left" vertical="top" wrapText="1"/>
      <protection locked="0"/>
    </xf>
    <xf numFmtId="0" fontId="33" fillId="5" borderId="73" xfId="82" applyFont="1" applyFill="1" applyBorder="1" applyAlignment="1" applyProtection="1">
      <alignment horizontal="left" vertical="top" wrapText="1"/>
      <protection locked="0"/>
    </xf>
    <xf numFmtId="0" fontId="33" fillId="5" borderId="0" xfId="82" applyFont="1" applyFill="1" applyBorder="1" applyAlignment="1" applyProtection="1">
      <alignment horizontal="left" vertical="top" wrapText="1"/>
      <protection locked="0"/>
    </xf>
    <xf numFmtId="0" fontId="33" fillId="5" borderId="71" xfId="82" applyFont="1" applyFill="1" applyBorder="1" applyAlignment="1" applyProtection="1">
      <alignment horizontal="left" vertical="top" wrapText="1"/>
      <protection locked="0"/>
    </xf>
    <xf numFmtId="0" fontId="33" fillId="5" borderId="55" xfId="82" applyFont="1" applyFill="1" applyBorder="1" applyAlignment="1" applyProtection="1">
      <alignment horizontal="left" vertical="top" wrapText="1"/>
      <protection locked="0"/>
    </xf>
    <xf numFmtId="0" fontId="33" fillId="5" borderId="39" xfId="82" applyFont="1" applyFill="1" applyBorder="1" applyAlignment="1" applyProtection="1">
      <alignment horizontal="left" vertical="top" wrapText="1"/>
      <protection locked="0"/>
    </xf>
    <xf numFmtId="0" fontId="33" fillId="5" borderId="72" xfId="82" applyFont="1" applyFill="1" applyBorder="1" applyAlignment="1" applyProtection="1">
      <alignment horizontal="left" vertical="top" wrapText="1"/>
      <protection locked="0"/>
    </xf>
    <xf numFmtId="0" fontId="33" fillId="2" borderId="37" xfId="82" applyFont="1" applyFill="1" applyBorder="1" applyAlignment="1" applyProtection="1">
      <alignment horizontal="center" vertical="center"/>
    </xf>
    <xf numFmtId="0" fontId="33" fillId="2" borderId="1" xfId="82" applyFont="1" applyFill="1" applyBorder="1" applyAlignment="1" applyProtection="1">
      <alignment horizontal="center" vertical="center"/>
    </xf>
    <xf numFmtId="0" fontId="63" fillId="4" borderId="37" xfId="82" applyFont="1" applyFill="1" applyBorder="1" applyAlignment="1" applyProtection="1">
      <alignment horizontal="center" vertical="center"/>
      <protection locked="0"/>
    </xf>
    <xf numFmtId="0" fontId="63" fillId="4" borderId="1" xfId="82" applyFont="1" applyFill="1" applyBorder="1" applyAlignment="1" applyProtection="1">
      <alignment horizontal="center" vertical="center"/>
      <protection locked="0"/>
    </xf>
    <xf numFmtId="0" fontId="63" fillId="4" borderId="36" xfId="82" applyFont="1" applyFill="1" applyBorder="1" applyAlignment="1" applyProtection="1">
      <alignment horizontal="center" vertical="center"/>
      <protection locked="0"/>
    </xf>
    <xf numFmtId="0" fontId="66" fillId="11" borderId="106" xfId="82" applyFont="1" applyFill="1" applyBorder="1" applyAlignment="1" applyProtection="1">
      <alignment horizontal="center" vertical="center"/>
    </xf>
    <xf numFmtId="0" fontId="66" fillId="11" borderId="84" xfId="82" applyFont="1" applyFill="1" applyBorder="1" applyAlignment="1" applyProtection="1">
      <alignment horizontal="center" vertical="center"/>
    </xf>
    <xf numFmtId="0" fontId="116" fillId="11" borderId="106" xfId="82" applyFont="1" applyFill="1" applyBorder="1" applyAlignment="1" applyProtection="1">
      <alignment horizontal="center" vertical="center"/>
    </xf>
    <xf numFmtId="0" fontId="116" fillId="11" borderId="84" xfId="82" applyFont="1" applyFill="1" applyBorder="1" applyAlignment="1" applyProtection="1">
      <alignment horizontal="center" vertical="center"/>
    </xf>
    <xf numFmtId="0" fontId="21" fillId="2" borderId="0" xfId="58" applyFont="1" applyFill="1" applyBorder="1" applyAlignment="1" applyProtection="1">
      <alignment horizontal="left" vertical="center"/>
    </xf>
    <xf numFmtId="0" fontId="86" fillId="2" borderId="0" xfId="58" applyFont="1" applyFill="1" applyBorder="1" applyAlignment="1" applyProtection="1">
      <alignment horizontal="left" vertical="center"/>
    </xf>
    <xf numFmtId="0" fontId="33" fillId="5" borderId="89" xfId="82" applyFont="1" applyFill="1" applyBorder="1" applyAlignment="1" applyProtection="1">
      <alignment horizontal="center" vertical="center"/>
      <protection locked="0"/>
    </xf>
    <xf numFmtId="0" fontId="33" fillId="5" borderId="91" xfId="82" applyFont="1" applyFill="1" applyBorder="1" applyAlignment="1" applyProtection="1">
      <alignment horizontal="center" vertical="center"/>
      <protection locked="0"/>
    </xf>
    <xf numFmtId="0" fontId="33" fillId="5" borderId="90" xfId="82" applyFont="1" applyFill="1" applyBorder="1" applyAlignment="1" applyProtection="1">
      <alignment horizontal="center" vertical="center"/>
      <protection locked="0"/>
    </xf>
    <xf numFmtId="0" fontId="33" fillId="5" borderId="73" xfId="82" applyFont="1" applyFill="1" applyBorder="1" applyAlignment="1" applyProtection="1">
      <alignment horizontal="center" vertical="center"/>
      <protection locked="0"/>
    </xf>
    <xf numFmtId="0" fontId="33" fillId="5" borderId="0" xfId="82" applyFont="1" applyFill="1" applyBorder="1" applyAlignment="1" applyProtection="1">
      <alignment horizontal="center" vertical="center"/>
      <protection locked="0"/>
    </xf>
    <xf numFmtId="0" fontId="33" fillId="5" borderId="71" xfId="82" applyFont="1" applyFill="1" applyBorder="1" applyAlignment="1" applyProtection="1">
      <alignment horizontal="center" vertical="center"/>
      <protection locked="0"/>
    </xf>
    <xf numFmtId="0" fontId="33" fillId="5" borderId="55" xfId="82" applyFont="1" applyFill="1" applyBorder="1" applyAlignment="1" applyProtection="1">
      <alignment horizontal="center" vertical="center"/>
      <protection locked="0"/>
    </xf>
    <xf numFmtId="0" fontId="33" fillId="5" borderId="39" xfId="82" applyFont="1" applyFill="1" applyBorder="1" applyAlignment="1" applyProtection="1">
      <alignment horizontal="center" vertical="center"/>
      <protection locked="0"/>
    </xf>
    <xf numFmtId="0" fontId="33" fillId="5" borderId="72" xfId="82" applyFont="1" applyFill="1" applyBorder="1" applyAlignment="1" applyProtection="1">
      <alignment horizontal="center" vertical="center"/>
      <protection locked="0"/>
    </xf>
    <xf numFmtId="0" fontId="63" fillId="0" borderId="26" xfId="82" applyFont="1" applyBorder="1" applyAlignment="1" applyProtection="1">
      <alignment horizontal="center" vertical="center"/>
    </xf>
    <xf numFmtId="0" fontId="36" fillId="2" borderId="9" xfId="0" applyFont="1" applyFill="1" applyBorder="1" applyAlignment="1" applyProtection="1">
      <alignment horizontal="center" vertical="center" shrinkToFit="1"/>
    </xf>
    <xf numFmtId="0" fontId="36" fillId="2" borderId="11" xfId="0" applyFont="1" applyFill="1" applyBorder="1" applyAlignment="1" applyProtection="1">
      <alignment horizontal="center" vertical="center" shrinkToFit="1"/>
    </xf>
    <xf numFmtId="0" fontId="36" fillId="2" borderId="6" xfId="0" applyFont="1" applyFill="1" applyBorder="1" applyAlignment="1" applyProtection="1">
      <alignment horizontal="center" vertical="center" shrinkToFit="1"/>
    </xf>
    <xf numFmtId="0" fontId="36" fillId="2" borderId="26" xfId="0" applyFont="1" applyFill="1" applyBorder="1" applyAlignment="1" applyProtection="1">
      <alignment horizontal="center" vertical="center" shrinkToFit="1"/>
    </xf>
    <xf numFmtId="0" fontId="36" fillId="2" borderId="25" xfId="0" applyFont="1" applyFill="1" applyBorder="1" applyAlignment="1" applyProtection="1">
      <alignment horizontal="center" vertical="center" shrinkToFit="1"/>
    </xf>
    <xf numFmtId="0" fontId="102" fillId="2" borderId="21" xfId="0" applyFont="1" applyFill="1" applyBorder="1" applyAlignment="1" applyProtection="1">
      <alignment horizontal="center" vertical="center" shrinkToFit="1"/>
    </xf>
    <xf numFmtId="0" fontId="102" fillId="2" borderId="16" xfId="0" applyFont="1" applyFill="1" applyBorder="1" applyAlignment="1" applyProtection="1">
      <alignment horizontal="center" vertical="center" shrinkToFit="1"/>
    </xf>
    <xf numFmtId="0" fontId="102" fillId="2" borderId="13" xfId="0" applyFont="1" applyFill="1" applyBorder="1" applyAlignment="1" applyProtection="1">
      <alignment horizontal="center" vertical="center" shrinkToFit="1"/>
    </xf>
    <xf numFmtId="0" fontId="102" fillId="2" borderId="14" xfId="0" applyFont="1" applyFill="1" applyBorder="1" applyAlignment="1" applyProtection="1">
      <alignment horizontal="center" vertical="center" shrinkToFit="1"/>
    </xf>
    <xf numFmtId="0" fontId="34" fillId="13" borderId="37" xfId="0" applyFont="1" applyFill="1" applyBorder="1" applyAlignment="1" applyProtection="1">
      <alignment horizontal="center" vertical="center" shrinkToFit="1"/>
    </xf>
    <xf numFmtId="0" fontId="34" fillId="13" borderId="36" xfId="0" applyFont="1" applyFill="1" applyBorder="1" applyAlignment="1" applyProtection="1">
      <alignment horizontal="center" vertical="center" shrinkToFit="1"/>
    </xf>
    <xf numFmtId="0" fontId="34" fillId="9" borderId="37" xfId="0" applyFont="1" applyFill="1" applyBorder="1" applyAlignment="1" applyProtection="1">
      <alignment horizontal="center" vertical="center" shrinkToFit="1"/>
    </xf>
    <xf numFmtId="0" fontId="34" fillId="9" borderId="36" xfId="0" applyFont="1" applyFill="1" applyBorder="1" applyAlignment="1" applyProtection="1">
      <alignment horizontal="center" vertical="center" shrinkToFit="1"/>
    </xf>
    <xf numFmtId="0" fontId="102" fillId="15" borderId="37" xfId="0" applyFont="1" applyFill="1" applyBorder="1" applyAlignment="1" applyProtection="1">
      <alignment horizontal="center" vertical="center" shrinkToFit="1"/>
    </xf>
    <xf numFmtId="0" fontId="102" fillId="15" borderId="36" xfId="0" applyFont="1" applyFill="1" applyBorder="1" applyAlignment="1" applyProtection="1">
      <alignment horizontal="center" vertical="center" shrinkToFit="1"/>
    </xf>
    <xf numFmtId="0" fontId="100" fillId="2" borderId="0" xfId="0" applyFont="1" applyFill="1" applyBorder="1" applyAlignment="1" applyProtection="1">
      <alignment horizontal="center" vertical="center" shrinkToFit="1"/>
    </xf>
    <xf numFmtId="0" fontId="100" fillId="2" borderId="7" xfId="0" applyFont="1" applyFill="1" applyBorder="1" applyAlignment="1" applyProtection="1">
      <alignment horizontal="center" vertical="center" shrinkToFit="1"/>
    </xf>
    <xf numFmtId="0" fontId="36" fillId="2" borderId="37" xfId="0" applyFont="1" applyFill="1" applyBorder="1" applyAlignment="1" applyProtection="1">
      <alignment horizontal="center" vertical="center" shrinkToFit="1"/>
    </xf>
    <xf numFmtId="0" fontId="36" fillId="2" borderId="1" xfId="0" applyFont="1" applyFill="1" applyBorder="1" applyAlignment="1" applyProtection="1">
      <alignment horizontal="center" vertical="center" shrinkToFit="1"/>
    </xf>
    <xf numFmtId="0" fontId="36" fillId="2" borderId="36" xfId="0" applyFont="1" applyFill="1" applyBorder="1" applyAlignment="1" applyProtection="1">
      <alignment horizontal="center" vertical="center" shrinkToFit="1"/>
    </xf>
    <xf numFmtId="0" fontId="36" fillId="2" borderId="9"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shrinkToFit="1"/>
    </xf>
    <xf numFmtId="0" fontId="36" fillId="2" borderId="13" xfId="0" applyFont="1" applyFill="1" applyBorder="1" applyAlignment="1" applyProtection="1">
      <alignment horizontal="center" vertical="center" wrapText="1" shrinkToFit="1"/>
    </xf>
    <xf numFmtId="0" fontId="36" fillId="0" borderId="26" xfId="0" applyFont="1" applyFill="1" applyBorder="1" applyAlignment="1" applyProtection="1">
      <alignment horizontal="center" vertical="center" shrinkToFit="1"/>
    </xf>
    <xf numFmtId="0" fontId="36" fillId="2" borderId="9" xfId="0" applyFont="1" applyFill="1" applyBorder="1" applyAlignment="1" applyProtection="1">
      <alignment horizontal="center" vertical="center" wrapText="1" shrinkToFit="1"/>
    </xf>
    <xf numFmtId="0" fontId="36" fillId="2" borderId="6" xfId="0" applyFont="1" applyFill="1" applyBorder="1" applyAlignment="1" applyProtection="1">
      <alignment horizontal="center" vertical="center" wrapText="1" shrinkToFit="1"/>
    </xf>
    <xf numFmtId="0" fontId="118" fillId="0" borderId="0" xfId="87" applyFont="1" applyAlignment="1">
      <alignment horizontal="center" vertical="center"/>
    </xf>
    <xf numFmtId="0" fontId="98" fillId="2" borderId="0" xfId="0" applyFont="1" applyFill="1" applyBorder="1" applyAlignment="1" applyProtection="1">
      <alignment horizontal="center" vertical="center" shrinkToFit="1"/>
    </xf>
    <xf numFmtId="198" fontId="32" fillId="5" borderId="26" xfId="0" applyNumberFormat="1" applyFont="1" applyFill="1" applyBorder="1" applyAlignment="1" applyProtection="1">
      <alignment horizontal="center" vertical="center" shrinkToFit="1"/>
      <protection locked="0"/>
    </xf>
    <xf numFmtId="198" fontId="32" fillId="2" borderId="26" xfId="0" applyNumberFormat="1" applyFont="1" applyFill="1" applyBorder="1" applyAlignment="1" applyProtection="1">
      <alignment horizontal="center" vertical="center" shrinkToFit="1"/>
    </xf>
    <xf numFmtId="198" fontId="32" fillId="5" borderId="51" xfId="0" applyNumberFormat="1" applyFont="1" applyFill="1" applyBorder="1" applyAlignment="1" applyProtection="1">
      <alignment horizontal="center" vertical="center" shrinkToFit="1"/>
      <protection locked="0"/>
    </xf>
    <xf numFmtId="0" fontId="100" fillId="2" borderId="0" xfId="0" applyFont="1" applyFill="1" applyAlignment="1" applyProtection="1">
      <alignment horizontal="left" vertical="center" shrinkToFit="1"/>
    </xf>
    <xf numFmtId="0" fontId="102" fillId="2" borderId="0" xfId="0" applyFont="1" applyFill="1" applyBorder="1" applyAlignment="1" applyProtection="1">
      <alignment horizontal="center" vertical="center" shrinkToFit="1"/>
    </xf>
    <xf numFmtId="0" fontId="36" fillId="2" borderId="0" xfId="0" applyFont="1" applyFill="1" applyBorder="1" applyAlignment="1" applyProtection="1">
      <alignment horizontal="center" vertical="center" shrinkToFit="1"/>
    </xf>
    <xf numFmtId="0" fontId="36" fillId="0" borderId="26" xfId="0" applyFont="1" applyBorder="1" applyAlignment="1" applyProtection="1">
      <alignment horizontal="center" vertical="center" shrinkToFit="1"/>
    </xf>
    <xf numFmtId="0" fontId="36" fillId="7" borderId="26" xfId="0" applyFont="1" applyFill="1" applyBorder="1" applyAlignment="1" applyProtection="1">
      <alignment horizontal="center" vertical="center" shrinkToFit="1"/>
    </xf>
    <xf numFmtId="0" fontId="36" fillId="7" borderId="26" xfId="0" applyFont="1" applyFill="1" applyBorder="1" applyAlignment="1" applyProtection="1">
      <alignment horizontal="center" vertical="center" wrapText="1" shrinkToFit="1"/>
    </xf>
    <xf numFmtId="0" fontId="36" fillId="0" borderId="0" xfId="0" applyFont="1" applyBorder="1" applyAlignment="1" applyProtection="1">
      <alignment horizontal="center" vertical="center"/>
    </xf>
    <xf numFmtId="0" fontId="38" fillId="2" borderId="125" xfId="0" applyFont="1" applyFill="1" applyBorder="1" applyAlignment="1" applyProtection="1">
      <alignment horizontal="center" vertical="center" wrapText="1" shrinkToFit="1"/>
    </xf>
    <xf numFmtId="0" fontId="38" fillId="2" borderId="120" xfId="0" applyFont="1" applyFill="1" applyBorder="1" applyAlignment="1" applyProtection="1">
      <alignment horizontal="center" vertical="center" wrapText="1" shrinkToFit="1"/>
    </xf>
    <xf numFmtId="0" fontId="36" fillId="2" borderId="11" xfId="0" applyFont="1" applyFill="1" applyBorder="1" applyAlignment="1" applyProtection="1">
      <alignment horizontal="center" vertical="center" wrapText="1" shrinkToFit="1"/>
    </xf>
    <xf numFmtId="0" fontId="87" fillId="2" borderId="9" xfId="0" applyFont="1" applyFill="1" applyBorder="1" applyAlignment="1" applyProtection="1">
      <alignment horizontal="center" vertical="center" wrapText="1"/>
    </xf>
    <xf numFmtId="0" fontId="87" fillId="2" borderId="6" xfId="0" applyFont="1" applyFill="1" applyBorder="1" applyAlignment="1" applyProtection="1">
      <alignment horizontal="center" vertical="center" wrapText="1"/>
    </xf>
    <xf numFmtId="0" fontId="36" fillId="2" borderId="135" xfId="0" applyFont="1" applyFill="1" applyBorder="1" applyAlignment="1" applyProtection="1">
      <alignment horizontal="center" vertical="center" wrapText="1"/>
    </xf>
    <xf numFmtId="0" fontId="36" fillId="2" borderId="128" xfId="0" applyFont="1" applyFill="1" applyBorder="1" applyAlignment="1" applyProtection="1">
      <alignment horizontal="center" vertical="center" wrapText="1"/>
    </xf>
    <xf numFmtId="0" fontId="36" fillId="2" borderId="107" xfId="0" applyFont="1" applyFill="1" applyBorder="1" applyAlignment="1" applyProtection="1">
      <alignment horizontal="center" vertical="center" wrapText="1"/>
    </xf>
    <xf numFmtId="0" fontId="36" fillId="2" borderId="107" xfId="0" applyFont="1" applyFill="1" applyBorder="1" applyAlignment="1" applyProtection="1">
      <alignment horizontal="center" vertical="center" wrapText="1" shrinkToFit="1"/>
    </xf>
    <xf numFmtId="0" fontId="36" fillId="2" borderId="127"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6" fillId="2" borderId="14" xfId="0" applyFont="1" applyFill="1" applyBorder="1" applyAlignment="1" applyProtection="1">
      <alignment horizontal="center" vertical="center" wrapText="1"/>
    </xf>
    <xf numFmtId="0" fontId="36" fillId="2" borderId="11" xfId="0" applyFont="1" applyFill="1" applyBorder="1" applyAlignment="1" applyProtection="1">
      <alignment vertical="center" wrapText="1" shrinkToFit="1"/>
    </xf>
    <xf numFmtId="0" fontId="36" fillId="2" borderId="6" xfId="0" applyFont="1" applyFill="1" applyBorder="1" applyAlignment="1" applyProtection="1">
      <alignment vertical="center" wrapText="1" shrinkToFit="1"/>
    </xf>
    <xf numFmtId="0" fontId="38" fillId="2" borderId="9" xfId="0" applyFont="1" applyFill="1" applyBorder="1" applyAlignment="1" applyProtection="1">
      <alignment horizontal="center" vertical="center" wrapText="1" shrinkToFit="1"/>
    </xf>
    <xf numFmtId="0" fontId="38" fillId="2" borderId="6" xfId="0" applyFont="1" applyFill="1" applyBorder="1" applyAlignment="1" applyProtection="1">
      <alignment horizontal="center" vertical="center" wrapText="1" shrinkToFit="1"/>
    </xf>
    <xf numFmtId="0" fontId="102" fillId="2" borderId="8" xfId="0" applyFont="1" applyFill="1" applyBorder="1" applyAlignment="1" applyProtection="1">
      <alignment horizontal="center" vertical="center" shrinkToFit="1"/>
    </xf>
    <xf numFmtId="0" fontId="102" fillId="2" borderId="7" xfId="0" applyFont="1" applyFill="1" applyBorder="1" applyAlignment="1" applyProtection="1">
      <alignment horizontal="center" vertical="center" shrinkToFit="1"/>
    </xf>
    <xf numFmtId="0" fontId="36" fillId="2" borderId="21" xfId="0" applyFont="1" applyFill="1" applyBorder="1" applyAlignment="1" applyProtection="1">
      <alignment horizontal="center" vertical="center" shrinkToFit="1"/>
    </xf>
    <xf numFmtId="0" fontId="36" fillId="2" borderId="3" xfId="0" applyFont="1" applyFill="1" applyBorder="1" applyAlignment="1" applyProtection="1">
      <alignment horizontal="center" vertical="center" shrinkToFit="1"/>
    </xf>
    <xf numFmtId="0" fontId="36" fillId="2" borderId="13" xfId="0" applyFont="1" applyFill="1" applyBorder="1" applyAlignment="1" applyProtection="1">
      <alignment horizontal="center" vertical="center" shrinkToFit="1"/>
    </xf>
    <xf numFmtId="0" fontId="100" fillId="2" borderId="0" xfId="0" applyFont="1" applyFill="1" applyBorder="1" applyAlignment="1" applyProtection="1">
      <alignment horizontal="right" vertical="center" wrapText="1" shrinkToFit="1"/>
    </xf>
    <xf numFmtId="0" fontId="54" fillId="2" borderId="0" xfId="0" applyFont="1" applyFill="1" applyBorder="1" applyAlignment="1" applyProtection="1">
      <alignment horizontal="center" vertical="center" wrapText="1" shrinkToFit="1"/>
    </xf>
    <xf numFmtId="38" fontId="103" fillId="8" borderId="7" xfId="9" applyFont="1" applyFill="1" applyBorder="1" applyAlignment="1" applyProtection="1">
      <alignment horizontal="center" vertical="center" shrinkToFit="1"/>
    </xf>
    <xf numFmtId="193" fontId="36" fillId="2" borderId="0" xfId="0" applyNumberFormat="1" applyFont="1" applyFill="1" applyBorder="1" applyAlignment="1" applyProtection="1">
      <alignment horizontal="left" vertical="center" wrapText="1" indent="1" shrinkToFit="1"/>
    </xf>
    <xf numFmtId="0" fontId="54" fillId="2" borderId="0" xfId="0" applyFont="1" applyFill="1" applyBorder="1" applyAlignment="1" applyProtection="1">
      <alignment horizontal="right" vertical="center" wrapText="1" shrinkToFit="1"/>
    </xf>
    <xf numFmtId="0" fontId="36" fillId="2" borderId="136" xfId="0" applyFont="1" applyFill="1" applyBorder="1" applyAlignment="1" applyProtection="1">
      <alignment horizontal="center" vertical="center" wrapText="1"/>
    </xf>
    <xf numFmtId="0" fontId="36" fillId="2" borderId="11" xfId="0" applyFont="1" applyFill="1" applyBorder="1" applyAlignment="1" applyProtection="1">
      <alignment horizontal="center" vertical="center" wrapText="1"/>
    </xf>
    <xf numFmtId="38" fontId="103" fillId="9" borderId="7" xfId="9" applyFont="1" applyFill="1" applyBorder="1" applyAlignment="1" applyProtection="1">
      <alignment horizontal="center" vertical="center" shrinkToFit="1"/>
    </xf>
    <xf numFmtId="38" fontId="103" fillId="9" borderId="14" xfId="9" applyFont="1" applyFill="1" applyBorder="1" applyAlignment="1" applyProtection="1">
      <alignment horizontal="center" vertical="center" shrinkToFit="1"/>
    </xf>
    <xf numFmtId="38" fontId="103" fillId="13" borderId="7" xfId="9" applyFont="1" applyFill="1" applyBorder="1" applyAlignment="1" applyProtection="1">
      <alignment horizontal="center" vertical="center" shrinkToFit="1"/>
    </xf>
    <xf numFmtId="38" fontId="103" fillId="13" borderId="14" xfId="9" applyFont="1" applyFill="1" applyBorder="1" applyAlignment="1" applyProtection="1">
      <alignment horizontal="center" vertical="center" shrinkToFit="1"/>
    </xf>
    <xf numFmtId="0" fontId="63" fillId="2" borderId="2" xfId="82" applyFont="1" applyFill="1" applyBorder="1" applyAlignment="1" applyProtection="1">
      <alignment vertical="center"/>
    </xf>
    <xf numFmtId="0" fontId="63" fillId="0" borderId="143" xfId="82" applyFont="1" applyFill="1" applyBorder="1" applyAlignment="1" applyProtection="1">
      <alignment horizontal="center" vertical="center"/>
    </xf>
    <xf numFmtId="0" fontId="63" fillId="0" borderId="16" xfId="82" applyFont="1" applyFill="1" applyBorder="1" applyAlignment="1" applyProtection="1">
      <alignment horizontal="center" vertical="center"/>
    </xf>
    <xf numFmtId="0" fontId="63" fillId="0" borderId="73" xfId="82" applyFont="1" applyFill="1" applyBorder="1" applyAlignment="1" applyProtection="1">
      <alignment horizontal="center" vertical="center"/>
    </xf>
    <xf numFmtId="0" fontId="63" fillId="0" borderId="10" xfId="82" applyFont="1" applyFill="1" applyBorder="1" applyAlignment="1" applyProtection="1">
      <alignment horizontal="center" vertical="center"/>
    </xf>
    <xf numFmtId="0" fontId="63" fillId="0" borderId="74" xfId="82" applyFont="1" applyFill="1" applyBorder="1" applyAlignment="1" applyProtection="1">
      <alignment horizontal="center" vertical="center"/>
    </xf>
    <xf numFmtId="0" fontId="63" fillId="0" borderId="14" xfId="82" applyFont="1" applyFill="1" applyBorder="1" applyAlignment="1" applyProtection="1">
      <alignment horizontal="center" vertical="center"/>
    </xf>
    <xf numFmtId="0" fontId="111" fillId="2" borderId="37" xfId="82" applyFont="1" applyFill="1" applyBorder="1" applyAlignment="1" applyProtection="1">
      <alignment horizontal="center" vertical="center" shrinkToFit="1"/>
    </xf>
    <xf numFmtId="0" fontId="111" fillId="2" borderId="1" xfId="82" applyFont="1" applyFill="1" applyBorder="1" applyAlignment="1" applyProtection="1">
      <alignment horizontal="center" vertical="center" shrinkToFit="1"/>
    </xf>
    <xf numFmtId="0" fontId="67" fillId="2" borderId="0" xfId="82" applyFont="1" applyFill="1" applyBorder="1" applyAlignment="1" applyProtection="1">
      <alignment horizontal="left" vertical="top" wrapText="1"/>
    </xf>
    <xf numFmtId="216" fontId="69" fillId="2" borderId="228" xfId="82" applyNumberFormat="1" applyFont="1" applyFill="1" applyBorder="1" applyAlignment="1" applyProtection="1">
      <alignment horizontal="right" vertical="center"/>
    </xf>
    <xf numFmtId="216" fontId="69" fillId="2" borderId="229" xfId="82" applyNumberFormat="1" applyFont="1" applyFill="1" applyBorder="1" applyAlignment="1" applyProtection="1">
      <alignment horizontal="right" vertical="center"/>
    </xf>
    <xf numFmtId="216" fontId="69" fillId="2" borderId="221" xfId="82" applyNumberFormat="1" applyFont="1" applyFill="1" applyBorder="1" applyAlignment="1" applyProtection="1">
      <alignment horizontal="right" vertical="center"/>
    </xf>
    <xf numFmtId="216" fontId="125" fillId="2" borderId="230" xfId="82" applyNumberFormat="1" applyFont="1" applyFill="1" applyBorder="1" applyAlignment="1" applyProtection="1">
      <alignment horizontal="right" vertical="center"/>
    </xf>
    <xf numFmtId="216" fontId="125" fillId="2" borderId="231" xfId="82" applyNumberFormat="1" applyFont="1" applyFill="1" applyBorder="1" applyAlignment="1" applyProtection="1">
      <alignment horizontal="right" vertical="center"/>
    </xf>
    <xf numFmtId="216" fontId="125" fillId="2" borderId="232" xfId="82" applyNumberFormat="1" applyFont="1" applyFill="1" applyBorder="1" applyAlignment="1" applyProtection="1">
      <alignment horizontal="right" vertical="center"/>
    </xf>
    <xf numFmtId="216" fontId="69" fillId="2" borderId="230" xfId="82" applyNumberFormat="1" applyFont="1" applyFill="1" applyBorder="1" applyAlignment="1" applyProtection="1">
      <alignment horizontal="right" vertical="center"/>
    </xf>
    <xf numFmtId="216" fontId="69" fillId="2" borderId="231" xfId="82" applyNumberFormat="1" applyFont="1" applyFill="1" applyBorder="1" applyAlignment="1" applyProtection="1">
      <alignment horizontal="right" vertical="center"/>
    </xf>
    <xf numFmtId="216" fontId="69" fillId="2" borderId="232" xfId="82" applyNumberFormat="1" applyFont="1" applyFill="1" applyBorder="1" applyAlignment="1" applyProtection="1">
      <alignment horizontal="right" vertical="center"/>
    </xf>
    <xf numFmtId="215" fontId="111" fillId="2" borderId="37" xfId="82" applyNumberFormat="1" applyFont="1" applyFill="1" applyBorder="1" applyAlignment="1" applyProtection="1">
      <alignment horizontal="right" vertical="center"/>
    </xf>
    <xf numFmtId="215" fontId="111" fillId="2" borderId="1" xfId="82" applyNumberFormat="1" applyFont="1" applyFill="1" applyBorder="1" applyAlignment="1" applyProtection="1">
      <alignment horizontal="right" vertical="center"/>
    </xf>
    <xf numFmtId="215" fontId="111" fillId="2" borderId="36" xfId="82" applyNumberFormat="1" applyFont="1" applyFill="1" applyBorder="1" applyAlignment="1" applyProtection="1">
      <alignment horizontal="right" vertical="center"/>
    </xf>
    <xf numFmtId="215" fontId="107" fillId="2" borderId="37" xfId="82" applyNumberFormat="1" applyFont="1" applyFill="1" applyBorder="1" applyAlignment="1" applyProtection="1">
      <alignment horizontal="right" vertical="center"/>
    </xf>
    <xf numFmtId="215" fontId="107" fillId="2" borderId="1" xfId="82" applyNumberFormat="1" applyFont="1" applyFill="1" applyBorder="1" applyAlignment="1" applyProtection="1">
      <alignment horizontal="right" vertical="center"/>
    </xf>
    <xf numFmtId="215" fontId="107" fillId="2" borderId="36" xfId="82" applyNumberFormat="1" applyFont="1" applyFill="1" applyBorder="1" applyAlignment="1" applyProtection="1">
      <alignment horizontal="right" vertical="center"/>
    </xf>
    <xf numFmtId="0" fontId="63" fillId="2" borderId="25" xfId="82" applyFont="1" applyFill="1" applyBorder="1" applyAlignment="1" applyProtection="1">
      <alignment horizontal="left" vertical="center"/>
    </xf>
    <xf numFmtId="0" fontId="63" fillId="2" borderId="2" xfId="82" applyFont="1" applyFill="1" applyBorder="1" applyAlignment="1" applyProtection="1">
      <alignment horizontal="left" vertical="center"/>
    </xf>
    <xf numFmtId="0" fontId="63" fillId="2" borderId="65" xfId="82" applyFont="1" applyFill="1" applyBorder="1" applyAlignment="1" applyProtection="1">
      <alignment horizontal="left" vertical="center"/>
    </xf>
    <xf numFmtId="0" fontId="63" fillId="2" borderId="37" xfId="82" applyFont="1" applyFill="1" applyBorder="1" applyAlignment="1" applyProtection="1">
      <alignment horizontal="center" vertical="center" wrapText="1"/>
    </xf>
    <xf numFmtId="0" fontId="63" fillId="2" borderId="36" xfId="82" applyFont="1" applyFill="1" applyBorder="1" applyAlignment="1" applyProtection="1">
      <alignment horizontal="center" vertical="center" wrapText="1"/>
    </xf>
    <xf numFmtId="215" fontId="68" fillId="2" borderId="9" xfId="82" applyNumberFormat="1" applyFont="1" applyFill="1" applyBorder="1" applyAlignment="1" applyProtection="1">
      <alignment horizontal="center" vertical="center"/>
    </xf>
    <xf numFmtId="215" fontId="68" fillId="2" borderId="6" xfId="82" applyNumberFormat="1" applyFont="1" applyFill="1" applyBorder="1" applyAlignment="1" applyProtection="1">
      <alignment horizontal="center" vertical="center"/>
    </xf>
    <xf numFmtId="0" fontId="63" fillId="2" borderId="21" xfId="82" applyFont="1" applyFill="1" applyBorder="1" applyAlignment="1" applyProtection="1">
      <alignment horizontal="center" vertical="center" wrapText="1"/>
    </xf>
    <xf numFmtId="0" fontId="63" fillId="2" borderId="8" xfId="82" applyFont="1" applyFill="1" applyBorder="1" applyAlignment="1" applyProtection="1">
      <alignment horizontal="center" vertical="center" wrapText="1"/>
    </xf>
    <xf numFmtId="0" fontId="63" fillId="2" borderId="16" xfId="82" applyFont="1" applyFill="1" applyBorder="1" applyAlignment="1" applyProtection="1">
      <alignment horizontal="center" vertical="center" wrapText="1"/>
    </xf>
    <xf numFmtId="0" fontId="63" fillId="2" borderId="13" xfId="82" applyFont="1" applyFill="1" applyBorder="1" applyAlignment="1" applyProtection="1">
      <alignment horizontal="center" vertical="center" wrapText="1"/>
    </xf>
    <xf numFmtId="0" fontId="63" fillId="2" borderId="7" xfId="82" applyFont="1" applyFill="1" applyBorder="1" applyAlignment="1" applyProtection="1">
      <alignment horizontal="center" vertical="center" wrapText="1"/>
    </xf>
    <xf numFmtId="0" fontId="63" fillId="2" borderId="14" xfId="82" applyFont="1" applyFill="1" applyBorder="1" applyAlignment="1" applyProtection="1">
      <alignment horizontal="center" vertical="center" wrapText="1"/>
    </xf>
    <xf numFmtId="215" fontId="67" fillId="2" borderId="7" xfId="82" applyNumberFormat="1" applyFont="1" applyFill="1" applyBorder="1" applyAlignment="1" applyProtection="1">
      <alignment horizontal="center" vertical="center" wrapText="1"/>
    </xf>
    <xf numFmtId="215" fontId="67" fillId="2" borderId="75" xfId="82" applyNumberFormat="1" applyFont="1" applyFill="1" applyBorder="1" applyAlignment="1" applyProtection="1">
      <alignment horizontal="center" vertical="center" wrapText="1"/>
    </xf>
    <xf numFmtId="0" fontId="88" fillId="2" borderId="0" xfId="82" applyFont="1" applyFill="1" applyAlignment="1" applyProtection="1">
      <alignment horizontal="left" vertical="center" shrinkToFit="1"/>
    </xf>
    <xf numFmtId="0" fontId="120" fillId="2" borderId="0" xfId="47" applyFont="1" applyFill="1" applyAlignment="1" applyProtection="1">
      <alignment horizontal="center" vertical="center" shrinkToFit="1"/>
    </xf>
    <xf numFmtId="0" fontId="88" fillId="2" borderId="0" xfId="82" applyNumberFormat="1" applyFont="1" applyFill="1" applyAlignment="1" applyProtection="1">
      <alignment horizontal="center" vertical="center" shrinkToFit="1"/>
    </xf>
    <xf numFmtId="0" fontId="63" fillId="2" borderId="2" xfId="82" applyFont="1" applyFill="1" applyBorder="1" applyAlignment="1" applyProtection="1">
      <alignment horizontal="center" vertical="center" shrinkToFit="1"/>
    </xf>
    <xf numFmtId="0" fontId="63" fillId="2" borderId="3" xfId="82" applyFont="1" applyFill="1" applyBorder="1" applyAlignment="1" applyProtection="1">
      <alignment vertical="center"/>
    </xf>
    <xf numFmtId="0" fontId="63" fillId="2" borderId="0" xfId="82" applyFont="1" applyFill="1" applyBorder="1" applyAlignment="1" applyProtection="1">
      <alignment vertical="center"/>
    </xf>
    <xf numFmtId="0" fontId="63" fillId="2" borderId="71" xfId="82" applyFont="1" applyFill="1" applyBorder="1" applyAlignment="1" applyProtection="1">
      <alignment vertical="center"/>
    </xf>
    <xf numFmtId="0" fontId="63" fillId="2" borderId="59" xfId="82" applyFont="1" applyFill="1" applyBorder="1" applyAlignment="1" applyProtection="1">
      <alignment horizontal="left" vertical="center"/>
    </xf>
    <xf numFmtId="0" fontId="63" fillId="2" borderId="95" xfId="82" applyFont="1" applyFill="1" applyBorder="1" applyAlignment="1" applyProtection="1">
      <alignment horizontal="left" vertical="center"/>
    </xf>
    <xf numFmtId="0" fontId="70" fillId="2" borderId="73" xfId="82" applyFont="1" applyFill="1" applyBorder="1" applyAlignment="1" applyProtection="1">
      <alignment horizontal="center" vertical="center" wrapText="1"/>
    </xf>
    <xf numFmtId="0" fontId="70" fillId="2" borderId="0" xfId="82" applyFont="1" applyFill="1" applyBorder="1" applyAlignment="1" applyProtection="1">
      <alignment horizontal="center" vertical="center" wrapText="1"/>
    </xf>
    <xf numFmtId="0" fontId="63" fillId="2" borderId="96" xfId="82" applyFont="1" applyFill="1" applyBorder="1" applyAlignment="1" applyProtection="1">
      <alignment horizontal="left" vertical="center"/>
    </xf>
    <xf numFmtId="0" fontId="63" fillId="2" borderId="149" xfId="82" applyFont="1" applyFill="1" applyBorder="1" applyAlignment="1" applyProtection="1">
      <alignment horizontal="left" vertical="center"/>
    </xf>
    <xf numFmtId="0" fontId="63" fillId="2" borderId="150" xfId="82" applyFont="1" applyFill="1" applyBorder="1" applyAlignment="1" applyProtection="1">
      <alignment horizontal="left" vertical="center"/>
    </xf>
    <xf numFmtId="0" fontId="73" fillId="2" borderId="0" xfId="82" applyFont="1" applyFill="1" applyBorder="1" applyAlignment="1" applyProtection="1">
      <alignment horizontal="left" vertical="top" wrapText="1"/>
    </xf>
    <xf numFmtId="0" fontId="63" fillId="2" borderId="37" xfId="82" applyFont="1" applyFill="1" applyBorder="1" applyAlignment="1" applyProtection="1">
      <alignment horizontal="center" vertical="center"/>
    </xf>
    <xf numFmtId="0" fontId="63" fillId="2" borderId="1" xfId="82" applyFont="1" applyFill="1" applyBorder="1" applyAlignment="1" applyProtection="1">
      <alignment horizontal="center" vertical="center"/>
    </xf>
    <xf numFmtId="0" fontId="63" fillId="2" borderId="36" xfId="82" applyFont="1" applyFill="1" applyBorder="1" applyAlignment="1" applyProtection="1">
      <alignment horizontal="center" vertical="center"/>
    </xf>
    <xf numFmtId="215" fontId="63" fillId="2" borderId="37" xfId="82" applyNumberFormat="1" applyFont="1" applyFill="1" applyBorder="1" applyAlignment="1" applyProtection="1">
      <alignment horizontal="center" vertical="center"/>
    </xf>
    <xf numFmtId="215" fontId="63" fillId="2" borderId="1" xfId="82" applyNumberFormat="1" applyFont="1" applyFill="1" applyBorder="1" applyAlignment="1" applyProtection="1">
      <alignment horizontal="center" vertical="center"/>
    </xf>
    <xf numFmtId="215" fontId="63" fillId="2" borderId="36" xfId="82" applyNumberFormat="1" applyFont="1" applyFill="1" applyBorder="1" applyAlignment="1" applyProtection="1">
      <alignment horizontal="center" vertical="center"/>
    </xf>
    <xf numFmtId="215" fontId="67" fillId="2" borderId="83" xfId="82" applyNumberFormat="1" applyFont="1" applyFill="1" applyBorder="1" applyAlignment="1" applyProtection="1">
      <alignment horizontal="center" vertical="center" wrapText="1"/>
    </xf>
    <xf numFmtId="215" fontId="67" fillId="2" borderId="70" xfId="82" applyNumberFormat="1" applyFont="1" applyFill="1" applyBorder="1" applyAlignment="1" applyProtection="1">
      <alignment horizontal="center" vertical="center" wrapText="1"/>
    </xf>
    <xf numFmtId="0" fontId="63" fillId="2" borderId="25" xfId="82" applyFont="1" applyFill="1" applyBorder="1" applyAlignment="1" applyProtection="1">
      <alignment horizontal="center" vertical="center"/>
    </xf>
    <xf numFmtId="0" fontId="63" fillId="2" borderId="2" xfId="82" applyFont="1" applyFill="1" applyBorder="1" applyAlignment="1" applyProtection="1">
      <alignment horizontal="center" vertical="center"/>
    </xf>
    <xf numFmtId="0" fontId="107" fillId="2" borderId="89" xfId="82" applyFont="1" applyFill="1" applyBorder="1" applyAlignment="1" applyProtection="1">
      <alignment horizontal="center" vertical="center"/>
    </xf>
    <xf numFmtId="0" fontId="107" fillId="2" borderId="90" xfId="82" applyFont="1" applyFill="1" applyBorder="1" applyAlignment="1" applyProtection="1">
      <alignment horizontal="center" vertical="center"/>
    </xf>
    <xf numFmtId="215" fontId="111" fillId="2" borderId="89" xfId="82" applyNumberFormat="1" applyFont="1" applyFill="1" applyBorder="1" applyAlignment="1" applyProtection="1">
      <alignment horizontal="center" vertical="center"/>
    </xf>
    <xf numFmtId="215" fontId="111" fillId="2" borderId="90" xfId="82" applyNumberFormat="1" applyFont="1" applyFill="1" applyBorder="1" applyAlignment="1" applyProtection="1">
      <alignment horizontal="center" vertical="center"/>
    </xf>
    <xf numFmtId="3" fontId="111" fillId="6" borderId="37" xfId="82" applyNumberFormat="1" applyFont="1" applyFill="1" applyBorder="1" applyAlignment="1" applyProtection="1">
      <alignment horizontal="center" vertical="center"/>
    </xf>
    <xf numFmtId="3" fontId="111" fillId="6" borderId="36" xfId="82" applyNumberFormat="1" applyFont="1" applyFill="1" applyBorder="1" applyAlignment="1" applyProtection="1">
      <alignment horizontal="center" vertical="center"/>
    </xf>
    <xf numFmtId="227" fontId="107" fillId="2" borderId="1" xfId="82" applyNumberFormat="1" applyFont="1" applyFill="1" applyBorder="1" applyAlignment="1" applyProtection="1">
      <alignment horizontal="left" vertical="center"/>
    </xf>
    <xf numFmtId="227" fontId="107" fillId="2" borderId="36" xfId="82" applyNumberFormat="1" applyFont="1" applyFill="1" applyBorder="1" applyAlignment="1" applyProtection="1">
      <alignment horizontal="left" vertical="center"/>
    </xf>
    <xf numFmtId="0" fontId="32" fillId="2" borderId="11" xfId="0" applyFont="1" applyFill="1" applyBorder="1" applyAlignment="1" applyProtection="1">
      <alignment horizontal="center" vertical="center" wrapText="1" shrinkToFit="1"/>
    </xf>
    <xf numFmtId="0" fontId="32" fillId="2" borderId="6" xfId="0" applyFont="1" applyFill="1" applyBorder="1" applyAlignment="1" applyProtection="1">
      <alignment horizontal="center" vertical="center" wrapText="1" shrinkToFit="1"/>
    </xf>
    <xf numFmtId="0" fontId="32" fillId="2" borderId="3" xfId="0" applyFont="1" applyFill="1" applyBorder="1" applyAlignment="1" applyProtection="1">
      <alignment horizontal="center" vertical="center" wrapText="1" shrinkToFit="1"/>
    </xf>
    <xf numFmtId="0" fontId="32" fillId="2" borderId="13" xfId="0" applyFont="1" applyFill="1" applyBorder="1" applyAlignment="1" applyProtection="1">
      <alignment horizontal="center" vertical="center" wrapText="1" shrinkToFit="1"/>
    </xf>
    <xf numFmtId="0" fontId="34" fillId="2" borderId="21" xfId="0" applyFont="1" applyFill="1" applyBorder="1" applyAlignment="1" applyProtection="1">
      <alignment horizontal="center" vertical="center" wrapText="1" shrinkToFit="1"/>
    </xf>
    <xf numFmtId="0" fontId="34" fillId="2" borderId="8" xfId="0" applyFont="1" applyFill="1" applyBorder="1" applyAlignment="1" applyProtection="1">
      <alignment horizontal="center" vertical="center" wrapText="1" shrinkToFit="1"/>
    </xf>
    <xf numFmtId="0" fontId="34" fillId="2" borderId="3" xfId="0" applyFont="1" applyFill="1" applyBorder="1" applyAlignment="1" applyProtection="1">
      <alignment horizontal="center" vertical="center" wrapText="1" shrinkToFit="1"/>
    </xf>
    <xf numFmtId="0" fontId="34" fillId="2" borderId="0" xfId="0" applyFont="1" applyFill="1" applyBorder="1" applyAlignment="1" applyProtection="1">
      <alignment horizontal="center" vertical="center" wrapText="1" shrinkToFit="1"/>
    </xf>
    <xf numFmtId="0" fontId="32" fillId="2" borderId="25" xfId="0" applyFont="1" applyFill="1" applyBorder="1" applyAlignment="1" applyProtection="1">
      <alignment horizontal="center" vertical="center" shrinkToFit="1"/>
    </xf>
    <xf numFmtId="0" fontId="90" fillId="2" borderId="0" xfId="0" applyFont="1" applyFill="1" applyAlignment="1" applyProtection="1">
      <alignment horizontal="left" vertical="center" shrinkToFit="1"/>
    </xf>
    <xf numFmtId="0" fontId="32" fillId="0" borderId="21" xfId="0" applyFont="1" applyBorder="1" applyAlignment="1" applyProtection="1">
      <alignment horizontal="center" vertical="center" wrapText="1" shrinkToFit="1"/>
    </xf>
    <xf numFmtId="0" fontId="32" fillId="0" borderId="13" xfId="0" applyFont="1" applyBorder="1" applyAlignment="1" applyProtection="1">
      <alignment horizontal="center" vertical="center" wrapText="1" shrinkToFit="1"/>
    </xf>
    <xf numFmtId="0" fontId="32" fillId="0" borderId="207" xfId="0" applyFont="1" applyBorder="1" applyAlignment="1" applyProtection="1">
      <alignment horizontal="center" vertical="center" wrapText="1" shrinkToFit="1"/>
    </xf>
    <xf numFmtId="0" fontId="32" fillId="0" borderId="208" xfId="0" applyFont="1" applyBorder="1" applyAlignment="1" applyProtection="1">
      <alignment horizontal="center" vertical="center" wrapText="1" shrinkToFit="1"/>
    </xf>
    <xf numFmtId="38" fontId="45" fillId="13" borderId="7" xfId="9" applyFont="1" applyFill="1" applyBorder="1" applyAlignment="1" applyProtection="1">
      <alignment horizontal="center" vertical="center" shrinkToFit="1"/>
    </xf>
    <xf numFmtId="38" fontId="45" fillId="13" borderId="14" xfId="9" applyFont="1" applyFill="1" applyBorder="1" applyAlignment="1" applyProtection="1">
      <alignment horizontal="center" vertical="center" shrinkToFit="1"/>
    </xf>
    <xf numFmtId="0" fontId="90" fillId="2" borderId="0" xfId="0" applyFont="1" applyFill="1" applyBorder="1" applyAlignment="1" applyProtection="1">
      <alignment horizontal="right" vertical="center" wrapText="1" shrinkToFit="1"/>
    </xf>
    <xf numFmtId="0" fontId="32" fillId="0" borderId="9" xfId="0" applyFont="1" applyBorder="1" applyAlignment="1" applyProtection="1">
      <alignment horizontal="center" vertical="center" wrapText="1" shrinkToFit="1"/>
    </xf>
    <xf numFmtId="0" fontId="32" fillId="0" borderId="6" xfId="0" applyFont="1" applyBorder="1" applyAlignment="1" applyProtection="1">
      <alignment horizontal="center" vertical="center" wrapText="1" shrinkToFit="1"/>
    </xf>
    <xf numFmtId="0" fontId="32" fillId="2" borderId="9" xfId="0" applyFont="1" applyFill="1" applyBorder="1" applyAlignment="1" applyProtection="1">
      <alignment horizontal="center" vertical="center" wrapText="1" shrinkToFit="1"/>
    </xf>
    <xf numFmtId="0" fontId="32" fillId="0" borderId="21" xfId="0" applyFont="1" applyBorder="1" applyAlignment="1" applyProtection="1">
      <alignment horizontal="center" vertical="center" shrinkToFit="1"/>
    </xf>
    <xf numFmtId="0" fontId="32" fillId="0" borderId="16" xfId="0" applyFont="1" applyBorder="1" applyAlignment="1" applyProtection="1">
      <alignment horizontal="center" vertical="center" shrinkToFit="1"/>
    </xf>
    <xf numFmtId="0" fontId="55" fillId="2" borderId="26" xfId="0" applyFont="1" applyFill="1" applyBorder="1" applyAlignment="1" applyProtection="1">
      <alignment horizontal="center" vertical="center" shrinkToFit="1"/>
    </xf>
    <xf numFmtId="198" fontId="55" fillId="5" borderId="26" xfId="0" applyNumberFormat="1" applyFont="1" applyFill="1" applyBorder="1" applyAlignment="1" applyProtection="1">
      <alignment horizontal="center" vertical="center" shrinkToFit="1"/>
      <protection locked="0"/>
    </xf>
    <xf numFmtId="222" fontId="55" fillId="2" borderId="26" xfId="0" applyNumberFormat="1" applyFont="1" applyFill="1" applyBorder="1" applyAlignment="1" applyProtection="1">
      <alignment horizontal="center" vertical="center" shrinkToFit="1"/>
    </xf>
    <xf numFmtId="0" fontId="90" fillId="2" borderId="7" xfId="0" applyFont="1" applyFill="1" applyBorder="1" applyAlignment="1" applyProtection="1">
      <alignment horizontal="left" vertical="center" shrinkToFit="1"/>
    </xf>
    <xf numFmtId="0" fontId="55" fillId="7" borderId="26" xfId="0" applyFont="1" applyFill="1" applyBorder="1" applyAlignment="1" applyProtection="1">
      <alignment horizontal="center" vertical="center" shrinkToFit="1"/>
    </xf>
    <xf numFmtId="0" fontId="32" fillId="0" borderId="25" xfId="0" applyFont="1" applyBorder="1" applyAlignment="1" applyProtection="1">
      <alignment horizontal="center" vertical="center" shrinkToFit="1"/>
    </xf>
    <xf numFmtId="0" fontId="32" fillId="0" borderId="24" xfId="0" applyFont="1" applyBorder="1" applyAlignment="1" applyProtection="1">
      <alignment horizontal="center" vertical="center" shrinkToFit="1"/>
    </xf>
    <xf numFmtId="0" fontId="32" fillId="2" borderId="37" xfId="0" applyFont="1" applyFill="1" applyBorder="1" applyAlignment="1" applyProtection="1">
      <alignment horizontal="center" vertical="center" shrinkToFit="1"/>
    </xf>
    <xf numFmtId="0" fontId="32" fillId="2" borderId="1" xfId="0" applyFont="1" applyFill="1" applyBorder="1" applyAlignment="1" applyProtection="1">
      <alignment horizontal="center" vertical="center" shrinkToFit="1"/>
    </xf>
    <xf numFmtId="0" fontId="32" fillId="2" borderId="36" xfId="0" applyFont="1" applyFill="1" applyBorder="1" applyAlignment="1" applyProtection="1">
      <alignment horizontal="center" vertical="center" shrinkToFit="1"/>
    </xf>
    <xf numFmtId="0" fontId="43" fillId="2" borderId="11" xfId="0" applyFont="1" applyFill="1" applyBorder="1" applyAlignment="1" applyProtection="1">
      <alignment horizontal="center" vertical="center" wrapText="1" shrinkToFit="1"/>
    </xf>
    <xf numFmtId="0" fontId="43" fillId="2" borderId="13" xfId="0" applyFont="1" applyFill="1" applyBorder="1" applyAlignment="1" applyProtection="1">
      <alignment horizontal="center" vertical="center" wrapText="1" shrinkToFit="1"/>
    </xf>
    <xf numFmtId="193" fontId="32" fillId="2" borderId="0" xfId="0" applyNumberFormat="1" applyFont="1" applyFill="1" applyBorder="1" applyAlignment="1" applyProtection="1">
      <alignment horizontal="center" vertical="center" shrinkToFit="1"/>
    </xf>
    <xf numFmtId="0" fontId="119" fillId="2" borderId="0" xfId="0" applyFont="1" applyFill="1" applyAlignment="1" applyProtection="1">
      <alignment horizontal="center" vertical="center" shrinkToFit="1"/>
    </xf>
    <xf numFmtId="0" fontId="55" fillId="2" borderId="0" xfId="0" applyFont="1" applyFill="1" applyBorder="1" applyAlignment="1" applyProtection="1">
      <alignment horizontal="center" vertical="center" shrinkToFit="1"/>
    </xf>
    <xf numFmtId="0" fontId="32" fillId="2" borderId="21" xfId="0" applyFont="1" applyFill="1" applyBorder="1" applyAlignment="1" applyProtection="1">
      <alignment horizontal="center" vertical="center" shrinkToFit="1"/>
    </xf>
    <xf numFmtId="0" fontId="32" fillId="2" borderId="3" xfId="0" applyFont="1" applyFill="1" applyBorder="1" applyAlignment="1" applyProtection="1">
      <alignment horizontal="center" vertical="center" shrinkToFit="1"/>
    </xf>
    <xf numFmtId="0" fontId="32" fillId="2" borderId="10" xfId="0" applyFont="1" applyFill="1" applyBorder="1" applyAlignment="1" applyProtection="1">
      <alignment horizontal="center" vertical="center" shrinkToFit="1"/>
    </xf>
    <xf numFmtId="0" fontId="32" fillId="2" borderId="13" xfId="0" applyFont="1" applyFill="1" applyBorder="1" applyAlignment="1" applyProtection="1">
      <alignment horizontal="center" vertical="center" shrinkToFit="1"/>
    </xf>
    <xf numFmtId="0" fontId="32" fillId="2" borderId="14" xfId="0" applyFont="1" applyFill="1" applyBorder="1" applyAlignment="1" applyProtection="1">
      <alignment horizontal="center" vertical="center" wrapText="1" shrinkToFit="1"/>
    </xf>
    <xf numFmtId="0" fontId="32" fillId="2" borderId="0" xfId="0" applyFont="1" applyFill="1" applyBorder="1" applyAlignment="1" applyProtection="1">
      <alignment horizontal="center" vertical="center" shrinkToFit="1"/>
    </xf>
    <xf numFmtId="0" fontId="34" fillId="2" borderId="0" xfId="0" applyFont="1" applyFill="1" applyBorder="1" applyAlignment="1" applyProtection="1">
      <alignment horizontal="center" vertical="center" shrinkToFit="1"/>
    </xf>
    <xf numFmtId="0" fontId="104" fillId="2" borderId="0" xfId="0" applyFont="1" applyFill="1" applyBorder="1" applyAlignment="1" applyProtection="1">
      <alignment horizontal="center" vertical="center" shrinkToFit="1"/>
    </xf>
    <xf numFmtId="38" fontId="45" fillId="8" borderId="7" xfId="9" applyFont="1" applyFill="1" applyBorder="1" applyAlignment="1" applyProtection="1">
      <alignment horizontal="center" vertical="center" shrinkToFit="1"/>
    </xf>
    <xf numFmtId="193" fontId="32" fillId="2" borderId="0" xfId="0" applyNumberFormat="1" applyFont="1" applyFill="1" applyBorder="1" applyAlignment="1" applyProtection="1">
      <alignment horizontal="left" vertical="center" wrapText="1" shrinkToFit="1"/>
    </xf>
    <xf numFmtId="38" fontId="45" fillId="9" borderId="7" xfId="9" applyFont="1" applyFill="1" applyBorder="1" applyAlignment="1" applyProtection="1">
      <alignment horizontal="center" vertical="center" shrinkToFit="1"/>
    </xf>
    <xf numFmtId="38" fontId="45" fillId="9" borderId="14" xfId="9" applyFont="1" applyFill="1" applyBorder="1" applyAlignment="1" applyProtection="1">
      <alignment horizontal="center" vertical="center" shrinkToFit="1"/>
    </xf>
    <xf numFmtId="0" fontId="32" fillId="0" borderId="21" xfId="58" applyFont="1" applyBorder="1" applyAlignment="1" applyProtection="1">
      <alignment horizontal="center" vertical="center" shrinkToFit="1"/>
    </xf>
    <xf numFmtId="0" fontId="32" fillId="0" borderId="16" xfId="58" applyFont="1" applyBorder="1" applyAlignment="1" applyProtection="1">
      <alignment horizontal="center" vertical="center" shrinkToFit="1"/>
    </xf>
    <xf numFmtId="0" fontId="120" fillId="2" borderId="0" xfId="82" applyFont="1" applyFill="1" applyAlignment="1" applyProtection="1">
      <alignment horizontal="center" vertical="center" shrinkToFit="1"/>
    </xf>
    <xf numFmtId="216" fontId="113" fillId="2" borderId="158" xfId="82" applyNumberFormat="1" applyFont="1" applyFill="1" applyBorder="1" applyAlignment="1" applyProtection="1">
      <alignment horizontal="right" vertical="center"/>
    </xf>
    <xf numFmtId="216" fontId="113" fillId="2" borderId="120" xfId="82" applyNumberFormat="1" applyFont="1" applyFill="1" applyBorder="1" applyAlignment="1" applyProtection="1">
      <alignment horizontal="right" vertical="center"/>
    </xf>
    <xf numFmtId="0" fontId="63" fillId="2" borderId="0" xfId="82" applyFont="1" applyFill="1" applyBorder="1" applyAlignment="1" applyProtection="1">
      <alignment horizontal="left" vertical="top" wrapText="1"/>
    </xf>
    <xf numFmtId="0" fontId="63" fillId="2" borderId="21" xfId="82" applyFont="1" applyFill="1" applyBorder="1" applyAlignment="1" applyProtection="1">
      <alignment horizontal="left" vertical="center"/>
    </xf>
    <xf numFmtId="0" fontId="63" fillId="2" borderId="8" xfId="82" applyFont="1" applyFill="1" applyBorder="1" applyAlignment="1" applyProtection="1">
      <alignment horizontal="left" vertical="center"/>
    </xf>
    <xf numFmtId="0" fontId="70" fillId="2" borderId="73" xfId="82" applyFont="1" applyFill="1" applyBorder="1" applyAlignment="1" applyProtection="1">
      <alignment horizontal="left" vertical="center" wrapText="1"/>
    </xf>
    <xf numFmtId="0" fontId="70" fillId="2" borderId="0" xfId="82" applyFont="1" applyFill="1" applyBorder="1" applyAlignment="1" applyProtection="1">
      <alignment horizontal="left" vertical="center" wrapText="1"/>
    </xf>
    <xf numFmtId="0" fontId="88" fillId="2" borderId="0" xfId="82" applyFont="1" applyFill="1" applyAlignment="1" applyProtection="1">
      <alignment horizontal="left" vertical="center"/>
    </xf>
    <xf numFmtId="0" fontId="88" fillId="2" borderId="0" xfId="82" applyFont="1" applyFill="1" applyAlignment="1" applyProtection="1">
      <alignment horizontal="center" vertical="center" shrinkToFit="1"/>
    </xf>
    <xf numFmtId="0" fontId="32" fillId="2" borderId="129" xfId="0" applyFont="1" applyFill="1" applyBorder="1" applyAlignment="1" applyProtection="1">
      <alignment horizontal="center" vertical="center" wrapText="1" shrinkToFit="1"/>
    </xf>
    <xf numFmtId="0" fontId="32" fillId="2" borderId="125" xfId="0" applyFont="1" applyFill="1" applyBorder="1" applyAlignment="1" applyProtection="1">
      <alignment horizontal="center" vertical="center" wrapText="1" shrinkToFit="1"/>
    </xf>
    <xf numFmtId="0" fontId="91" fillId="2" borderId="0" xfId="0" applyFont="1" applyFill="1" applyBorder="1" applyAlignment="1" applyProtection="1">
      <alignment horizontal="right" vertical="center" wrapText="1" shrinkToFit="1"/>
    </xf>
    <xf numFmtId="0" fontId="90" fillId="2" borderId="0" xfId="0" applyFont="1" applyFill="1" applyBorder="1" applyAlignment="1" applyProtection="1">
      <alignment horizontal="right" wrapText="1" shrinkToFit="1"/>
    </xf>
    <xf numFmtId="38" fontId="45" fillId="14" borderId="7" xfId="9" applyFont="1" applyFill="1" applyBorder="1" applyAlignment="1" applyProtection="1">
      <alignment horizontal="center" vertical="center" shrinkToFit="1"/>
    </xf>
    <xf numFmtId="0" fontId="43" fillId="2" borderId="9" xfId="0" applyFont="1" applyFill="1" applyBorder="1" applyAlignment="1" applyProtection="1">
      <alignment horizontal="center" vertical="center" wrapText="1" shrinkToFit="1"/>
    </xf>
    <xf numFmtId="0" fontId="43" fillId="2" borderId="6" xfId="0" applyFont="1" applyFill="1" applyBorder="1" applyAlignment="1" applyProtection="1">
      <alignment horizontal="center" vertical="center" wrapText="1" shrinkToFit="1"/>
    </xf>
    <xf numFmtId="0" fontId="118" fillId="0" borderId="0" xfId="87" applyFont="1" applyAlignment="1">
      <alignment horizontal="center" vertical="center" shrinkToFit="1"/>
    </xf>
    <xf numFmtId="0" fontId="32" fillId="2" borderId="138" xfId="0" applyFont="1" applyFill="1" applyBorder="1" applyAlignment="1" applyProtection="1">
      <alignment horizontal="center" vertical="center" wrapText="1" shrinkToFit="1"/>
    </xf>
    <xf numFmtId="0" fontId="147" fillId="7" borderId="26" xfId="0" applyFont="1" applyFill="1" applyBorder="1" applyAlignment="1" applyProtection="1">
      <alignment horizontal="center" vertical="center" wrapText="1" shrinkToFit="1"/>
    </xf>
    <xf numFmtId="0" fontId="34" fillId="2" borderId="21" xfId="0" applyFont="1" applyFill="1" applyBorder="1" applyAlignment="1" applyProtection="1">
      <alignment horizontal="center" vertical="center" shrinkToFit="1"/>
    </xf>
    <xf numFmtId="0" fontId="34" fillId="2" borderId="8" xfId="0" applyFont="1" applyFill="1" applyBorder="1" applyAlignment="1" applyProtection="1">
      <alignment horizontal="center" vertical="center" shrinkToFit="1"/>
    </xf>
    <xf numFmtId="0" fontId="34" fillId="2" borderId="13" xfId="0" applyFont="1" applyFill="1" applyBorder="1" applyAlignment="1" applyProtection="1">
      <alignment horizontal="center" vertical="center" shrinkToFit="1"/>
    </xf>
    <xf numFmtId="0" fontId="34" fillId="2" borderId="7" xfId="0" applyFont="1" applyFill="1" applyBorder="1" applyAlignment="1" applyProtection="1">
      <alignment horizontal="center" vertical="center" shrinkToFit="1"/>
    </xf>
    <xf numFmtId="0" fontId="32" fillId="2" borderId="11" xfId="0" applyFont="1" applyFill="1" applyBorder="1" applyAlignment="1" applyProtection="1">
      <alignment horizontal="center" vertical="center" shrinkToFit="1"/>
    </xf>
    <xf numFmtId="0" fontId="32" fillId="2" borderId="6" xfId="0" applyFont="1" applyFill="1" applyBorder="1" applyAlignment="1" applyProtection="1">
      <alignment horizontal="center" vertical="center" shrinkToFit="1"/>
    </xf>
    <xf numFmtId="0" fontId="147" fillId="7" borderId="26" xfId="0" applyFont="1" applyFill="1" applyBorder="1" applyAlignment="1" applyProtection="1">
      <alignment horizontal="center" vertical="center" shrinkToFit="1"/>
    </xf>
    <xf numFmtId="0" fontId="43" fillId="2" borderId="131" xfId="0" applyFont="1" applyFill="1" applyBorder="1" applyAlignment="1" applyProtection="1">
      <alignment horizontal="center" vertical="center" wrapText="1" shrinkToFit="1"/>
    </xf>
    <xf numFmtId="0" fontId="43" fillId="2" borderId="133" xfId="0" applyFont="1" applyFill="1" applyBorder="1" applyAlignment="1" applyProtection="1">
      <alignment horizontal="center" vertical="center" wrapText="1" shrinkToFit="1"/>
    </xf>
    <xf numFmtId="0" fontId="33" fillId="2" borderId="9" xfId="0" applyFont="1" applyFill="1" applyBorder="1" applyAlignment="1" applyProtection="1">
      <alignment horizontal="center" vertical="center" wrapText="1" shrinkToFit="1"/>
    </xf>
    <xf numFmtId="0" fontId="33" fillId="2" borderId="6" xfId="0" applyFont="1" applyFill="1" applyBorder="1" applyAlignment="1" applyProtection="1">
      <alignment horizontal="center" vertical="center" wrapText="1" shrinkToFit="1"/>
    </xf>
    <xf numFmtId="0" fontId="43" fillId="2" borderId="132" xfId="0" applyFont="1" applyFill="1" applyBorder="1" applyAlignment="1" applyProtection="1">
      <alignment horizontal="center" vertical="center" wrapText="1" shrinkToFit="1"/>
    </xf>
    <xf numFmtId="0" fontId="43" fillId="2" borderId="134" xfId="0" applyFont="1" applyFill="1" applyBorder="1" applyAlignment="1" applyProtection="1">
      <alignment horizontal="center" vertical="center" wrapText="1" shrinkToFit="1"/>
    </xf>
    <xf numFmtId="0" fontId="43" fillId="2" borderId="222" xfId="0" applyFont="1" applyFill="1" applyBorder="1" applyAlignment="1" applyProtection="1">
      <alignment horizontal="center" vertical="center" wrapText="1" shrinkToFit="1"/>
    </xf>
    <xf numFmtId="0" fontId="43" fillId="2" borderId="223" xfId="0" applyFont="1" applyFill="1" applyBorder="1" applyAlignment="1" applyProtection="1">
      <alignment horizontal="center" vertical="center" wrapText="1" shrinkToFit="1"/>
    </xf>
    <xf numFmtId="38" fontId="45" fillId="15" borderId="7" xfId="9" applyFont="1" applyFill="1" applyBorder="1" applyAlignment="1" applyProtection="1">
      <alignment horizontal="center" vertical="center" shrinkToFit="1"/>
    </xf>
    <xf numFmtId="0" fontId="34" fillId="14" borderId="37" xfId="0" applyFont="1" applyFill="1" applyBorder="1" applyAlignment="1" applyProtection="1">
      <alignment horizontal="center" vertical="center" shrinkToFit="1"/>
    </xf>
    <xf numFmtId="0" fontId="34" fillId="14" borderId="36" xfId="0" applyFont="1" applyFill="1" applyBorder="1" applyAlignment="1" applyProtection="1">
      <alignment horizontal="center" vertical="center" shrinkToFit="1"/>
    </xf>
    <xf numFmtId="193" fontId="48" fillId="2" borderId="0" xfId="0" applyNumberFormat="1" applyFont="1" applyFill="1" applyBorder="1" applyAlignment="1" applyProtection="1">
      <alignment horizontal="left" vertical="center" wrapText="1" shrinkToFit="1"/>
    </xf>
    <xf numFmtId="193" fontId="48" fillId="2" borderId="10" xfId="0" applyNumberFormat="1" applyFont="1" applyFill="1" applyBorder="1" applyAlignment="1" applyProtection="1">
      <alignment horizontal="left" vertical="center" wrapText="1" shrinkToFit="1"/>
    </xf>
    <xf numFmtId="0" fontId="147" fillId="2" borderId="25" xfId="0" applyFont="1" applyFill="1" applyBorder="1" applyAlignment="1" applyProtection="1">
      <alignment horizontal="center" vertical="center" shrinkToFit="1"/>
    </xf>
    <xf numFmtId="0" fontId="147" fillId="2" borderId="24" xfId="0" applyFont="1" applyFill="1" applyBorder="1" applyAlignment="1" applyProtection="1">
      <alignment horizontal="center" vertical="center" shrinkToFit="1"/>
    </xf>
    <xf numFmtId="0" fontId="147" fillId="2" borderId="26" xfId="0" applyFont="1" applyFill="1" applyBorder="1" applyAlignment="1" applyProtection="1">
      <alignment horizontal="center" vertical="center" shrinkToFit="1"/>
    </xf>
    <xf numFmtId="198" fontId="147" fillId="5" borderId="26" xfId="0" applyNumberFormat="1" applyFont="1" applyFill="1" applyBorder="1" applyAlignment="1" applyProtection="1">
      <alignment horizontal="center" vertical="center" shrinkToFit="1"/>
      <protection locked="0"/>
    </xf>
    <xf numFmtId="198" fontId="147" fillId="2" borderId="26" xfId="0" applyNumberFormat="1" applyFont="1" applyFill="1" applyBorder="1" applyAlignment="1" applyProtection="1">
      <alignment horizontal="center" vertical="center" shrinkToFit="1"/>
    </xf>
    <xf numFmtId="198" fontId="147" fillId="2" borderId="51" xfId="0" applyNumberFormat="1" applyFont="1" applyFill="1" applyBorder="1" applyAlignment="1" applyProtection="1">
      <alignment horizontal="center" vertical="center" shrinkToFit="1"/>
      <protection locked="0"/>
    </xf>
    <xf numFmtId="0" fontId="63" fillId="2" borderId="143" xfId="82" applyFont="1" applyFill="1" applyBorder="1" applyAlignment="1" applyProtection="1">
      <alignment horizontal="center" vertical="center"/>
    </xf>
    <xf numFmtId="0" fontId="63" fillId="2" borderId="8" xfId="82" applyFont="1" applyFill="1" applyBorder="1" applyAlignment="1" applyProtection="1">
      <alignment horizontal="center" vertical="center"/>
    </xf>
    <xf numFmtId="216" fontId="107" fillId="2" borderId="37" xfId="82" applyNumberFormat="1" applyFont="1" applyFill="1" applyBorder="1" applyAlignment="1" applyProtection="1">
      <alignment horizontal="right" vertical="center"/>
    </xf>
    <xf numFmtId="216" fontId="107" fillId="2" borderId="1" xfId="82" applyNumberFormat="1" applyFont="1" applyFill="1" applyBorder="1" applyAlignment="1" applyProtection="1">
      <alignment horizontal="right" vertical="center"/>
    </xf>
    <xf numFmtId="216" fontId="107" fillId="2" borderId="36" xfId="82" applyNumberFormat="1" applyFont="1" applyFill="1" applyBorder="1" applyAlignment="1" applyProtection="1">
      <alignment horizontal="right" vertical="center"/>
    </xf>
    <xf numFmtId="0" fontId="63" fillId="2" borderId="2" xfId="82" applyFont="1" applyFill="1" applyBorder="1" applyAlignment="1" applyProtection="1">
      <alignment horizontal="left" vertical="center" wrapText="1"/>
    </xf>
    <xf numFmtId="215" fontId="63" fillId="2" borderId="82" xfId="82" applyNumberFormat="1" applyFont="1" applyFill="1" applyBorder="1" applyAlignment="1" applyProtection="1">
      <alignment horizontal="center" vertical="center" wrapText="1"/>
    </xf>
    <xf numFmtId="215" fontId="63" fillId="2" borderId="70" xfId="82" applyNumberFormat="1" applyFont="1" applyFill="1" applyBorder="1" applyAlignment="1" applyProtection="1">
      <alignment horizontal="center" vertical="center"/>
    </xf>
    <xf numFmtId="0" fontId="63" fillId="2" borderId="9" xfId="82" applyFont="1" applyFill="1" applyBorder="1" applyAlignment="1" applyProtection="1">
      <alignment horizontal="center" vertical="center" textRotation="255"/>
    </xf>
    <xf numFmtId="0" fontId="63" fillId="2" borderId="11" xfId="82" applyFont="1" applyFill="1" applyBorder="1" applyAlignment="1" applyProtection="1">
      <alignment horizontal="center" vertical="center" textRotation="255"/>
    </xf>
    <xf numFmtId="0" fontId="63" fillId="2" borderId="6" xfId="82" applyFont="1" applyFill="1" applyBorder="1" applyAlignment="1" applyProtection="1">
      <alignment horizontal="center" vertical="center" textRotation="255"/>
    </xf>
    <xf numFmtId="0" fontId="63" fillId="2" borderId="0" xfId="82" applyFont="1" applyFill="1" applyAlignment="1" applyProtection="1">
      <alignment horizontal="left" vertical="top"/>
    </xf>
    <xf numFmtId="0" fontId="73" fillId="2" borderId="0" xfId="82" applyFont="1" applyFill="1" applyAlignment="1" applyProtection="1">
      <alignment horizontal="center" vertical="center" shrinkToFit="1"/>
    </xf>
    <xf numFmtId="215" fontId="70" fillId="2" borderId="73" xfId="82" applyNumberFormat="1" applyFont="1" applyFill="1" applyBorder="1" applyAlignment="1" applyProtection="1">
      <alignment horizontal="left" vertical="center" wrapText="1"/>
    </xf>
    <xf numFmtId="215" fontId="70" fillId="2" borderId="0" xfId="82" applyNumberFormat="1" applyFont="1" applyFill="1" applyAlignment="1" applyProtection="1">
      <alignment horizontal="left" vertical="center" wrapText="1"/>
    </xf>
    <xf numFmtId="3" fontId="107" fillId="6" borderId="37" xfId="82" applyNumberFormat="1" applyFont="1" applyFill="1" applyBorder="1" applyAlignment="1" applyProtection="1">
      <alignment horizontal="center" vertical="center"/>
    </xf>
    <xf numFmtId="3" fontId="107" fillId="6" borderId="36" xfId="82" applyNumberFormat="1" applyFont="1" applyFill="1" applyBorder="1" applyAlignment="1" applyProtection="1">
      <alignment horizontal="center" vertical="center"/>
    </xf>
    <xf numFmtId="227" fontId="107" fillId="2" borderId="1" xfId="82" applyNumberFormat="1" applyFont="1" applyFill="1" applyBorder="1" applyAlignment="1" applyProtection="1">
      <alignment horizontal="center" vertical="center"/>
    </xf>
    <xf numFmtId="227" fontId="107" fillId="2" borderId="36" xfId="82" applyNumberFormat="1" applyFont="1" applyFill="1" applyBorder="1" applyAlignment="1" applyProtection="1">
      <alignment horizontal="center" vertical="center"/>
    </xf>
    <xf numFmtId="0" fontId="34" fillId="2" borderId="143" xfId="0" applyFont="1" applyFill="1" applyBorder="1" applyAlignment="1" applyProtection="1">
      <alignment horizontal="center" vertical="center" shrinkToFit="1"/>
    </xf>
    <xf numFmtId="0" fontId="34" fillId="2" borderId="74" xfId="0" applyFont="1" applyFill="1" applyBorder="1" applyAlignment="1" applyProtection="1">
      <alignment horizontal="center" vertical="center" shrinkToFit="1"/>
    </xf>
    <xf numFmtId="0" fontId="0" fillId="2" borderId="9" xfId="0" applyFont="1" applyFill="1" applyBorder="1" applyAlignment="1" applyProtection="1">
      <alignment horizontal="center" vertical="center" wrapText="1"/>
    </xf>
    <xf numFmtId="0" fontId="0" fillId="2" borderId="6" xfId="0" applyFont="1" applyFill="1" applyBorder="1" applyAlignment="1" applyProtection="1">
      <alignment horizontal="center" vertical="center" wrapText="1"/>
    </xf>
    <xf numFmtId="0" fontId="34" fillId="2" borderId="16" xfId="0" applyFont="1" applyFill="1" applyBorder="1" applyAlignment="1" applyProtection="1">
      <alignment horizontal="center" vertical="center" shrinkToFit="1"/>
    </xf>
    <xf numFmtId="0" fontId="34" fillId="2" borderId="14" xfId="0" applyFont="1" applyFill="1" applyBorder="1" applyAlignment="1" applyProtection="1">
      <alignment horizontal="center" vertical="center" shrinkToFit="1"/>
    </xf>
    <xf numFmtId="0" fontId="32" fillId="2" borderId="9" xfId="0" applyFont="1" applyFill="1" applyBorder="1" applyAlignment="1" applyProtection="1">
      <alignment horizontal="center" vertical="center" wrapText="1"/>
    </xf>
    <xf numFmtId="0" fontId="32" fillId="2" borderId="6"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shrinkToFit="1"/>
    </xf>
    <xf numFmtId="193" fontId="32" fillId="2" borderId="0" xfId="0" applyNumberFormat="1" applyFont="1" applyFill="1" applyBorder="1" applyAlignment="1" applyProtection="1">
      <alignment horizontal="left" vertical="center" indent="1" shrinkToFit="1"/>
    </xf>
    <xf numFmtId="193" fontId="32" fillId="2" borderId="71" xfId="0" applyNumberFormat="1" applyFont="1" applyFill="1" applyBorder="1" applyAlignment="1" applyProtection="1">
      <alignment horizontal="left" vertical="center" indent="1" shrinkToFit="1"/>
    </xf>
    <xf numFmtId="200" fontId="32" fillId="2" borderId="26" xfId="0" applyNumberFormat="1" applyFont="1" applyFill="1" applyBorder="1" applyAlignment="1" applyProtection="1">
      <alignment horizontal="center" vertical="center" shrinkToFit="1"/>
    </xf>
    <xf numFmtId="0" fontId="32" fillId="2" borderId="78" xfId="0" applyFont="1" applyFill="1" applyBorder="1" applyAlignment="1" applyProtection="1">
      <alignment horizontal="center" vertical="center" wrapText="1"/>
    </xf>
    <xf numFmtId="0" fontId="32" fillId="2" borderId="47" xfId="0" applyFont="1" applyFill="1" applyBorder="1" applyAlignment="1" applyProtection="1">
      <alignment horizontal="center" vertical="center" wrapText="1"/>
    </xf>
    <xf numFmtId="0" fontId="32" fillId="2" borderId="76" xfId="0"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wrapText="1"/>
    </xf>
    <xf numFmtId="0" fontId="32" fillId="2" borderId="130" xfId="0" applyFont="1" applyFill="1" applyBorder="1" applyAlignment="1" applyProtection="1">
      <alignment horizontal="center" vertical="center" wrapText="1"/>
    </xf>
    <xf numFmtId="0" fontId="32" fillId="2" borderId="16" xfId="0" applyFont="1" applyFill="1" applyBorder="1" applyAlignment="1" applyProtection="1">
      <alignment horizontal="center" vertical="center" wrapText="1"/>
    </xf>
    <xf numFmtId="0" fontId="32" fillId="2" borderId="14" xfId="0" applyFont="1" applyFill="1" applyBorder="1" applyAlignment="1" applyProtection="1">
      <alignment horizontal="center" vertical="center" wrapText="1"/>
    </xf>
    <xf numFmtId="0" fontId="32" fillId="2" borderId="118" xfId="0" applyFont="1" applyFill="1" applyBorder="1" applyAlignment="1" applyProtection="1">
      <alignment horizontal="center" vertical="center" wrapText="1"/>
    </xf>
    <xf numFmtId="0" fontId="32" fillId="2" borderId="88" xfId="0" applyFont="1" applyFill="1" applyBorder="1" applyAlignment="1" applyProtection="1">
      <alignment horizontal="center" vertical="center" wrapText="1"/>
    </xf>
    <xf numFmtId="0" fontId="32" fillId="2" borderId="130" xfId="0" applyFont="1" applyFill="1" applyBorder="1" applyAlignment="1" applyProtection="1">
      <alignment horizontal="center" vertical="center" shrinkToFit="1"/>
    </xf>
    <xf numFmtId="0" fontId="32" fillId="2" borderId="48" xfId="0" applyFont="1" applyFill="1" applyBorder="1" applyAlignment="1" applyProtection="1">
      <alignment horizontal="center" vertical="center" shrinkToFit="1"/>
    </xf>
    <xf numFmtId="0" fontId="32" fillId="2" borderId="76" xfId="0" applyFont="1" applyFill="1" applyBorder="1" applyAlignment="1" applyProtection="1">
      <alignment horizontal="center" vertical="center" shrinkToFit="1"/>
    </xf>
    <xf numFmtId="0" fontId="32" fillId="7" borderId="26" xfId="0" applyFont="1" applyFill="1" applyBorder="1" applyAlignment="1" applyProtection="1">
      <alignment horizontal="center" vertical="center" shrinkToFit="1"/>
    </xf>
    <xf numFmtId="0" fontId="55" fillId="2" borderId="0" xfId="0" applyFont="1" applyFill="1" applyAlignment="1" applyProtection="1">
      <alignment horizontal="center" vertical="center" shrinkToFit="1"/>
    </xf>
    <xf numFmtId="0" fontId="32" fillId="2" borderId="2" xfId="0" applyFont="1" applyFill="1" applyBorder="1" applyAlignment="1" applyProtection="1">
      <alignment horizontal="center" vertical="center" shrinkToFit="1"/>
    </xf>
    <xf numFmtId="0" fontId="32" fillId="2" borderId="24" xfId="0" applyFont="1" applyFill="1" applyBorder="1" applyAlignment="1" applyProtection="1">
      <alignment horizontal="center" vertical="center" shrinkToFit="1"/>
    </xf>
    <xf numFmtId="0" fontId="32" fillId="2" borderId="11" xfId="0" applyFont="1" applyFill="1" applyBorder="1" applyAlignment="1" applyProtection="1">
      <alignment horizontal="center" vertical="center" wrapText="1"/>
    </xf>
    <xf numFmtId="0" fontId="32" fillId="2" borderId="138" xfId="0" applyFont="1" applyFill="1" applyBorder="1" applyAlignment="1" applyProtection="1">
      <alignment horizontal="center" vertical="center" wrapText="1"/>
    </xf>
    <xf numFmtId="0" fontId="32" fillId="2" borderId="120" xfId="0" applyFont="1" applyFill="1" applyBorder="1" applyAlignment="1" applyProtection="1">
      <alignment horizontal="center" vertical="center" wrapText="1"/>
    </xf>
    <xf numFmtId="0" fontId="0" fillId="2" borderId="11" xfId="0" applyFont="1" applyFill="1" applyBorder="1" applyAlignment="1" applyProtection="1">
      <alignment horizontal="center" vertical="center" wrapText="1"/>
    </xf>
    <xf numFmtId="0" fontId="34" fillId="2" borderId="25" xfId="0" applyFont="1" applyFill="1" applyBorder="1" applyAlignment="1" applyProtection="1">
      <alignment horizontal="center" vertical="center" shrinkToFit="1"/>
    </xf>
    <xf numFmtId="0" fontId="34" fillId="2" borderId="24" xfId="0" applyFont="1" applyFill="1" applyBorder="1" applyAlignment="1" applyProtection="1">
      <alignment horizontal="center" vertical="center" shrinkToFit="1"/>
    </xf>
    <xf numFmtId="38" fontId="45" fillId="14" borderId="14" xfId="9" applyFont="1" applyFill="1" applyBorder="1" applyAlignment="1" applyProtection="1">
      <alignment horizontal="center" vertical="center" shrinkToFit="1"/>
    </xf>
    <xf numFmtId="0" fontId="34" fillId="2" borderId="0" xfId="0" applyFont="1" applyFill="1" applyBorder="1" applyAlignment="1" applyProtection="1">
      <alignment horizontal="right" vertical="center" wrapText="1" shrinkToFit="1"/>
    </xf>
    <xf numFmtId="0" fontId="32" fillId="2" borderId="21"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12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193" fontId="32" fillId="2" borderId="0" xfId="0" applyNumberFormat="1" applyFont="1" applyFill="1" applyBorder="1" applyAlignment="1" applyProtection="1">
      <alignment horizontal="center" vertical="center" wrapText="1" shrinkToFit="1"/>
    </xf>
    <xf numFmtId="0" fontId="90" fillId="2" borderId="7" xfId="0" applyFont="1" applyFill="1" applyBorder="1" applyAlignment="1" applyProtection="1">
      <alignment horizontal="left" vertical="center"/>
    </xf>
    <xf numFmtId="0" fontId="32" fillId="2" borderId="0" xfId="0" applyFont="1" applyFill="1" applyAlignment="1" applyProtection="1">
      <alignment horizontal="center" vertical="center" shrinkToFit="1"/>
    </xf>
    <xf numFmtId="0" fontId="32" fillId="2" borderId="10"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75" xfId="0" applyFont="1" applyFill="1" applyBorder="1" applyAlignment="1" applyProtection="1">
      <alignment horizontal="center" vertical="center" wrapText="1"/>
    </xf>
    <xf numFmtId="0" fontId="32" fillId="2" borderId="107" xfId="0" applyFont="1" applyFill="1" applyBorder="1" applyAlignment="1" applyProtection="1">
      <alignment horizontal="center" vertical="center" wrapText="1"/>
    </xf>
    <xf numFmtId="0" fontId="107" fillId="2" borderId="37" xfId="82" applyFont="1" applyFill="1" applyBorder="1" applyAlignment="1" applyProtection="1">
      <alignment horizontal="center" vertical="center"/>
    </xf>
    <xf numFmtId="0" fontId="107" fillId="2" borderId="36" xfId="82" applyFont="1" applyFill="1" applyBorder="1" applyAlignment="1" applyProtection="1">
      <alignment horizontal="center" vertical="center"/>
    </xf>
    <xf numFmtId="0" fontId="63" fillId="2" borderId="179" xfId="82" applyFont="1" applyFill="1" applyBorder="1" applyAlignment="1" applyProtection="1">
      <alignment horizontal="left" vertical="center"/>
    </xf>
    <xf numFmtId="0" fontId="63" fillId="2" borderId="191" xfId="82" applyFont="1" applyFill="1" applyBorder="1" applyAlignment="1" applyProtection="1">
      <alignment horizontal="left" vertical="center"/>
    </xf>
    <xf numFmtId="0" fontId="63" fillId="2" borderId="24" xfId="82" applyFont="1" applyFill="1" applyBorder="1" applyAlignment="1" applyProtection="1">
      <alignment horizontal="left" vertical="center"/>
    </xf>
    <xf numFmtId="215" fontId="63" fillId="2" borderId="106" xfId="82" applyNumberFormat="1" applyFont="1" applyFill="1" applyBorder="1" applyAlignment="1" applyProtection="1">
      <alignment horizontal="center" vertical="center" wrapText="1"/>
    </xf>
    <xf numFmtId="215" fontId="63" fillId="2" borderId="70" xfId="82" applyNumberFormat="1" applyFont="1" applyFill="1" applyBorder="1" applyAlignment="1" applyProtection="1">
      <alignment horizontal="center" vertical="center" wrapText="1"/>
    </xf>
    <xf numFmtId="0" fontId="26" fillId="2" borderId="40" xfId="58" applyFont="1" applyFill="1" applyBorder="1" applyAlignment="1" applyProtection="1">
      <alignment horizontal="left" vertical="center" wrapText="1"/>
    </xf>
    <xf numFmtId="0" fontId="26" fillId="2" borderId="28" xfId="58" applyFont="1" applyFill="1" applyBorder="1" applyAlignment="1" applyProtection="1">
      <alignment horizontal="left" vertical="center" wrapText="1"/>
    </xf>
    <xf numFmtId="0" fontId="26" fillId="2" borderId="57" xfId="58" applyFont="1" applyFill="1" applyBorder="1" applyAlignment="1" applyProtection="1">
      <alignment horizontal="left" vertical="center" wrapText="1"/>
    </xf>
    <xf numFmtId="0" fontId="26" fillId="2" borderId="32" xfId="58" applyFont="1" applyFill="1" applyBorder="1" applyAlignment="1" applyProtection="1">
      <alignment horizontal="left" vertical="center" wrapText="1"/>
    </xf>
    <xf numFmtId="0" fontId="63" fillId="2" borderId="57" xfId="82" applyFont="1" applyFill="1" applyBorder="1" applyAlignment="1" applyProtection="1">
      <alignment horizontal="left" vertical="center" wrapText="1"/>
    </xf>
    <xf numFmtId="0" fontId="63" fillId="2" borderId="32" xfId="82" applyFont="1" applyFill="1" applyBorder="1" applyAlignment="1" applyProtection="1">
      <alignment horizontal="left" vertical="center" wrapText="1"/>
    </xf>
    <xf numFmtId="0" fontId="63" fillId="2" borderId="57" xfId="82" applyFont="1" applyFill="1" applyBorder="1" applyAlignment="1" applyProtection="1">
      <alignment horizontal="left" vertical="center"/>
    </xf>
    <xf numFmtId="0" fontId="63" fillId="2" borderId="32" xfId="82" applyFont="1" applyFill="1" applyBorder="1" applyAlignment="1" applyProtection="1">
      <alignment horizontal="left" vertical="center"/>
    </xf>
    <xf numFmtId="0" fontId="66" fillId="2" borderId="0" xfId="82" applyFont="1" applyFill="1" applyBorder="1" applyAlignment="1" applyProtection="1">
      <alignment horizontal="left" vertical="center"/>
    </xf>
    <xf numFmtId="227" fontId="66" fillId="2" borderId="37" xfId="82" applyNumberFormat="1" applyFont="1" applyFill="1" applyBorder="1" applyAlignment="1" applyProtection="1">
      <alignment horizontal="center" vertical="center"/>
    </xf>
    <xf numFmtId="227" fontId="66" fillId="2" borderId="1" xfId="82" applyNumberFormat="1" applyFont="1" applyFill="1" applyBorder="1" applyAlignment="1" applyProtection="1">
      <alignment horizontal="center" vertical="center"/>
    </xf>
    <xf numFmtId="227" fontId="66" fillId="2" borderId="36" xfId="82" applyNumberFormat="1" applyFont="1" applyFill="1" applyBorder="1" applyAlignment="1" applyProtection="1">
      <alignment horizontal="center" vertical="center"/>
    </xf>
    <xf numFmtId="0" fontId="63" fillId="2" borderId="196" xfId="82" applyFont="1" applyFill="1" applyBorder="1" applyAlignment="1" applyProtection="1">
      <alignment horizontal="left" vertical="center"/>
    </xf>
    <xf numFmtId="0" fontId="63" fillId="2" borderId="197" xfId="82" applyFont="1" applyFill="1" applyBorder="1" applyAlignment="1" applyProtection="1">
      <alignment horizontal="left" vertical="center"/>
    </xf>
    <xf numFmtId="0" fontId="126" fillId="2" borderId="2" xfId="82" applyFont="1" applyFill="1" applyBorder="1" applyAlignment="1" applyProtection="1">
      <alignment horizontal="left" vertical="center"/>
    </xf>
    <xf numFmtId="0" fontId="126" fillId="2" borderId="24" xfId="82" applyFont="1" applyFill="1" applyBorder="1" applyAlignment="1" applyProtection="1">
      <alignment horizontal="left" vertical="center"/>
    </xf>
    <xf numFmtId="0" fontId="152" fillId="2" borderId="2" xfId="82" applyFont="1" applyFill="1" applyBorder="1" applyAlignment="1" applyProtection="1">
      <alignment horizontal="left" vertical="center" wrapText="1"/>
    </xf>
    <xf numFmtId="0" fontId="152" fillId="2" borderId="24" xfId="82" applyFont="1" applyFill="1" applyBorder="1" applyAlignment="1" applyProtection="1">
      <alignment horizontal="left" vertical="center" wrapText="1"/>
    </xf>
    <xf numFmtId="0" fontId="63" fillId="2" borderId="7" xfId="82" applyFont="1" applyFill="1" applyBorder="1" applyAlignment="1" applyProtection="1">
      <alignment horizontal="left" vertical="top" wrapText="1"/>
    </xf>
    <xf numFmtId="0" fontId="63" fillId="2" borderId="8" xfId="82" applyFont="1" applyFill="1" applyBorder="1" applyAlignment="1" applyProtection="1">
      <alignment horizontal="left" vertical="top" wrapText="1"/>
    </xf>
    <xf numFmtId="0" fontId="63" fillId="2" borderId="21" xfId="82" applyFont="1" applyFill="1" applyBorder="1" applyAlignment="1" applyProtection="1">
      <alignment horizontal="center" vertical="center" shrinkToFit="1"/>
    </xf>
    <xf numFmtId="0" fontId="63" fillId="2" borderId="16" xfId="82" applyFont="1" applyFill="1" applyBorder="1" applyAlignment="1" applyProtection="1">
      <alignment horizontal="center" vertical="center" shrinkToFit="1"/>
    </xf>
    <xf numFmtId="0" fontId="63" fillId="2" borderId="13" xfId="82" applyFont="1" applyFill="1" applyBorder="1" applyAlignment="1" applyProtection="1">
      <alignment horizontal="center" vertical="center" shrinkToFit="1"/>
    </xf>
    <xf numFmtId="0" fontId="63" fillId="2" borderId="14" xfId="82" applyFont="1" applyFill="1" applyBorder="1" applyAlignment="1" applyProtection="1">
      <alignment horizontal="center" vertical="center" shrinkToFit="1"/>
    </xf>
    <xf numFmtId="0" fontId="67" fillId="2" borderId="21" xfId="82" applyFont="1" applyFill="1" applyBorder="1" applyAlignment="1" applyProtection="1">
      <alignment horizontal="center" vertical="center" wrapText="1" shrinkToFit="1"/>
    </xf>
    <xf numFmtId="0" fontId="67" fillId="2" borderId="8" xfId="82" applyFont="1" applyFill="1" applyBorder="1" applyAlignment="1" applyProtection="1">
      <alignment horizontal="center" vertical="center" wrapText="1" shrinkToFit="1"/>
    </xf>
    <xf numFmtId="0" fontId="67" fillId="2" borderId="16" xfId="82" applyFont="1" applyFill="1" applyBorder="1" applyAlignment="1" applyProtection="1">
      <alignment horizontal="center" vertical="center" wrapText="1" shrinkToFit="1"/>
    </xf>
    <xf numFmtId="0" fontId="67" fillId="2" borderId="13" xfId="82" applyFont="1" applyFill="1" applyBorder="1" applyAlignment="1" applyProtection="1">
      <alignment horizontal="center" vertical="center" wrapText="1" shrinkToFit="1"/>
    </xf>
    <xf numFmtId="0" fontId="67" fillId="2" borderId="7" xfId="82" applyFont="1" applyFill="1" applyBorder="1" applyAlignment="1" applyProtection="1">
      <alignment horizontal="center" vertical="center" wrapText="1" shrinkToFit="1"/>
    </xf>
    <xf numFmtId="0" fontId="67" fillId="2" borderId="14" xfId="82" applyFont="1" applyFill="1" applyBorder="1" applyAlignment="1" applyProtection="1">
      <alignment horizontal="center" vertical="center" wrapText="1" shrinkToFit="1"/>
    </xf>
    <xf numFmtId="0" fontId="32" fillId="2" borderId="135" xfId="0" applyFont="1" applyFill="1" applyBorder="1" applyAlignment="1" applyProtection="1">
      <alignment horizontal="center" vertical="center" wrapText="1"/>
    </xf>
    <xf numFmtId="0" fontId="32" fillId="2" borderId="128" xfId="0" applyFont="1" applyFill="1" applyBorder="1" applyAlignment="1" applyProtection="1">
      <alignment horizontal="center" vertical="center" wrapText="1"/>
    </xf>
    <xf numFmtId="193" fontId="32" fillId="2" borderId="0" xfId="0" applyNumberFormat="1" applyFont="1" applyFill="1" applyBorder="1" applyAlignment="1" applyProtection="1">
      <alignment horizontal="left" vertical="center" wrapText="1" indent="2" shrinkToFit="1"/>
    </xf>
    <xf numFmtId="193" fontId="32" fillId="2" borderId="71" xfId="0" applyNumberFormat="1" applyFont="1" applyFill="1" applyBorder="1" applyAlignment="1" applyProtection="1">
      <alignment horizontal="left" vertical="center" wrapText="1" indent="2" shrinkToFit="1"/>
    </xf>
    <xf numFmtId="227" fontId="50" fillId="2" borderId="1" xfId="82" applyNumberFormat="1" applyFont="1" applyFill="1" applyBorder="1" applyAlignment="1" applyProtection="1">
      <alignment horizontal="center" vertical="center"/>
    </xf>
    <xf numFmtId="227" fontId="50" fillId="2" borderId="36" xfId="82" applyNumberFormat="1" applyFont="1" applyFill="1" applyBorder="1" applyAlignment="1" applyProtection="1">
      <alignment horizontal="center" vertical="center"/>
    </xf>
    <xf numFmtId="0" fontId="63" fillId="2" borderId="21" xfId="82" applyFont="1" applyFill="1" applyBorder="1" applyAlignment="1" applyProtection="1">
      <alignment horizontal="center" vertical="center"/>
    </xf>
    <xf numFmtId="0" fontId="63" fillId="2" borderId="16" xfId="82" applyFont="1" applyFill="1" applyBorder="1" applyAlignment="1" applyProtection="1">
      <alignment horizontal="center" vertical="center"/>
    </xf>
    <xf numFmtId="0" fontId="63" fillId="2" borderId="13" xfId="82" applyFont="1" applyFill="1" applyBorder="1" applyAlignment="1" applyProtection="1">
      <alignment horizontal="center" vertical="center"/>
    </xf>
    <xf numFmtId="0" fontId="63" fillId="2" borderId="14" xfId="82" applyFont="1" applyFill="1" applyBorder="1" applyAlignment="1" applyProtection="1">
      <alignment horizontal="center" vertical="center"/>
    </xf>
    <xf numFmtId="215" fontId="63" fillId="2" borderId="21" xfId="82" applyNumberFormat="1" applyFont="1" applyFill="1" applyBorder="1" applyAlignment="1" applyProtection="1">
      <alignment horizontal="center" vertical="center" wrapText="1"/>
    </xf>
    <xf numFmtId="215" fontId="63" fillId="2" borderId="8" xfId="82" applyNumberFormat="1" applyFont="1" applyFill="1" applyBorder="1" applyAlignment="1" applyProtection="1">
      <alignment horizontal="center" vertical="center" wrapText="1"/>
    </xf>
    <xf numFmtId="215" fontId="63" fillId="2" borderId="16" xfId="82" applyNumberFormat="1" applyFont="1" applyFill="1" applyBorder="1" applyAlignment="1" applyProtection="1">
      <alignment horizontal="center" vertical="center" wrapText="1"/>
    </xf>
    <xf numFmtId="215" fontId="63" fillId="2" borderId="13" xfId="82" applyNumberFormat="1" applyFont="1" applyFill="1" applyBorder="1" applyAlignment="1" applyProtection="1">
      <alignment horizontal="center" vertical="center" wrapText="1"/>
    </xf>
    <xf numFmtId="215" fontId="63" fillId="2" borderId="7" xfId="82" applyNumberFormat="1" applyFont="1" applyFill="1" applyBorder="1" applyAlignment="1" applyProtection="1">
      <alignment horizontal="center" vertical="center" wrapText="1"/>
    </xf>
    <xf numFmtId="215" fontId="63" fillId="2" borderId="14" xfId="82" applyNumberFormat="1" applyFont="1" applyFill="1" applyBorder="1" applyAlignment="1" applyProtection="1">
      <alignment horizontal="center" vertical="center" wrapText="1"/>
    </xf>
    <xf numFmtId="0" fontId="63" fillId="2" borderId="0" xfId="82" applyFont="1" applyFill="1" applyBorder="1" applyAlignment="1" applyProtection="1">
      <alignment horizontal="right" vertical="center"/>
    </xf>
    <xf numFmtId="0" fontId="63" fillId="2" borderId="10" xfId="82" applyFont="1" applyFill="1" applyBorder="1" applyAlignment="1" applyProtection="1">
      <alignment horizontal="right" vertical="center"/>
    </xf>
    <xf numFmtId="215" fontId="73" fillId="2" borderId="0" xfId="82" applyNumberFormat="1" applyFont="1" applyFill="1" applyBorder="1" applyAlignment="1" applyProtection="1">
      <alignment horizontal="center" vertical="center" wrapText="1"/>
    </xf>
    <xf numFmtId="0" fontId="32" fillId="2" borderId="130" xfId="0" applyFont="1" applyFill="1" applyBorder="1" applyAlignment="1" applyProtection="1">
      <alignment horizontal="center" vertical="center" wrapText="1" shrinkToFit="1"/>
    </xf>
    <xf numFmtId="0" fontId="32" fillId="2" borderId="48" xfId="0" applyFont="1" applyFill="1" applyBorder="1" applyAlignment="1" applyProtection="1">
      <alignment horizontal="center" vertical="center" wrapText="1" shrinkToFit="1"/>
    </xf>
    <xf numFmtId="0" fontId="32" fillId="2" borderId="118" xfId="0" applyFont="1" applyFill="1" applyBorder="1" applyAlignment="1" applyProtection="1">
      <alignment horizontal="center" vertical="center" wrapText="1" shrinkToFit="1"/>
    </xf>
    <xf numFmtId="0" fontId="32" fillId="2" borderId="47" xfId="0" applyFont="1" applyFill="1" applyBorder="1" applyAlignment="1" applyProtection="1">
      <alignment horizontal="center" vertical="center" wrapText="1" shrinkToFit="1"/>
    </xf>
    <xf numFmtId="0" fontId="128" fillId="2" borderId="78" xfId="0" applyFont="1" applyFill="1" applyBorder="1" applyAlignment="1" applyProtection="1">
      <alignment horizontal="center" vertical="center" wrapText="1" shrinkToFit="1"/>
    </xf>
    <xf numFmtId="0" fontId="128" fillId="2" borderId="47" xfId="0" applyFont="1" applyFill="1" applyBorder="1" applyAlignment="1" applyProtection="1">
      <alignment horizontal="center" vertical="center" wrapText="1" shrinkToFit="1"/>
    </xf>
    <xf numFmtId="0" fontId="32" fillId="2" borderId="76" xfId="0" applyFont="1" applyFill="1" applyBorder="1" applyAlignment="1" applyProtection="1">
      <alignment horizontal="center" vertical="center" wrapText="1" shrinkToFit="1"/>
    </xf>
    <xf numFmtId="0" fontId="32" fillId="2" borderId="78" xfId="0" applyFont="1" applyFill="1" applyBorder="1" applyAlignment="1" applyProtection="1">
      <alignment horizontal="center" vertical="center" wrapText="1" shrinkToFit="1"/>
    </xf>
    <xf numFmtId="0" fontId="128" fillId="2" borderId="118" xfId="0" applyFont="1" applyFill="1" applyBorder="1" applyAlignment="1" applyProtection="1">
      <alignment horizontal="center" vertical="center" wrapText="1" shrinkToFit="1"/>
    </xf>
    <xf numFmtId="193" fontId="32" fillId="2" borderId="0" xfId="0" applyNumberFormat="1" applyFont="1" applyFill="1" applyBorder="1" applyAlignment="1" applyProtection="1">
      <alignment horizontal="left" vertical="center" shrinkToFit="1"/>
    </xf>
    <xf numFmtId="193" fontId="32" fillId="2" borderId="71" xfId="0" applyNumberFormat="1" applyFont="1" applyFill="1" applyBorder="1" applyAlignment="1" applyProtection="1">
      <alignment horizontal="left" vertical="center" shrinkToFit="1"/>
    </xf>
    <xf numFmtId="0" fontId="123" fillId="2" borderId="26" xfId="0" applyFont="1" applyFill="1" applyBorder="1" applyAlignment="1" applyProtection="1">
      <alignment horizontal="center" vertical="center" shrinkToFit="1"/>
    </xf>
    <xf numFmtId="0" fontId="34" fillId="2" borderId="26" xfId="0" applyFont="1" applyFill="1" applyBorder="1" applyAlignment="1" applyProtection="1">
      <alignment horizontal="center" vertical="center" shrinkToFit="1"/>
    </xf>
    <xf numFmtId="0" fontId="32" fillId="7" borderId="25" xfId="0" applyFont="1" applyFill="1" applyBorder="1" applyAlignment="1" applyProtection="1">
      <alignment horizontal="center" vertical="center" shrinkToFit="1"/>
    </xf>
    <xf numFmtId="0" fontId="32" fillId="7" borderId="24" xfId="0" applyFont="1" applyFill="1" applyBorder="1" applyAlignment="1" applyProtection="1">
      <alignment horizontal="center" vertical="center" shrinkToFit="1"/>
    </xf>
    <xf numFmtId="0" fontId="32" fillId="4" borderId="25" xfId="0" applyFont="1" applyFill="1" applyBorder="1" applyAlignment="1" applyProtection="1">
      <alignment horizontal="center" vertical="center" shrinkToFit="1"/>
      <protection locked="0"/>
    </xf>
    <xf numFmtId="0" fontId="32" fillId="4" borderId="24" xfId="0" applyFont="1" applyFill="1" applyBorder="1" applyAlignment="1" applyProtection="1">
      <alignment horizontal="center" vertical="center" shrinkToFit="1"/>
      <protection locked="0"/>
    </xf>
    <xf numFmtId="0" fontId="90" fillId="2" borderId="0" xfId="0" applyFont="1" applyFill="1" applyAlignment="1" applyProtection="1">
      <alignment horizontal="center" vertical="center" shrinkToFit="1"/>
    </xf>
    <xf numFmtId="0" fontId="34" fillId="2" borderId="118" xfId="0" applyFont="1" applyFill="1" applyBorder="1" applyAlignment="1" applyProtection="1">
      <alignment horizontal="center" vertical="center" shrinkToFit="1"/>
    </xf>
    <xf numFmtId="0" fontId="34" fillId="2" borderId="47" xfId="0" applyFont="1" applyFill="1" applyBorder="1" applyAlignment="1" applyProtection="1">
      <alignment horizontal="center" vertical="center" shrinkToFit="1"/>
    </xf>
    <xf numFmtId="0" fontId="34" fillId="2" borderId="2" xfId="0" applyFont="1" applyFill="1" applyBorder="1" applyAlignment="1" applyProtection="1">
      <alignment horizontal="center" vertical="center" shrinkToFit="1"/>
    </xf>
    <xf numFmtId="0" fontId="152" fillId="2" borderId="2" xfId="82" applyFont="1" applyFill="1" applyBorder="1" applyAlignment="1" applyProtection="1">
      <alignment vertical="center" wrapText="1"/>
    </xf>
    <xf numFmtId="0" fontId="152" fillId="2" borderId="24" xfId="82" applyFont="1" applyFill="1" applyBorder="1" applyAlignment="1" applyProtection="1">
      <alignment vertical="center" wrapText="1"/>
    </xf>
    <xf numFmtId="0" fontId="63" fillId="2" borderId="9" xfId="82" applyFont="1" applyFill="1" applyBorder="1" applyAlignment="1" applyProtection="1">
      <alignment horizontal="center" vertical="center" shrinkToFit="1"/>
    </xf>
    <xf numFmtId="0" fontId="63" fillId="2" borderId="6" xfId="82" applyFont="1" applyFill="1" applyBorder="1" applyAlignment="1" applyProtection="1">
      <alignment horizontal="center" vertical="center" shrinkToFit="1"/>
    </xf>
    <xf numFmtId="0" fontId="88" fillId="2" borderId="21" xfId="82" applyFont="1" applyFill="1" applyBorder="1" applyAlignment="1" applyProtection="1">
      <alignment horizontal="center" vertical="center" wrapText="1" shrinkToFit="1"/>
    </xf>
    <xf numFmtId="0" fontId="88" fillId="2" borderId="16" xfId="82" applyFont="1" applyFill="1" applyBorder="1" applyAlignment="1" applyProtection="1">
      <alignment horizontal="center" vertical="center" wrapText="1" shrinkToFit="1"/>
    </xf>
    <xf numFmtId="0" fontId="88" fillId="2" borderId="13" xfId="82" applyFont="1" applyFill="1" applyBorder="1" applyAlignment="1" applyProtection="1">
      <alignment horizontal="center" vertical="center" wrapText="1" shrinkToFit="1"/>
    </xf>
    <xf numFmtId="0" fontId="88" fillId="2" borderId="14" xfId="82" applyFont="1" applyFill="1" applyBorder="1" applyAlignment="1" applyProtection="1">
      <alignment horizontal="center" vertical="center" wrapText="1" shrinkToFit="1"/>
    </xf>
    <xf numFmtId="179" fontId="6" fillId="0" borderId="11" xfId="58" applyNumberFormat="1" applyFont="1" applyBorder="1" applyAlignment="1">
      <alignment horizontal="center" vertical="center"/>
    </xf>
    <xf numFmtId="178" fontId="6" fillId="0" borderId="21" xfId="58" applyNumberFormat="1" applyFont="1" applyBorder="1" applyAlignment="1">
      <alignment horizontal="center" vertical="center" wrapText="1"/>
    </xf>
    <xf numFmtId="178" fontId="6" fillId="0" borderId="3" xfId="58" applyNumberFormat="1" applyFont="1" applyBorder="1" applyAlignment="1">
      <alignment horizontal="center" vertical="center" wrapText="1"/>
    </xf>
    <xf numFmtId="178" fontId="6" fillId="0" borderId="13" xfId="58" applyNumberFormat="1" applyFont="1" applyBorder="1" applyAlignment="1">
      <alignment horizontal="center" vertical="center" wrapText="1"/>
    </xf>
    <xf numFmtId="178" fontId="6" fillId="0" borderId="62" xfId="58" applyNumberFormat="1" applyFont="1" applyBorder="1" applyAlignment="1">
      <alignment horizontal="center" vertical="center" wrapText="1"/>
    </xf>
    <xf numFmtId="178" fontId="6" fillId="0" borderId="18" xfId="58" applyNumberFormat="1" applyFont="1" applyBorder="1" applyAlignment="1">
      <alignment horizontal="center" vertical="center" wrapText="1"/>
    </xf>
    <xf numFmtId="178" fontId="6" fillId="0" borderId="19" xfId="58" applyNumberFormat="1" applyFont="1" applyBorder="1" applyAlignment="1">
      <alignment horizontal="center" vertical="center" wrapText="1"/>
    </xf>
    <xf numFmtId="178" fontId="6" fillId="0" borderId="61" xfId="58" applyNumberFormat="1" applyFont="1" applyBorder="1" applyAlignment="1">
      <alignment wrapText="1"/>
    </xf>
    <xf numFmtId="178" fontId="6" fillId="0" borderId="17" xfId="58" applyNumberFormat="1" applyFont="1" applyBorder="1" applyAlignment="1">
      <alignment wrapText="1"/>
    </xf>
    <xf numFmtId="179" fontId="6" fillId="0" borderId="3" xfId="58" applyNumberFormat="1" applyFont="1" applyBorder="1" applyAlignment="1">
      <alignment horizontal="center" vertical="center"/>
    </xf>
    <xf numFmtId="178" fontId="6" fillId="0" borderId="9" xfId="58" applyNumberFormat="1" applyFont="1" applyBorder="1">
      <alignment vertical="center"/>
    </xf>
    <xf numFmtId="178" fontId="6" fillId="0" borderId="11" xfId="58" applyNumberFormat="1" applyFont="1" applyBorder="1">
      <alignment vertical="center"/>
    </xf>
    <xf numFmtId="178" fontId="6" fillId="0" borderId="6" xfId="58" applyNumberFormat="1" applyFont="1" applyBorder="1">
      <alignment vertical="center"/>
    </xf>
    <xf numFmtId="177" fontId="6" fillId="0" borderId="11" xfId="58" applyNumberFormat="1" applyFont="1" applyBorder="1" applyAlignment="1">
      <alignment horizontal="center" vertical="center"/>
    </xf>
    <xf numFmtId="179" fontId="6" fillId="0" borderId="9" xfId="58" applyNumberFormat="1" applyFont="1" applyBorder="1">
      <alignment vertical="center"/>
    </xf>
    <xf numFmtId="179" fontId="6" fillId="0" borderId="11" xfId="58" applyNumberFormat="1" applyFont="1" applyBorder="1">
      <alignment vertical="center"/>
    </xf>
    <xf numFmtId="179" fontId="6" fillId="0" borderId="6" xfId="58" applyNumberFormat="1" applyFont="1" applyBorder="1">
      <alignment vertical="center"/>
    </xf>
    <xf numFmtId="181" fontId="6" fillId="0" borderId="17" xfId="58" applyNumberFormat="1" applyFont="1" applyBorder="1" applyAlignment="1">
      <alignment vertical="top" wrapText="1"/>
    </xf>
    <xf numFmtId="181" fontId="6" fillId="0" borderId="20" xfId="58" applyNumberFormat="1" applyFont="1" applyBorder="1" applyAlignment="1">
      <alignment vertical="top" wrapText="1"/>
    </xf>
    <xf numFmtId="181" fontId="6" fillId="0" borderId="3" xfId="58" applyNumberFormat="1" applyFont="1" applyBorder="1" applyAlignment="1">
      <alignment vertical="top" wrapText="1"/>
    </xf>
    <xf numFmtId="181" fontId="6" fillId="0" borderId="13" xfId="58" applyNumberFormat="1" applyFont="1" applyBorder="1" applyAlignment="1">
      <alignment vertical="top" wrapText="1"/>
    </xf>
    <xf numFmtId="178" fontId="6" fillId="0" borderId="16" xfId="58" applyNumberFormat="1" applyFont="1" applyBorder="1" applyAlignment="1">
      <alignment wrapText="1"/>
    </xf>
    <xf numFmtId="178" fontId="6" fillId="0" borderId="10" xfId="58" applyNumberFormat="1" applyFont="1" applyBorder="1" applyAlignment="1">
      <alignment wrapText="1"/>
    </xf>
    <xf numFmtId="181" fontId="6" fillId="0" borderId="10" xfId="58" applyNumberFormat="1" applyFont="1" applyBorder="1" applyAlignment="1">
      <alignment vertical="top" wrapText="1"/>
    </xf>
    <xf numFmtId="181" fontId="6" fillId="0" borderId="14" xfId="58" applyNumberFormat="1" applyFont="1" applyBorder="1" applyAlignment="1">
      <alignment vertical="top" wrapText="1"/>
    </xf>
    <xf numFmtId="3" fontId="6" fillId="0" borderId="40" xfId="58" applyNumberFormat="1" applyFont="1" applyFill="1" applyBorder="1" applyAlignment="1">
      <alignment horizontal="center" vertical="center" wrapText="1"/>
    </xf>
    <xf numFmtId="3" fontId="6" fillId="0" borderId="35" xfId="58" applyNumberFormat="1" applyFont="1" applyFill="1" applyBorder="1" applyAlignment="1">
      <alignment horizontal="center" vertical="center" wrapText="1"/>
    </xf>
    <xf numFmtId="3" fontId="6" fillId="0" borderId="28" xfId="58" applyNumberFormat="1" applyFont="1" applyFill="1" applyBorder="1" applyAlignment="1">
      <alignment horizontal="center" vertical="center" wrapText="1"/>
    </xf>
    <xf numFmtId="3" fontId="6" fillId="0" borderId="109" xfId="58" applyNumberFormat="1" applyFont="1" applyFill="1" applyBorder="1" applyAlignment="1">
      <alignment horizontal="center" vertical="center" wrapText="1"/>
    </xf>
    <xf numFmtId="3" fontId="6" fillId="0" borderId="12" xfId="58" applyNumberFormat="1" applyFont="1" applyFill="1" applyBorder="1" applyAlignment="1">
      <alignment horizontal="center" vertical="center" wrapText="1"/>
    </xf>
    <xf numFmtId="3" fontId="6" fillId="0" borderId="4" xfId="58" applyNumberFormat="1" applyFont="1" applyFill="1" applyBorder="1" applyAlignment="1">
      <alignment horizontal="center" vertical="center" wrapText="1"/>
    </xf>
    <xf numFmtId="3" fontId="6" fillId="0" borderId="17" xfId="58" applyNumberFormat="1" applyFont="1" applyFill="1" applyBorder="1" applyAlignment="1">
      <alignment horizontal="center" vertical="center" wrapText="1"/>
    </xf>
    <xf numFmtId="3" fontId="6" fillId="0" borderId="5" xfId="58" applyNumberFormat="1" applyFont="1" applyFill="1" applyBorder="1" applyAlignment="1">
      <alignment horizontal="center" vertical="center" wrapText="1"/>
    </xf>
    <xf numFmtId="3" fontId="6" fillId="0" borderId="18" xfId="58" applyNumberFormat="1" applyFont="1" applyFill="1" applyBorder="1" applyAlignment="1">
      <alignment horizontal="center" vertical="center" wrapText="1"/>
    </xf>
    <xf numFmtId="178" fontId="6" fillId="0" borderId="13" xfId="58" applyNumberFormat="1" applyFont="1" applyFill="1" applyBorder="1" applyAlignment="1">
      <alignment horizontal="center" vertical="center" wrapText="1"/>
    </xf>
    <xf numFmtId="178" fontId="6" fillId="0" borderId="7" xfId="58" applyNumberFormat="1" applyFont="1" applyFill="1" applyBorder="1" applyAlignment="1">
      <alignment horizontal="center" vertical="center" wrapText="1"/>
    </xf>
    <xf numFmtId="178" fontId="6" fillId="0" borderId="14" xfId="58" applyNumberFormat="1" applyFont="1" applyFill="1" applyBorder="1" applyAlignment="1">
      <alignment horizontal="center" vertical="center" wrapText="1"/>
    </xf>
    <xf numFmtId="178" fontId="6" fillId="0" borderId="9" xfId="58" applyNumberFormat="1" applyFont="1" applyBorder="1" applyAlignment="1">
      <alignment vertical="center" wrapText="1"/>
    </xf>
    <xf numFmtId="178" fontId="6" fillId="0" borderId="6" xfId="58" applyNumberFormat="1" applyFont="1" applyBorder="1" applyAlignment="1">
      <alignment vertical="center" wrapText="1"/>
    </xf>
    <xf numFmtId="178" fontId="6" fillId="0" borderId="21" xfId="58" applyNumberFormat="1" applyFont="1" applyBorder="1" applyAlignment="1">
      <alignment wrapText="1"/>
    </xf>
    <xf numFmtId="178" fontId="6" fillId="0" borderId="3" xfId="58" applyNumberFormat="1" applyFont="1" applyBorder="1" applyAlignment="1">
      <alignment wrapText="1"/>
    </xf>
    <xf numFmtId="3" fontId="130" fillId="2" borderId="9" xfId="58" applyNumberFormat="1" applyFont="1" applyFill="1" applyBorder="1" applyAlignment="1">
      <alignment horizontal="center" vertical="center" wrapText="1"/>
    </xf>
    <xf numFmtId="3" fontId="130" fillId="2" borderId="11" xfId="58" applyNumberFormat="1" applyFont="1" applyFill="1" applyBorder="1" applyAlignment="1">
      <alignment horizontal="center" vertical="center" wrapText="1"/>
    </xf>
    <xf numFmtId="3" fontId="130" fillId="2" borderId="6" xfId="58" applyNumberFormat="1" applyFont="1" applyFill="1" applyBorder="1" applyAlignment="1">
      <alignment horizontal="center" vertical="center" wrapText="1"/>
    </xf>
    <xf numFmtId="3" fontId="130" fillId="2" borderId="25" xfId="58" applyNumberFormat="1" applyFont="1" applyFill="1" applyBorder="1" applyAlignment="1">
      <alignment vertical="center" wrapText="1"/>
    </xf>
    <xf numFmtId="0" fontId="130" fillId="2" borderId="25" xfId="58" applyFont="1" applyFill="1" applyBorder="1" applyAlignment="1">
      <alignment vertical="center"/>
    </xf>
    <xf numFmtId="3" fontId="130" fillId="2" borderId="27" xfId="58" applyNumberFormat="1" applyFont="1" applyFill="1" applyBorder="1" applyAlignment="1">
      <alignment horizontal="center" vertical="center" wrapText="1"/>
    </xf>
    <xf numFmtId="3" fontId="130" fillId="2" borderId="31" xfId="58" applyNumberFormat="1" applyFont="1" applyFill="1" applyBorder="1" applyAlignment="1">
      <alignment horizontal="center" vertical="center" wrapText="1"/>
    </xf>
    <xf numFmtId="3" fontId="130" fillId="2" borderId="13" xfId="58" applyNumberFormat="1" applyFont="1" applyFill="1" applyBorder="1" applyAlignment="1">
      <alignment vertical="center" wrapText="1"/>
    </xf>
    <xf numFmtId="3" fontId="6" fillId="0" borderId="21" xfId="58" applyNumberFormat="1" applyFont="1" applyFill="1" applyBorder="1" applyAlignment="1">
      <alignment horizontal="center" vertical="center" wrapText="1"/>
    </xf>
    <xf numFmtId="3" fontId="6" fillId="0" borderId="8" xfId="58" applyNumberFormat="1" applyFont="1" applyFill="1" applyBorder="1" applyAlignment="1">
      <alignment horizontal="center" vertical="center" wrapText="1"/>
    </xf>
    <xf numFmtId="3" fontId="6" fillId="0" borderId="16" xfId="58" applyNumberFormat="1" applyFont="1" applyFill="1" applyBorder="1" applyAlignment="1">
      <alignment horizontal="center" vertical="center" wrapText="1"/>
    </xf>
    <xf numFmtId="3" fontId="6" fillId="0" borderId="3" xfId="58" applyNumberFormat="1" applyFont="1" applyFill="1" applyBorder="1" applyAlignment="1">
      <alignment horizontal="center" vertical="center" wrapText="1"/>
    </xf>
    <xf numFmtId="3" fontId="6" fillId="0" borderId="0" xfId="58" applyNumberFormat="1" applyFont="1" applyFill="1" applyBorder="1" applyAlignment="1">
      <alignment horizontal="center" vertical="center" wrapText="1"/>
    </xf>
    <xf numFmtId="3" fontId="6" fillId="0" borderId="10" xfId="58" applyNumberFormat="1" applyFont="1" applyFill="1" applyBorder="1" applyAlignment="1">
      <alignment horizontal="center" vertical="center" wrapText="1"/>
    </xf>
    <xf numFmtId="3" fontId="6" fillId="0" borderId="9" xfId="58" applyNumberFormat="1" applyFont="1" applyFill="1" applyBorder="1" applyAlignment="1">
      <alignment horizontal="center" vertical="center" shrinkToFit="1"/>
    </xf>
    <xf numFmtId="3" fontId="6" fillId="0" borderId="11" xfId="58" applyNumberFormat="1" applyFont="1" applyFill="1" applyBorder="1" applyAlignment="1">
      <alignment horizontal="center" vertical="center" shrinkToFit="1"/>
    </xf>
    <xf numFmtId="178" fontId="6" fillId="0" borderId="6" xfId="58" applyNumberFormat="1" applyFont="1" applyFill="1" applyBorder="1" applyAlignment="1">
      <alignment horizontal="center" vertical="center" wrapText="1"/>
    </xf>
    <xf numFmtId="178" fontId="6" fillId="0" borderId="6" xfId="58" applyNumberFormat="1" applyFont="1" applyFill="1" applyBorder="1" applyAlignment="1">
      <alignment horizontal="center" vertical="center"/>
    </xf>
    <xf numFmtId="178" fontId="6" fillId="0" borderId="21" xfId="58" applyNumberFormat="1" applyFont="1" applyBorder="1">
      <alignment vertical="center"/>
    </xf>
    <xf numFmtId="178" fontId="6" fillId="0" borderId="3" xfId="58" applyNumberFormat="1" applyFont="1" applyBorder="1">
      <alignment vertical="center"/>
    </xf>
    <xf numFmtId="3" fontId="6" fillId="0" borderId="26" xfId="58" applyNumberFormat="1" applyFont="1" applyFill="1" applyBorder="1" applyAlignment="1">
      <alignment horizontal="center" vertical="center" wrapText="1"/>
    </xf>
    <xf numFmtId="3" fontId="6" fillId="0" borderId="9" xfId="58" applyNumberFormat="1" applyFont="1" applyFill="1" applyBorder="1" applyAlignment="1">
      <alignment horizontal="center" vertical="center" wrapText="1"/>
    </xf>
    <xf numFmtId="3" fontId="6" fillId="0" borderId="26" xfId="58" applyNumberFormat="1" applyFont="1" applyFill="1" applyBorder="1" applyAlignment="1">
      <alignment horizontal="center" vertical="center"/>
    </xf>
    <xf numFmtId="177" fontId="6" fillId="0" borderId="26" xfId="58" applyNumberFormat="1" applyFont="1" applyFill="1" applyBorder="1" applyAlignment="1">
      <alignment horizontal="center" vertical="center"/>
    </xf>
    <xf numFmtId="3" fontId="6" fillId="0" borderId="25" xfId="58" applyNumberFormat="1" applyFont="1" applyFill="1" applyBorder="1" applyAlignment="1">
      <alignment horizontal="center" vertical="center"/>
    </xf>
    <xf numFmtId="3" fontId="6" fillId="0" borderId="21" xfId="58" applyNumberFormat="1" applyFont="1" applyFill="1" applyBorder="1" applyAlignment="1">
      <alignment horizontal="center" vertical="center"/>
    </xf>
    <xf numFmtId="3" fontId="6" fillId="0" borderId="16" xfId="58" applyNumberFormat="1" applyFont="1" applyFill="1" applyBorder="1" applyAlignment="1">
      <alignment horizontal="center" vertical="center"/>
    </xf>
    <xf numFmtId="3" fontId="6" fillId="0" borderId="3" xfId="58" applyNumberFormat="1" applyFont="1" applyFill="1" applyBorder="1" applyAlignment="1">
      <alignment horizontal="center" vertical="center"/>
    </xf>
    <xf numFmtId="3" fontId="6" fillId="0" borderId="10" xfId="58" applyNumberFormat="1" applyFont="1" applyFill="1" applyBorder="1" applyAlignment="1">
      <alignment horizontal="center" vertical="center"/>
    </xf>
    <xf numFmtId="3" fontId="6" fillId="0" borderId="9" xfId="58" applyNumberFormat="1" applyFont="1" applyFill="1" applyBorder="1" applyAlignment="1">
      <alignment horizontal="center" vertical="center"/>
    </xf>
    <xf numFmtId="3" fontId="6" fillId="0" borderId="8" xfId="58" applyNumberFormat="1" applyFont="1" applyFill="1" applyBorder="1" applyAlignment="1">
      <alignment horizontal="center" vertical="center"/>
    </xf>
    <xf numFmtId="3" fontId="6" fillId="0" borderId="0" xfId="58" applyNumberFormat="1" applyFont="1" applyFill="1" applyBorder="1" applyAlignment="1">
      <alignment horizontal="center" vertical="center"/>
    </xf>
    <xf numFmtId="3" fontId="6" fillId="0" borderId="21" xfId="58" applyNumberFormat="1" applyFont="1" applyFill="1" applyBorder="1" applyAlignment="1">
      <alignment horizontal="left" vertical="center" indent="1"/>
    </xf>
    <xf numFmtId="3" fontId="6" fillId="0" borderId="8" xfId="58" applyNumberFormat="1" applyFont="1" applyFill="1" applyBorder="1" applyAlignment="1">
      <alignment horizontal="left" vertical="center" indent="1"/>
    </xf>
    <xf numFmtId="3" fontId="6" fillId="0" borderId="16" xfId="58" applyNumberFormat="1" applyFont="1" applyFill="1" applyBorder="1" applyAlignment="1">
      <alignment horizontal="left" vertical="center" indent="1"/>
    </xf>
    <xf numFmtId="3" fontId="6" fillId="0" borderId="3" xfId="58" applyNumberFormat="1" applyFont="1" applyFill="1" applyBorder="1" applyAlignment="1">
      <alignment horizontal="left" vertical="center" indent="1"/>
    </xf>
    <xf numFmtId="3" fontId="6" fillId="0" borderId="0" xfId="58" applyNumberFormat="1" applyFont="1" applyFill="1" applyBorder="1" applyAlignment="1">
      <alignment horizontal="left" vertical="center" indent="1"/>
    </xf>
    <xf numFmtId="3" fontId="6" fillId="0" borderId="10" xfId="58" applyNumberFormat="1" applyFont="1" applyFill="1" applyBorder="1" applyAlignment="1">
      <alignment horizontal="left" vertical="center" indent="1"/>
    </xf>
    <xf numFmtId="3" fontId="6" fillId="0" borderId="11" xfId="58" applyNumberFormat="1" applyFont="1" applyFill="1" applyBorder="1" applyAlignment="1">
      <alignment horizontal="center" vertical="center" wrapText="1"/>
    </xf>
    <xf numFmtId="179" fontId="6" fillId="0" borderId="10" xfId="58" applyNumberFormat="1" applyFont="1" applyFill="1" applyBorder="1" applyAlignment="1">
      <alignment horizontal="center" vertical="center" wrapText="1"/>
    </xf>
    <xf numFmtId="179" fontId="6" fillId="0" borderId="9" xfId="58" applyNumberFormat="1" applyFont="1" applyFill="1" applyBorder="1" applyAlignment="1">
      <alignment horizontal="center" vertical="center" wrapText="1"/>
    </xf>
    <xf numFmtId="179" fontId="6" fillId="0" borderId="11" xfId="58" applyNumberFormat="1" applyFont="1" applyFill="1" applyBorder="1" applyAlignment="1">
      <alignment horizontal="center" vertical="center" wrapText="1"/>
    </xf>
    <xf numFmtId="178" fontId="6" fillId="0" borderId="59" xfId="58" applyNumberFormat="1" applyFont="1" applyFill="1" applyBorder="1" applyAlignment="1">
      <alignment horizontal="center" vertical="center" wrapText="1"/>
    </xf>
    <xf numFmtId="178" fontId="6" fillId="0" borderId="58" xfId="58" applyNumberFormat="1" applyFont="1" applyFill="1" applyBorder="1" applyAlignment="1">
      <alignment horizontal="center" vertical="center" wrapText="1"/>
    </xf>
    <xf numFmtId="181" fontId="130" fillId="2" borderId="11" xfId="58" applyNumberFormat="1" applyFont="1" applyFill="1" applyBorder="1" applyAlignment="1">
      <alignment vertical="top" wrapText="1"/>
    </xf>
    <xf numFmtId="224" fontId="6" fillId="0" borderId="9" xfId="58" applyNumberFormat="1" applyFont="1" applyBorder="1">
      <alignment vertical="center"/>
    </xf>
    <xf numFmtId="224" fontId="6" fillId="0" borderId="11" xfId="58" applyNumberFormat="1" applyFont="1" applyBorder="1">
      <alignment vertical="center"/>
    </xf>
    <xf numFmtId="224" fontId="6" fillId="0" borderId="6" xfId="58" applyNumberFormat="1" applyFont="1" applyBorder="1">
      <alignment vertical="center"/>
    </xf>
    <xf numFmtId="226" fontId="6" fillId="0" borderId="9" xfId="58" applyNumberFormat="1" applyFont="1" applyBorder="1">
      <alignment vertical="center"/>
    </xf>
    <xf numFmtId="226" fontId="6" fillId="0" borderId="11" xfId="58" applyNumberFormat="1" applyFont="1" applyBorder="1">
      <alignment vertical="center"/>
    </xf>
    <xf numFmtId="226" fontId="6" fillId="0" borderId="6" xfId="58" applyNumberFormat="1" applyFont="1" applyBorder="1">
      <alignment vertical="center"/>
    </xf>
    <xf numFmtId="178" fontId="130" fillId="2" borderId="9" xfId="58" applyNumberFormat="1" applyFont="1" applyFill="1" applyBorder="1" applyAlignment="1">
      <alignment wrapText="1"/>
    </xf>
    <xf numFmtId="178" fontId="130" fillId="2" borderId="11" xfId="58" applyNumberFormat="1" applyFont="1" applyFill="1" applyBorder="1" applyAlignment="1">
      <alignment wrapText="1"/>
    </xf>
    <xf numFmtId="179" fontId="6" fillId="0" borderId="10" xfId="58" applyNumberFormat="1" applyFont="1" applyBorder="1" applyAlignment="1">
      <alignment horizontal="center" vertical="center"/>
    </xf>
    <xf numFmtId="178" fontId="6" fillId="0" borderId="94" xfId="58" applyNumberFormat="1" applyFont="1" applyBorder="1">
      <alignment vertical="center"/>
    </xf>
    <xf numFmtId="178" fontId="6" fillId="0" borderId="13" xfId="58" applyNumberFormat="1" applyFont="1" applyBorder="1">
      <alignment vertical="center"/>
    </xf>
    <xf numFmtId="0" fontId="130" fillId="2" borderId="31" xfId="58" applyFont="1" applyFill="1" applyBorder="1" applyAlignment="1">
      <alignment horizontal="center" vertical="center"/>
    </xf>
    <xf numFmtId="0" fontId="130" fillId="2" borderId="29" xfId="58" applyFont="1" applyFill="1" applyBorder="1" applyAlignment="1">
      <alignment horizontal="center" vertical="center"/>
    </xf>
    <xf numFmtId="177" fontId="6" fillId="0" borderId="3" xfId="58" applyNumberFormat="1" applyFont="1" applyBorder="1" applyAlignment="1">
      <alignment horizontal="center" vertical="center"/>
    </xf>
    <xf numFmtId="177" fontId="6" fillId="0" borderId="0" xfId="58" applyNumberFormat="1" applyFont="1" applyAlignment="1">
      <alignment horizontal="center" vertical="center"/>
    </xf>
    <xf numFmtId="177" fontId="6" fillId="0" borderId="10" xfId="58" applyNumberFormat="1" applyFont="1" applyBorder="1" applyAlignment="1">
      <alignment horizontal="center" vertical="center"/>
    </xf>
    <xf numFmtId="178" fontId="6" fillId="0" borderId="11" xfId="58" applyNumberFormat="1" applyFont="1" applyBorder="1" applyAlignment="1">
      <alignment vertical="center" wrapText="1"/>
    </xf>
    <xf numFmtId="179" fontId="6" fillId="0" borderId="11" xfId="58" applyNumberFormat="1" applyFont="1" applyBorder="1" applyAlignment="1">
      <alignment vertical="center" wrapText="1"/>
    </xf>
    <xf numFmtId="181" fontId="6" fillId="2" borderId="11" xfId="58" applyNumberFormat="1" applyFont="1" applyFill="1" applyBorder="1" applyAlignment="1">
      <alignment vertical="center" wrapText="1"/>
    </xf>
    <xf numFmtId="178" fontId="6" fillId="2" borderId="11" xfId="58" applyNumberFormat="1" applyFont="1" applyFill="1" applyBorder="1" applyAlignment="1">
      <alignment vertical="center" wrapText="1"/>
    </xf>
    <xf numFmtId="181" fontId="130" fillId="2" borderId="6" xfId="58" applyNumberFormat="1" applyFont="1" applyFill="1" applyBorder="1" applyAlignment="1">
      <alignment vertical="top" wrapText="1"/>
    </xf>
    <xf numFmtId="0" fontId="10" fillId="0" borderId="9" xfId="0" applyFont="1" applyBorder="1" applyAlignment="1">
      <alignment horizontal="center" vertical="center"/>
    </xf>
    <xf numFmtId="0" fontId="10" fillId="0" borderId="6" xfId="0" applyFont="1" applyBorder="1" applyAlignment="1">
      <alignment horizontal="center" vertical="center"/>
    </xf>
    <xf numFmtId="0" fontId="10" fillId="0" borderId="21" xfId="51" applyFont="1" applyBorder="1" applyAlignment="1">
      <alignment horizontal="center" wrapText="1"/>
    </xf>
    <xf numFmtId="0" fontId="10" fillId="0" borderId="8" xfId="51" applyFont="1" applyBorder="1" applyAlignment="1">
      <alignment horizontal="center" wrapText="1"/>
    </xf>
    <xf numFmtId="178" fontId="10" fillId="0" borderId="13" xfId="51" applyNumberFormat="1" applyFont="1" applyBorder="1" applyAlignment="1">
      <alignment horizontal="right" vertical="center"/>
    </xf>
    <xf numFmtId="178" fontId="10" fillId="0" borderId="7" xfId="51" applyNumberFormat="1" applyFont="1" applyBorder="1" applyAlignment="1">
      <alignment horizontal="right" vertical="center"/>
    </xf>
    <xf numFmtId="0" fontId="10" fillId="0" borderId="7" xfId="0" applyFont="1" applyBorder="1" applyAlignment="1">
      <alignment horizontal="left" vertical="center"/>
    </xf>
    <xf numFmtId="0" fontId="10" fillId="0" borderId="14" xfId="0" applyFont="1" applyBorder="1" applyAlignment="1">
      <alignment horizontal="left" vertical="center"/>
    </xf>
    <xf numFmtId="178" fontId="10" fillId="0" borderId="0" xfId="51" applyNumberFormat="1" applyFont="1" applyAlignment="1">
      <alignment horizontal="center" vertical="center"/>
    </xf>
    <xf numFmtId="183" fontId="10" fillId="0" borderId="0" xfId="51" applyNumberFormat="1" applyFont="1" applyAlignment="1">
      <alignment horizontal="center" vertical="center"/>
    </xf>
    <xf numFmtId="0" fontId="10" fillId="0" borderId="7" xfId="0" applyFont="1" applyBorder="1" applyAlignment="1">
      <alignment horizontal="right" vertical="center"/>
    </xf>
    <xf numFmtId="0" fontId="10" fillId="0" borderId="14" xfId="0" applyFont="1" applyBorder="1" applyAlignment="1">
      <alignment horizontal="right" vertical="center"/>
    </xf>
    <xf numFmtId="0" fontId="10" fillId="0" borderId="11" xfId="0" applyFont="1" applyBorder="1" applyAlignment="1">
      <alignment horizontal="center" vertical="center"/>
    </xf>
    <xf numFmtId="0" fontId="10" fillId="0" borderId="8" xfId="51" applyFont="1" applyBorder="1" applyAlignment="1">
      <alignment horizontal="center"/>
    </xf>
    <xf numFmtId="0" fontId="131" fillId="0" borderId="21" xfId="0" applyFont="1" applyFill="1" applyBorder="1" applyAlignment="1">
      <alignment vertical="center" wrapText="1"/>
    </xf>
    <xf numFmtId="0" fontId="131" fillId="0" borderId="3" xfId="0" applyFont="1" applyFill="1" applyBorder="1" applyAlignment="1">
      <alignment vertical="center" wrapText="1"/>
    </xf>
    <xf numFmtId="0" fontId="131" fillId="0" borderId="13" xfId="0" applyFont="1" applyFill="1" applyBorder="1" applyAlignment="1">
      <alignment vertical="center" wrapText="1"/>
    </xf>
    <xf numFmtId="0" fontId="131" fillId="0" borderId="16" xfId="0" applyFont="1" applyFill="1" applyBorder="1" applyAlignment="1">
      <alignment vertical="center" wrapText="1"/>
    </xf>
    <xf numFmtId="0" fontId="131" fillId="0" borderId="10" xfId="0" applyFont="1" applyFill="1" applyBorder="1" applyAlignment="1">
      <alignment vertical="center" wrapText="1"/>
    </xf>
    <xf numFmtId="0" fontId="131" fillId="0" borderId="14" xfId="0" applyFont="1" applyFill="1" applyBorder="1" applyAlignment="1">
      <alignment vertical="center" wrapText="1"/>
    </xf>
    <xf numFmtId="0" fontId="10" fillId="0" borderId="25" xfId="0" applyFont="1" applyBorder="1" applyAlignment="1">
      <alignment horizontal="distributed" vertical="center" wrapText="1"/>
    </xf>
    <xf numFmtId="0" fontId="10" fillId="0" borderId="2" xfId="0" applyFont="1" applyBorder="1" applyAlignment="1">
      <alignment horizontal="distributed" vertical="center" wrapText="1"/>
    </xf>
    <xf numFmtId="3" fontId="10" fillId="0" borderId="2" xfId="0" applyNumberFormat="1" applyFont="1" applyBorder="1" applyAlignment="1">
      <alignment horizontal="right" vertical="center" wrapText="1"/>
    </xf>
    <xf numFmtId="3" fontId="10" fillId="0" borderId="24" xfId="0" applyNumberFormat="1" applyFont="1" applyBorder="1" applyAlignment="1">
      <alignment horizontal="right" vertical="center" wrapText="1"/>
    </xf>
    <xf numFmtId="3" fontId="10" fillId="0" borderId="26" xfId="0" applyNumberFormat="1" applyFont="1" applyBorder="1" applyAlignment="1">
      <alignment horizontal="center" vertical="center" wrapText="1"/>
    </xf>
    <xf numFmtId="3" fontId="10" fillId="0" borderId="25" xfId="0" applyNumberFormat="1" applyFont="1" applyBorder="1" applyAlignment="1">
      <alignment horizontal="center" vertical="center" wrapText="1"/>
    </xf>
    <xf numFmtId="184" fontId="10" fillId="0" borderId="26" xfId="0" applyNumberFormat="1" applyFont="1" applyBorder="1" applyAlignment="1">
      <alignment horizontal="center" vertical="center" wrapText="1"/>
    </xf>
    <xf numFmtId="184" fontId="10" fillId="0" borderId="25" xfId="0" applyNumberFormat="1" applyFont="1" applyBorder="1" applyAlignment="1">
      <alignment horizontal="center" vertical="center" wrapText="1"/>
    </xf>
    <xf numFmtId="0" fontId="9" fillId="0" borderId="21" xfId="0" applyFont="1" applyBorder="1" applyAlignment="1">
      <alignment vertical="center" wrapText="1"/>
    </xf>
    <xf numFmtId="0" fontId="9" fillId="0" borderId="8" xfId="0" applyFont="1" applyBorder="1" applyAlignment="1">
      <alignment vertical="center" wrapText="1"/>
    </xf>
    <xf numFmtId="0" fontId="9" fillId="0" borderId="13" xfId="0" applyFont="1" applyBorder="1" applyAlignment="1">
      <alignment vertical="center" wrapText="1"/>
    </xf>
    <xf numFmtId="0" fontId="9" fillId="0" borderId="7" xfId="0" applyFont="1" applyBorder="1" applyAlignment="1">
      <alignment vertical="center" wrapText="1"/>
    </xf>
    <xf numFmtId="3" fontId="10" fillId="0" borderId="8" xfId="0" applyNumberFormat="1" applyFont="1" applyBorder="1" applyAlignment="1">
      <alignment horizontal="left" wrapText="1"/>
    </xf>
    <xf numFmtId="184" fontId="10" fillId="0" borderId="7" xfId="0" applyNumberFormat="1" applyFont="1" applyBorder="1" applyAlignment="1">
      <alignment horizontal="center" vertical="top" wrapText="1"/>
    </xf>
    <xf numFmtId="184" fontId="10" fillId="0" borderId="14" xfId="0" applyNumberFormat="1" applyFont="1" applyBorder="1" applyAlignment="1">
      <alignment horizontal="center" vertical="top" wrapText="1"/>
    </xf>
    <xf numFmtId="0" fontId="10" fillId="0" borderId="25"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24" xfId="0" applyFont="1" applyBorder="1" applyAlignment="1">
      <alignment horizontal="center" vertical="center" wrapText="1"/>
    </xf>
    <xf numFmtId="0" fontId="132" fillId="0" borderId="10" xfId="0" applyFont="1" applyFill="1" applyBorder="1" applyAlignment="1">
      <alignment vertical="center" wrapText="1"/>
    </xf>
    <xf numFmtId="0" fontId="132" fillId="0" borderId="14" xfId="0" applyFont="1" applyFill="1" applyBorder="1" applyAlignment="1">
      <alignment vertical="center" wrapText="1"/>
    </xf>
    <xf numFmtId="0" fontId="10" fillId="0" borderId="21" xfId="0" applyFont="1" applyBorder="1" applyAlignment="1">
      <alignment horizontal="center" vertical="center"/>
    </xf>
    <xf numFmtId="0" fontId="10" fillId="0" borderId="3" xfId="0" applyFont="1" applyBorder="1" applyAlignment="1">
      <alignment horizontal="center" vertical="center"/>
    </xf>
    <xf numFmtId="0" fontId="10" fillId="0" borderId="13" xfId="0" applyFont="1" applyBorder="1" applyAlignment="1">
      <alignment horizontal="center" vertical="center"/>
    </xf>
    <xf numFmtId="0" fontId="10" fillId="0" borderId="8" xfId="0" applyFont="1" applyBorder="1" applyAlignment="1">
      <alignment horizontal="center" wrapText="1"/>
    </xf>
    <xf numFmtId="0" fontId="10" fillId="0" borderId="8" xfId="0" applyFont="1" applyBorder="1" applyAlignment="1">
      <alignment horizontal="center"/>
    </xf>
    <xf numFmtId="0" fontId="10" fillId="0" borderId="13" xfId="0" applyFont="1" applyBorder="1" applyAlignment="1">
      <alignment horizontal="left" vertical="center" wrapText="1"/>
    </xf>
    <xf numFmtId="0" fontId="10" fillId="0" borderId="7" xfId="0" applyFont="1" applyBorder="1" applyAlignment="1">
      <alignment horizontal="left" vertical="center" wrapText="1"/>
    </xf>
    <xf numFmtId="3" fontId="10" fillId="0" borderId="7" xfId="0" applyNumberFormat="1" applyFont="1" applyBorder="1" applyAlignment="1">
      <alignment horizontal="right" vertical="center" wrapText="1"/>
    </xf>
    <xf numFmtId="0" fontId="10" fillId="0" borderId="7" xfId="0" applyFont="1" applyBorder="1" applyAlignment="1">
      <alignment horizontal="right" vertical="center" wrapText="1"/>
    </xf>
    <xf numFmtId="0" fontId="10" fillId="0" borderId="14" xfId="0" applyFont="1" applyBorder="1" applyAlignment="1">
      <alignment horizontal="left" vertical="center" wrapText="1"/>
    </xf>
    <xf numFmtId="0" fontId="10" fillId="0" borderId="21" xfId="0" applyFont="1" applyBorder="1" applyAlignment="1">
      <alignment vertical="center" wrapText="1"/>
    </xf>
    <xf numFmtId="0" fontId="0" fillId="0" borderId="8" xfId="0" applyBorder="1" applyAlignment="1">
      <alignment wrapText="1"/>
    </xf>
    <xf numFmtId="0" fontId="0" fillId="0" borderId="16" xfId="0" applyBorder="1" applyAlignment="1">
      <alignment wrapText="1"/>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3" fontId="10" fillId="0" borderId="0" xfId="0" applyNumberFormat="1" applyFont="1" applyAlignment="1">
      <alignment horizontal="right" vertical="center" wrapText="1"/>
    </xf>
    <xf numFmtId="0" fontId="10" fillId="0" borderId="0" xfId="0" applyFont="1" applyAlignment="1">
      <alignment horizontal="right" vertical="center" wrapText="1"/>
    </xf>
    <xf numFmtId="0" fontId="10" fillId="0" borderId="10" xfId="0" applyFont="1" applyBorder="1" applyAlignment="1">
      <alignment horizontal="left" vertical="center" wrapText="1"/>
    </xf>
    <xf numFmtId="183" fontId="10" fillId="0" borderId="0" xfId="0" applyNumberFormat="1" applyFont="1" applyAlignment="1">
      <alignment horizontal="center" vertical="center"/>
    </xf>
    <xf numFmtId="0" fontId="10" fillId="0" borderId="7" xfId="0" applyFont="1" applyBorder="1" applyAlignment="1">
      <alignment horizontal="left" vertical="top" wrapText="1"/>
    </xf>
    <xf numFmtId="0" fontId="10" fillId="0" borderId="14" xfId="0" applyFont="1" applyBorder="1" applyAlignment="1">
      <alignment horizontal="left" vertical="top" wrapText="1"/>
    </xf>
    <xf numFmtId="0" fontId="132" fillId="0" borderId="3" xfId="0" applyFont="1" applyFill="1" applyBorder="1" applyAlignment="1">
      <alignment vertical="center" wrapText="1"/>
    </xf>
    <xf numFmtId="0" fontId="132" fillId="0" borderId="13" xfId="0" applyFont="1" applyFill="1" applyBorder="1" applyAlignment="1">
      <alignment vertical="center" wrapText="1"/>
    </xf>
    <xf numFmtId="0" fontId="9" fillId="0" borderId="26" xfId="0" applyFont="1" applyFill="1" applyBorder="1" applyAlignment="1">
      <alignment vertical="center" wrapText="1"/>
    </xf>
    <xf numFmtId="0" fontId="9" fillId="0" borderId="9" xfId="0" applyFont="1" applyFill="1" applyBorder="1" applyAlignment="1">
      <alignment vertical="center" wrapText="1"/>
    </xf>
    <xf numFmtId="0" fontId="0" fillId="0" borderId="11" xfId="0" applyFill="1" applyBorder="1" applyAlignment="1">
      <alignment vertical="center" wrapText="1"/>
    </xf>
    <xf numFmtId="0" fontId="0" fillId="0" borderId="6" xfId="0" applyFill="1" applyBorder="1" applyAlignment="1">
      <alignment vertical="center" wrapText="1"/>
    </xf>
    <xf numFmtId="0" fontId="9" fillId="0" borderId="26" xfId="0" applyFont="1" applyBorder="1" applyAlignment="1">
      <alignment vertical="center" wrapText="1"/>
    </xf>
    <xf numFmtId="0" fontId="0" fillId="0" borderId="13" xfId="0" applyBorder="1" applyAlignment="1">
      <alignment vertical="center" wrapText="1"/>
    </xf>
    <xf numFmtId="0" fontId="10" fillId="0" borderId="16" xfId="0" applyFont="1" applyBorder="1" applyAlignment="1">
      <alignment vertical="center" wrapText="1"/>
    </xf>
    <xf numFmtId="0" fontId="0" fillId="0" borderId="14" xfId="0" applyBorder="1" applyAlignment="1">
      <alignment vertical="center" wrapText="1"/>
    </xf>
    <xf numFmtId="3" fontId="10" fillId="0" borderId="8" xfId="0" applyNumberFormat="1"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Border="1" applyAlignment="1">
      <alignment horizontal="left" vertical="center" wrapText="1"/>
    </xf>
    <xf numFmtId="0" fontId="10" fillId="0" borderId="16" xfId="0" applyFont="1" applyBorder="1" applyAlignment="1">
      <alignment horizontal="left" vertical="center" wrapText="1"/>
    </xf>
    <xf numFmtId="0" fontId="10" fillId="0" borderId="0" xfId="0" applyFont="1" applyFill="1" applyBorder="1" applyAlignment="1">
      <alignment horizontal="left" vertical="center"/>
    </xf>
    <xf numFmtId="0" fontId="131" fillId="0" borderId="16" xfId="51" applyFont="1" applyFill="1" applyBorder="1" applyAlignment="1">
      <alignment vertical="center" wrapText="1"/>
    </xf>
    <xf numFmtId="0" fontId="131" fillId="0" borderId="10" xfId="51" applyFont="1" applyFill="1" applyBorder="1" applyAlignment="1">
      <alignment vertical="center" wrapText="1"/>
    </xf>
    <xf numFmtId="0" fontId="131" fillId="0" borderId="14" xfId="51" applyFont="1" applyFill="1" applyBorder="1" applyAlignment="1">
      <alignment vertical="center" wrapText="1"/>
    </xf>
    <xf numFmtId="0" fontId="9" fillId="0" borderId="16" xfId="0" applyFont="1" applyFill="1" applyBorder="1" applyAlignment="1">
      <alignment vertical="center" wrapText="1"/>
    </xf>
    <xf numFmtId="0" fontId="69" fillId="0" borderId="10" xfId="0" applyFont="1" applyFill="1" applyBorder="1" applyAlignment="1">
      <alignment vertical="center" wrapText="1"/>
    </xf>
    <xf numFmtId="0" fontId="69" fillId="0" borderId="14" xfId="0" applyFont="1" applyFill="1" applyBorder="1" applyAlignment="1">
      <alignment vertical="center" wrapText="1"/>
    </xf>
    <xf numFmtId="185" fontId="10" fillId="0" borderId="26" xfId="0" applyNumberFormat="1" applyFont="1" applyBorder="1" applyAlignment="1">
      <alignment horizontal="center" vertical="center" wrapText="1"/>
    </xf>
    <xf numFmtId="185" fontId="10" fillId="0" borderId="25" xfId="0" applyNumberFormat="1" applyFont="1" applyBorder="1" applyAlignment="1">
      <alignment horizontal="center" vertical="center" wrapText="1"/>
    </xf>
    <xf numFmtId="3" fontId="6" fillId="0" borderId="16" xfId="58" applyNumberFormat="1" applyFont="1" applyBorder="1" applyAlignment="1">
      <alignment horizontal="center" vertical="center" wrapText="1"/>
    </xf>
    <xf numFmtId="3" fontId="6" fillId="0" borderId="10" xfId="58" applyNumberFormat="1" applyFont="1" applyBorder="1" applyAlignment="1">
      <alignment horizontal="center" vertical="center" wrapText="1"/>
    </xf>
    <xf numFmtId="3" fontId="6" fillId="0" borderId="14" xfId="58" applyNumberFormat="1" applyFont="1" applyBorder="1" applyAlignment="1">
      <alignment horizontal="center" vertical="center" wrapText="1"/>
    </xf>
    <xf numFmtId="3" fontId="6" fillId="0" borderId="61" xfId="58" applyNumberFormat="1" applyFont="1" applyBorder="1" applyAlignment="1">
      <alignment horizontal="center" vertical="center" wrapText="1"/>
    </xf>
    <xf numFmtId="3" fontId="6" fillId="0" borderId="17" xfId="58" applyNumberFormat="1" applyFont="1" applyBorder="1" applyAlignment="1">
      <alignment horizontal="center" vertical="center" wrapText="1"/>
    </xf>
    <xf numFmtId="3" fontId="6" fillId="0" borderId="20" xfId="58" applyNumberFormat="1" applyFont="1" applyBorder="1" applyAlignment="1">
      <alignment horizontal="center" vertical="center" wrapText="1"/>
    </xf>
    <xf numFmtId="3" fontId="6" fillId="0" borderId="26" xfId="58" applyNumberFormat="1" applyFont="1" applyBorder="1" applyAlignment="1">
      <alignment horizontal="center" vertical="center" wrapText="1"/>
    </xf>
    <xf numFmtId="3" fontId="6" fillId="0" borderId="9" xfId="58" applyNumberFormat="1" applyFont="1" applyBorder="1" applyAlignment="1">
      <alignment horizontal="center" vertical="center" wrapText="1"/>
    </xf>
    <xf numFmtId="0" fontId="6" fillId="0" borderId="25" xfId="51" applyFont="1" applyBorder="1" applyAlignment="1">
      <alignment horizontal="center"/>
    </xf>
    <xf numFmtId="0" fontId="6" fillId="0" borderId="2" xfId="51" applyFont="1" applyBorder="1" applyAlignment="1">
      <alignment horizontal="center"/>
    </xf>
    <xf numFmtId="0" fontId="6" fillId="0" borderId="24" xfId="51" applyFont="1" applyBorder="1" applyAlignment="1">
      <alignment horizontal="center"/>
    </xf>
    <xf numFmtId="3" fontId="6" fillId="0" borderId="21" xfId="58" applyNumberFormat="1" applyFont="1" applyBorder="1" applyAlignment="1">
      <alignment horizontal="center" vertical="center" wrapText="1"/>
    </xf>
    <xf numFmtId="3" fontId="6" fillId="0" borderId="3" xfId="58" applyNumberFormat="1" applyFont="1" applyBorder="1" applyAlignment="1">
      <alignment horizontal="center" vertical="center" wrapText="1"/>
    </xf>
    <xf numFmtId="3" fontId="6" fillId="0" borderId="13" xfId="58" applyNumberFormat="1" applyFont="1" applyBorder="1" applyAlignment="1">
      <alignment horizontal="center" vertical="center" wrapText="1"/>
    </xf>
    <xf numFmtId="3" fontId="6" fillId="0" borderId="11" xfId="58" applyNumberFormat="1" applyFont="1" applyBorder="1" applyAlignment="1">
      <alignment horizontal="center" vertical="center" wrapText="1"/>
    </xf>
    <xf numFmtId="3" fontId="6" fillId="0" borderId="6" xfId="58" applyNumberFormat="1" applyFont="1" applyBorder="1" applyAlignment="1">
      <alignment horizontal="center" vertical="center" wrapText="1"/>
    </xf>
    <xf numFmtId="3" fontId="6" fillId="0" borderId="25" xfId="58" applyNumberFormat="1" applyFont="1" applyBorder="1" applyAlignment="1">
      <alignment vertical="center" wrapText="1"/>
    </xf>
    <xf numFmtId="0" fontId="6" fillId="0" borderId="25" xfId="58" applyFont="1" applyBorder="1">
      <alignment vertical="center"/>
    </xf>
    <xf numFmtId="3" fontId="6" fillId="0" borderId="27" xfId="58" applyNumberFormat="1" applyFont="1" applyBorder="1" applyAlignment="1">
      <alignment horizontal="center" vertical="center" wrapText="1"/>
    </xf>
    <xf numFmtId="3" fontId="6" fillId="0" borderId="31" xfId="58" applyNumberFormat="1" applyFont="1" applyBorder="1" applyAlignment="1">
      <alignment horizontal="center" vertical="center" wrapText="1"/>
    </xf>
    <xf numFmtId="208" fontId="6" fillId="0" borderId="257" xfId="37" applyNumberFormat="1" applyFont="1" applyBorder="1" applyAlignment="1">
      <alignment horizontal="center" vertical="center"/>
    </xf>
    <xf numFmtId="208" fontId="6" fillId="0" borderId="61" xfId="37" applyNumberFormat="1" applyFont="1" applyBorder="1" applyAlignment="1">
      <alignment horizontal="center" vertical="center"/>
    </xf>
    <xf numFmtId="208" fontId="6" fillId="0" borderId="17" xfId="37" applyNumberFormat="1" applyFont="1" applyBorder="1" applyAlignment="1">
      <alignment horizontal="center" vertical="center"/>
    </xf>
    <xf numFmtId="0" fontId="6" fillId="0" borderId="31" xfId="58" applyFont="1" applyBorder="1" applyAlignment="1">
      <alignment horizontal="center" vertical="center"/>
    </xf>
    <xf numFmtId="0" fontId="6" fillId="0" borderId="29" xfId="58" applyFont="1" applyBorder="1" applyAlignment="1">
      <alignment horizontal="center" vertical="center"/>
    </xf>
    <xf numFmtId="3" fontId="6" fillId="0" borderId="13" xfId="58" applyNumberFormat="1" applyFont="1" applyBorder="1" applyAlignment="1">
      <alignment vertical="center" wrapText="1"/>
    </xf>
    <xf numFmtId="208" fontId="6" fillId="0" borderId="203" xfId="37" applyNumberFormat="1" applyFont="1" applyBorder="1" applyAlignment="1">
      <alignment horizontal="center" vertical="center"/>
    </xf>
    <xf numFmtId="3" fontId="6" fillId="0" borderId="21" xfId="58" applyNumberFormat="1" applyFont="1" applyBorder="1" applyAlignment="1">
      <alignment vertical="center" wrapText="1"/>
    </xf>
    <xf numFmtId="3" fontId="6" fillId="0" borderId="3" xfId="58" applyNumberFormat="1" applyFont="1" applyBorder="1" applyAlignment="1">
      <alignment vertical="center" wrapText="1"/>
    </xf>
    <xf numFmtId="208" fontId="6" fillId="0" borderId="258" xfId="37" applyNumberFormat="1" applyFont="1" applyBorder="1" applyAlignment="1">
      <alignment horizontal="center" vertical="center"/>
    </xf>
    <xf numFmtId="208" fontId="6" fillId="0" borderId="46" xfId="37" applyNumberFormat="1" applyFont="1" applyBorder="1" applyAlignment="1">
      <alignment horizontal="center" vertical="center"/>
    </xf>
    <xf numFmtId="208" fontId="6" fillId="0" borderId="62" xfId="37" applyNumberFormat="1" applyFont="1" applyBorder="1" applyAlignment="1">
      <alignment horizontal="center" vertical="center"/>
    </xf>
    <xf numFmtId="208" fontId="6" fillId="0" borderId="18" xfId="37" applyNumberFormat="1" applyFont="1" applyBorder="1" applyAlignment="1">
      <alignment horizontal="center" vertical="center"/>
    </xf>
    <xf numFmtId="0" fontId="6" fillId="0" borderId="3" xfId="58" applyFont="1" applyBorder="1">
      <alignment vertical="center"/>
    </xf>
    <xf numFmtId="3" fontId="6" fillId="0" borderId="9" xfId="58" applyNumberFormat="1" applyFont="1" applyBorder="1" applyAlignment="1">
      <alignment vertical="center" wrapText="1"/>
    </xf>
    <xf numFmtId="0" fontId="6" fillId="0" borderId="11" xfId="58" applyFont="1" applyBorder="1">
      <alignment vertical="center"/>
    </xf>
    <xf numFmtId="0" fontId="6" fillId="0" borderId="6" xfId="58" applyFont="1" applyBorder="1">
      <alignment vertical="center"/>
    </xf>
    <xf numFmtId="208" fontId="6" fillId="0" borderId="20" xfId="37" applyNumberFormat="1" applyFont="1" applyBorder="1" applyAlignment="1">
      <alignment horizontal="center" vertical="center"/>
    </xf>
    <xf numFmtId="208" fontId="6" fillId="0" borderId="259" xfId="37" applyNumberFormat="1" applyFont="1" applyBorder="1" applyAlignment="1">
      <alignment horizontal="center" vertical="center"/>
    </xf>
    <xf numFmtId="208" fontId="6" fillId="0" borderId="262" xfId="37" applyNumberFormat="1" applyFont="1" applyBorder="1" applyAlignment="1">
      <alignment horizontal="center" vertical="center"/>
    </xf>
    <xf numFmtId="208" fontId="6" fillId="0" borderId="265" xfId="37" applyNumberFormat="1" applyFont="1" applyBorder="1" applyAlignment="1">
      <alignment horizontal="center" vertical="center"/>
    </xf>
    <xf numFmtId="208" fontId="6" fillId="0" borderId="260" xfId="37" applyNumberFormat="1" applyFont="1" applyBorder="1" applyAlignment="1">
      <alignment horizontal="center" vertical="center"/>
    </xf>
    <xf numFmtId="208" fontId="6" fillId="0" borderId="263" xfId="37" applyNumberFormat="1" applyFont="1" applyBorder="1" applyAlignment="1">
      <alignment horizontal="center" vertical="center"/>
    </xf>
    <xf numFmtId="208" fontId="6" fillId="0" borderId="266" xfId="37" applyNumberFormat="1" applyFont="1" applyBorder="1" applyAlignment="1">
      <alignment horizontal="center" vertical="center"/>
    </xf>
    <xf numFmtId="208" fontId="6" fillId="0" borderId="261" xfId="37" applyNumberFormat="1" applyFont="1" applyBorder="1" applyAlignment="1">
      <alignment horizontal="center" vertical="center"/>
    </xf>
    <xf numFmtId="208" fontId="6" fillId="0" borderId="264" xfId="37" applyNumberFormat="1" applyFont="1" applyBorder="1" applyAlignment="1">
      <alignment horizontal="center" vertical="center"/>
    </xf>
    <xf numFmtId="208" fontId="6" fillId="0" borderId="267" xfId="37" applyNumberFormat="1" applyFont="1" applyBorder="1" applyAlignment="1">
      <alignment horizontal="center" vertical="center"/>
    </xf>
    <xf numFmtId="0" fontId="6" fillId="0" borderId="13" xfId="58" applyFont="1" applyBorder="1">
      <alignment vertical="center"/>
    </xf>
    <xf numFmtId="224" fontId="6" fillId="0" borderId="9" xfId="58" applyNumberFormat="1" applyFont="1" applyBorder="1" applyAlignment="1">
      <alignment horizontal="right" vertical="center"/>
    </xf>
    <xf numFmtId="224" fontId="6" fillId="0" borderId="6" xfId="58" applyNumberFormat="1" applyFont="1" applyBorder="1" applyAlignment="1">
      <alignment horizontal="right" vertical="center"/>
    </xf>
    <xf numFmtId="177" fontId="6" fillId="0" borderId="11" xfId="58" applyNumberFormat="1" applyFont="1" applyBorder="1" applyAlignment="1">
      <alignment horizontal="center" vertical="center" wrapText="1"/>
    </xf>
    <xf numFmtId="38" fontId="6" fillId="0" borderId="9" xfId="9" applyFont="1" applyFill="1" applyBorder="1" applyAlignment="1">
      <alignment horizontal="right" vertical="center"/>
    </xf>
    <xf numFmtId="38" fontId="6" fillId="0" borderId="6" xfId="9" applyFont="1" applyFill="1" applyBorder="1" applyAlignment="1">
      <alignment horizontal="right" vertical="center"/>
    </xf>
    <xf numFmtId="183" fontId="6" fillId="0" borderId="9" xfId="58" applyNumberFormat="1" applyFont="1" applyBorder="1" applyAlignment="1">
      <alignment horizontal="right" vertical="center"/>
    </xf>
    <xf numFmtId="183" fontId="6" fillId="0" borderId="6" xfId="58" applyNumberFormat="1" applyFont="1" applyBorder="1" applyAlignment="1">
      <alignment horizontal="right" vertical="center"/>
    </xf>
    <xf numFmtId="178" fontId="6" fillId="0" borderId="9" xfId="58" applyNumberFormat="1" applyFont="1" applyBorder="1" applyAlignment="1">
      <alignment horizontal="right" vertical="center"/>
    </xf>
    <xf numFmtId="178" fontId="6" fillId="0" borderId="6" xfId="58" applyNumberFormat="1" applyFont="1" applyBorder="1" applyAlignment="1">
      <alignment horizontal="right" vertical="center"/>
    </xf>
    <xf numFmtId="179" fontId="6" fillId="0" borderId="9" xfId="58" applyNumberFormat="1" applyFont="1" applyBorder="1" applyAlignment="1">
      <alignment horizontal="right" vertical="center"/>
    </xf>
    <xf numFmtId="179" fontId="6" fillId="0" borderId="6" xfId="58" applyNumberFormat="1" applyFont="1" applyBorder="1" applyAlignment="1">
      <alignment horizontal="right" vertical="center"/>
    </xf>
    <xf numFmtId="202" fontId="6" fillId="0" borderId="9" xfId="58" applyNumberFormat="1" applyFont="1" applyBorder="1" applyAlignment="1">
      <alignment horizontal="right" vertical="center"/>
    </xf>
    <xf numFmtId="202" fontId="6" fillId="0" borderId="6" xfId="58" applyNumberFormat="1" applyFont="1" applyBorder="1" applyAlignment="1">
      <alignment horizontal="right" vertical="center"/>
    </xf>
    <xf numFmtId="3" fontId="6" fillId="0" borderId="0" xfId="58" applyNumberFormat="1" applyFont="1" applyAlignment="1">
      <alignment horizontal="center" vertical="center"/>
    </xf>
    <xf numFmtId="3" fontId="130" fillId="0" borderId="9" xfId="58" applyNumberFormat="1" applyFont="1" applyFill="1" applyBorder="1" applyAlignment="1">
      <alignment horizontal="center" vertical="center" wrapText="1"/>
    </xf>
    <xf numFmtId="3" fontId="130" fillId="0" borderId="6" xfId="58" applyNumberFormat="1" applyFont="1" applyFill="1" applyBorder="1" applyAlignment="1">
      <alignment horizontal="center" vertical="center" wrapText="1"/>
    </xf>
    <xf numFmtId="3" fontId="130" fillId="0" borderId="27" xfId="58" applyNumberFormat="1" applyFont="1" applyFill="1" applyBorder="1" applyAlignment="1">
      <alignment horizontal="center" vertical="center" wrapText="1"/>
    </xf>
    <xf numFmtId="3" fontId="130" fillId="0" borderId="31" xfId="58" applyNumberFormat="1" applyFont="1" applyFill="1" applyBorder="1" applyAlignment="1">
      <alignment horizontal="center" vertical="center" wrapText="1"/>
    </xf>
    <xf numFmtId="3" fontId="130" fillId="0" borderId="26" xfId="58" applyNumberFormat="1" applyFont="1" applyFill="1" applyBorder="1" applyAlignment="1">
      <alignment horizontal="center" vertical="center" wrapText="1"/>
    </xf>
    <xf numFmtId="177" fontId="6" fillId="0" borderId="9" xfId="58" applyNumberFormat="1" applyFont="1" applyFill="1" applyBorder="1" applyAlignment="1">
      <alignment horizontal="center" vertical="center" shrinkToFit="1"/>
    </xf>
    <xf numFmtId="177" fontId="6" fillId="0" borderId="11" xfId="58" applyNumberFormat="1" applyFont="1" applyFill="1" applyBorder="1" applyAlignment="1">
      <alignment horizontal="center" vertical="center" shrinkToFit="1"/>
    </xf>
    <xf numFmtId="3" fontId="15" fillId="0" borderId="9" xfId="58" applyNumberFormat="1" applyFont="1" applyFill="1" applyBorder="1" applyAlignment="1">
      <alignment horizontal="center" vertical="center" shrinkToFit="1"/>
    </xf>
    <xf numFmtId="3" fontId="15" fillId="0" borderId="11" xfId="58" applyNumberFormat="1" applyFont="1" applyFill="1" applyBorder="1" applyAlignment="1">
      <alignment horizontal="center" vertical="center" shrinkToFit="1"/>
    </xf>
    <xf numFmtId="3" fontId="57" fillId="0" borderId="9" xfId="58" applyNumberFormat="1" applyFont="1" applyFill="1" applyBorder="1" applyAlignment="1">
      <alignment horizontal="center" vertical="center" wrapText="1"/>
    </xf>
    <xf numFmtId="3" fontId="57" fillId="0" borderId="11" xfId="58" applyNumberFormat="1" applyFont="1" applyFill="1" applyBorder="1" applyAlignment="1">
      <alignment horizontal="center" vertical="center" wrapText="1"/>
    </xf>
    <xf numFmtId="3" fontId="57" fillId="0" borderId="21" xfId="58" applyNumberFormat="1" applyFont="1" applyFill="1" applyBorder="1" applyAlignment="1">
      <alignment horizontal="center" vertical="center"/>
    </xf>
    <xf numFmtId="3" fontId="57" fillId="0" borderId="8" xfId="58" applyNumberFormat="1" applyFont="1" applyFill="1" applyBorder="1" applyAlignment="1">
      <alignment horizontal="center" vertical="center"/>
    </xf>
    <xf numFmtId="3" fontId="57" fillId="0" borderId="16" xfId="58" applyNumberFormat="1" applyFont="1" applyFill="1" applyBorder="1" applyAlignment="1">
      <alignment horizontal="center" vertical="center"/>
    </xf>
    <xf numFmtId="3" fontId="57" fillId="0" borderId="3" xfId="58" applyNumberFormat="1" applyFont="1" applyFill="1" applyBorder="1" applyAlignment="1">
      <alignment horizontal="center" vertical="center"/>
    </xf>
    <xf numFmtId="3" fontId="57" fillId="0" borderId="0" xfId="58" applyNumberFormat="1" applyFont="1" applyFill="1" applyBorder="1" applyAlignment="1">
      <alignment horizontal="center" vertical="center"/>
    </xf>
    <xf numFmtId="3" fontId="57" fillId="0" borderId="10" xfId="58" applyNumberFormat="1" applyFont="1" applyFill="1" applyBorder="1" applyAlignment="1">
      <alignment horizontal="center" vertical="center"/>
    </xf>
    <xf numFmtId="179" fontId="6" fillId="0" borderId="9" xfId="58" applyNumberFormat="1" applyFont="1" applyBorder="1" applyAlignment="1">
      <alignment horizontal="right" vertical="center" shrinkToFit="1"/>
    </xf>
    <xf numFmtId="179" fontId="6" fillId="0" borderId="6" xfId="58" applyNumberFormat="1" applyFont="1" applyBorder="1" applyAlignment="1">
      <alignment horizontal="right" vertical="center" shrinkToFit="1"/>
    </xf>
    <xf numFmtId="3" fontId="130" fillId="0" borderId="29" xfId="58" applyNumberFormat="1" applyFont="1" applyFill="1" applyBorder="1" applyAlignment="1">
      <alignment horizontal="center" vertical="center" wrapText="1"/>
    </xf>
    <xf numFmtId="3" fontId="6" fillId="0" borderId="9" xfId="58" applyNumberFormat="1" applyFont="1" applyBorder="1" applyAlignment="1">
      <alignment horizontal="right" vertical="center"/>
    </xf>
    <xf numFmtId="3" fontId="6" fillId="0" borderId="6" xfId="58" applyNumberFormat="1" applyFont="1" applyBorder="1" applyAlignment="1">
      <alignment horizontal="right" vertical="center"/>
    </xf>
    <xf numFmtId="3" fontId="10" fillId="0" borderId="7" xfId="51" applyNumberFormat="1" applyFont="1" applyBorder="1" applyAlignment="1">
      <alignment horizontal="right" vertical="center" wrapText="1"/>
    </xf>
    <xf numFmtId="0" fontId="9" fillId="0" borderId="11" xfId="51" applyFont="1" applyBorder="1" applyAlignment="1">
      <alignment horizontal="left" vertical="center" wrapText="1"/>
    </xf>
    <xf numFmtId="0" fontId="10" fillId="0" borderId="7" xfId="51" applyFont="1" applyBorder="1" applyAlignment="1">
      <alignment horizontal="left" vertical="center" wrapText="1"/>
    </xf>
    <xf numFmtId="0" fontId="10" fillId="0" borderId="14" xfId="51" applyFont="1" applyBorder="1" applyAlignment="1">
      <alignment horizontal="left" vertical="center" wrapText="1"/>
    </xf>
    <xf numFmtId="0" fontId="131" fillId="0" borderId="21" xfId="51" applyFont="1" applyFill="1" applyBorder="1" applyAlignment="1">
      <alignment horizontal="left" vertical="center" wrapText="1"/>
    </xf>
    <xf numFmtId="0" fontId="131" fillId="0" borderId="3" xfId="51" applyFont="1" applyFill="1" applyBorder="1" applyAlignment="1">
      <alignment horizontal="left" vertical="center" wrapText="1"/>
    </xf>
    <xf numFmtId="0" fontId="131" fillId="0" borderId="13" xfId="51" applyFont="1" applyFill="1" applyBorder="1" applyAlignment="1">
      <alignment horizontal="left" vertical="center" wrapText="1"/>
    </xf>
    <xf numFmtId="0" fontId="131" fillId="0" borderId="16" xfId="51" applyFont="1" applyFill="1" applyBorder="1" applyAlignment="1">
      <alignment horizontal="left" vertical="center" wrapText="1"/>
    </xf>
    <xf numFmtId="0" fontId="131" fillId="0" borderId="10" xfId="51" applyFont="1" applyFill="1" applyBorder="1" applyAlignment="1">
      <alignment horizontal="left" vertical="center" wrapText="1"/>
    </xf>
    <xf numFmtId="0" fontId="131" fillId="0" borderId="14" xfId="51" applyFont="1" applyFill="1" applyBorder="1" applyAlignment="1">
      <alignment horizontal="left" vertical="center" wrapText="1"/>
    </xf>
    <xf numFmtId="184" fontId="10" fillId="0" borderId="9" xfId="51" applyNumberFormat="1" applyFont="1" applyBorder="1" applyAlignment="1">
      <alignment horizontal="center" vertical="center" wrapText="1"/>
    </xf>
    <xf numFmtId="184" fontId="10" fillId="0" borderId="6" xfId="51" applyNumberFormat="1" applyFont="1" applyBorder="1" applyAlignment="1">
      <alignment horizontal="center" vertical="center" wrapText="1"/>
    </xf>
    <xf numFmtId="184" fontId="10" fillId="0" borderId="21" xfId="51" applyNumberFormat="1" applyFont="1" applyBorder="1" applyAlignment="1">
      <alignment horizontal="center" vertical="center" wrapText="1"/>
    </xf>
    <xf numFmtId="184" fontId="10" fillId="0" borderId="8" xfId="51" applyNumberFormat="1" applyFont="1" applyBorder="1" applyAlignment="1">
      <alignment horizontal="center" vertical="center" wrapText="1"/>
    </xf>
    <xf numFmtId="184" fontId="10" fillId="0" borderId="16" xfId="51" applyNumberFormat="1" applyFont="1" applyBorder="1" applyAlignment="1">
      <alignment horizontal="center" vertical="center" wrapText="1"/>
    </xf>
    <xf numFmtId="184" fontId="10" fillId="0" borderId="13" xfId="51" applyNumberFormat="1" applyFont="1" applyBorder="1" applyAlignment="1">
      <alignment horizontal="center" vertical="center" wrapText="1"/>
    </xf>
    <xf numFmtId="184" fontId="10" fillId="0" borderId="7" xfId="51" applyNumberFormat="1" applyFont="1" applyBorder="1" applyAlignment="1">
      <alignment horizontal="center" vertical="center" wrapText="1"/>
    </xf>
    <xf numFmtId="184" fontId="10" fillId="0" borderId="14" xfId="51" applyNumberFormat="1" applyFont="1" applyBorder="1" applyAlignment="1">
      <alignment horizontal="center" vertical="center" wrapText="1"/>
    </xf>
    <xf numFmtId="0" fontId="9" fillId="0" borderId="9" xfId="51" applyFont="1" applyBorder="1" applyAlignment="1">
      <alignment horizontal="left" vertical="center" wrapText="1"/>
    </xf>
    <xf numFmtId="0" fontId="9" fillId="0" borderId="11" xfId="51" applyFont="1" applyBorder="1" applyAlignment="1">
      <alignment horizontal="left" vertical="center"/>
    </xf>
    <xf numFmtId="0" fontId="9" fillId="0" borderId="6" xfId="51" applyFont="1" applyBorder="1" applyAlignment="1">
      <alignment horizontal="left" vertical="center"/>
    </xf>
    <xf numFmtId="184" fontId="10" fillId="0" borderId="26" xfId="51" applyNumberFormat="1" applyFont="1" applyBorder="1" applyAlignment="1">
      <alignment horizontal="center" vertical="center" wrapText="1"/>
    </xf>
    <xf numFmtId="184" fontId="10" fillId="0" borderId="25" xfId="51" applyNumberFormat="1" applyFont="1" applyBorder="1" applyAlignment="1">
      <alignment horizontal="center" vertical="center" wrapText="1"/>
    </xf>
    <xf numFmtId="0" fontId="10" fillId="0" borderId="26" xfId="51" applyFont="1" applyBorder="1" applyAlignment="1">
      <alignment horizontal="center" vertical="center"/>
    </xf>
    <xf numFmtId="3" fontId="10" fillId="0" borderId="0" xfId="51" applyNumberFormat="1" applyFont="1" applyAlignment="1">
      <alignment horizontal="right" vertical="center" wrapText="1"/>
    </xf>
    <xf numFmtId="3" fontId="10" fillId="0" borderId="26" xfId="51" applyNumberFormat="1" applyFont="1" applyBorder="1" applyAlignment="1">
      <alignment horizontal="center" vertical="center" wrapText="1"/>
    </xf>
    <xf numFmtId="3" fontId="10" fillId="0" borderId="25" xfId="51" applyNumberFormat="1" applyFont="1" applyBorder="1" applyAlignment="1">
      <alignment horizontal="center" vertical="center" wrapText="1"/>
    </xf>
    <xf numFmtId="0" fontId="140" fillId="0" borderId="3" xfId="0" applyFont="1" applyFill="1" applyBorder="1" applyAlignment="1">
      <alignment vertical="center" wrapText="1"/>
    </xf>
    <xf numFmtId="0" fontId="140" fillId="0" borderId="13" xfId="0" applyFont="1" applyFill="1" applyBorder="1" applyAlignment="1">
      <alignment vertical="center" wrapText="1"/>
    </xf>
    <xf numFmtId="0" fontId="10" fillId="0" borderId="25" xfId="51" applyFont="1" applyBorder="1" applyAlignment="1">
      <alignment horizontal="center" vertical="center" wrapText="1"/>
    </xf>
    <xf numFmtId="0" fontId="10" fillId="0" borderId="2" xfId="51" applyFont="1" applyBorder="1" applyAlignment="1">
      <alignment horizontal="center" vertical="center" wrapText="1"/>
    </xf>
    <xf numFmtId="0" fontId="10" fillId="0" borderId="24" xfId="51" applyFont="1" applyBorder="1" applyAlignment="1">
      <alignment horizontal="center" vertical="center" wrapText="1"/>
    </xf>
    <xf numFmtId="0" fontId="9" fillId="0" borderId="16" xfId="0" applyFont="1" applyBorder="1" applyAlignment="1">
      <alignment vertical="center" wrapText="1"/>
    </xf>
    <xf numFmtId="0" fontId="144" fillId="0" borderId="10" xfId="0" applyFont="1" applyBorder="1" applyAlignment="1">
      <alignment vertical="center" wrapText="1"/>
    </xf>
    <xf numFmtId="0" fontId="144" fillId="0" borderId="14" xfId="0" applyFont="1" applyBorder="1" applyAlignment="1">
      <alignment vertical="center" wrapText="1"/>
    </xf>
    <xf numFmtId="0" fontId="10" fillId="0" borderId="0" xfId="51" applyFont="1" applyAlignment="1">
      <alignment horizontal="left" vertical="center" wrapText="1"/>
    </xf>
    <xf numFmtId="0" fontId="10" fillId="0" borderId="10" xfId="51" applyFont="1" applyBorder="1" applyAlignment="1">
      <alignment horizontal="left" vertical="center" wrapText="1"/>
    </xf>
    <xf numFmtId="3" fontId="10" fillId="0" borderId="2" xfId="51" applyNumberFormat="1" applyFont="1" applyBorder="1" applyAlignment="1">
      <alignment horizontal="right" vertical="center" wrapText="1"/>
    </xf>
    <xf numFmtId="3" fontId="10" fillId="0" borderId="24" xfId="51" applyNumberFormat="1" applyFont="1" applyBorder="1" applyAlignment="1">
      <alignment horizontal="right" vertical="center" wrapText="1"/>
    </xf>
    <xf numFmtId="0" fontId="9" fillId="0" borderId="26" xfId="51" applyFont="1" applyBorder="1" applyAlignment="1">
      <alignment vertical="center" wrapText="1"/>
    </xf>
    <xf numFmtId="0" fontId="10" fillId="0" borderId="25" xfId="51" applyFont="1" applyBorder="1" applyAlignment="1">
      <alignment horizontal="distributed" vertical="center" wrapText="1"/>
    </xf>
    <xf numFmtId="0" fontId="10" fillId="0" borderId="2" xfId="51" applyFont="1" applyBorder="1" applyAlignment="1">
      <alignment horizontal="distributed" vertical="center" wrapText="1"/>
    </xf>
    <xf numFmtId="0" fontId="131" fillId="0" borderId="21" xfId="51" applyFont="1" applyFill="1" applyBorder="1" applyAlignment="1">
      <alignment vertical="center" wrapText="1"/>
    </xf>
    <xf numFmtId="0" fontId="131" fillId="0" borderId="3" xfId="51" applyFont="1" applyFill="1" applyBorder="1" applyAlignment="1">
      <alignment vertical="center" wrapText="1"/>
    </xf>
    <xf numFmtId="0" fontId="131" fillId="0" borderId="13" xfId="51" applyFont="1" applyFill="1" applyBorder="1" applyAlignment="1">
      <alignment vertical="center" wrapText="1"/>
    </xf>
    <xf numFmtId="0" fontId="144" fillId="0" borderId="8" xfId="0" applyFont="1" applyBorder="1" applyAlignment="1">
      <alignment wrapText="1"/>
    </xf>
    <xf numFmtId="0" fontId="144" fillId="0" borderId="16" xfId="0" applyFont="1" applyBorder="1" applyAlignment="1">
      <alignment wrapText="1"/>
    </xf>
    <xf numFmtId="178" fontId="9" fillId="0" borderId="9" xfId="51" applyNumberFormat="1" applyFont="1" applyBorder="1" applyAlignment="1">
      <alignment horizontal="left" vertical="center"/>
    </xf>
    <xf numFmtId="178" fontId="9" fillId="0" borderId="11" xfId="51" applyNumberFormat="1" applyFont="1" applyBorder="1" applyAlignment="1">
      <alignment horizontal="left" vertical="center"/>
    </xf>
    <xf numFmtId="178" fontId="9" fillId="0" borderId="6" xfId="51" applyNumberFormat="1" applyFont="1" applyBorder="1" applyAlignment="1">
      <alignment horizontal="left" vertical="center"/>
    </xf>
    <xf numFmtId="0" fontId="10" fillId="0" borderId="21" xfId="51" applyFont="1" applyBorder="1" applyAlignment="1">
      <alignment horizontal="center" vertical="center"/>
    </xf>
    <xf numFmtId="0" fontId="10" fillId="0" borderId="3" xfId="51" applyFont="1" applyBorder="1" applyAlignment="1">
      <alignment horizontal="center" vertical="center"/>
    </xf>
    <xf numFmtId="0" fontId="10" fillId="0" borderId="13" xfId="51" applyFont="1" applyBorder="1" applyAlignment="1">
      <alignment horizontal="center" vertical="center"/>
    </xf>
    <xf numFmtId="178" fontId="131" fillId="0" borderId="21" xfId="51" applyNumberFormat="1" applyFont="1" applyFill="1" applyBorder="1" applyAlignment="1">
      <alignment horizontal="left" vertical="center"/>
    </xf>
    <xf numFmtId="178" fontId="131" fillId="0" borderId="3" xfId="51" applyNumberFormat="1" applyFont="1" applyFill="1" applyBorder="1" applyAlignment="1">
      <alignment horizontal="left" vertical="center"/>
    </xf>
    <xf numFmtId="178" fontId="131" fillId="0" borderId="13" xfId="51" applyNumberFormat="1" applyFont="1" applyFill="1" applyBorder="1" applyAlignment="1">
      <alignment horizontal="left" vertical="center"/>
    </xf>
    <xf numFmtId="178" fontId="131" fillId="0" borderId="16" xfId="51" applyNumberFormat="1" applyFont="1" applyFill="1" applyBorder="1" applyAlignment="1">
      <alignment horizontal="center" vertical="center"/>
    </xf>
    <xf numFmtId="178" fontId="131" fillId="0" borderId="10" xfId="51" applyNumberFormat="1" applyFont="1" applyFill="1" applyBorder="1" applyAlignment="1">
      <alignment horizontal="center" vertical="center"/>
    </xf>
    <xf numFmtId="178" fontId="131" fillId="0" borderId="14" xfId="51" applyNumberFormat="1" applyFont="1" applyFill="1" applyBorder="1" applyAlignment="1">
      <alignment horizontal="center" vertical="center"/>
    </xf>
    <xf numFmtId="0" fontId="11" fillId="0" borderId="13" xfId="0" applyFont="1" applyBorder="1" applyAlignment="1">
      <alignment vertical="center" wrapText="1"/>
    </xf>
    <xf numFmtId="0" fontId="11" fillId="0" borderId="14" xfId="0" applyFont="1" applyBorder="1" applyAlignment="1">
      <alignment vertical="center" wrapText="1"/>
    </xf>
    <xf numFmtId="178" fontId="131" fillId="0" borderId="21" xfId="51" applyNumberFormat="1" applyFont="1" applyFill="1" applyBorder="1" applyAlignment="1">
      <alignment horizontal="left" vertical="center" wrapText="1"/>
    </xf>
    <xf numFmtId="178" fontId="9" fillId="0" borderId="9" xfId="51" applyNumberFormat="1" applyFont="1" applyBorder="1" applyAlignment="1">
      <alignment horizontal="left" vertical="center" wrapText="1"/>
    </xf>
    <xf numFmtId="178" fontId="9" fillId="0" borderId="11" xfId="51" applyNumberFormat="1" applyFont="1" applyBorder="1" applyAlignment="1">
      <alignment horizontal="left" vertical="center" wrapText="1"/>
    </xf>
    <xf numFmtId="178" fontId="9" fillId="0" borderId="6" xfId="51" applyNumberFormat="1" applyFont="1" applyBorder="1" applyAlignment="1">
      <alignment horizontal="left" vertical="center" wrapText="1"/>
    </xf>
    <xf numFmtId="0" fontId="10" fillId="0" borderId="7" xfId="51" applyFont="1" applyBorder="1" applyAlignment="1">
      <alignment horizontal="left" vertical="top" wrapText="1"/>
    </xf>
    <xf numFmtId="0" fontId="10" fillId="0" borderId="14" xfId="51" applyFont="1" applyBorder="1" applyAlignment="1">
      <alignment horizontal="left" vertical="top" wrapText="1"/>
    </xf>
    <xf numFmtId="0" fontId="10" fillId="0" borderId="9" xfId="51" applyFont="1" applyBorder="1" applyAlignment="1">
      <alignment horizontal="center" vertical="center"/>
    </xf>
    <xf numFmtId="0" fontId="10" fillId="0" borderId="11" xfId="51" applyFont="1" applyBorder="1" applyAlignment="1">
      <alignment horizontal="center" vertical="center"/>
    </xf>
    <xf numFmtId="0" fontId="10" fillId="0" borderId="6" xfId="51" applyFont="1" applyBorder="1" applyAlignment="1">
      <alignment horizontal="center" vertical="center"/>
    </xf>
    <xf numFmtId="0" fontId="139" fillId="0" borderId="10" xfId="0" applyFont="1" applyFill="1" applyBorder="1" applyAlignment="1">
      <alignment vertical="center" wrapText="1"/>
    </xf>
    <xf numFmtId="0" fontId="139" fillId="0" borderId="14" xfId="0" applyFont="1" applyFill="1" applyBorder="1" applyAlignment="1">
      <alignment vertical="center" wrapText="1"/>
    </xf>
    <xf numFmtId="0" fontId="30" fillId="0" borderId="0" xfId="51" applyFont="1" applyFill="1" applyBorder="1" applyAlignment="1">
      <alignment horizontal="left" vertical="center"/>
    </xf>
    <xf numFmtId="185" fontId="10" fillId="0" borderId="26" xfId="51" applyNumberFormat="1" applyFont="1" applyBorder="1" applyAlignment="1">
      <alignment horizontal="center" vertical="center" wrapText="1"/>
    </xf>
    <xf numFmtId="185" fontId="10" fillId="0" borderId="25" xfId="51" applyNumberFormat="1" applyFont="1" applyBorder="1" applyAlignment="1">
      <alignment horizontal="center" vertical="center" wrapText="1"/>
    </xf>
    <xf numFmtId="3" fontId="10" fillId="0" borderId="8" xfId="51" applyNumberFormat="1" applyFont="1" applyBorder="1" applyAlignment="1">
      <alignment horizontal="left" wrapText="1"/>
    </xf>
    <xf numFmtId="184" fontId="10" fillId="0" borderId="7" xfId="51" applyNumberFormat="1" applyFont="1" applyBorder="1" applyAlignment="1">
      <alignment horizontal="center" vertical="top" wrapText="1"/>
    </xf>
    <xf numFmtId="184" fontId="10" fillId="0" borderId="14" xfId="51" applyNumberFormat="1" applyFont="1" applyBorder="1" applyAlignment="1">
      <alignment horizontal="center" vertical="top" wrapText="1"/>
    </xf>
    <xf numFmtId="0" fontId="9" fillId="0" borderId="21" xfId="51" applyFont="1" applyBorder="1" applyAlignment="1">
      <alignment vertical="center" wrapText="1"/>
    </xf>
    <xf numFmtId="0" fontId="9" fillId="0" borderId="8" xfId="51" applyFont="1" applyBorder="1" applyAlignment="1">
      <alignment vertical="center" wrapText="1"/>
    </xf>
    <xf numFmtId="0" fontId="9" fillId="0" borderId="13" xfId="51" applyFont="1" applyBorder="1" applyAlignment="1">
      <alignment vertical="center" wrapText="1"/>
    </xf>
    <xf numFmtId="0" fontId="9" fillId="0" borderId="7" xfId="51" applyFont="1" applyBorder="1" applyAlignment="1">
      <alignment vertical="center" wrapText="1"/>
    </xf>
    <xf numFmtId="0" fontId="131" fillId="0" borderId="25" xfId="0" applyFont="1" applyFill="1" applyBorder="1" applyAlignment="1">
      <alignment horizontal="left" vertical="center" wrapText="1"/>
    </xf>
    <xf numFmtId="0" fontId="131" fillId="0" borderId="24" xfId="51" applyFont="1" applyFill="1" applyBorder="1" applyAlignment="1">
      <alignment horizontal="left" vertical="center" wrapText="1"/>
    </xf>
    <xf numFmtId="178" fontId="6" fillId="0" borderId="16" xfId="58" applyNumberFormat="1" applyFont="1" applyBorder="1" applyAlignment="1">
      <alignment horizontal="center" vertical="center" wrapText="1"/>
    </xf>
    <xf numFmtId="178" fontId="6" fillId="0" borderId="10" xfId="58" applyNumberFormat="1" applyFont="1" applyBorder="1" applyAlignment="1">
      <alignment horizontal="center" vertical="center" wrapText="1"/>
    </xf>
    <xf numFmtId="178" fontId="6" fillId="0" borderId="14" xfId="58" applyNumberFormat="1" applyFont="1" applyBorder="1" applyAlignment="1">
      <alignment horizontal="center" vertical="center" wrapText="1"/>
    </xf>
    <xf numFmtId="178" fontId="6" fillId="0" borderId="61" xfId="58" applyNumberFormat="1" applyFont="1" applyBorder="1" applyAlignment="1">
      <alignment horizontal="center" vertical="center" wrapText="1"/>
    </xf>
    <xf numFmtId="178" fontId="6" fillId="0" borderId="17" xfId="58" applyNumberFormat="1" applyFont="1" applyBorder="1" applyAlignment="1">
      <alignment horizontal="center" vertical="center" wrapText="1"/>
    </xf>
    <xf numFmtId="178" fontId="6" fillId="0" borderId="20" xfId="58" applyNumberFormat="1" applyFont="1" applyBorder="1" applyAlignment="1">
      <alignment horizontal="center" vertical="center" wrapText="1"/>
    </xf>
    <xf numFmtId="0" fontId="6" fillId="0" borderId="25" xfId="51" applyFont="1" applyBorder="1" applyAlignment="1">
      <alignment horizontal="center" vertical="center"/>
    </xf>
    <xf numFmtId="0" fontId="6" fillId="0" borderId="2" xfId="51" applyFont="1" applyBorder="1" applyAlignment="1">
      <alignment horizontal="center" vertical="center"/>
    </xf>
    <xf numFmtId="0" fontId="6" fillId="0" borderId="24" xfId="51" applyFont="1" applyBorder="1" applyAlignment="1">
      <alignment horizontal="center" vertical="center"/>
    </xf>
    <xf numFmtId="208" fontId="6" fillId="0" borderId="203" xfId="58" applyNumberFormat="1" applyFont="1" applyBorder="1" applyAlignment="1">
      <alignment horizontal="center" vertical="center"/>
    </xf>
    <xf numFmtId="208" fontId="6" fillId="0" borderId="268" xfId="58" applyNumberFormat="1" applyFont="1" applyBorder="1" applyAlignment="1">
      <alignment horizontal="center" vertical="center"/>
    </xf>
    <xf numFmtId="208" fontId="6" fillId="0" borderId="257" xfId="58" applyNumberFormat="1" applyFont="1" applyBorder="1" applyAlignment="1">
      <alignment horizontal="center" vertical="center"/>
    </xf>
    <xf numFmtId="208" fontId="6" fillId="0" borderId="258" xfId="58" applyNumberFormat="1" applyFont="1" applyBorder="1" applyAlignment="1">
      <alignment horizontal="center" vertical="center"/>
    </xf>
    <xf numFmtId="208" fontId="6" fillId="0" borderId="24" xfId="58" applyNumberFormat="1" applyFont="1" applyBorder="1" applyAlignment="1">
      <alignment horizontal="center" vertical="center"/>
    </xf>
    <xf numFmtId="3" fontId="6" fillId="0" borderId="29" xfId="58" applyNumberFormat="1" applyFont="1" applyBorder="1" applyAlignment="1">
      <alignment horizontal="center" vertical="center" wrapText="1"/>
    </xf>
    <xf numFmtId="208" fontId="6" fillId="0" borderId="269" xfId="58" applyNumberFormat="1" applyFont="1" applyBorder="1" applyAlignment="1">
      <alignment horizontal="center" vertical="center"/>
    </xf>
    <xf numFmtId="202" fontId="6" fillId="0" borderId="11" xfId="58" applyNumberFormat="1" applyFont="1" applyBorder="1" applyAlignment="1">
      <alignment horizontal="right" vertical="center"/>
    </xf>
    <xf numFmtId="3" fontId="130" fillId="0" borderId="11" xfId="58" applyNumberFormat="1" applyFont="1" applyFill="1" applyBorder="1" applyAlignment="1">
      <alignment horizontal="center" vertical="center" wrapText="1"/>
    </xf>
    <xf numFmtId="178" fontId="6" fillId="0" borderId="0" xfId="58" applyNumberFormat="1" applyFont="1" applyAlignment="1">
      <alignment horizontal="right" vertical="center"/>
    </xf>
    <xf numFmtId="3" fontId="57" fillId="0" borderId="21" xfId="58" applyNumberFormat="1" applyFont="1" applyFill="1" applyBorder="1" applyAlignment="1">
      <alignment horizontal="center" vertical="center" wrapText="1"/>
    </xf>
    <xf numFmtId="178" fontId="6" fillId="0" borderId="11" xfId="58" applyNumberFormat="1" applyFont="1" applyBorder="1" applyAlignment="1">
      <alignment horizontal="center" vertical="center" wrapText="1"/>
    </xf>
    <xf numFmtId="179" fontId="6" fillId="0" borderId="0" xfId="58" applyNumberFormat="1" applyFont="1" applyAlignment="1">
      <alignment horizontal="right" vertical="center"/>
    </xf>
    <xf numFmtId="0" fontId="10" fillId="0" borderId="0" xfId="51" applyFont="1" applyAlignment="1">
      <alignment horizontal="center" vertical="center"/>
    </xf>
    <xf numFmtId="178" fontId="30" fillId="0" borderId="21" xfId="42" applyNumberFormat="1" applyFont="1" applyBorder="1" applyAlignment="1">
      <alignment horizontal="left" vertical="center"/>
    </xf>
    <xf numFmtId="178" fontId="30" fillId="0" borderId="3" xfId="42" applyNumberFormat="1" applyFont="1" applyBorder="1" applyAlignment="1">
      <alignment horizontal="left" vertical="center"/>
    </xf>
    <xf numFmtId="178" fontId="30" fillId="0" borderId="13" xfId="42" applyNumberFormat="1" applyFont="1" applyBorder="1" applyAlignment="1">
      <alignment horizontal="left" vertical="center"/>
    </xf>
    <xf numFmtId="178" fontId="30" fillId="0" borderId="16" xfId="42" applyNumberFormat="1" applyFont="1" applyBorder="1" applyAlignment="1">
      <alignment horizontal="center" vertical="center"/>
    </xf>
    <xf numFmtId="178" fontId="30" fillId="0" borderId="10" xfId="42" applyNumberFormat="1" applyFont="1" applyBorder="1" applyAlignment="1">
      <alignment horizontal="center" vertical="center"/>
    </xf>
    <xf numFmtId="178" fontId="30" fillId="0" borderId="14" xfId="42" applyNumberFormat="1" applyFont="1" applyBorder="1" applyAlignment="1">
      <alignment horizontal="center" vertical="center"/>
    </xf>
    <xf numFmtId="0" fontId="30" fillId="0" borderId="21" xfId="42" applyFont="1" applyBorder="1" applyAlignment="1">
      <alignment horizontal="center" vertical="center"/>
    </xf>
    <xf numFmtId="0" fontId="30" fillId="0" borderId="3" xfId="42" applyFont="1" applyBorder="1" applyAlignment="1">
      <alignment horizontal="center" vertical="center"/>
    </xf>
    <xf numFmtId="0" fontId="30" fillId="0" borderId="13" xfId="42" applyFont="1" applyBorder="1" applyAlignment="1">
      <alignment horizontal="center" vertical="center"/>
    </xf>
    <xf numFmtId="0" fontId="30" fillId="0" borderId="8" xfId="42" applyFont="1" applyBorder="1" applyAlignment="1">
      <alignment horizontal="center" wrapText="1"/>
    </xf>
    <xf numFmtId="0" fontId="30" fillId="0" borderId="8" xfId="42" applyFont="1" applyBorder="1" applyAlignment="1">
      <alignment horizontal="center"/>
    </xf>
    <xf numFmtId="178" fontId="31" fillId="0" borderId="9" xfId="42" applyNumberFormat="1" applyFont="1" applyBorder="1" applyAlignment="1">
      <alignment horizontal="left" vertical="center"/>
    </xf>
    <xf numFmtId="178" fontId="31" fillId="0" borderId="11" xfId="42" applyNumberFormat="1" applyFont="1" applyBorder="1" applyAlignment="1">
      <alignment horizontal="left" vertical="center"/>
    </xf>
    <xf numFmtId="178" fontId="31" fillId="0" borderId="6" xfId="42" applyNumberFormat="1" applyFont="1" applyBorder="1" applyAlignment="1">
      <alignment horizontal="left" vertical="center"/>
    </xf>
    <xf numFmtId="3" fontId="30" fillId="0" borderId="0" xfId="42" applyNumberFormat="1" applyFont="1" applyBorder="1" applyAlignment="1">
      <alignment horizontal="right" vertical="center" wrapText="1"/>
    </xf>
    <xf numFmtId="183" fontId="30" fillId="0" borderId="0" xfId="42" applyNumberFormat="1" applyFont="1" applyBorder="1" applyAlignment="1">
      <alignment horizontal="center" vertical="center"/>
    </xf>
    <xf numFmtId="0" fontId="30" fillId="0" borderId="7" xfId="42" applyFont="1" applyBorder="1" applyAlignment="1">
      <alignment horizontal="left" vertical="center" wrapText="1"/>
    </xf>
    <xf numFmtId="0" fontId="30" fillId="0" borderId="14" xfId="42" applyFont="1" applyBorder="1" applyAlignment="1">
      <alignment horizontal="left" vertical="center" wrapText="1"/>
    </xf>
    <xf numFmtId="0" fontId="9" fillId="0" borderId="9" xfId="0" applyFont="1" applyBorder="1" applyAlignment="1">
      <alignment vertical="center" wrapText="1"/>
    </xf>
    <xf numFmtId="0" fontId="144" fillId="0" borderId="11" xfId="0" applyFont="1" applyBorder="1" applyAlignment="1">
      <alignment vertical="center" wrapText="1"/>
    </xf>
    <xf numFmtId="0" fontId="144" fillId="0" borderId="6" xfId="0" applyFont="1" applyBorder="1" applyAlignment="1">
      <alignment vertical="center" wrapText="1"/>
    </xf>
    <xf numFmtId="56" fontId="10" fillId="0" borderId="0" xfId="51" quotePrefix="1" applyNumberFormat="1" applyFont="1" applyAlignment="1">
      <alignment horizontal="center" vertical="center" wrapText="1"/>
    </xf>
    <xf numFmtId="0" fontId="10" fillId="0" borderId="10" xfId="51" applyFont="1" applyBorder="1" applyAlignment="1">
      <alignment horizontal="center" vertical="center" wrapText="1"/>
    </xf>
    <xf numFmtId="56" fontId="10" fillId="0" borderId="7" xfId="51" quotePrefix="1" applyNumberFormat="1" applyFont="1" applyBorder="1" applyAlignment="1">
      <alignment horizontal="center" vertical="center" wrapText="1"/>
    </xf>
    <xf numFmtId="0" fontId="10" fillId="0" borderId="14" xfId="51" applyFont="1" applyBorder="1" applyAlignment="1">
      <alignment horizontal="center" vertical="center" wrapText="1"/>
    </xf>
    <xf numFmtId="0" fontId="10" fillId="0" borderId="7" xfId="51" applyFont="1" applyBorder="1" applyAlignment="1">
      <alignment horizontal="center" vertical="center"/>
    </xf>
    <xf numFmtId="184" fontId="10" fillId="0" borderId="2" xfId="51" applyNumberFormat="1" applyFont="1" applyBorder="1" applyAlignment="1">
      <alignment horizontal="center" vertical="center" wrapText="1"/>
    </xf>
    <xf numFmtId="184" fontId="10" fillId="0" borderId="24" xfId="51" applyNumberFormat="1" applyFont="1" applyBorder="1" applyAlignment="1">
      <alignment horizontal="center" vertical="center" wrapText="1"/>
    </xf>
    <xf numFmtId="208" fontId="6" fillId="0" borderId="61" xfId="58" applyNumberFormat="1" applyFont="1" applyBorder="1" applyAlignment="1">
      <alignment horizontal="center" vertical="center"/>
    </xf>
    <xf numFmtId="208" fontId="6" fillId="0" borderId="20" xfId="58" applyNumberFormat="1" applyFont="1" applyBorder="1" applyAlignment="1">
      <alignment horizontal="center" vertical="center"/>
    </xf>
    <xf numFmtId="208" fontId="6" fillId="0" borderId="62" xfId="58" applyNumberFormat="1" applyFont="1" applyBorder="1" applyAlignment="1">
      <alignment horizontal="center" vertical="center"/>
    </xf>
    <xf numFmtId="208" fontId="6" fillId="0" borderId="19" xfId="58" applyNumberFormat="1" applyFont="1" applyBorder="1" applyAlignment="1">
      <alignment horizontal="center" vertical="center"/>
    </xf>
    <xf numFmtId="208" fontId="6" fillId="0" borderId="261" xfId="58" applyNumberFormat="1" applyFont="1" applyBorder="1" applyAlignment="1">
      <alignment horizontal="center" vertical="center"/>
    </xf>
    <xf numFmtId="208" fontId="6" fillId="0" borderId="267" xfId="58" applyNumberFormat="1" applyFont="1" applyBorder="1" applyAlignment="1">
      <alignment horizontal="center" vertical="center"/>
    </xf>
    <xf numFmtId="178" fontId="6" fillId="0" borderId="62" xfId="58" applyNumberFormat="1" applyFont="1" applyBorder="1" applyAlignment="1">
      <alignment horizontal="center" vertical="center"/>
    </xf>
    <xf numFmtId="178" fontId="6" fillId="0" borderId="18" xfId="58" applyNumberFormat="1" applyFont="1" applyBorder="1" applyAlignment="1">
      <alignment horizontal="center" vertical="center"/>
    </xf>
    <xf numFmtId="178" fontId="6" fillId="0" borderId="19" xfId="58" applyNumberFormat="1" applyFont="1" applyBorder="1" applyAlignment="1">
      <alignment horizontal="center" vertical="center"/>
    </xf>
    <xf numFmtId="178" fontId="6" fillId="0" borderId="67" xfId="58" applyNumberFormat="1" applyFont="1" applyBorder="1" applyAlignment="1">
      <alignment horizontal="center" vertical="center"/>
    </xf>
    <xf numFmtId="178" fontId="6" fillId="0" borderId="12" xfId="58" applyNumberFormat="1" applyFont="1" applyBorder="1" applyAlignment="1">
      <alignment horizontal="center" vertical="center"/>
    </xf>
    <xf numFmtId="178" fontId="6" fillId="0" borderId="15" xfId="58" applyNumberFormat="1" applyFont="1" applyBorder="1" applyAlignment="1">
      <alignment horizontal="center" vertical="center"/>
    </xf>
    <xf numFmtId="204" fontId="6" fillId="0" borderId="11" xfId="58" applyNumberFormat="1" applyFont="1" applyBorder="1" applyAlignment="1">
      <alignment horizontal="center"/>
    </xf>
    <xf numFmtId="202" fontId="6" fillId="0" borderId="11" xfId="58" applyNumberFormat="1" applyFont="1" applyBorder="1" applyAlignment="1">
      <alignment horizontal="center" vertical="center"/>
    </xf>
    <xf numFmtId="204" fontId="6" fillId="0" borderId="11" xfId="58" applyNumberFormat="1" applyFont="1" applyBorder="1" applyAlignment="1">
      <alignment horizontal="center" vertical="top"/>
    </xf>
    <xf numFmtId="20" fontId="6" fillId="0" borderId="4" xfId="58" applyNumberFormat="1" applyFont="1" applyFill="1" applyBorder="1" applyAlignment="1">
      <alignment horizontal="center" vertical="center" wrapText="1"/>
    </xf>
    <xf numFmtId="20" fontId="6" fillId="0" borderId="17" xfId="58" applyNumberFormat="1" applyFont="1" applyFill="1" applyBorder="1" applyAlignment="1">
      <alignment horizontal="center" vertical="center" wrapText="1"/>
    </xf>
    <xf numFmtId="177" fontId="6" fillId="0" borderId="9" xfId="58" applyNumberFormat="1" applyFont="1" applyFill="1" applyBorder="1" applyAlignment="1">
      <alignment horizontal="center" vertical="center" wrapText="1"/>
    </xf>
    <xf numFmtId="177" fontId="6" fillId="0" borderId="11" xfId="58" applyNumberFormat="1" applyFont="1" applyFill="1" applyBorder="1" applyAlignment="1">
      <alignment horizontal="center" vertical="center" wrapText="1"/>
    </xf>
    <xf numFmtId="3" fontId="6" fillId="0" borderId="57" xfId="58" applyNumberFormat="1" applyFont="1" applyFill="1" applyBorder="1" applyAlignment="1">
      <alignment horizontal="center" vertical="center"/>
    </xf>
    <xf numFmtId="3" fontId="6" fillId="0" borderId="96" xfId="58" applyNumberFormat="1" applyFont="1" applyFill="1" applyBorder="1" applyAlignment="1">
      <alignment horizontal="center" vertical="center"/>
    </xf>
    <xf numFmtId="3" fontId="6" fillId="0" borderId="32" xfId="58" applyNumberFormat="1" applyFont="1" applyFill="1" applyBorder="1" applyAlignment="1">
      <alignment horizontal="center" vertical="center"/>
    </xf>
    <xf numFmtId="3" fontId="6" fillId="0" borderId="95" xfId="58" applyNumberFormat="1" applyFont="1" applyFill="1" applyBorder="1" applyAlignment="1">
      <alignment horizontal="center" vertical="center"/>
    </xf>
    <xf numFmtId="178" fontId="6" fillId="0" borderId="110" xfId="58" applyNumberFormat="1" applyFont="1" applyFill="1" applyBorder="1" applyAlignment="1">
      <alignment horizontal="center" vertical="center" wrapText="1"/>
    </xf>
    <xf numFmtId="204" fontId="6" fillId="0" borderId="9" xfId="58" applyNumberFormat="1" applyFont="1" applyBorder="1" applyAlignment="1">
      <alignment horizontal="center"/>
    </xf>
    <xf numFmtId="202" fontId="6" fillId="0" borderId="9" xfId="58" applyNumberFormat="1" applyFont="1" applyBorder="1" applyAlignment="1">
      <alignment horizontal="center" vertical="center"/>
    </xf>
    <xf numFmtId="177" fontId="130" fillId="0" borderId="11" xfId="58" applyNumberFormat="1" applyFont="1" applyFill="1" applyBorder="1" applyAlignment="1">
      <alignment horizontal="center" vertical="center"/>
    </xf>
    <xf numFmtId="178" fontId="130" fillId="0" borderId="9" xfId="58" applyNumberFormat="1" applyFont="1" applyFill="1" applyBorder="1" applyAlignment="1">
      <alignment wrapText="1"/>
    </xf>
    <xf numFmtId="178" fontId="130" fillId="0" borderId="11" xfId="58" applyNumberFormat="1" applyFont="1" applyFill="1" applyBorder="1" applyAlignment="1">
      <alignment wrapText="1"/>
    </xf>
    <xf numFmtId="0" fontId="130" fillId="0" borderId="31" xfId="58" applyFont="1" applyFill="1" applyBorder="1" applyAlignment="1">
      <alignment horizontal="center" vertical="center"/>
    </xf>
    <xf numFmtId="0" fontId="130" fillId="0" borderId="29" xfId="58" applyFont="1" applyFill="1" applyBorder="1" applyAlignment="1">
      <alignment horizontal="center" vertical="center"/>
    </xf>
    <xf numFmtId="181" fontId="130" fillId="0" borderId="11" xfId="58" applyNumberFormat="1" applyFont="1" applyFill="1" applyBorder="1" applyAlignment="1">
      <alignment vertical="top" wrapText="1"/>
    </xf>
    <xf numFmtId="3" fontId="130" fillId="0" borderId="25" xfId="58" applyNumberFormat="1" applyFont="1" applyFill="1" applyBorder="1" applyAlignment="1">
      <alignment vertical="center" wrapText="1"/>
    </xf>
    <xf numFmtId="0" fontId="130" fillId="0" borderId="25" xfId="58" applyFont="1" applyFill="1" applyBorder="1" applyAlignment="1">
      <alignment vertical="center"/>
    </xf>
    <xf numFmtId="3" fontId="130" fillId="0" borderId="13" xfId="58" applyNumberFormat="1" applyFont="1" applyFill="1" applyBorder="1" applyAlignment="1">
      <alignment vertical="center" wrapText="1"/>
    </xf>
    <xf numFmtId="181" fontId="6" fillId="0" borderId="11" xfId="58" applyNumberFormat="1" applyFont="1" applyBorder="1" applyAlignment="1">
      <alignment vertical="center" wrapText="1"/>
    </xf>
    <xf numFmtId="181" fontId="130" fillId="0" borderId="6" xfId="58" applyNumberFormat="1" applyFont="1" applyFill="1" applyBorder="1" applyAlignment="1">
      <alignment vertical="top" wrapText="1"/>
    </xf>
    <xf numFmtId="202" fontId="6" fillId="0" borderId="6" xfId="58" applyNumberFormat="1" applyFont="1" applyBorder="1" applyAlignment="1">
      <alignment horizontal="center" vertical="center"/>
    </xf>
    <xf numFmtId="0" fontId="0" fillId="0" borderId="10" xfId="0" applyBorder="1" applyAlignment="1">
      <alignment vertical="center" wrapText="1"/>
    </xf>
    <xf numFmtId="0" fontId="0" fillId="0" borderId="11" xfId="0" applyBorder="1" applyAlignment="1">
      <alignment vertical="center" wrapText="1"/>
    </xf>
    <xf numFmtId="0" fontId="0" fillId="0" borderId="6" xfId="0" applyBorder="1" applyAlignment="1">
      <alignment vertical="center" wrapText="1"/>
    </xf>
    <xf numFmtId="3" fontId="6" fillId="0" borderId="97" xfId="58" applyNumberFormat="1" applyFont="1" applyBorder="1" applyAlignment="1">
      <alignment horizontal="center" vertical="center" wrapText="1"/>
    </xf>
    <xf numFmtId="0" fontId="6" fillId="0" borderId="69" xfId="58" applyFont="1" applyBorder="1" applyAlignment="1">
      <alignment horizontal="center" vertical="center"/>
    </xf>
    <xf numFmtId="0" fontId="6" fillId="0" borderId="6" xfId="58" applyFont="1" applyBorder="1" applyAlignment="1">
      <alignment horizontal="center" vertical="center"/>
    </xf>
    <xf numFmtId="208" fontId="6" fillId="0" borderId="112" xfId="37" applyNumberFormat="1" applyFont="1" applyBorder="1" applyAlignment="1">
      <alignment horizontal="center" vertical="center"/>
    </xf>
    <xf numFmtId="208" fontId="6" fillId="0" borderId="113" xfId="37" applyNumberFormat="1" applyFont="1" applyBorder="1" applyAlignment="1">
      <alignment horizontal="center" vertical="center"/>
    </xf>
    <xf numFmtId="208" fontId="6" fillId="0" borderId="114" xfId="37" applyNumberFormat="1" applyFont="1" applyBorder="1" applyAlignment="1">
      <alignment horizontal="center" vertical="center"/>
    </xf>
    <xf numFmtId="208" fontId="6" fillId="0" borderId="19" xfId="37" applyNumberFormat="1" applyFont="1" applyBorder="1" applyAlignment="1">
      <alignment horizontal="center" vertical="center"/>
    </xf>
    <xf numFmtId="208" fontId="6" fillId="0" borderId="270" xfId="37" applyNumberFormat="1" applyFont="1" applyBorder="1" applyAlignment="1">
      <alignment horizontal="center" vertical="center"/>
    </xf>
    <xf numFmtId="208" fontId="6" fillId="0" borderId="271" xfId="37" applyNumberFormat="1" applyFont="1" applyBorder="1" applyAlignment="1">
      <alignment horizontal="center" vertical="center"/>
    </xf>
    <xf numFmtId="208" fontId="6" fillId="0" borderId="272" xfId="37" applyNumberFormat="1" applyFont="1" applyBorder="1" applyAlignment="1">
      <alignment horizontal="center" vertical="center"/>
    </xf>
    <xf numFmtId="178" fontId="6" fillId="0" borderId="17" xfId="58" applyNumberFormat="1" applyFont="1" applyBorder="1" applyAlignment="1"/>
    <xf numFmtId="178" fontId="6" fillId="0" borderId="8" xfId="58" applyNumberFormat="1" applyFont="1" applyBorder="1" applyAlignment="1">
      <alignment wrapText="1"/>
    </xf>
    <xf numFmtId="178" fontId="6" fillId="0" borderId="0" xfId="58" applyNumberFormat="1" applyFont="1" applyAlignment="1"/>
    <xf numFmtId="181" fontId="6" fillId="0" borderId="17" xfId="58" applyNumberFormat="1" applyFont="1" applyBorder="1" applyAlignment="1">
      <alignment horizontal="right" vertical="top"/>
    </xf>
    <xf numFmtId="181" fontId="6" fillId="0" borderId="20" xfId="58" applyNumberFormat="1" applyFont="1" applyBorder="1" applyAlignment="1">
      <alignment horizontal="right" vertical="top"/>
    </xf>
    <xf numFmtId="181" fontId="6" fillId="0" borderId="0" xfId="58" applyNumberFormat="1" applyFont="1" applyAlignment="1">
      <alignment horizontal="right" vertical="top"/>
    </xf>
    <xf numFmtId="181" fontId="6" fillId="0" borderId="7" xfId="58" applyNumberFormat="1" applyFont="1" applyBorder="1" applyAlignment="1">
      <alignment horizontal="right" vertical="top"/>
    </xf>
    <xf numFmtId="3" fontId="14" fillId="0" borderId="4" xfId="58" applyNumberFormat="1" applyFont="1" applyFill="1" applyBorder="1" applyAlignment="1">
      <alignment horizontal="center" vertical="center" wrapText="1"/>
    </xf>
    <xf numFmtId="3" fontId="14" fillId="0" borderId="17" xfId="58" applyNumberFormat="1" applyFont="1" applyFill="1" applyBorder="1" applyAlignment="1">
      <alignment horizontal="center" vertical="center" wrapText="1"/>
    </xf>
    <xf numFmtId="178" fontId="6" fillId="0" borderId="67" xfId="58" applyNumberFormat="1" applyFont="1" applyBorder="1" applyAlignment="1">
      <alignment horizontal="center" vertical="center" wrapText="1"/>
    </xf>
    <xf numFmtId="178" fontId="6" fillId="0" borderId="12" xfId="58" applyNumberFormat="1" applyFont="1" applyBorder="1" applyAlignment="1">
      <alignment horizontal="center" vertical="center" wrapText="1"/>
    </xf>
    <xf numFmtId="177" fontId="6" fillId="0" borderId="61" xfId="58" applyNumberFormat="1" applyFont="1" applyBorder="1" applyAlignment="1">
      <alignment vertical="center" wrapText="1"/>
    </xf>
    <xf numFmtId="177" fontId="6" fillId="0" borderId="17" xfId="58" applyNumberFormat="1" applyFont="1" applyBorder="1" applyAlignment="1">
      <alignment vertical="center" wrapText="1"/>
    </xf>
    <xf numFmtId="177" fontId="6" fillId="0" borderId="99" xfId="58" applyNumberFormat="1" applyFont="1" applyBorder="1" applyAlignment="1">
      <alignment vertical="center" wrapText="1"/>
    </xf>
    <xf numFmtId="3" fontId="130" fillId="0" borderId="9" xfId="58" applyNumberFormat="1" applyFont="1" applyFill="1" applyBorder="1" applyAlignment="1">
      <alignment horizontal="left" vertical="center" wrapText="1"/>
    </xf>
    <xf numFmtId="3" fontId="130" fillId="0" borderId="11" xfId="58" applyNumberFormat="1" applyFont="1" applyFill="1" applyBorder="1" applyAlignment="1">
      <alignment horizontal="left" vertical="center" wrapText="1"/>
    </xf>
    <xf numFmtId="3" fontId="130" fillId="0" borderId="6" xfId="58" applyNumberFormat="1" applyFont="1" applyFill="1" applyBorder="1" applyAlignment="1">
      <alignment horizontal="left" vertical="center" wrapText="1"/>
    </xf>
    <xf numFmtId="0" fontId="130" fillId="0" borderId="9" xfId="58" applyFont="1" applyFill="1" applyBorder="1" applyAlignment="1">
      <alignment horizontal="center" vertical="center"/>
    </xf>
    <xf numFmtId="0" fontId="130" fillId="0" borderId="11" xfId="58" applyFont="1" applyFill="1" applyBorder="1" applyAlignment="1">
      <alignment horizontal="center" vertical="center"/>
    </xf>
    <xf numFmtId="0" fontId="130" fillId="0" borderId="6" xfId="58" applyFont="1" applyFill="1" applyBorder="1" applyAlignment="1">
      <alignment horizontal="center" vertical="center"/>
    </xf>
    <xf numFmtId="3" fontId="130" fillId="0" borderId="9" xfId="58" applyNumberFormat="1" applyFont="1" applyFill="1" applyBorder="1" applyAlignment="1">
      <alignment horizontal="distributed" vertical="center"/>
    </xf>
    <xf numFmtId="3" fontId="130" fillId="0" borderId="11" xfId="58" applyNumberFormat="1" applyFont="1" applyFill="1" applyBorder="1" applyAlignment="1">
      <alignment horizontal="distributed" vertical="center"/>
    </xf>
    <xf numFmtId="3" fontId="130" fillId="0" borderId="97" xfId="58" applyNumberFormat="1" applyFont="1" applyFill="1" applyBorder="1" applyAlignment="1">
      <alignment horizontal="distributed" vertical="center"/>
    </xf>
    <xf numFmtId="178" fontId="6" fillId="0" borderId="67" xfId="58" applyNumberFormat="1" applyFont="1" applyBorder="1">
      <alignment vertical="center"/>
    </xf>
    <xf numFmtId="178" fontId="6" fillId="0" borderId="12" xfId="58" applyNumberFormat="1" applyFont="1" applyBorder="1">
      <alignment vertical="center"/>
    </xf>
    <xf numFmtId="178" fontId="6" fillId="0" borderId="98" xfId="58" applyNumberFormat="1" applyFont="1" applyBorder="1">
      <alignment vertical="center"/>
    </xf>
    <xf numFmtId="3" fontId="130" fillId="0" borderId="69" xfId="58" applyNumberFormat="1" applyFont="1" applyFill="1" applyBorder="1" applyAlignment="1">
      <alignment horizontal="distributed" vertical="center"/>
    </xf>
    <xf numFmtId="3" fontId="130" fillId="0" borderId="6" xfId="58" applyNumberFormat="1" applyFont="1" applyFill="1" applyBorder="1" applyAlignment="1">
      <alignment horizontal="distributed" vertical="center"/>
    </xf>
    <xf numFmtId="3" fontId="130" fillId="0" borderId="9" xfId="58" applyNumberFormat="1" applyFont="1" applyFill="1" applyBorder="1" applyAlignment="1">
      <alignment vertical="center" wrapText="1"/>
    </xf>
    <xf numFmtId="3" fontId="130" fillId="0" borderId="11" xfId="58" applyNumberFormat="1" applyFont="1" applyFill="1" applyBorder="1" applyAlignment="1">
      <alignment vertical="center" wrapText="1"/>
    </xf>
    <xf numFmtId="3" fontId="130" fillId="0" borderId="6" xfId="58" applyNumberFormat="1" applyFont="1" applyFill="1" applyBorder="1" applyAlignment="1">
      <alignment vertical="center" wrapText="1"/>
    </xf>
    <xf numFmtId="177" fontId="6" fillId="0" borderId="100" xfId="58" applyNumberFormat="1" applyFont="1" applyBorder="1" applyAlignment="1">
      <alignment vertical="center" wrapText="1"/>
    </xf>
    <xf numFmtId="177" fontId="6" fillId="0" borderId="0" xfId="58" applyNumberFormat="1" applyFont="1" applyAlignment="1">
      <alignment vertical="center" wrapText="1"/>
    </xf>
    <xf numFmtId="177" fontId="6" fillId="0" borderId="7" xfId="58" applyNumberFormat="1" applyFont="1" applyBorder="1" applyAlignment="1">
      <alignment vertical="center" wrapText="1"/>
    </xf>
    <xf numFmtId="177" fontId="6" fillId="0" borderId="60" xfId="58" applyNumberFormat="1" applyFont="1" applyBorder="1" applyAlignment="1">
      <alignment vertical="center" wrapText="1"/>
    </xf>
    <xf numFmtId="177" fontId="6" fillId="0" borderId="10" xfId="58" applyNumberFormat="1" applyFont="1" applyBorder="1" applyAlignment="1">
      <alignment vertical="center" wrapText="1"/>
    </xf>
    <xf numFmtId="177" fontId="6" fillId="0" borderId="14" xfId="58" applyNumberFormat="1" applyFont="1" applyBorder="1" applyAlignment="1">
      <alignment vertical="center" wrapText="1"/>
    </xf>
    <xf numFmtId="178" fontId="6" fillId="0" borderId="94" xfId="58" applyNumberFormat="1" applyFont="1" applyBorder="1" applyAlignment="1">
      <alignment vertical="center" wrapText="1"/>
    </xf>
    <xf numFmtId="178" fontId="6" fillId="0" borderId="3" xfId="58" applyNumberFormat="1" applyFont="1" applyBorder="1" applyAlignment="1">
      <alignment vertical="center" wrapText="1"/>
    </xf>
    <xf numFmtId="178" fontId="6" fillId="0" borderId="13" xfId="58" applyNumberFormat="1" applyFont="1" applyBorder="1" applyAlignment="1">
      <alignment vertical="center" wrapText="1"/>
    </xf>
    <xf numFmtId="177" fontId="6" fillId="0" borderId="62" xfId="58" applyNumberFormat="1" applyFont="1" applyBorder="1">
      <alignment vertical="center"/>
    </xf>
    <xf numFmtId="177" fontId="6" fillId="0" borderId="18" xfId="58" applyNumberFormat="1" applyFont="1" applyBorder="1">
      <alignment vertical="center"/>
    </xf>
    <xf numFmtId="177" fontId="6" fillId="0" borderId="101" xfId="58" applyNumberFormat="1" applyFont="1" applyBorder="1">
      <alignment vertical="center"/>
    </xf>
    <xf numFmtId="3" fontId="6" fillId="0" borderId="111" xfId="58" applyNumberFormat="1" applyFont="1" applyFill="1" applyBorder="1" applyAlignment="1">
      <alignment horizontal="center" vertical="center"/>
    </xf>
    <xf numFmtId="3" fontId="6" fillId="0" borderId="22" xfId="58" applyNumberFormat="1" applyFont="1" applyFill="1" applyBorder="1" applyAlignment="1">
      <alignment horizontal="center" vertical="center"/>
    </xf>
    <xf numFmtId="177" fontId="6" fillId="0" borderId="21" xfId="58" applyNumberFormat="1" applyFont="1" applyFill="1" applyBorder="1" applyAlignment="1">
      <alignment horizontal="center" vertical="center" wrapText="1"/>
    </xf>
    <xf numFmtId="177" fontId="6" fillId="0" borderId="8" xfId="58" applyNumberFormat="1" applyFont="1" applyFill="1" applyBorder="1" applyAlignment="1">
      <alignment horizontal="center" vertical="center" wrapText="1"/>
    </xf>
    <xf numFmtId="177" fontId="6" fillId="0" borderId="16" xfId="58" applyNumberFormat="1" applyFont="1" applyFill="1" applyBorder="1" applyAlignment="1">
      <alignment horizontal="center" vertical="center" wrapText="1"/>
    </xf>
    <xf numFmtId="178" fontId="6" fillId="0" borderId="13" xfId="58" applyNumberFormat="1" applyFont="1" applyFill="1" applyBorder="1" applyAlignment="1">
      <alignment horizontal="center" vertical="center"/>
    </xf>
    <xf numFmtId="178" fontId="6" fillId="0" borderId="7" xfId="58" applyNumberFormat="1" applyFont="1" applyFill="1" applyBorder="1" applyAlignment="1">
      <alignment horizontal="center" vertical="center"/>
    </xf>
    <xf numFmtId="178" fontId="6" fillId="0" borderId="14" xfId="58" applyNumberFormat="1" applyFont="1" applyFill="1" applyBorder="1" applyAlignment="1">
      <alignment horizontal="center" vertical="center"/>
    </xf>
    <xf numFmtId="177" fontId="6" fillId="0" borderId="62" xfId="58" applyNumberFormat="1" applyFont="1" applyBorder="1" applyAlignment="1">
      <alignment vertical="center" wrapText="1"/>
    </xf>
    <xf numFmtId="177" fontId="6" fillId="0" borderId="18" xfId="58" applyNumberFormat="1" applyFont="1" applyBorder="1" applyAlignment="1">
      <alignment vertical="center" wrapText="1"/>
    </xf>
    <xf numFmtId="177" fontId="6" fillId="0" borderId="101" xfId="58" applyNumberFormat="1" applyFont="1" applyBorder="1" applyAlignment="1">
      <alignment vertical="center" wrapText="1"/>
    </xf>
    <xf numFmtId="179" fontId="6" fillId="0" borderId="11" xfId="58" applyNumberFormat="1" applyFont="1" applyBorder="1" applyAlignment="1">
      <alignment horizontal="left" vertical="top"/>
    </xf>
    <xf numFmtId="179" fontId="6" fillId="0" borderId="6" xfId="58" applyNumberFormat="1" applyFont="1" applyBorder="1" applyAlignment="1">
      <alignment horizontal="left" vertical="top"/>
    </xf>
    <xf numFmtId="178" fontId="6" fillId="0" borderId="67" xfId="58" applyNumberFormat="1" applyFont="1" applyBorder="1" applyAlignment="1">
      <alignment vertical="center" wrapText="1"/>
    </xf>
    <xf numFmtId="178" fontId="6" fillId="0" borderId="12" xfId="58" applyNumberFormat="1" applyFont="1" applyBorder="1" applyAlignment="1">
      <alignment vertical="center" wrapText="1"/>
    </xf>
    <xf numFmtId="178" fontId="6" fillId="0" borderId="98" xfId="58" applyNumberFormat="1" applyFont="1" applyBorder="1" applyAlignment="1">
      <alignment vertical="center" wrapText="1"/>
    </xf>
    <xf numFmtId="0" fontId="6" fillId="0" borderId="9" xfId="58" applyFont="1" applyBorder="1" applyAlignment="1">
      <alignment horizontal="left"/>
    </xf>
    <xf numFmtId="0" fontId="6" fillId="0" borderId="11" xfId="58" applyFont="1" applyBorder="1" applyAlignment="1">
      <alignment horizontal="left"/>
    </xf>
    <xf numFmtId="190" fontId="6" fillId="0" borderId="67" xfId="58" applyNumberFormat="1" applyFont="1" applyBorder="1" applyAlignment="1">
      <alignment vertical="center" wrapText="1"/>
    </xf>
    <xf numFmtId="190" fontId="6" fillId="0" borderId="12" xfId="58" applyNumberFormat="1" applyFont="1" applyBorder="1" applyAlignment="1">
      <alignment vertical="center" wrapText="1"/>
    </xf>
    <xf numFmtId="190" fontId="6" fillId="0" borderId="98" xfId="58" applyNumberFormat="1" applyFont="1" applyBorder="1" applyAlignment="1">
      <alignment vertical="center" wrapText="1"/>
    </xf>
    <xf numFmtId="177" fontId="6" fillId="0" borderId="60" xfId="58" applyNumberFormat="1" applyFont="1" applyBorder="1">
      <alignment vertical="center"/>
    </xf>
    <xf numFmtId="177" fontId="6" fillId="0" borderId="10" xfId="58" applyNumberFormat="1" applyFont="1" applyBorder="1">
      <alignment vertical="center"/>
    </xf>
    <xf numFmtId="177" fontId="6" fillId="0" borderId="14" xfId="58" applyNumberFormat="1" applyFont="1" applyBorder="1">
      <alignment vertical="center"/>
    </xf>
    <xf numFmtId="3" fontId="6" fillId="0" borderId="67" xfId="58" applyNumberFormat="1" applyFont="1" applyBorder="1" applyAlignment="1">
      <alignment vertical="center" wrapText="1"/>
    </xf>
    <xf numFmtId="3" fontId="6" fillId="0" borderId="12" xfId="58" applyNumberFormat="1" applyFont="1" applyBorder="1" applyAlignment="1">
      <alignment vertical="center" wrapText="1"/>
    </xf>
    <xf numFmtId="3" fontId="6" fillId="0" borderId="98" xfId="58" applyNumberFormat="1" applyFont="1" applyBorder="1" applyAlignment="1">
      <alignment vertical="center" wrapText="1"/>
    </xf>
    <xf numFmtId="3" fontId="6" fillId="0" borderId="94" xfId="58" applyNumberFormat="1" applyFont="1" applyBorder="1" applyAlignment="1">
      <alignment vertical="center" wrapText="1"/>
    </xf>
    <xf numFmtId="191" fontId="6" fillId="0" borderId="94" xfId="58" applyNumberFormat="1" applyFont="1" applyBorder="1" applyAlignment="1">
      <alignment vertical="center" wrapText="1"/>
    </xf>
    <xf numFmtId="191" fontId="6" fillId="0" borderId="3" xfId="58" applyNumberFormat="1" applyFont="1" applyBorder="1" applyAlignment="1">
      <alignment vertical="center" wrapText="1"/>
    </xf>
    <xf numFmtId="191" fontId="6" fillId="0" borderId="13" xfId="58" applyNumberFormat="1" applyFont="1" applyBorder="1" applyAlignment="1">
      <alignment vertical="center" wrapText="1"/>
    </xf>
    <xf numFmtId="178" fontId="6" fillId="0" borderId="21" xfId="58" applyNumberFormat="1" applyFont="1" applyBorder="1" applyAlignment="1">
      <alignment vertical="center" wrapText="1"/>
    </xf>
    <xf numFmtId="178" fontId="6" fillId="0" borderId="16" xfId="58" applyNumberFormat="1" applyFont="1" applyBorder="1" applyAlignment="1">
      <alignment vertical="center" wrapText="1"/>
    </xf>
    <xf numFmtId="178" fontId="6" fillId="0" borderId="10" xfId="58" applyNumberFormat="1" applyFont="1" applyBorder="1" applyAlignment="1">
      <alignment vertical="center" wrapText="1"/>
    </xf>
    <xf numFmtId="178" fontId="6" fillId="0" borderId="15" xfId="58" applyNumberFormat="1" applyFont="1" applyBorder="1" applyAlignment="1">
      <alignment vertical="center" wrapText="1"/>
    </xf>
    <xf numFmtId="178" fontId="6" fillId="0" borderId="62" xfId="58" applyNumberFormat="1" applyFont="1" applyBorder="1" applyAlignment="1">
      <alignment vertical="center" wrapText="1"/>
    </xf>
    <xf numFmtId="178" fontId="6" fillId="0" borderId="18" xfId="58" applyNumberFormat="1" applyFont="1" applyBorder="1" applyAlignment="1">
      <alignment vertical="center" wrapText="1"/>
    </xf>
    <xf numFmtId="178" fontId="6" fillId="0" borderId="19" xfId="58" applyNumberFormat="1" applyFont="1" applyBorder="1" applyAlignment="1">
      <alignment vertical="center" wrapText="1"/>
    </xf>
    <xf numFmtId="181" fontId="6" fillId="0" borderId="11" xfId="58" applyNumberFormat="1" applyFont="1" applyBorder="1" applyAlignment="1">
      <alignment horizontal="right" vertical="top"/>
    </xf>
    <xf numFmtId="181" fontId="6" fillId="0" borderId="6" xfId="58" applyNumberFormat="1" applyFont="1" applyBorder="1" applyAlignment="1">
      <alignment horizontal="right" vertical="top"/>
    </xf>
    <xf numFmtId="178" fontId="6" fillId="0" borderId="15" xfId="58" applyNumberFormat="1" applyFont="1" applyBorder="1" applyAlignment="1">
      <alignment horizontal="center" vertical="center" wrapText="1"/>
    </xf>
    <xf numFmtId="178" fontId="6" fillId="0" borderId="17" xfId="58" applyNumberFormat="1" applyFont="1" applyBorder="1" applyAlignment="1">
      <alignment vertical="center" wrapText="1"/>
    </xf>
    <xf numFmtId="178" fontId="6" fillId="0" borderId="20" xfId="58" applyNumberFormat="1" applyFont="1" applyBorder="1" applyAlignment="1">
      <alignment vertical="center" wrapText="1"/>
    </xf>
    <xf numFmtId="178" fontId="6" fillId="0" borderId="9" xfId="58" applyNumberFormat="1" applyFont="1" applyBorder="1" applyAlignment="1"/>
    <xf numFmtId="178" fontId="6" fillId="0" borderId="11" xfId="58" applyNumberFormat="1" applyFont="1" applyBorder="1" applyAlignment="1"/>
    <xf numFmtId="178" fontId="6" fillId="0" borderId="61" xfId="58" applyNumberFormat="1" applyFont="1" applyBorder="1" applyAlignment="1">
      <alignment vertical="center" wrapText="1"/>
    </xf>
    <xf numFmtId="181" fontId="6" fillId="0" borderId="3" xfId="58" applyNumberFormat="1" applyFont="1" applyBorder="1" applyAlignment="1">
      <alignment horizontal="right" vertical="top"/>
    </xf>
    <xf numFmtId="181" fontId="6" fillId="0" borderId="13" xfId="58" applyNumberFormat="1" applyFont="1" applyBorder="1" applyAlignment="1">
      <alignment horizontal="right" vertical="top"/>
    </xf>
    <xf numFmtId="178" fontId="6" fillId="0" borderId="3" xfId="58" applyNumberFormat="1" applyFont="1" applyBorder="1" applyAlignment="1"/>
    <xf numFmtId="178" fontId="15" fillId="0" borderId="9" xfId="58" applyNumberFormat="1" applyFont="1" applyBorder="1" applyAlignment="1">
      <alignment horizontal="left" vertical="center" wrapText="1"/>
    </xf>
    <xf numFmtId="178" fontId="15" fillId="0" borderId="11" xfId="58" applyNumberFormat="1" applyFont="1" applyBorder="1" applyAlignment="1">
      <alignment horizontal="left" vertical="center"/>
    </xf>
    <xf numFmtId="0" fontId="10" fillId="0" borderId="0" xfId="37" applyFont="1" applyFill="1" applyBorder="1" applyAlignment="1">
      <alignment horizontal="left" vertical="center"/>
    </xf>
    <xf numFmtId="178" fontId="6" fillId="0" borderId="69" xfId="58" applyNumberFormat="1" applyFont="1" applyBorder="1">
      <alignment vertical="center"/>
    </xf>
    <xf numFmtId="178" fontId="6" fillId="0" borderId="57" xfId="58" applyNumberFormat="1" applyFont="1" applyFill="1" applyBorder="1" applyAlignment="1">
      <alignment horizontal="center" vertical="center" wrapText="1"/>
    </xf>
    <xf numFmtId="178" fontId="6" fillId="0" borderId="32" xfId="58" applyNumberFormat="1" applyFont="1" applyFill="1" applyBorder="1" applyAlignment="1">
      <alignment horizontal="center" vertical="center" wrapText="1"/>
    </xf>
    <xf numFmtId="178" fontId="6" fillId="0" borderId="95" xfId="58" applyNumberFormat="1" applyFont="1" applyFill="1" applyBorder="1" applyAlignment="1">
      <alignment horizontal="center" vertical="center" wrapText="1"/>
    </xf>
    <xf numFmtId="3" fontId="6" fillId="0" borderId="21" xfId="58" applyNumberFormat="1" applyFont="1" applyFill="1" applyBorder="1" applyAlignment="1">
      <alignment vertical="center" wrapText="1"/>
    </xf>
    <xf numFmtId="3" fontId="6" fillId="0" borderId="8" xfId="58" applyNumberFormat="1" applyFont="1" applyFill="1" applyBorder="1" applyAlignment="1">
      <alignment vertical="center" wrapText="1"/>
    </xf>
    <xf numFmtId="3" fontId="6" fillId="0" borderId="16" xfId="58" applyNumberFormat="1" applyFont="1" applyFill="1" applyBorder="1" applyAlignment="1">
      <alignment vertical="center" wrapText="1"/>
    </xf>
    <xf numFmtId="3" fontId="6" fillId="0" borderId="3" xfId="58" applyNumberFormat="1" applyFont="1" applyFill="1" applyBorder="1" applyAlignment="1">
      <alignment vertical="center" wrapText="1"/>
    </xf>
    <xf numFmtId="3" fontId="6" fillId="0" borderId="0" xfId="58" applyNumberFormat="1" applyFont="1" applyFill="1" applyBorder="1" applyAlignment="1">
      <alignment vertical="center" wrapText="1"/>
    </xf>
    <xf numFmtId="3" fontId="6" fillId="0" borderId="10" xfId="58" applyNumberFormat="1" applyFont="1" applyFill="1" applyBorder="1" applyAlignment="1">
      <alignment vertical="center" wrapText="1"/>
    </xf>
    <xf numFmtId="3" fontId="6" fillId="0" borderId="21" xfId="58" applyNumberFormat="1" applyFont="1" applyFill="1" applyBorder="1" applyAlignment="1">
      <alignment vertical="center"/>
    </xf>
    <xf numFmtId="3" fontId="6" fillId="0" borderId="8" xfId="58" applyNumberFormat="1" applyFont="1" applyFill="1" applyBorder="1" applyAlignment="1">
      <alignment vertical="center"/>
    </xf>
    <xf numFmtId="3" fontId="6" fillId="0" borderId="16" xfId="58" applyNumberFormat="1" applyFont="1" applyFill="1" applyBorder="1" applyAlignment="1">
      <alignment vertical="center"/>
    </xf>
    <xf numFmtId="3" fontId="6" fillId="0" borderId="94" xfId="58" applyNumberFormat="1" applyFont="1" applyFill="1" applyBorder="1" applyAlignment="1">
      <alignment horizontal="center" vertical="center" wrapText="1"/>
    </xf>
    <xf numFmtId="3" fontId="6" fillId="0" borderId="60" xfId="58" applyNumberFormat="1" applyFont="1" applyFill="1" applyBorder="1" applyAlignment="1">
      <alignment horizontal="center" vertical="center" wrapText="1"/>
    </xf>
    <xf numFmtId="3" fontId="6" fillId="0" borderId="21" xfId="58" applyNumberFormat="1" applyFont="1" applyFill="1" applyBorder="1" applyAlignment="1">
      <alignment horizontal="center" vertical="center" wrapText="1" shrinkToFit="1"/>
    </xf>
    <xf numFmtId="3" fontId="6" fillId="0" borderId="16" xfId="58" applyNumberFormat="1" applyFont="1" applyFill="1" applyBorder="1" applyAlignment="1">
      <alignment horizontal="center" vertical="center" shrinkToFit="1"/>
    </xf>
    <xf numFmtId="3" fontId="6" fillId="0" borderId="3" xfId="58" applyNumberFormat="1" applyFont="1" applyFill="1" applyBorder="1" applyAlignment="1">
      <alignment horizontal="center" vertical="center" shrinkToFit="1"/>
    </xf>
    <xf numFmtId="3" fontId="6" fillId="0" borderId="10" xfId="58" applyNumberFormat="1" applyFont="1" applyFill="1" applyBorder="1" applyAlignment="1">
      <alignment horizontal="center" vertical="center" shrinkToFit="1"/>
    </xf>
    <xf numFmtId="3" fontId="130" fillId="0" borderId="9" xfId="58" applyNumberFormat="1" applyFont="1" applyFill="1" applyBorder="1" applyAlignment="1">
      <alignment horizontal="distributed" vertical="center" wrapText="1"/>
    </xf>
    <xf numFmtId="190" fontId="6" fillId="0" borderId="67" xfId="58" applyNumberFormat="1" applyFont="1" applyBorder="1" applyAlignment="1">
      <alignment horizontal="center" vertical="center" wrapText="1"/>
    </xf>
    <xf numFmtId="190" fontId="6" fillId="0" borderId="12" xfId="58" applyNumberFormat="1" applyFont="1" applyBorder="1" applyAlignment="1">
      <alignment horizontal="center" vertical="center" wrapText="1"/>
    </xf>
    <xf numFmtId="190" fontId="6" fillId="0" borderId="15" xfId="58" applyNumberFormat="1" applyFont="1" applyBorder="1" applyAlignment="1">
      <alignment horizontal="center" vertical="center" wrapText="1"/>
    </xf>
    <xf numFmtId="177" fontId="6" fillId="0" borderId="62" xfId="58" applyNumberFormat="1" applyFont="1" applyBorder="1" applyAlignment="1">
      <alignment horizontal="center" vertical="center" wrapText="1"/>
    </xf>
    <xf numFmtId="177" fontId="6" fillId="0" borderId="18" xfId="58" applyNumberFormat="1" applyFont="1" applyBorder="1" applyAlignment="1">
      <alignment horizontal="center" vertical="center" wrapText="1"/>
    </xf>
    <xf numFmtId="177" fontId="6" fillId="0" borderId="19" xfId="58" applyNumberFormat="1" applyFont="1" applyBorder="1" applyAlignment="1">
      <alignment horizontal="center" vertical="center" wrapText="1"/>
    </xf>
    <xf numFmtId="3" fontId="130" fillId="0" borderId="69" xfId="58" applyNumberFormat="1" applyFont="1" applyFill="1" applyBorder="1" applyAlignment="1">
      <alignment horizontal="distributed" vertical="center" wrapText="1"/>
    </xf>
    <xf numFmtId="177" fontId="6" fillId="0" borderId="16" xfId="58" applyNumberFormat="1" applyFont="1" applyBorder="1" applyAlignment="1">
      <alignment vertical="center" wrapText="1"/>
    </xf>
    <xf numFmtId="3" fontId="6" fillId="0" borderId="11" xfId="58" applyNumberFormat="1" applyFont="1" applyBorder="1" applyAlignment="1">
      <alignment horizontal="center" vertical="center"/>
    </xf>
    <xf numFmtId="178" fontId="6" fillId="0" borderId="67" xfId="58" applyNumberFormat="1" applyFont="1" applyBorder="1" applyAlignment="1">
      <alignment horizontal="right" vertical="center" wrapText="1"/>
    </xf>
    <xf numFmtId="178" fontId="6" fillId="0" borderId="12" xfId="58" applyNumberFormat="1" applyFont="1" applyBorder="1" applyAlignment="1">
      <alignment horizontal="right" vertical="center" wrapText="1"/>
    </xf>
    <xf numFmtId="178" fontId="6" fillId="0" borderId="15" xfId="58" applyNumberFormat="1" applyFont="1" applyBorder="1" applyAlignment="1">
      <alignment horizontal="right" vertical="center" wrapText="1"/>
    </xf>
    <xf numFmtId="178" fontId="6" fillId="0" borderId="62" xfId="58" applyNumberFormat="1" applyFont="1" applyBorder="1" applyAlignment="1">
      <alignment horizontal="right" vertical="center" wrapText="1"/>
    </xf>
    <xf numFmtId="178" fontId="6" fillId="0" borderId="18" xfId="58" applyNumberFormat="1" applyFont="1" applyBorder="1" applyAlignment="1">
      <alignment horizontal="right" vertical="center" wrapText="1"/>
    </xf>
    <xf numFmtId="178" fontId="6" fillId="0" borderId="19" xfId="58" applyNumberFormat="1" applyFont="1" applyBorder="1" applyAlignment="1">
      <alignment horizontal="right" vertical="center" wrapText="1"/>
    </xf>
    <xf numFmtId="178" fontId="6" fillId="0" borderId="97" xfId="58" applyNumberFormat="1" applyFont="1" applyBorder="1">
      <alignment vertical="center"/>
    </xf>
    <xf numFmtId="0" fontId="10" fillId="0" borderId="0" xfId="37" applyFont="1" applyFill="1" applyBorder="1" applyAlignment="1">
      <alignment horizontal="left"/>
    </xf>
    <xf numFmtId="0" fontId="132" fillId="0" borderId="14" xfId="0" applyFont="1" applyFill="1" applyBorder="1" applyAlignment="1">
      <alignment vertical="center"/>
    </xf>
    <xf numFmtId="178" fontId="10" fillId="0" borderId="21" xfId="58" applyNumberFormat="1" applyFont="1" applyBorder="1" applyAlignment="1">
      <alignment vertical="center" wrapText="1"/>
    </xf>
    <xf numFmtId="0" fontId="10" fillId="0" borderId="8" xfId="0" applyFont="1" applyBorder="1" applyAlignment="1">
      <alignment vertical="center" wrapText="1"/>
    </xf>
    <xf numFmtId="0" fontId="0" fillId="0" borderId="8" xfId="0" applyBorder="1" applyAlignment="1">
      <alignment vertical="center" wrapText="1"/>
    </xf>
    <xf numFmtId="0" fontId="0" fillId="0" borderId="16" xfId="0" applyBorder="1" applyAlignment="1">
      <alignment vertical="center" wrapText="1"/>
    </xf>
    <xf numFmtId="0" fontId="0" fillId="0" borderId="6" xfId="0" applyBorder="1" applyAlignment="1">
      <alignment vertical="center"/>
    </xf>
    <xf numFmtId="3" fontId="10" fillId="0" borderId="7" xfId="0" applyNumberFormat="1" applyFont="1" applyBorder="1" applyAlignment="1">
      <alignment horizontal="right" vertical="center"/>
    </xf>
    <xf numFmtId="178" fontId="6" fillId="0" borderId="3" xfId="58" applyNumberFormat="1" applyFont="1" applyFill="1" applyBorder="1" applyAlignment="1">
      <alignment horizontal="center" vertical="center" wrapText="1"/>
    </xf>
    <xf numFmtId="178" fontId="6" fillId="0" borderId="0" xfId="58" applyNumberFormat="1" applyFont="1" applyFill="1" applyBorder="1" applyAlignment="1">
      <alignment horizontal="center" vertical="center" wrapText="1"/>
    </xf>
    <xf numFmtId="178" fontId="6" fillId="0" borderId="10" xfId="58" applyNumberFormat="1" applyFont="1" applyFill="1" applyBorder="1" applyAlignment="1">
      <alignment horizontal="center" vertical="center" wrapText="1"/>
    </xf>
    <xf numFmtId="178" fontId="6" fillId="0" borderId="21" xfId="58" applyNumberFormat="1" applyFont="1" applyBorder="1" applyAlignment="1">
      <alignment horizontal="left" wrapText="1"/>
    </xf>
    <xf numFmtId="178" fontId="6" fillId="0" borderId="3" xfId="58" applyNumberFormat="1" applyFont="1" applyBorder="1" applyAlignment="1">
      <alignment horizontal="left"/>
    </xf>
    <xf numFmtId="181" fontId="6" fillId="0" borderId="12" xfId="58" applyNumberFormat="1" applyFont="1" applyBorder="1" applyAlignment="1">
      <alignment horizontal="right" vertical="top"/>
    </xf>
    <xf numFmtId="181" fontId="6" fillId="0" borderId="15" xfId="58" applyNumberFormat="1" applyFont="1" applyBorder="1" applyAlignment="1">
      <alignment horizontal="right" vertical="top"/>
    </xf>
    <xf numFmtId="178" fontId="6" fillId="0" borderId="62" xfId="58" applyNumberFormat="1" applyFont="1" applyBorder="1" applyAlignment="1">
      <alignment horizontal="left" wrapText="1"/>
    </xf>
    <xf numFmtId="178" fontId="6" fillId="0" borderId="18" xfId="58" applyNumberFormat="1" applyFont="1" applyBorder="1" applyAlignment="1">
      <alignment horizontal="left"/>
    </xf>
    <xf numFmtId="181" fontId="6" fillId="0" borderId="113" xfId="58" applyNumberFormat="1" applyFont="1" applyBorder="1" applyAlignment="1">
      <alignment horizontal="right" vertical="top"/>
    </xf>
    <xf numFmtId="181" fontId="6" fillId="0" borderId="114" xfId="58" applyNumberFormat="1" applyFont="1" applyBorder="1" applyAlignment="1">
      <alignment horizontal="right" vertical="top"/>
    </xf>
    <xf numFmtId="181" fontId="6" fillId="0" borderId="18" xfId="58" applyNumberFormat="1" applyFont="1" applyBorder="1" applyAlignment="1">
      <alignment horizontal="right" vertical="top"/>
    </xf>
    <xf numFmtId="181" fontId="6" fillId="0" borderId="19" xfId="58" applyNumberFormat="1" applyFont="1" applyBorder="1" applyAlignment="1">
      <alignment horizontal="right" vertical="top"/>
    </xf>
    <xf numFmtId="178" fontId="6" fillId="0" borderId="61" xfId="58" applyNumberFormat="1" applyFont="1" applyBorder="1" applyAlignment="1">
      <alignment horizontal="left" wrapText="1"/>
    </xf>
    <xf numFmtId="178" fontId="6" fillId="0" borderId="17" xfId="58" applyNumberFormat="1" applyFont="1" applyBorder="1" applyAlignment="1">
      <alignment horizontal="left"/>
    </xf>
    <xf numFmtId="178" fontId="6" fillId="0" borderId="112" xfId="58" applyNumberFormat="1" applyFont="1" applyBorder="1" applyAlignment="1">
      <alignment horizontal="left" wrapText="1"/>
    </xf>
    <xf numFmtId="178" fontId="6" fillId="0" borderId="113" xfId="58" applyNumberFormat="1" applyFont="1" applyBorder="1" applyAlignment="1">
      <alignment horizontal="left"/>
    </xf>
    <xf numFmtId="192" fontId="6" fillId="0" borderId="9" xfId="58" applyNumberFormat="1" applyFont="1" applyBorder="1" applyAlignment="1">
      <alignment horizontal="center" vertical="center"/>
    </xf>
    <xf numFmtId="192" fontId="6" fillId="0" borderId="11" xfId="58" applyNumberFormat="1" applyFont="1" applyBorder="1" applyAlignment="1">
      <alignment horizontal="center" vertical="center"/>
    </xf>
    <xf numFmtId="192" fontId="6" fillId="0" borderId="6" xfId="58" applyNumberFormat="1" applyFont="1" applyBorder="1" applyAlignment="1">
      <alignment horizontal="center" vertical="center"/>
    </xf>
    <xf numFmtId="178" fontId="6" fillId="0" borderId="9" xfId="58" applyNumberFormat="1" applyFont="1" applyBorder="1" applyAlignment="1">
      <alignment horizontal="left" wrapText="1"/>
    </xf>
    <xf numFmtId="178" fontId="6" fillId="0" borderId="11" xfId="58" applyNumberFormat="1" applyFont="1" applyBorder="1" applyAlignment="1">
      <alignment horizontal="left"/>
    </xf>
    <xf numFmtId="3" fontId="6" fillId="0" borderId="11" xfId="58" applyNumberFormat="1" applyFont="1" applyFill="1" applyBorder="1" applyAlignment="1">
      <alignment horizontal="center" vertical="center"/>
    </xf>
    <xf numFmtId="178" fontId="6" fillId="0" borderId="16" xfId="58" applyNumberFormat="1" applyFont="1" applyBorder="1" applyAlignment="1">
      <alignment horizontal="left" wrapText="1"/>
    </xf>
    <xf numFmtId="178" fontId="6" fillId="0" borderId="10" xfId="58" applyNumberFormat="1" applyFont="1" applyBorder="1" applyAlignment="1">
      <alignment horizontal="left"/>
    </xf>
    <xf numFmtId="181" fontId="6" fillId="0" borderId="10" xfId="58" applyNumberFormat="1" applyFont="1" applyBorder="1" applyAlignment="1">
      <alignment horizontal="right" vertical="top"/>
    </xf>
    <xf numFmtId="181" fontId="6" fillId="0" borderId="14" xfId="58" applyNumberFormat="1" applyFont="1" applyBorder="1" applyAlignment="1">
      <alignment horizontal="right" vertical="top"/>
    </xf>
    <xf numFmtId="177" fontId="6" fillId="0" borderId="109" xfId="58" applyNumberFormat="1" applyFont="1" applyBorder="1" applyAlignment="1">
      <alignment horizontal="center" vertical="center" wrapText="1"/>
    </xf>
    <xf numFmtId="177" fontId="6" fillId="0" borderId="12" xfId="58" applyNumberFormat="1" applyFont="1" applyBorder="1" applyAlignment="1">
      <alignment horizontal="center" vertical="center" wrapText="1"/>
    </xf>
    <xf numFmtId="3" fontId="6" fillId="0" borderId="5" xfId="58" applyNumberFormat="1" applyFont="1" applyBorder="1" applyAlignment="1">
      <alignment horizontal="center" vertical="center" wrapText="1"/>
    </xf>
    <xf numFmtId="3" fontId="6" fillId="0" borderId="18" xfId="58" applyNumberFormat="1" applyFont="1" applyBorder="1" applyAlignment="1">
      <alignment horizontal="center" vertical="center" wrapText="1"/>
    </xf>
    <xf numFmtId="0" fontId="132" fillId="0" borderId="10" xfId="0" applyFont="1" applyFill="1" applyBorder="1" applyAlignment="1">
      <alignment vertical="center"/>
    </xf>
    <xf numFmtId="178" fontId="10" fillId="0" borderId="21" xfId="0" applyNumberFormat="1" applyFont="1" applyBorder="1" applyAlignment="1">
      <alignment vertical="center"/>
    </xf>
    <xf numFmtId="0" fontId="0" fillId="0" borderId="8" xfId="0" applyBorder="1" applyAlignment="1">
      <alignment vertical="center"/>
    </xf>
    <xf numFmtId="0" fontId="0" fillId="0" borderId="16" xfId="0" applyBorder="1" applyAlignment="1">
      <alignment vertical="center"/>
    </xf>
    <xf numFmtId="0" fontId="10" fillId="0" borderId="3" xfId="0" applyFont="1" applyBorder="1" applyAlignment="1">
      <alignment vertical="center" wrapText="1"/>
    </xf>
    <xf numFmtId="0" fontId="0" fillId="0" borderId="0" xfId="0" applyAlignment="1">
      <alignment wrapText="1"/>
    </xf>
    <xf numFmtId="0" fontId="0" fillId="0" borderId="10" xfId="0" applyBorder="1" applyAlignment="1">
      <alignment wrapText="1"/>
    </xf>
    <xf numFmtId="0" fontId="0" fillId="0" borderId="8" xfId="0" applyBorder="1" applyAlignment="1">
      <alignment horizontal="left" vertical="center" wrapText="1"/>
    </xf>
    <xf numFmtId="0" fontId="0" fillId="0" borderId="16" xfId="0" applyBorder="1" applyAlignment="1">
      <alignment horizontal="left" vertical="center" wrapText="1"/>
    </xf>
    <xf numFmtId="178" fontId="10" fillId="0" borderId="0" xfId="58" applyNumberFormat="1" applyFont="1" applyAlignment="1">
      <alignment vertical="center" wrapText="1"/>
    </xf>
    <xf numFmtId="0" fontId="10" fillId="0" borderId="0" xfId="0" applyFont="1" applyAlignment="1">
      <alignment vertical="center" wrapText="1"/>
    </xf>
    <xf numFmtId="0" fontId="0" fillId="0" borderId="0" xfId="0" applyAlignment="1">
      <alignment vertical="center" wrapText="1"/>
    </xf>
    <xf numFmtId="193" fontId="10" fillId="0" borderId="8" xfId="0" applyNumberFormat="1" applyFont="1" applyBorder="1" applyAlignment="1">
      <alignment horizontal="center" vertical="center" wrapText="1"/>
    </xf>
    <xf numFmtId="178" fontId="6" fillId="0" borderId="10" xfId="58" applyNumberFormat="1" applyFont="1" applyBorder="1">
      <alignment vertical="center"/>
    </xf>
    <xf numFmtId="177" fontId="6" fillId="0" borderId="9" xfId="58" applyNumberFormat="1" applyFont="1" applyBorder="1" applyAlignment="1">
      <alignment horizontal="center" vertical="center"/>
    </xf>
    <xf numFmtId="3" fontId="6" fillId="0" borderId="2" xfId="58" applyNumberFormat="1" applyFont="1" applyFill="1" applyBorder="1" applyAlignment="1">
      <alignment horizontal="center" vertical="center"/>
    </xf>
    <xf numFmtId="3" fontId="6" fillId="0" borderId="24" xfId="58" applyNumberFormat="1" applyFont="1" applyFill="1" applyBorder="1" applyAlignment="1">
      <alignment horizontal="center" vertical="center"/>
    </xf>
    <xf numFmtId="177" fontId="6" fillId="0" borderId="25" xfId="58" applyNumberFormat="1" applyFont="1" applyFill="1" applyBorder="1" applyAlignment="1">
      <alignment horizontal="center" vertical="center"/>
    </xf>
    <xf numFmtId="177" fontId="6" fillId="0" borderId="2" xfId="58" applyNumberFormat="1" applyFont="1" applyFill="1" applyBorder="1" applyAlignment="1">
      <alignment horizontal="center" vertical="center"/>
    </xf>
    <xf numFmtId="177" fontId="6" fillId="0" borderId="24" xfId="58" applyNumberFormat="1" applyFont="1" applyFill="1" applyBorder="1" applyAlignment="1">
      <alignment horizontal="center" vertical="center"/>
    </xf>
    <xf numFmtId="179" fontId="6" fillId="0" borderId="11" xfId="58" applyNumberFormat="1" applyFont="1" applyBorder="1" applyAlignment="1">
      <alignment horizontal="right" vertical="center"/>
    </xf>
    <xf numFmtId="177" fontId="130" fillId="0" borderId="10" xfId="58" applyNumberFormat="1" applyFont="1" applyFill="1" applyBorder="1" applyAlignment="1">
      <alignment horizontal="center" vertical="center"/>
    </xf>
    <xf numFmtId="178" fontId="130" fillId="0" borderId="9" xfId="58" applyNumberFormat="1" applyFont="1" applyFill="1" applyBorder="1" applyAlignment="1">
      <alignment horizontal="left" wrapText="1"/>
    </xf>
    <xf numFmtId="178" fontId="130" fillId="0" borderId="11" xfId="58" applyNumberFormat="1" applyFont="1" applyFill="1" applyBorder="1" applyAlignment="1">
      <alignment horizontal="left"/>
    </xf>
    <xf numFmtId="181" fontId="130" fillId="0" borderId="11" xfId="58" applyNumberFormat="1" applyFont="1" applyFill="1" applyBorder="1" applyAlignment="1">
      <alignment horizontal="right" vertical="top"/>
    </xf>
    <xf numFmtId="181" fontId="130" fillId="0" borderId="6" xfId="58" applyNumberFormat="1" applyFont="1" applyFill="1" applyBorder="1" applyAlignment="1">
      <alignment horizontal="right" vertical="top"/>
    </xf>
    <xf numFmtId="177" fontId="130" fillId="0" borderId="0" xfId="58" applyNumberFormat="1" applyFont="1" applyFill="1" applyBorder="1" applyAlignment="1">
      <alignment horizontal="center" vertical="center"/>
    </xf>
    <xf numFmtId="0" fontId="79" fillId="2" borderId="21" xfId="84" applyFont="1" applyFill="1" applyBorder="1" applyAlignment="1" applyProtection="1">
      <alignment horizontal="center" vertical="center"/>
    </xf>
    <xf numFmtId="0" fontId="79" fillId="2" borderId="16" xfId="84" applyFont="1" applyFill="1" applyBorder="1" applyAlignment="1" applyProtection="1">
      <alignment horizontal="center" vertical="center"/>
    </xf>
    <xf numFmtId="0" fontId="79" fillId="2" borderId="13" xfId="84" applyFont="1" applyFill="1" applyBorder="1" applyAlignment="1" applyProtection="1">
      <alignment horizontal="center" vertical="center"/>
    </xf>
    <xf numFmtId="0" fontId="79" fillId="2" borderId="14" xfId="84" applyFont="1" applyFill="1" applyBorder="1" applyAlignment="1" applyProtection="1">
      <alignment horizontal="center" vertical="center"/>
    </xf>
    <xf numFmtId="0" fontId="79" fillId="2" borderId="0" xfId="84" applyFont="1" applyFill="1" applyBorder="1" applyAlignment="1" applyProtection="1">
      <alignment horizontal="left" vertical="center" shrinkToFit="1"/>
    </xf>
    <xf numFmtId="0" fontId="79" fillId="2" borderId="10" xfId="84" applyFont="1" applyFill="1" applyBorder="1" applyAlignment="1" applyProtection="1">
      <alignment horizontal="left" vertical="center" shrinkToFit="1"/>
    </xf>
    <xf numFmtId="0" fontId="79" fillId="2" borderId="6" xfId="84" applyFont="1" applyFill="1" applyBorder="1" applyAlignment="1" applyProtection="1">
      <alignment horizontal="center" vertical="center"/>
    </xf>
    <xf numFmtId="38" fontId="79" fillId="6" borderId="6" xfId="9" applyFont="1" applyFill="1" applyBorder="1" applyAlignment="1" applyProtection="1">
      <alignment horizontal="center" vertical="center"/>
    </xf>
    <xf numFmtId="38" fontId="79" fillId="6" borderId="6" xfId="9" applyFont="1" applyFill="1" applyBorder="1" applyAlignment="1" applyProtection="1">
      <alignment horizontal="center" vertical="center" wrapText="1"/>
    </xf>
    <xf numFmtId="0" fontId="79" fillId="2" borderId="198" xfId="84" applyFont="1" applyFill="1" applyBorder="1" applyAlignment="1" applyProtection="1">
      <alignment horizontal="center" vertical="center"/>
    </xf>
    <xf numFmtId="38" fontId="79" fillId="6" borderId="13" xfId="9" applyFont="1" applyFill="1" applyBorder="1" applyAlignment="1" applyProtection="1">
      <alignment horizontal="center" vertical="center"/>
    </xf>
    <xf numFmtId="38" fontId="79" fillId="6" borderId="237" xfId="9" applyFont="1" applyFill="1" applyBorder="1" applyAlignment="1" applyProtection="1">
      <alignment horizontal="center" vertical="center"/>
    </xf>
    <xf numFmtId="38" fontId="79" fillId="6" borderId="212" xfId="9" applyFont="1" applyFill="1" applyBorder="1" applyAlignment="1" applyProtection="1">
      <alignment horizontal="center" vertical="center"/>
    </xf>
    <xf numFmtId="38" fontId="79" fillId="6" borderId="243" xfId="9" applyFont="1" applyFill="1" applyBorder="1" applyAlignment="1" applyProtection="1">
      <alignment horizontal="center" vertical="center"/>
    </xf>
    <xf numFmtId="38" fontId="79" fillId="6" borderId="200" xfId="9" applyFont="1" applyFill="1" applyBorder="1" applyAlignment="1" applyProtection="1">
      <alignment horizontal="center" vertical="center"/>
    </xf>
    <xf numFmtId="38" fontId="79" fillId="6" borderId="198" xfId="9" applyFont="1" applyFill="1" applyBorder="1" applyAlignment="1" applyProtection="1">
      <alignment horizontal="center" vertical="center"/>
    </xf>
    <xf numFmtId="38" fontId="79" fillId="6" borderId="198" xfId="9" applyFont="1" applyFill="1" applyBorder="1" applyAlignment="1" applyProtection="1">
      <alignment horizontal="center" vertical="center" wrapText="1"/>
    </xf>
    <xf numFmtId="38" fontId="79" fillId="6" borderId="105" xfId="9" applyFont="1" applyFill="1" applyBorder="1" applyAlignment="1" applyProtection="1">
      <alignment horizontal="center" vertical="center"/>
    </xf>
    <xf numFmtId="38" fontId="79" fillId="6" borderId="2" xfId="9" applyFont="1" applyFill="1" applyBorder="1" applyAlignment="1" applyProtection="1">
      <alignment horizontal="center" vertical="center"/>
    </xf>
    <xf numFmtId="38" fontId="79" fillId="6" borderId="24" xfId="9" applyFont="1" applyFill="1" applyBorder="1" applyAlignment="1" applyProtection="1">
      <alignment horizontal="center" vertical="center"/>
    </xf>
    <xf numFmtId="38" fontId="79" fillId="6" borderId="255" xfId="9" applyFont="1" applyFill="1" applyBorder="1" applyAlignment="1" applyProtection="1">
      <alignment horizontal="center" vertical="center"/>
    </xf>
    <xf numFmtId="38" fontId="79" fillId="6" borderId="193" xfId="9" applyFont="1" applyFill="1" applyBorder="1" applyAlignment="1" applyProtection="1">
      <alignment horizontal="center" vertical="center"/>
    </xf>
    <xf numFmtId="38" fontId="79" fillId="6" borderId="234" xfId="9" applyFont="1" applyFill="1" applyBorder="1" applyAlignment="1" applyProtection="1">
      <alignment horizontal="center" vertical="center"/>
    </xf>
    <xf numFmtId="38" fontId="79" fillId="6" borderId="236" xfId="9" applyFont="1" applyFill="1" applyBorder="1" applyAlignment="1" applyProtection="1">
      <alignment horizontal="center" vertical="center"/>
    </xf>
    <xf numFmtId="38" fontId="79" fillId="6" borderId="92" xfId="9" applyFont="1" applyFill="1" applyBorder="1" applyAlignment="1" applyProtection="1">
      <alignment horizontal="center" vertical="center"/>
    </xf>
    <xf numFmtId="0" fontId="79" fillId="0" borderId="13" xfId="84" applyFont="1" applyBorder="1" applyAlignment="1" applyProtection="1">
      <alignment horizontal="center" vertical="center"/>
    </xf>
    <xf numFmtId="0" fontId="79" fillId="0" borderId="7" xfId="84" applyFont="1" applyBorder="1" applyAlignment="1" applyProtection="1">
      <alignment horizontal="center" vertical="center"/>
    </xf>
    <xf numFmtId="0" fontId="79" fillId="0" borderId="14" xfId="84" applyFont="1" applyBorder="1" applyAlignment="1" applyProtection="1">
      <alignment horizontal="center" vertical="center"/>
    </xf>
    <xf numFmtId="0" fontId="136" fillId="0" borderId="237" xfId="84" applyFont="1" applyBorder="1" applyAlignment="1" applyProtection="1">
      <alignment horizontal="center" vertical="top" wrapText="1"/>
    </xf>
    <xf numFmtId="0" fontId="79" fillId="0" borderId="237" xfId="84" applyFont="1" applyBorder="1" applyAlignment="1" applyProtection="1">
      <alignment horizontal="center" vertical="top" wrapText="1"/>
    </xf>
    <xf numFmtId="0" fontId="79" fillId="0" borderId="212" xfId="84" applyFont="1" applyBorder="1" applyAlignment="1" applyProtection="1">
      <alignment horizontal="center" vertical="top" wrapText="1"/>
    </xf>
    <xf numFmtId="0" fontId="79" fillId="0" borderId="21" xfId="84" applyFont="1" applyBorder="1" applyAlignment="1" applyProtection="1">
      <alignment horizontal="center" vertical="center"/>
    </xf>
    <xf numFmtId="0" fontId="79" fillId="0" borderId="8" xfId="84" applyFont="1" applyBorder="1" applyAlignment="1" applyProtection="1">
      <alignment horizontal="center" vertical="center"/>
    </xf>
    <xf numFmtId="0" fontId="79" fillId="0" borderId="16" xfId="84" applyFont="1" applyBorder="1" applyAlignment="1" applyProtection="1">
      <alignment horizontal="center" vertical="center"/>
    </xf>
    <xf numFmtId="38" fontId="79" fillId="6" borderId="26" xfId="9" applyFont="1" applyFill="1" applyBorder="1" applyAlignment="1" applyProtection="1">
      <alignment horizontal="center" vertical="center"/>
    </xf>
    <xf numFmtId="38" fontId="79" fillId="5" borderId="26" xfId="9" applyFont="1" applyFill="1" applyBorder="1" applyAlignment="1" applyProtection="1">
      <alignment horizontal="center" vertical="center"/>
      <protection locked="0"/>
    </xf>
    <xf numFmtId="0" fontId="136" fillId="0" borderId="21" xfId="84" applyFont="1" applyBorder="1" applyAlignment="1" applyProtection="1">
      <alignment horizontal="center" vertical="center" wrapText="1"/>
    </xf>
    <xf numFmtId="0" fontId="136" fillId="0" borderId="8" xfId="84" applyFont="1" applyBorder="1" applyAlignment="1" applyProtection="1">
      <alignment horizontal="center" vertical="center" wrapText="1"/>
    </xf>
    <xf numFmtId="0" fontId="136" fillId="0" borderId="16" xfId="84" applyFont="1" applyBorder="1" applyAlignment="1" applyProtection="1">
      <alignment horizontal="center" vertical="center" wrapText="1"/>
    </xf>
    <xf numFmtId="0" fontId="78" fillId="0" borderId="21" xfId="84" applyFont="1" applyBorder="1" applyAlignment="1" applyProtection="1">
      <alignment horizontal="center" vertical="center" wrapText="1"/>
    </xf>
    <xf numFmtId="0" fontId="78" fillId="0" borderId="8" xfId="84" applyFont="1" applyBorder="1" applyAlignment="1" applyProtection="1">
      <alignment horizontal="center" vertical="center" wrapText="1"/>
    </xf>
    <xf numFmtId="0" fontId="78" fillId="0" borderId="16" xfId="84" applyFont="1" applyBorder="1" applyAlignment="1" applyProtection="1">
      <alignment horizontal="center" vertical="center" wrapText="1"/>
    </xf>
    <xf numFmtId="0" fontId="136" fillId="0" borderId="240" xfId="84" applyFont="1" applyBorder="1" applyAlignment="1" applyProtection="1">
      <alignment horizontal="center" vertical="center" wrapText="1"/>
    </xf>
    <xf numFmtId="0" fontId="136" fillId="0" borderId="104" xfId="84" applyFont="1" applyBorder="1" applyAlignment="1" applyProtection="1">
      <alignment horizontal="center" vertical="center" wrapText="1"/>
    </xf>
    <xf numFmtId="0" fontId="136" fillId="0" borderId="247" xfId="84" applyFont="1" applyBorder="1" applyAlignment="1" applyProtection="1">
      <alignment horizontal="center" vertical="center" wrapText="1"/>
    </xf>
    <xf numFmtId="0" fontId="78" fillId="0" borderId="248" xfId="84" applyFont="1" applyBorder="1" applyAlignment="1" applyProtection="1">
      <alignment horizontal="center" vertical="center" wrapText="1"/>
    </xf>
    <xf numFmtId="0" fontId="80" fillId="0" borderId="89" xfId="84" applyFont="1" applyBorder="1" applyAlignment="1" applyProtection="1">
      <alignment horizontal="center" vertical="center" wrapText="1"/>
    </xf>
    <xf numFmtId="0" fontId="80" fillId="0" borderId="1" xfId="84" applyFont="1" applyBorder="1" applyAlignment="1" applyProtection="1">
      <alignment horizontal="center" vertical="center" wrapText="1"/>
    </xf>
    <xf numFmtId="0" fontId="80" fillId="0" borderId="36" xfId="84" applyFont="1" applyBorder="1" applyAlignment="1" applyProtection="1">
      <alignment horizontal="center" vertical="center" wrapText="1"/>
    </xf>
    <xf numFmtId="0" fontId="79" fillId="0" borderId="25" xfId="84" applyFont="1" applyBorder="1" applyAlignment="1" applyProtection="1">
      <alignment horizontal="center" vertical="center" wrapText="1"/>
    </xf>
    <xf numFmtId="0" fontId="79" fillId="0" borderId="2" xfId="84" applyFont="1" applyBorder="1" applyAlignment="1" applyProtection="1">
      <alignment horizontal="center" vertical="center"/>
    </xf>
    <xf numFmtId="0" fontId="79" fillId="0" borderId="24" xfId="84" applyFont="1" applyBorder="1" applyAlignment="1" applyProtection="1">
      <alignment horizontal="center" vertical="center"/>
    </xf>
    <xf numFmtId="38" fontId="79" fillId="6" borderId="25" xfId="84" applyNumberFormat="1" applyFont="1" applyFill="1" applyBorder="1" applyAlignment="1" applyProtection="1">
      <alignment horizontal="center" vertical="center"/>
    </xf>
    <xf numFmtId="0" fontId="79" fillId="6" borderId="2" xfId="84" applyFont="1" applyFill="1" applyBorder="1" applyAlignment="1" applyProtection="1">
      <alignment horizontal="center" vertical="center"/>
    </xf>
    <xf numFmtId="0" fontId="79" fillId="6" borderId="24" xfId="84" applyFont="1" applyFill="1" applyBorder="1" applyAlignment="1" applyProtection="1">
      <alignment horizontal="center" vertical="center"/>
    </xf>
    <xf numFmtId="38" fontId="79" fillId="6" borderId="192" xfId="9" applyFont="1" applyFill="1" applyBorder="1" applyAlignment="1" applyProtection="1">
      <alignment horizontal="center" vertical="center"/>
    </xf>
    <xf numFmtId="38" fontId="79" fillId="6" borderId="25" xfId="9" applyFont="1" applyFill="1" applyBorder="1" applyAlignment="1" applyProtection="1">
      <alignment horizontal="center" vertical="center"/>
    </xf>
    <xf numFmtId="38" fontId="79" fillId="6" borderId="26" xfId="9" applyFont="1" applyFill="1" applyBorder="1" applyAlignment="1" applyProtection="1">
      <alignment horizontal="center" vertical="center" wrapText="1"/>
    </xf>
    <xf numFmtId="38" fontId="79" fillId="6" borderId="238" xfId="9" applyFont="1" applyFill="1" applyBorder="1" applyAlignment="1" applyProtection="1">
      <alignment horizontal="center" vertical="center"/>
    </xf>
    <xf numFmtId="38" fontId="79" fillId="5" borderId="198" xfId="9" applyFont="1" applyFill="1" applyBorder="1" applyAlignment="1" applyProtection="1">
      <alignment horizontal="center" vertical="center"/>
      <protection locked="0"/>
    </xf>
    <xf numFmtId="0" fontId="78" fillId="0" borderId="26" xfId="84" applyFont="1" applyBorder="1" applyAlignment="1" applyProtection="1">
      <alignment horizontal="center" vertical="center" wrapText="1"/>
    </xf>
    <xf numFmtId="38" fontId="79" fillId="6" borderId="254" xfId="9" applyFont="1" applyFill="1" applyBorder="1" applyAlignment="1" applyProtection="1">
      <alignment horizontal="center" vertical="center"/>
    </xf>
    <xf numFmtId="0" fontId="79" fillId="0" borderId="13" xfId="84" applyFont="1" applyBorder="1" applyAlignment="1" applyProtection="1">
      <alignment horizontal="center" vertical="center" wrapText="1"/>
    </xf>
    <xf numFmtId="0" fontId="78" fillId="0" borderId="3" xfId="84" applyFont="1" applyBorder="1" applyAlignment="1" applyProtection="1">
      <alignment horizontal="center" vertical="center" wrapText="1"/>
    </xf>
    <xf numFmtId="0" fontId="78" fillId="0" borderId="0" xfId="84" applyFont="1" applyBorder="1" applyAlignment="1" applyProtection="1">
      <alignment horizontal="center" vertical="center" wrapText="1"/>
    </xf>
    <xf numFmtId="0" fontId="78" fillId="0" borderId="13" xfId="84" applyFont="1" applyBorder="1" applyAlignment="1" applyProtection="1">
      <alignment horizontal="center" vertical="center" wrapText="1"/>
    </xf>
    <xf numFmtId="0" fontId="78" fillId="0" borderId="7" xfId="84" applyFont="1" applyBorder="1" applyAlignment="1" applyProtection="1">
      <alignment horizontal="center" vertical="center" wrapText="1"/>
    </xf>
    <xf numFmtId="38" fontId="79" fillId="6" borderId="239" xfId="9" applyFont="1" applyFill="1" applyBorder="1" applyAlignment="1" applyProtection="1">
      <alignment horizontal="center" vertical="center"/>
    </xf>
    <xf numFmtId="38" fontId="79" fillId="6" borderId="240" xfId="9" applyFont="1" applyFill="1" applyBorder="1" applyAlignment="1" applyProtection="1">
      <alignment horizontal="center" vertical="center"/>
    </xf>
    <xf numFmtId="38" fontId="79" fillId="6" borderId="241" xfId="9" applyFont="1" applyFill="1" applyBorder="1" applyAlignment="1" applyProtection="1">
      <alignment horizontal="center" vertical="center"/>
    </xf>
    <xf numFmtId="38" fontId="79" fillId="6" borderId="242" xfId="9" applyFont="1" applyFill="1" applyBorder="1" applyAlignment="1" applyProtection="1">
      <alignment horizontal="center" vertical="center"/>
    </xf>
    <xf numFmtId="38" fontId="79" fillId="6" borderId="244" xfId="9" applyFont="1" applyFill="1" applyBorder="1" applyAlignment="1" applyProtection="1">
      <alignment horizontal="center" vertical="center"/>
    </xf>
    <xf numFmtId="0" fontId="79" fillId="2" borderId="26" xfId="84" applyFont="1" applyFill="1" applyBorder="1" applyAlignment="1" applyProtection="1">
      <alignment horizontal="center" vertical="center"/>
    </xf>
    <xf numFmtId="0" fontId="80" fillId="2" borderId="77" xfId="58" applyFont="1" applyFill="1" applyBorder="1" applyAlignment="1" applyProtection="1">
      <alignment horizontal="left" vertical="center" shrinkToFit="1"/>
    </xf>
    <xf numFmtId="0" fontId="80" fillId="2" borderId="199" xfId="58" applyFont="1" applyFill="1" applyBorder="1" applyAlignment="1" applyProtection="1">
      <alignment horizontal="left" vertical="center" shrinkToFit="1"/>
    </xf>
    <xf numFmtId="0" fontId="80" fillId="2" borderId="103" xfId="58" applyFont="1" applyFill="1" applyBorder="1" applyAlignment="1" applyProtection="1">
      <alignment horizontal="left" vertical="center" shrinkToFit="1"/>
    </xf>
    <xf numFmtId="38" fontId="80" fillId="2" borderId="141" xfId="12" applyFont="1" applyFill="1" applyBorder="1" applyAlignment="1" applyProtection="1">
      <alignment horizontal="right" vertical="center" shrinkToFit="1"/>
    </xf>
    <xf numFmtId="38" fontId="80" fillId="2" borderId="199" xfId="12" applyFont="1" applyFill="1" applyBorder="1" applyAlignment="1" applyProtection="1">
      <alignment horizontal="right" vertical="center" shrinkToFit="1"/>
    </xf>
    <xf numFmtId="0" fontId="80" fillId="5" borderId="227" xfId="58" applyFont="1" applyFill="1" applyBorder="1" applyAlignment="1" applyProtection="1">
      <alignment horizontal="center" vertical="center" shrinkToFit="1"/>
      <protection locked="0"/>
    </xf>
    <xf numFmtId="0" fontId="80" fillId="5" borderId="2" xfId="58" applyFont="1" applyFill="1" applyBorder="1" applyAlignment="1" applyProtection="1">
      <alignment horizontal="center" vertical="center" shrinkToFit="1"/>
      <protection locked="0"/>
    </xf>
    <xf numFmtId="0" fontId="80" fillId="5" borderId="24" xfId="58" applyFont="1" applyFill="1" applyBorder="1" applyAlignment="1" applyProtection="1">
      <alignment horizontal="center" vertical="center" shrinkToFit="1"/>
      <protection locked="0"/>
    </xf>
    <xf numFmtId="0" fontId="80" fillId="6" borderId="25" xfId="58" applyFont="1" applyFill="1" applyBorder="1" applyAlignment="1" applyProtection="1">
      <alignment horizontal="center" vertical="center" shrinkToFit="1"/>
      <protection locked="0"/>
    </xf>
    <xf numFmtId="0" fontId="80" fillId="6" borderId="2" xfId="58" applyFont="1" applyFill="1" applyBorder="1" applyAlignment="1" applyProtection="1">
      <alignment horizontal="center" vertical="center" shrinkToFit="1"/>
      <protection locked="0"/>
    </xf>
    <xf numFmtId="0" fontId="80" fillId="6" borderId="24" xfId="58" applyFont="1" applyFill="1" applyBorder="1" applyAlignment="1" applyProtection="1">
      <alignment horizontal="center" vertical="center" shrinkToFit="1"/>
      <protection locked="0"/>
    </xf>
    <xf numFmtId="0" fontId="80" fillId="4" borderId="25" xfId="58" applyFont="1" applyFill="1" applyBorder="1" applyAlignment="1" applyProtection="1">
      <alignment horizontal="center" vertical="center" shrinkToFit="1"/>
      <protection locked="0"/>
    </xf>
    <xf numFmtId="0" fontId="80" fillId="4" borderId="2" xfId="58" applyFont="1" applyFill="1" applyBorder="1" applyAlignment="1" applyProtection="1">
      <alignment horizontal="center" vertical="center" shrinkToFit="1"/>
      <protection locked="0"/>
    </xf>
    <xf numFmtId="0" fontId="80" fillId="4" borderId="24" xfId="58" applyFont="1" applyFill="1" applyBorder="1" applyAlignment="1" applyProtection="1">
      <alignment horizontal="center" vertical="center" shrinkToFit="1"/>
      <protection locked="0"/>
    </xf>
    <xf numFmtId="205" fontId="80" fillId="5" borderId="25" xfId="58" applyNumberFormat="1" applyFont="1" applyFill="1" applyBorder="1" applyAlignment="1" applyProtection="1">
      <alignment horizontal="center" vertical="center" shrinkToFit="1"/>
      <protection locked="0"/>
    </xf>
    <xf numFmtId="205" fontId="80" fillId="5" borderId="2" xfId="58" applyNumberFormat="1" applyFont="1" applyFill="1" applyBorder="1" applyAlignment="1" applyProtection="1">
      <alignment horizontal="center" vertical="center" shrinkToFit="1"/>
      <protection locked="0"/>
    </xf>
    <xf numFmtId="220" fontId="80" fillId="6" borderId="2" xfId="58" applyNumberFormat="1" applyFont="1" applyFill="1" applyBorder="1" applyAlignment="1" applyProtection="1">
      <alignment horizontal="center" vertical="center" shrinkToFit="1"/>
      <protection locked="0"/>
    </xf>
    <xf numFmtId="38" fontId="81" fillId="2" borderId="2" xfId="12" applyFont="1" applyFill="1" applyBorder="1" applyAlignment="1" applyProtection="1">
      <alignment horizontal="center" vertical="center" shrinkToFit="1"/>
    </xf>
    <xf numFmtId="0" fontId="78" fillId="0" borderId="10" xfId="84" applyFont="1" applyBorder="1" applyAlignment="1" applyProtection="1">
      <alignment horizontal="center" vertical="center" wrapText="1"/>
    </xf>
    <xf numFmtId="0" fontId="78" fillId="0" borderId="14" xfId="84" applyFont="1" applyBorder="1" applyAlignment="1" applyProtection="1">
      <alignment horizontal="center" vertical="center" wrapText="1"/>
    </xf>
    <xf numFmtId="0" fontId="78" fillId="0" borderId="236" xfId="84" applyFont="1" applyBorder="1" applyAlignment="1" applyProtection="1">
      <alignment horizontal="center" vertical="center" wrapText="1"/>
    </xf>
    <xf numFmtId="0" fontId="78" fillId="0" borderId="92" xfId="84" applyFont="1" applyBorder="1" applyAlignment="1" applyProtection="1">
      <alignment horizontal="center" vertical="center" wrapText="1"/>
    </xf>
    <xf numFmtId="0" fontId="80" fillId="0" borderId="13" xfId="84" applyFont="1" applyBorder="1" applyAlignment="1" applyProtection="1">
      <alignment horizontal="center" vertical="center" wrapText="1"/>
    </xf>
    <xf numFmtId="0" fontId="80" fillId="0" borderId="7" xfId="84" applyFont="1" applyBorder="1" applyAlignment="1" applyProtection="1">
      <alignment horizontal="center" vertical="center" wrapText="1"/>
    </xf>
    <xf numFmtId="0" fontId="80" fillId="0" borderId="14" xfId="84" applyFont="1" applyBorder="1" applyAlignment="1" applyProtection="1">
      <alignment horizontal="center" vertical="center" wrapText="1"/>
    </xf>
    <xf numFmtId="0" fontId="80" fillId="2" borderId="64" xfId="58" applyFont="1" applyFill="1" applyBorder="1" applyAlignment="1" applyProtection="1">
      <alignment horizontal="center" vertical="center" shrinkToFit="1"/>
    </xf>
    <xf numFmtId="0" fontId="80" fillId="2" borderId="24" xfId="58" applyFont="1" applyFill="1" applyBorder="1" applyAlignment="1" applyProtection="1">
      <alignment horizontal="center" vertical="center" shrinkToFit="1"/>
    </xf>
    <xf numFmtId="0" fontId="80" fillId="4" borderId="205" xfId="58" applyFont="1" applyFill="1" applyBorder="1" applyAlignment="1" applyProtection="1">
      <alignment horizontal="center" vertical="center" shrinkToFit="1"/>
      <protection locked="0"/>
    </xf>
    <xf numFmtId="221" fontId="80" fillId="4" borderId="227" xfId="58" applyNumberFormat="1" applyFont="1" applyFill="1" applyBorder="1" applyAlignment="1" applyProtection="1">
      <alignment horizontal="center" vertical="center" shrinkToFit="1"/>
      <protection locked="0"/>
    </xf>
    <xf numFmtId="221" fontId="80" fillId="4" borderId="205" xfId="58" applyNumberFormat="1" applyFont="1" applyFill="1" applyBorder="1" applyAlignment="1" applyProtection="1">
      <alignment horizontal="center" vertical="center" shrinkToFit="1"/>
      <protection locked="0"/>
    </xf>
    <xf numFmtId="0" fontId="80" fillId="4" borderId="227" xfId="58" applyFont="1" applyFill="1" applyBorder="1" applyAlignment="1" applyProtection="1">
      <alignment horizontal="center" vertical="center" shrinkToFit="1"/>
      <protection locked="0"/>
    </xf>
    <xf numFmtId="0" fontId="80" fillId="6" borderId="25" xfId="58" applyFont="1" applyFill="1" applyBorder="1" applyAlignment="1" applyProtection="1">
      <alignment horizontal="center" vertical="center" shrinkToFit="1"/>
    </xf>
    <xf numFmtId="0" fontId="80" fillId="6" borderId="2" xfId="58" applyFont="1" applyFill="1" applyBorder="1" applyAlignment="1" applyProtection="1">
      <alignment horizontal="center" vertical="center" shrinkToFit="1"/>
    </xf>
    <xf numFmtId="0" fontId="80" fillId="6" borderId="24" xfId="58" applyFont="1" applyFill="1" applyBorder="1" applyAlignment="1" applyProtection="1">
      <alignment horizontal="center" vertical="center" shrinkToFit="1"/>
    </xf>
    <xf numFmtId="220" fontId="80" fillId="6" borderId="2" xfId="58" applyNumberFormat="1" applyFont="1" applyFill="1" applyBorder="1" applyAlignment="1" applyProtection="1">
      <alignment horizontal="center" vertical="center" shrinkToFit="1"/>
    </xf>
    <xf numFmtId="0" fontId="79" fillId="0" borderId="25" xfId="84" applyFont="1" applyBorder="1" applyAlignment="1" applyProtection="1">
      <alignment horizontal="center" vertical="center"/>
    </xf>
    <xf numFmtId="0" fontId="80" fillId="3" borderId="13" xfId="58" applyFont="1" applyFill="1" applyBorder="1" applyAlignment="1" applyProtection="1">
      <alignment horizontal="center" vertical="center" shrinkToFit="1"/>
    </xf>
    <xf numFmtId="0" fontId="80" fillId="3" borderId="7" xfId="58" applyFont="1" applyFill="1" applyBorder="1" applyAlignment="1" applyProtection="1">
      <alignment horizontal="center" vertical="center" shrinkToFit="1"/>
    </xf>
    <xf numFmtId="0" fontId="80" fillId="3" borderId="102" xfId="58" applyFont="1" applyFill="1" applyBorder="1" applyAlignment="1" applyProtection="1">
      <alignment horizontal="center" vertical="center" shrinkToFit="1"/>
    </xf>
    <xf numFmtId="0" fontId="80" fillId="3" borderId="114" xfId="58" applyFont="1" applyFill="1" applyBorder="1" applyAlignment="1" applyProtection="1">
      <alignment horizontal="center" vertical="center" shrinkToFit="1"/>
    </xf>
    <xf numFmtId="0" fontId="80" fillId="3" borderId="14" xfId="58" applyFont="1" applyFill="1" applyBorder="1" applyAlignment="1" applyProtection="1">
      <alignment horizontal="center" vertical="center" shrinkToFit="1"/>
    </xf>
    <xf numFmtId="0" fontId="80" fillId="3" borderId="202" xfId="58" applyFont="1" applyFill="1" applyBorder="1" applyAlignment="1" applyProtection="1">
      <alignment horizontal="center" vertical="center"/>
    </xf>
    <xf numFmtId="0" fontId="80" fillId="3" borderId="205" xfId="58" applyFont="1" applyFill="1" applyBorder="1" applyAlignment="1" applyProtection="1">
      <alignment horizontal="center" vertical="center"/>
    </xf>
    <xf numFmtId="0" fontId="80" fillId="3" borderId="203" xfId="58" applyFont="1" applyFill="1" applyBorder="1" applyAlignment="1" applyProtection="1">
      <alignment horizontal="center" vertical="center"/>
    </xf>
    <xf numFmtId="0" fontId="80" fillId="0" borderId="37" xfId="84" applyFont="1" applyBorder="1" applyAlignment="1" applyProtection="1">
      <alignment horizontal="center" vertical="center" wrapText="1"/>
    </xf>
    <xf numFmtId="0" fontId="79" fillId="0" borderId="26" xfId="84" applyFont="1" applyBorder="1" applyAlignment="1" applyProtection="1">
      <alignment horizontal="center" vertical="center"/>
    </xf>
    <xf numFmtId="0" fontId="79" fillId="3" borderId="25" xfId="84" applyFont="1" applyFill="1" applyBorder="1" applyAlignment="1" applyProtection="1">
      <alignment horizontal="center" vertical="center"/>
    </xf>
    <xf numFmtId="0" fontId="79" fillId="3" borderId="24" xfId="84" applyFont="1" applyFill="1" applyBorder="1" applyAlignment="1" applyProtection="1">
      <alignment horizontal="center" vertical="center"/>
    </xf>
    <xf numFmtId="0" fontId="79" fillId="3" borderId="26" xfId="84" applyFont="1" applyFill="1" applyBorder="1" applyAlignment="1" applyProtection="1">
      <alignment horizontal="center" vertical="center"/>
    </xf>
    <xf numFmtId="0" fontId="27" fillId="0" borderId="26" xfId="84" applyFont="1" applyBorder="1" applyAlignment="1" applyProtection="1">
      <alignment horizontal="center" vertical="center"/>
    </xf>
    <xf numFmtId="0" fontId="79" fillId="0" borderId="213" xfId="84" applyFont="1" applyBorder="1" applyAlignment="1" applyProtection="1">
      <alignment horizontal="center" vertical="center" wrapText="1"/>
    </xf>
    <xf numFmtId="0" fontId="79" fillId="0" borderId="7" xfId="84" applyFont="1" applyBorder="1" applyAlignment="1" applyProtection="1">
      <alignment horizontal="center" vertical="center" wrapText="1"/>
    </xf>
    <xf numFmtId="0" fontId="79" fillId="0" borderId="14" xfId="84" applyFont="1" applyBorder="1" applyAlignment="1" applyProtection="1">
      <alignment horizontal="center" vertical="center" wrapText="1"/>
    </xf>
    <xf numFmtId="38" fontId="79" fillId="6" borderId="8" xfId="9" applyFont="1" applyFill="1" applyBorder="1" applyAlignment="1" applyProtection="1">
      <alignment horizontal="center" vertical="center"/>
    </xf>
    <xf numFmtId="38" fontId="79" fillId="6" borderId="16" xfId="9" applyFont="1" applyFill="1" applyBorder="1" applyAlignment="1" applyProtection="1">
      <alignment horizontal="center" vertical="center"/>
    </xf>
    <xf numFmtId="0" fontId="121" fillId="2" borderId="0" xfId="82" applyFont="1" applyFill="1" applyAlignment="1" applyProtection="1">
      <alignment horizontal="center" vertical="center" shrinkToFit="1"/>
    </xf>
    <xf numFmtId="220" fontId="79" fillId="2" borderId="0" xfId="84" applyNumberFormat="1" applyFont="1" applyFill="1" applyBorder="1" applyAlignment="1" applyProtection="1">
      <alignment horizontal="left" vertical="center" wrapText="1" indent="1"/>
    </xf>
    <xf numFmtId="220" fontId="80" fillId="2" borderId="0" xfId="58" applyNumberFormat="1" applyFont="1" applyFill="1" applyBorder="1" applyAlignment="1" applyProtection="1">
      <alignment horizontal="left" vertical="center" wrapText="1" indent="1"/>
    </xf>
    <xf numFmtId="0" fontId="80" fillId="3" borderId="89" xfId="58" applyFont="1" applyFill="1" applyBorder="1" applyAlignment="1" applyProtection="1">
      <alignment horizontal="center" vertical="center" wrapText="1"/>
    </xf>
    <xf numFmtId="0" fontId="80" fillId="3" borderId="88" xfId="58" applyFont="1" applyFill="1" applyBorder="1" applyAlignment="1" applyProtection="1">
      <alignment horizontal="center" vertical="center" wrapText="1"/>
    </xf>
    <xf numFmtId="0" fontId="80" fillId="3" borderId="74" xfId="58" applyFont="1" applyFill="1" applyBorder="1" applyAlignment="1" applyProtection="1">
      <alignment horizontal="center" vertical="center" wrapText="1"/>
    </xf>
    <xf numFmtId="0" fontId="80" fillId="3" borderId="14" xfId="58" applyFont="1" applyFill="1" applyBorder="1" applyAlignment="1" applyProtection="1">
      <alignment horizontal="center" vertical="center" wrapText="1"/>
    </xf>
    <xf numFmtId="0" fontId="80" fillId="3" borderId="108" xfId="58" applyFont="1" applyFill="1" applyBorder="1" applyAlignment="1" applyProtection="1">
      <alignment horizontal="center" vertical="center"/>
    </xf>
    <xf numFmtId="0" fontId="80" fillId="3" borderId="91" xfId="58" applyFont="1" applyFill="1" applyBorder="1" applyAlignment="1" applyProtection="1">
      <alignment horizontal="center" vertical="center"/>
    </xf>
    <xf numFmtId="0" fontId="80" fillId="3" borderId="88" xfId="58" applyFont="1" applyFill="1" applyBorder="1" applyAlignment="1" applyProtection="1">
      <alignment horizontal="center" vertical="center"/>
    </xf>
    <xf numFmtId="0" fontId="80" fillId="3" borderId="13" xfId="58" applyFont="1" applyFill="1" applyBorder="1" applyAlignment="1" applyProtection="1">
      <alignment horizontal="center" vertical="center"/>
    </xf>
    <xf numFmtId="0" fontId="80" fillId="3" borderId="7" xfId="58" applyFont="1" applyFill="1" applyBorder="1" applyAlignment="1" applyProtection="1">
      <alignment horizontal="center" vertical="center"/>
    </xf>
    <xf numFmtId="0" fontId="80" fillId="3" borderId="14" xfId="58" applyFont="1" applyFill="1" applyBorder="1" applyAlignment="1" applyProtection="1">
      <alignment horizontal="center" vertical="center"/>
    </xf>
    <xf numFmtId="0" fontId="80" fillId="3" borderId="82" xfId="58" applyFont="1" applyFill="1" applyBorder="1" applyAlignment="1" applyProtection="1">
      <alignment horizontal="center" vertical="center" shrinkToFit="1"/>
    </xf>
    <xf numFmtId="0" fontId="80" fillId="3" borderId="83" xfId="58" applyFont="1" applyFill="1" applyBorder="1" applyAlignment="1" applyProtection="1">
      <alignment horizontal="center" vertical="center" shrinkToFit="1"/>
    </xf>
    <xf numFmtId="0" fontId="80" fillId="3" borderId="84" xfId="58" applyFont="1" applyFill="1" applyBorder="1" applyAlignment="1" applyProtection="1">
      <alignment horizontal="center" vertical="center" shrinkToFit="1"/>
    </xf>
    <xf numFmtId="0" fontId="80" fillId="3" borderId="108" xfId="58" applyFont="1" applyFill="1" applyBorder="1" applyAlignment="1" applyProtection="1">
      <alignment horizontal="center" vertical="center" wrapText="1"/>
    </xf>
    <xf numFmtId="0" fontId="80" fillId="3" borderId="91" xfId="58" applyFont="1" applyFill="1" applyBorder="1" applyAlignment="1" applyProtection="1">
      <alignment horizontal="center" vertical="center" wrapText="1"/>
    </xf>
    <xf numFmtId="0" fontId="80" fillId="3" borderId="13" xfId="58" applyFont="1" applyFill="1" applyBorder="1" applyAlignment="1" applyProtection="1">
      <alignment horizontal="center" vertical="center" wrapText="1"/>
    </xf>
    <xf numFmtId="0" fontId="80" fillId="3" borderId="7" xfId="58" applyFont="1" applyFill="1" applyBorder="1" applyAlignment="1" applyProtection="1">
      <alignment horizontal="center" vertical="center" wrapText="1"/>
    </xf>
    <xf numFmtId="0" fontId="80" fillId="3" borderId="10" xfId="58" applyFont="1" applyFill="1" applyBorder="1" applyAlignment="1" applyProtection="1">
      <alignment horizontal="center" vertical="center" wrapText="1"/>
    </xf>
    <xf numFmtId="0" fontId="80" fillId="3" borderId="82" xfId="58" applyFont="1" applyFill="1" applyBorder="1" applyAlignment="1" applyProtection="1">
      <alignment horizontal="center" vertical="center"/>
    </xf>
    <xf numFmtId="0" fontId="80" fillId="3" borderId="83" xfId="58" applyFont="1" applyFill="1" applyBorder="1" applyAlignment="1" applyProtection="1">
      <alignment horizontal="center" vertical="center"/>
    </xf>
    <xf numFmtId="0" fontId="80" fillId="3" borderId="70" xfId="58" applyFont="1" applyFill="1" applyBorder="1" applyAlignment="1" applyProtection="1">
      <alignment horizontal="center" vertical="center"/>
    </xf>
    <xf numFmtId="0" fontId="80" fillId="3" borderId="227" xfId="58" applyFont="1" applyFill="1" applyBorder="1" applyAlignment="1" applyProtection="1">
      <alignment horizontal="center" vertical="center"/>
    </xf>
    <xf numFmtId="0" fontId="80" fillId="3" borderId="204" xfId="58" applyFont="1" applyFill="1" applyBorder="1" applyAlignment="1" applyProtection="1">
      <alignment horizontal="center" vertical="center"/>
    </xf>
    <xf numFmtId="38" fontId="79" fillId="6" borderId="229" xfId="9" applyFont="1" applyFill="1" applyBorder="1" applyAlignment="1" applyProtection="1">
      <alignment horizontal="center" vertical="center"/>
    </xf>
    <xf numFmtId="38" fontId="79" fillId="6" borderId="197" xfId="9" applyFont="1" applyFill="1" applyBorder="1" applyAlignment="1" applyProtection="1">
      <alignment horizontal="center" vertical="center"/>
    </xf>
    <xf numFmtId="0" fontId="27" fillId="2" borderId="26" xfId="84" applyFont="1" applyFill="1" applyBorder="1" applyAlignment="1" applyProtection="1">
      <alignment horizontal="center" vertical="center"/>
    </xf>
    <xf numFmtId="0" fontId="79" fillId="2" borderId="0" xfId="84" applyFont="1" applyFill="1" applyBorder="1" applyAlignment="1" applyProtection="1">
      <alignment horizontal="left" vertical="center"/>
    </xf>
    <xf numFmtId="38" fontId="89" fillId="2" borderId="252" xfId="58" applyNumberFormat="1" applyFont="1" applyFill="1" applyBorder="1" applyAlignment="1" applyProtection="1">
      <alignment horizontal="center" vertical="center"/>
    </xf>
    <xf numFmtId="38" fontId="89" fillId="2" borderId="246" xfId="58" applyNumberFormat="1" applyFont="1" applyFill="1" applyBorder="1" applyAlignment="1" applyProtection="1">
      <alignment horizontal="center" vertical="center"/>
    </xf>
    <xf numFmtId="38" fontId="89" fillId="2" borderId="253" xfId="58" applyNumberFormat="1" applyFont="1" applyFill="1" applyBorder="1" applyAlignment="1" applyProtection="1">
      <alignment horizontal="center" vertical="center"/>
    </xf>
    <xf numFmtId="0" fontId="79" fillId="2" borderId="3" xfId="84" applyFont="1" applyFill="1" applyBorder="1" applyAlignment="1" applyProtection="1">
      <alignment horizontal="center" vertical="center"/>
    </xf>
    <xf numFmtId="0" fontId="79" fillId="2" borderId="0" xfId="84" applyFont="1" applyFill="1" applyBorder="1" applyAlignment="1" applyProtection="1">
      <alignment horizontal="center" vertical="center"/>
    </xf>
    <xf numFmtId="38" fontId="79" fillId="2" borderId="8" xfId="84" applyNumberFormat="1" applyFont="1" applyFill="1" applyBorder="1" applyAlignment="1" applyProtection="1">
      <alignment horizontal="left" vertical="center" indent="1"/>
    </xf>
    <xf numFmtId="10" fontId="79" fillId="2" borderId="0" xfId="76" applyNumberFormat="1" applyFont="1" applyFill="1" applyBorder="1" applyAlignment="1" applyProtection="1">
      <alignment horizontal="left" vertical="center" shrinkToFit="1"/>
    </xf>
    <xf numFmtId="10" fontId="79" fillId="2" borderId="226" xfId="76" applyNumberFormat="1" applyFont="1" applyFill="1" applyBorder="1" applyAlignment="1" applyProtection="1">
      <alignment horizontal="left" vertical="center" shrinkToFit="1"/>
    </xf>
    <xf numFmtId="38" fontId="79" fillId="2" borderId="249" xfId="58" applyNumberFormat="1" applyFont="1" applyFill="1" applyBorder="1" applyAlignment="1" applyProtection="1">
      <alignment horizontal="center" vertical="center" shrinkToFit="1"/>
    </xf>
    <xf numFmtId="38" fontId="79" fillId="2" borderId="250" xfId="58" applyNumberFormat="1" applyFont="1" applyFill="1" applyBorder="1" applyAlignment="1" applyProtection="1">
      <alignment horizontal="center" vertical="center" shrinkToFit="1"/>
    </xf>
    <xf numFmtId="38" fontId="52" fillId="2" borderId="251" xfId="58" applyNumberFormat="1" applyFont="1" applyFill="1" applyBorder="1" applyAlignment="1" applyProtection="1">
      <alignment horizontal="center" vertical="center" shrinkToFit="1"/>
    </xf>
    <xf numFmtId="38" fontId="52" fillId="2" borderId="249" xfId="58" applyNumberFormat="1" applyFont="1" applyFill="1" applyBorder="1" applyAlignment="1" applyProtection="1">
      <alignment horizontal="center" vertical="center" shrinkToFit="1"/>
    </xf>
    <xf numFmtId="0" fontId="79" fillId="2" borderId="0" xfId="84" applyFont="1" applyFill="1" applyBorder="1" applyAlignment="1" applyProtection="1">
      <alignment horizontal="left" vertical="center" wrapText="1" shrinkToFit="1"/>
    </xf>
    <xf numFmtId="0" fontId="79" fillId="2" borderId="10" xfId="84" applyFont="1" applyFill="1" applyBorder="1" applyAlignment="1" applyProtection="1">
      <alignment horizontal="left" vertical="center" wrapText="1" shrinkToFit="1"/>
    </xf>
  </cellXfs>
  <cellStyles count="92">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76" builtinId="5"/>
    <cellStyle name="パーセント 2" xfId="5" xr:uid="{00000000-0005-0000-0000-000005000000}"/>
    <cellStyle name="パーセント 2 2" xfId="80" xr:uid="{00000000-0005-0000-0000-000006000000}"/>
    <cellStyle name="パーセント 3" xfId="6" xr:uid="{00000000-0005-0000-0000-000007000000}"/>
    <cellStyle name="パーセント 4" xfId="7" xr:uid="{00000000-0005-0000-0000-000008000000}"/>
    <cellStyle name="パーセント 5" xfId="8" xr:uid="{00000000-0005-0000-0000-000009000000}"/>
    <cellStyle name="ハイパーリンク 2" xfId="91" xr:uid="{00000000-0005-0000-0000-00000A000000}"/>
    <cellStyle name="桁区切り" xfId="9" builtinId="6"/>
    <cellStyle name="桁区切り 10" xfId="10" xr:uid="{00000000-0005-0000-0000-00000C000000}"/>
    <cellStyle name="桁区切り 10 2" xfId="11" xr:uid="{00000000-0005-0000-0000-00000D000000}"/>
    <cellStyle name="桁区切り 11" xfId="12" xr:uid="{00000000-0005-0000-0000-00000E000000}"/>
    <cellStyle name="桁区切り 2" xfId="13" xr:uid="{00000000-0005-0000-0000-00000F000000}"/>
    <cellStyle name="桁区切り 2 2" xfId="14" xr:uid="{00000000-0005-0000-0000-000010000000}"/>
    <cellStyle name="桁区切り 2 3" xfId="15" xr:uid="{00000000-0005-0000-0000-000011000000}"/>
    <cellStyle name="桁区切り 2 4" xfId="83" xr:uid="{00000000-0005-0000-0000-000012000000}"/>
    <cellStyle name="桁区切り 3" xfId="16" xr:uid="{00000000-0005-0000-0000-000013000000}"/>
    <cellStyle name="桁区切り 3 2" xfId="81" xr:uid="{00000000-0005-0000-0000-000014000000}"/>
    <cellStyle name="桁区切り 4" xfId="17" xr:uid="{00000000-0005-0000-0000-000015000000}"/>
    <cellStyle name="桁区切り 5" xfId="18" xr:uid="{00000000-0005-0000-0000-000016000000}"/>
    <cellStyle name="桁区切り 6" xfId="19" xr:uid="{00000000-0005-0000-0000-000017000000}"/>
    <cellStyle name="桁区切り 7" xfId="20" xr:uid="{00000000-0005-0000-0000-000018000000}"/>
    <cellStyle name="桁区切り 7 2" xfId="21" xr:uid="{00000000-0005-0000-0000-000019000000}"/>
    <cellStyle name="桁区切り 8" xfId="22" xr:uid="{00000000-0005-0000-0000-00001A000000}"/>
    <cellStyle name="桁区切り 9" xfId="23" xr:uid="{00000000-0005-0000-0000-00001B000000}"/>
    <cellStyle name="桁区切り 9 2" xfId="24" xr:uid="{00000000-0005-0000-0000-00001C000000}"/>
    <cellStyle name="小計" xfId="25" xr:uid="{00000000-0005-0000-0000-00001D000000}"/>
    <cellStyle name="通貨 2" xfId="26" xr:uid="{00000000-0005-0000-0000-00001F000000}"/>
    <cellStyle name="通貨 2 2" xfId="27" xr:uid="{00000000-0005-0000-0000-000020000000}"/>
    <cellStyle name="通貨 2 3" xfId="28" xr:uid="{00000000-0005-0000-0000-000021000000}"/>
    <cellStyle name="標準" xfId="0" builtinId="0"/>
    <cellStyle name="標準 10" xfId="29" xr:uid="{00000000-0005-0000-0000-000023000000}"/>
    <cellStyle name="標準 11" xfId="30" xr:uid="{00000000-0005-0000-0000-000024000000}"/>
    <cellStyle name="標準 11 2" xfId="31" xr:uid="{00000000-0005-0000-0000-000025000000}"/>
    <cellStyle name="標準 12" xfId="32" xr:uid="{00000000-0005-0000-0000-000026000000}"/>
    <cellStyle name="標準 12 2" xfId="33" xr:uid="{00000000-0005-0000-0000-000027000000}"/>
    <cellStyle name="標準 12 2 2" xfId="34" xr:uid="{00000000-0005-0000-0000-000028000000}"/>
    <cellStyle name="標準 12 2 2 2" xfId="35" xr:uid="{00000000-0005-0000-0000-000029000000}"/>
    <cellStyle name="標準 13" xfId="36" xr:uid="{00000000-0005-0000-0000-00002A000000}"/>
    <cellStyle name="標準 14" xfId="37" xr:uid="{00000000-0005-0000-0000-00002B000000}"/>
    <cellStyle name="標準 14 2" xfId="38" xr:uid="{00000000-0005-0000-0000-00002C000000}"/>
    <cellStyle name="標準 14 2 2" xfId="39" xr:uid="{00000000-0005-0000-0000-00002D000000}"/>
    <cellStyle name="標準 14 2 3" xfId="40" xr:uid="{00000000-0005-0000-0000-00002E000000}"/>
    <cellStyle name="標準 14 3" xfId="41" xr:uid="{00000000-0005-0000-0000-00002F000000}"/>
    <cellStyle name="標準 15" xfId="42" xr:uid="{00000000-0005-0000-0000-000030000000}"/>
    <cellStyle name="標準 15 2" xfId="43" xr:uid="{00000000-0005-0000-0000-000031000000}"/>
    <cellStyle name="標準 16" xfId="44" xr:uid="{00000000-0005-0000-0000-000032000000}"/>
    <cellStyle name="標準 16 2" xfId="45" xr:uid="{00000000-0005-0000-0000-000033000000}"/>
    <cellStyle name="標準 16 3" xfId="46" xr:uid="{00000000-0005-0000-0000-000034000000}"/>
    <cellStyle name="標準 17" xfId="47" xr:uid="{00000000-0005-0000-0000-000035000000}"/>
    <cellStyle name="標準 17 2" xfId="48" xr:uid="{00000000-0005-0000-0000-000036000000}"/>
    <cellStyle name="標準 18" xfId="87" xr:uid="{00000000-0005-0000-0000-000037000000}"/>
    <cellStyle name="標準 18 2" xfId="88" xr:uid="{00000000-0005-0000-0000-000038000000}"/>
    <cellStyle name="標準 2" xfId="49" xr:uid="{00000000-0005-0000-0000-000039000000}"/>
    <cellStyle name="標準 2 2" xfId="50" xr:uid="{00000000-0005-0000-0000-00003A000000}"/>
    <cellStyle name="標準 2 2 2" xfId="84" xr:uid="{00000000-0005-0000-0000-00003B000000}"/>
    <cellStyle name="標準 2 3" xfId="51" xr:uid="{00000000-0005-0000-0000-00003C000000}"/>
    <cellStyle name="標準 2 3 2" xfId="78" xr:uid="{00000000-0005-0000-0000-00003D000000}"/>
    <cellStyle name="標準 2 3 3" xfId="86" xr:uid="{00000000-0005-0000-0000-00003E000000}"/>
    <cellStyle name="標準 2 4" xfId="52" xr:uid="{00000000-0005-0000-0000-00003F000000}"/>
    <cellStyle name="標準 20" xfId="89" xr:uid="{00000000-0005-0000-0000-000040000000}"/>
    <cellStyle name="標準 3" xfId="53" xr:uid="{00000000-0005-0000-0000-000041000000}"/>
    <cellStyle name="標準 3 2" xfId="54" xr:uid="{00000000-0005-0000-0000-000042000000}"/>
    <cellStyle name="標準 3 2 2" xfId="55" xr:uid="{00000000-0005-0000-0000-000043000000}"/>
    <cellStyle name="標準 3 2 3" xfId="56" xr:uid="{00000000-0005-0000-0000-000044000000}"/>
    <cellStyle name="標準 3 2 4" xfId="90" xr:uid="{00000000-0005-0000-0000-000045000000}"/>
    <cellStyle name="標準 3 3" xfId="82" xr:uid="{00000000-0005-0000-0000-000046000000}"/>
    <cellStyle name="標準 3 4" xfId="85" xr:uid="{00000000-0005-0000-0000-000047000000}"/>
    <cellStyle name="標準 4" xfId="57" xr:uid="{00000000-0005-0000-0000-000048000000}"/>
    <cellStyle name="標準 4 2" xfId="58" xr:uid="{00000000-0005-0000-0000-000049000000}"/>
    <cellStyle name="標準 4 2 2" xfId="59" xr:uid="{00000000-0005-0000-0000-00004A000000}"/>
    <cellStyle name="標準 4 2 3" xfId="77" xr:uid="{00000000-0005-0000-0000-00004B000000}"/>
    <cellStyle name="標準 4 3" xfId="79" xr:uid="{00000000-0005-0000-0000-00004C000000}"/>
    <cellStyle name="標準 5" xfId="60" xr:uid="{00000000-0005-0000-0000-00004D000000}"/>
    <cellStyle name="標準 6" xfId="61" xr:uid="{00000000-0005-0000-0000-00004E000000}"/>
    <cellStyle name="標準 6 2" xfId="62" xr:uid="{00000000-0005-0000-0000-00004F000000}"/>
    <cellStyle name="標準 7" xfId="63" xr:uid="{00000000-0005-0000-0000-000050000000}"/>
    <cellStyle name="標準 7 2" xfId="64" xr:uid="{00000000-0005-0000-0000-000051000000}"/>
    <cellStyle name="標準 7 3" xfId="65" xr:uid="{00000000-0005-0000-0000-000052000000}"/>
    <cellStyle name="標準 7 4" xfId="66" xr:uid="{00000000-0005-0000-0000-000053000000}"/>
    <cellStyle name="標準 7 4 2" xfId="67" xr:uid="{00000000-0005-0000-0000-000054000000}"/>
    <cellStyle name="標準 7 4 2 2" xfId="68" xr:uid="{00000000-0005-0000-0000-000055000000}"/>
    <cellStyle name="標準 7 4 2 2 2" xfId="69" xr:uid="{00000000-0005-0000-0000-000056000000}"/>
    <cellStyle name="標準 7 5" xfId="70" xr:uid="{00000000-0005-0000-0000-000057000000}"/>
    <cellStyle name="標準 7 6" xfId="71" xr:uid="{00000000-0005-0000-0000-000058000000}"/>
    <cellStyle name="標準 8" xfId="72" xr:uid="{00000000-0005-0000-0000-000059000000}"/>
    <cellStyle name="標準 8 2" xfId="73" xr:uid="{00000000-0005-0000-0000-00005A000000}"/>
    <cellStyle name="標準 9" xfId="74" xr:uid="{00000000-0005-0000-0000-00005B000000}"/>
    <cellStyle name="標準 9 2" xfId="75" xr:uid="{00000000-0005-0000-0000-00005C000000}"/>
  </cellStyles>
  <dxfs count="320">
    <dxf>
      <fill>
        <patternFill>
          <bgColor rgb="FFFF7C80"/>
        </patternFill>
      </fill>
    </dxf>
    <dxf>
      <fill>
        <patternFill patternType="solid">
          <fgColor auto="1"/>
          <bgColor rgb="FFFF9999"/>
        </patternFill>
      </fill>
    </dxf>
    <dxf>
      <font>
        <b/>
        <i val="0"/>
        <color rgb="FFFF0000"/>
      </font>
      <fill>
        <patternFill patternType="solid">
          <fgColor auto="1"/>
          <bgColor theme="8" tint="0.79998168889431442"/>
        </patternFill>
      </fill>
    </dxf>
    <dxf>
      <font>
        <b/>
        <i val="0"/>
        <color rgb="FFFF0000"/>
      </font>
      <fill>
        <patternFill patternType="solid">
          <bgColor theme="8" tint="0.79998168889431442"/>
        </patternFill>
      </fill>
    </dxf>
    <dxf>
      <fill>
        <patternFill>
          <bgColor rgb="FFFF0000"/>
        </patternFill>
      </fill>
    </dxf>
    <dxf>
      <fill>
        <patternFill>
          <bgColor rgb="FFFF0000"/>
        </patternFill>
      </fill>
    </dxf>
    <dxf>
      <fill>
        <patternFill>
          <bgColor rgb="FFFF7C80"/>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Medium9"/>
  <colors>
    <mruColors>
      <color rgb="FFFFFFCC"/>
      <color rgb="FFFFCCCC"/>
      <color rgb="FFFF99FF"/>
      <color rgb="FFFF00FF"/>
      <color rgb="FFFFCCFF"/>
      <color rgb="FFFF9999"/>
      <color rgb="FFFF7C8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163286</xdr:rowOff>
    </xdr:from>
    <xdr:to>
      <xdr:col>5</xdr:col>
      <xdr:colOff>238125</xdr:colOff>
      <xdr:row>4</xdr:row>
      <xdr:rowOff>67715</xdr:rowOff>
    </xdr:to>
    <xdr:sp macro="" textlink="">
      <xdr:nvSpPr>
        <xdr:cNvPr id="3" name="正方形/長方形 2">
          <a:extLst>
            <a:ext uri="{FF2B5EF4-FFF2-40B4-BE49-F238E27FC236}">
              <a16:creationId xmlns:a16="http://schemas.microsoft.com/office/drawing/2014/main" id="{64D3D076-027B-4D1B-BA86-3A9A4E4F56A9}"/>
            </a:ext>
          </a:extLst>
        </xdr:cNvPr>
        <xdr:cNvSpPr/>
      </xdr:nvSpPr>
      <xdr:spPr>
        <a:xfrm>
          <a:off x="680357" y="163286"/>
          <a:ext cx="2959554" cy="6120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ysClr val="windowText" lastClr="000000"/>
              </a:solidFill>
            </a:rPr>
            <a:t>ステップ０</a:t>
          </a:r>
        </a:p>
      </xdr:txBody>
    </xdr:sp>
    <xdr:clientData/>
  </xdr:twoCellAnchor>
  <xdr:twoCellAnchor>
    <xdr:from>
      <xdr:col>1</xdr:col>
      <xdr:colOff>0</xdr:colOff>
      <xdr:row>26</xdr:row>
      <xdr:rowOff>136072</xdr:rowOff>
    </xdr:from>
    <xdr:to>
      <xdr:col>10</xdr:col>
      <xdr:colOff>628650</xdr:colOff>
      <xdr:row>26</xdr:row>
      <xdr:rowOff>748072</xdr:rowOff>
    </xdr:to>
    <xdr:sp macro="" textlink="">
      <xdr:nvSpPr>
        <xdr:cNvPr id="6" name="正方形/長方形 5">
          <a:extLst>
            <a:ext uri="{FF2B5EF4-FFF2-40B4-BE49-F238E27FC236}">
              <a16:creationId xmlns:a16="http://schemas.microsoft.com/office/drawing/2014/main" id="{8674885B-B280-4CDC-8968-848C842C5970}"/>
            </a:ext>
          </a:extLst>
        </xdr:cNvPr>
        <xdr:cNvSpPr/>
      </xdr:nvSpPr>
      <xdr:spPr>
        <a:xfrm>
          <a:off x="680357" y="2204358"/>
          <a:ext cx="6751864" cy="6120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ysClr val="windowText" lastClr="000000"/>
              </a:solidFill>
            </a:rPr>
            <a:t>ステップ２　年間の見込児童数を算出</a:t>
          </a:r>
        </a:p>
      </xdr:txBody>
    </xdr:sp>
    <xdr:clientData/>
  </xdr:twoCellAnchor>
  <xdr:twoCellAnchor>
    <xdr:from>
      <xdr:col>1</xdr:col>
      <xdr:colOff>1</xdr:colOff>
      <xdr:row>74</xdr:row>
      <xdr:rowOff>171450</xdr:rowOff>
    </xdr:from>
    <xdr:to>
      <xdr:col>10</xdr:col>
      <xdr:colOff>628651</xdr:colOff>
      <xdr:row>74</xdr:row>
      <xdr:rowOff>783450</xdr:rowOff>
    </xdr:to>
    <xdr:sp macro="" textlink="">
      <xdr:nvSpPr>
        <xdr:cNvPr id="7" name="正方形/長方形 6">
          <a:extLst>
            <a:ext uri="{FF2B5EF4-FFF2-40B4-BE49-F238E27FC236}">
              <a16:creationId xmlns:a16="http://schemas.microsoft.com/office/drawing/2014/main" id="{456DE1FF-F36B-48FF-A033-4200179712D0}"/>
            </a:ext>
          </a:extLst>
        </xdr:cNvPr>
        <xdr:cNvSpPr/>
      </xdr:nvSpPr>
      <xdr:spPr>
        <a:xfrm>
          <a:off x="680358" y="4811486"/>
          <a:ext cx="6751864" cy="6120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ysClr val="windowText" lastClr="000000"/>
              </a:solidFill>
            </a:rPr>
            <a:t>ステップ３　加算の入力</a:t>
          </a:r>
        </a:p>
      </xdr:txBody>
    </xdr:sp>
    <xdr:clientData/>
  </xdr:twoCellAnchor>
  <xdr:twoCellAnchor>
    <xdr:from>
      <xdr:col>1</xdr:col>
      <xdr:colOff>16330</xdr:colOff>
      <xdr:row>121</xdr:row>
      <xdr:rowOff>179614</xdr:rowOff>
    </xdr:from>
    <xdr:to>
      <xdr:col>10</xdr:col>
      <xdr:colOff>644980</xdr:colOff>
      <xdr:row>121</xdr:row>
      <xdr:rowOff>791614</xdr:rowOff>
    </xdr:to>
    <xdr:sp macro="" textlink="">
      <xdr:nvSpPr>
        <xdr:cNvPr id="8" name="正方形/長方形 7">
          <a:extLst>
            <a:ext uri="{FF2B5EF4-FFF2-40B4-BE49-F238E27FC236}">
              <a16:creationId xmlns:a16="http://schemas.microsoft.com/office/drawing/2014/main" id="{F0E6A845-1FAE-4E67-8BF0-03C4EE4BC0D8}"/>
            </a:ext>
          </a:extLst>
        </xdr:cNvPr>
        <xdr:cNvSpPr/>
      </xdr:nvSpPr>
      <xdr:spPr>
        <a:xfrm>
          <a:off x="696687" y="8180614"/>
          <a:ext cx="6751864" cy="6120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ysClr val="windowText" lastClr="000000"/>
              </a:solidFill>
            </a:rPr>
            <a:t>ステップ４　加算見込額の確認</a:t>
          </a:r>
        </a:p>
      </xdr:txBody>
    </xdr:sp>
    <xdr:clientData/>
  </xdr:twoCellAnchor>
  <xdr:twoCellAnchor>
    <xdr:from>
      <xdr:col>1</xdr:col>
      <xdr:colOff>0</xdr:colOff>
      <xdr:row>10</xdr:row>
      <xdr:rowOff>40821</xdr:rowOff>
    </xdr:from>
    <xdr:to>
      <xdr:col>10</xdr:col>
      <xdr:colOff>628650</xdr:colOff>
      <xdr:row>10</xdr:row>
      <xdr:rowOff>652821</xdr:rowOff>
    </xdr:to>
    <xdr:sp macro="" textlink="">
      <xdr:nvSpPr>
        <xdr:cNvPr id="11" name="正方形/長方形 10">
          <a:extLst>
            <a:ext uri="{FF2B5EF4-FFF2-40B4-BE49-F238E27FC236}">
              <a16:creationId xmlns:a16="http://schemas.microsoft.com/office/drawing/2014/main" id="{44189B8C-1C1C-4F33-AE7E-8467BE2A1003}"/>
            </a:ext>
          </a:extLst>
        </xdr:cNvPr>
        <xdr:cNvSpPr/>
      </xdr:nvSpPr>
      <xdr:spPr>
        <a:xfrm>
          <a:off x="680357" y="2109107"/>
          <a:ext cx="6751864" cy="6120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ysClr val="windowText" lastClr="000000"/>
              </a:solidFill>
            </a:rPr>
            <a:t>ステップ１　基本情報の入力</a:t>
          </a:r>
        </a:p>
      </xdr:txBody>
    </xdr:sp>
    <xdr:clientData/>
  </xdr:twoCellAnchor>
  <xdr:twoCellAnchor editAs="oneCell">
    <xdr:from>
      <xdr:col>1</xdr:col>
      <xdr:colOff>326572</xdr:colOff>
      <xdr:row>13</xdr:row>
      <xdr:rowOff>81644</xdr:rowOff>
    </xdr:from>
    <xdr:to>
      <xdr:col>15</xdr:col>
      <xdr:colOff>61164</xdr:colOff>
      <xdr:row>24</xdr:row>
      <xdr:rowOff>313604</xdr:rowOff>
    </xdr:to>
    <xdr:pic>
      <xdr:nvPicPr>
        <xdr:cNvPr id="4" name="図 3">
          <a:extLst>
            <a:ext uri="{FF2B5EF4-FFF2-40B4-BE49-F238E27FC236}">
              <a16:creationId xmlns:a16="http://schemas.microsoft.com/office/drawing/2014/main" id="{EE7528B8-2F85-4E51-B303-54CD496772F8}"/>
            </a:ext>
          </a:extLst>
        </xdr:cNvPr>
        <xdr:cNvPicPr>
          <a:picLocks noChangeAspect="1"/>
        </xdr:cNvPicPr>
      </xdr:nvPicPr>
      <xdr:blipFill>
        <a:blip xmlns:r="http://schemas.openxmlformats.org/officeDocument/2006/relationships" r:embed="rId1"/>
        <a:stretch>
          <a:fillRect/>
        </a:stretch>
      </xdr:blipFill>
      <xdr:spPr>
        <a:xfrm>
          <a:off x="1006929" y="3741965"/>
          <a:ext cx="9259592" cy="4572638"/>
        </a:xfrm>
        <a:prstGeom prst="rect">
          <a:avLst/>
        </a:prstGeom>
      </xdr:spPr>
    </xdr:pic>
    <xdr:clientData/>
  </xdr:twoCellAnchor>
  <xdr:twoCellAnchor editAs="oneCell">
    <xdr:from>
      <xdr:col>1</xdr:col>
      <xdr:colOff>312965</xdr:colOff>
      <xdr:row>28</xdr:row>
      <xdr:rowOff>95250</xdr:rowOff>
    </xdr:from>
    <xdr:to>
      <xdr:col>5</xdr:col>
      <xdr:colOff>180781</xdr:colOff>
      <xdr:row>29</xdr:row>
      <xdr:rowOff>204106</xdr:rowOff>
    </xdr:to>
    <xdr:pic>
      <xdr:nvPicPr>
        <xdr:cNvPr id="9" name="図 8">
          <a:extLst>
            <a:ext uri="{FF2B5EF4-FFF2-40B4-BE49-F238E27FC236}">
              <a16:creationId xmlns:a16="http://schemas.microsoft.com/office/drawing/2014/main" id="{F88DB998-5B1D-467A-9C86-82AAB2BB9EE3}"/>
            </a:ext>
          </a:extLst>
        </xdr:cNvPr>
        <xdr:cNvPicPr>
          <a:picLocks noChangeAspect="1"/>
        </xdr:cNvPicPr>
      </xdr:nvPicPr>
      <xdr:blipFill>
        <a:blip xmlns:r="http://schemas.openxmlformats.org/officeDocument/2006/relationships" r:embed="rId2"/>
        <a:stretch>
          <a:fillRect/>
        </a:stretch>
      </xdr:blipFill>
      <xdr:spPr>
        <a:xfrm>
          <a:off x="993322" y="10110107"/>
          <a:ext cx="2589245" cy="503464"/>
        </a:xfrm>
        <a:prstGeom prst="rect">
          <a:avLst/>
        </a:prstGeom>
      </xdr:spPr>
    </xdr:pic>
    <xdr:clientData/>
  </xdr:twoCellAnchor>
  <xdr:twoCellAnchor editAs="oneCell">
    <xdr:from>
      <xdr:col>1</xdr:col>
      <xdr:colOff>299357</xdr:colOff>
      <xdr:row>30</xdr:row>
      <xdr:rowOff>367393</xdr:rowOff>
    </xdr:from>
    <xdr:to>
      <xdr:col>5</xdr:col>
      <xdr:colOff>172847</xdr:colOff>
      <xdr:row>32</xdr:row>
      <xdr:rowOff>244929</xdr:rowOff>
    </xdr:to>
    <xdr:pic>
      <xdr:nvPicPr>
        <xdr:cNvPr id="10" name="図 9">
          <a:extLst>
            <a:ext uri="{FF2B5EF4-FFF2-40B4-BE49-F238E27FC236}">
              <a16:creationId xmlns:a16="http://schemas.microsoft.com/office/drawing/2014/main" id="{C2FD9984-3646-4919-8A50-2E20C7A34500}"/>
            </a:ext>
          </a:extLst>
        </xdr:cNvPr>
        <xdr:cNvPicPr>
          <a:picLocks noChangeAspect="1"/>
        </xdr:cNvPicPr>
      </xdr:nvPicPr>
      <xdr:blipFill>
        <a:blip xmlns:r="http://schemas.openxmlformats.org/officeDocument/2006/relationships" r:embed="rId3"/>
        <a:stretch>
          <a:fillRect/>
        </a:stretch>
      </xdr:blipFill>
      <xdr:spPr>
        <a:xfrm>
          <a:off x="979714" y="11171464"/>
          <a:ext cx="2594919" cy="666750"/>
        </a:xfrm>
        <a:prstGeom prst="rect">
          <a:avLst/>
        </a:prstGeom>
      </xdr:spPr>
    </xdr:pic>
    <xdr:clientData/>
  </xdr:twoCellAnchor>
  <xdr:twoCellAnchor editAs="oneCell">
    <xdr:from>
      <xdr:col>1</xdr:col>
      <xdr:colOff>231321</xdr:colOff>
      <xdr:row>34</xdr:row>
      <xdr:rowOff>190500</xdr:rowOff>
    </xdr:from>
    <xdr:to>
      <xdr:col>9</xdr:col>
      <xdr:colOff>399472</xdr:colOff>
      <xdr:row>52</xdr:row>
      <xdr:rowOff>365687</xdr:rowOff>
    </xdr:to>
    <xdr:pic>
      <xdr:nvPicPr>
        <xdr:cNvPr id="12" name="図 11">
          <a:extLst>
            <a:ext uri="{FF2B5EF4-FFF2-40B4-BE49-F238E27FC236}">
              <a16:creationId xmlns:a16="http://schemas.microsoft.com/office/drawing/2014/main" id="{D2FD7BED-E643-468F-9679-A06D18E8D9FE}"/>
            </a:ext>
          </a:extLst>
        </xdr:cNvPr>
        <xdr:cNvPicPr>
          <a:picLocks noChangeAspect="1"/>
        </xdr:cNvPicPr>
      </xdr:nvPicPr>
      <xdr:blipFill>
        <a:blip xmlns:r="http://schemas.openxmlformats.org/officeDocument/2006/relationships" r:embed="rId4"/>
        <a:stretch>
          <a:fillRect/>
        </a:stretch>
      </xdr:blipFill>
      <xdr:spPr>
        <a:xfrm>
          <a:off x="911678" y="12573000"/>
          <a:ext cx="5611008" cy="7278116"/>
        </a:xfrm>
        <a:prstGeom prst="rect">
          <a:avLst/>
        </a:prstGeom>
      </xdr:spPr>
    </xdr:pic>
    <xdr:clientData/>
  </xdr:twoCellAnchor>
  <xdr:twoCellAnchor editAs="oneCell">
    <xdr:from>
      <xdr:col>1</xdr:col>
      <xdr:colOff>312964</xdr:colOff>
      <xdr:row>56</xdr:row>
      <xdr:rowOff>217714</xdr:rowOff>
    </xdr:from>
    <xdr:to>
      <xdr:col>11</xdr:col>
      <xdr:colOff>616034</xdr:colOff>
      <xdr:row>59</xdr:row>
      <xdr:rowOff>119894</xdr:rowOff>
    </xdr:to>
    <xdr:pic>
      <xdr:nvPicPr>
        <xdr:cNvPr id="13" name="図 12">
          <a:extLst>
            <a:ext uri="{FF2B5EF4-FFF2-40B4-BE49-F238E27FC236}">
              <a16:creationId xmlns:a16="http://schemas.microsoft.com/office/drawing/2014/main" id="{6CB9AA6D-B910-4766-B327-E2A618B4E2BF}"/>
            </a:ext>
          </a:extLst>
        </xdr:cNvPr>
        <xdr:cNvPicPr>
          <a:picLocks noChangeAspect="1"/>
        </xdr:cNvPicPr>
      </xdr:nvPicPr>
      <xdr:blipFill>
        <a:blip xmlns:r="http://schemas.openxmlformats.org/officeDocument/2006/relationships" r:embed="rId5"/>
        <a:stretch>
          <a:fillRect/>
        </a:stretch>
      </xdr:blipFill>
      <xdr:spPr>
        <a:xfrm>
          <a:off x="993321" y="21281571"/>
          <a:ext cx="7106642" cy="1086002"/>
        </a:xfrm>
        <a:prstGeom prst="rect">
          <a:avLst/>
        </a:prstGeom>
      </xdr:spPr>
    </xdr:pic>
    <xdr:clientData/>
  </xdr:twoCellAnchor>
  <xdr:twoCellAnchor editAs="oneCell">
    <xdr:from>
      <xdr:col>1</xdr:col>
      <xdr:colOff>244929</xdr:colOff>
      <xdr:row>61</xdr:row>
      <xdr:rowOff>122464</xdr:rowOff>
    </xdr:from>
    <xdr:to>
      <xdr:col>12</xdr:col>
      <xdr:colOff>505906</xdr:colOff>
      <xdr:row>73</xdr:row>
      <xdr:rowOff>74132</xdr:rowOff>
    </xdr:to>
    <xdr:pic>
      <xdr:nvPicPr>
        <xdr:cNvPr id="14" name="図 13">
          <a:extLst>
            <a:ext uri="{FF2B5EF4-FFF2-40B4-BE49-F238E27FC236}">
              <a16:creationId xmlns:a16="http://schemas.microsoft.com/office/drawing/2014/main" id="{21E66BA0-9C21-4E20-B7DC-9C04BE8016F5}"/>
            </a:ext>
          </a:extLst>
        </xdr:cNvPr>
        <xdr:cNvPicPr>
          <a:picLocks noChangeAspect="1"/>
        </xdr:cNvPicPr>
      </xdr:nvPicPr>
      <xdr:blipFill>
        <a:blip xmlns:r="http://schemas.openxmlformats.org/officeDocument/2006/relationships" r:embed="rId6"/>
        <a:stretch>
          <a:fillRect/>
        </a:stretch>
      </xdr:blipFill>
      <xdr:spPr>
        <a:xfrm>
          <a:off x="925286" y="23553964"/>
          <a:ext cx="7744906" cy="4686954"/>
        </a:xfrm>
        <a:prstGeom prst="rect">
          <a:avLst/>
        </a:prstGeom>
      </xdr:spPr>
    </xdr:pic>
    <xdr:clientData/>
  </xdr:twoCellAnchor>
  <xdr:twoCellAnchor editAs="oneCell">
    <xdr:from>
      <xdr:col>4</xdr:col>
      <xdr:colOff>149677</xdr:colOff>
      <xdr:row>76</xdr:row>
      <xdr:rowOff>326571</xdr:rowOff>
    </xdr:from>
    <xdr:to>
      <xdr:col>7</xdr:col>
      <xdr:colOff>77639</xdr:colOff>
      <xdr:row>78</xdr:row>
      <xdr:rowOff>95249</xdr:rowOff>
    </xdr:to>
    <xdr:pic>
      <xdr:nvPicPr>
        <xdr:cNvPr id="15" name="図 14">
          <a:extLst>
            <a:ext uri="{FF2B5EF4-FFF2-40B4-BE49-F238E27FC236}">
              <a16:creationId xmlns:a16="http://schemas.microsoft.com/office/drawing/2014/main" id="{55ACC687-BFA8-422C-A8F2-956A34F6AECE}"/>
            </a:ext>
          </a:extLst>
        </xdr:cNvPr>
        <xdr:cNvPicPr>
          <a:picLocks noChangeAspect="1"/>
        </xdr:cNvPicPr>
      </xdr:nvPicPr>
      <xdr:blipFill>
        <a:blip xmlns:r="http://schemas.openxmlformats.org/officeDocument/2006/relationships" r:embed="rId7"/>
        <a:stretch>
          <a:fillRect/>
        </a:stretch>
      </xdr:blipFill>
      <xdr:spPr>
        <a:xfrm>
          <a:off x="2871106" y="30275892"/>
          <a:ext cx="1969033" cy="557892"/>
        </a:xfrm>
        <a:prstGeom prst="rect">
          <a:avLst/>
        </a:prstGeom>
      </xdr:spPr>
    </xdr:pic>
    <xdr:clientData/>
  </xdr:twoCellAnchor>
  <xdr:twoCellAnchor editAs="oneCell">
    <xdr:from>
      <xdr:col>11</xdr:col>
      <xdr:colOff>598715</xdr:colOff>
      <xdr:row>76</xdr:row>
      <xdr:rowOff>367393</xdr:rowOff>
    </xdr:from>
    <xdr:to>
      <xdr:col>15</xdr:col>
      <xdr:colOff>40823</xdr:colOff>
      <xdr:row>78</xdr:row>
      <xdr:rowOff>114592</xdr:rowOff>
    </xdr:to>
    <xdr:pic>
      <xdr:nvPicPr>
        <xdr:cNvPr id="16" name="図 15">
          <a:extLst>
            <a:ext uri="{FF2B5EF4-FFF2-40B4-BE49-F238E27FC236}">
              <a16:creationId xmlns:a16="http://schemas.microsoft.com/office/drawing/2014/main" id="{DF887CAF-44D9-4688-8BD6-66F41C9B5690}"/>
            </a:ext>
          </a:extLst>
        </xdr:cNvPr>
        <xdr:cNvPicPr>
          <a:picLocks noChangeAspect="1"/>
        </xdr:cNvPicPr>
      </xdr:nvPicPr>
      <xdr:blipFill>
        <a:blip xmlns:r="http://schemas.openxmlformats.org/officeDocument/2006/relationships" r:embed="rId8"/>
        <a:stretch>
          <a:fillRect/>
        </a:stretch>
      </xdr:blipFill>
      <xdr:spPr>
        <a:xfrm>
          <a:off x="8082644" y="30316714"/>
          <a:ext cx="2163536" cy="536413"/>
        </a:xfrm>
        <a:prstGeom prst="rect">
          <a:avLst/>
        </a:prstGeom>
      </xdr:spPr>
    </xdr:pic>
    <xdr:clientData/>
  </xdr:twoCellAnchor>
  <xdr:twoCellAnchor editAs="oneCell">
    <xdr:from>
      <xdr:col>1</xdr:col>
      <xdr:colOff>204107</xdr:colOff>
      <xdr:row>80</xdr:row>
      <xdr:rowOff>40823</xdr:rowOff>
    </xdr:from>
    <xdr:to>
      <xdr:col>19</xdr:col>
      <xdr:colOff>418117</xdr:colOff>
      <xdr:row>88</xdr:row>
      <xdr:rowOff>351550</xdr:rowOff>
    </xdr:to>
    <xdr:pic>
      <xdr:nvPicPr>
        <xdr:cNvPr id="18" name="図 17">
          <a:extLst>
            <a:ext uri="{FF2B5EF4-FFF2-40B4-BE49-F238E27FC236}">
              <a16:creationId xmlns:a16="http://schemas.microsoft.com/office/drawing/2014/main" id="{C0BB6959-B88A-4ED2-B9CE-4DF52014498E}"/>
            </a:ext>
          </a:extLst>
        </xdr:cNvPr>
        <xdr:cNvPicPr>
          <a:picLocks noChangeAspect="1"/>
        </xdr:cNvPicPr>
      </xdr:nvPicPr>
      <xdr:blipFill>
        <a:blip xmlns:r="http://schemas.openxmlformats.org/officeDocument/2006/relationships" r:embed="rId9"/>
        <a:stretch>
          <a:fillRect/>
        </a:stretch>
      </xdr:blipFill>
      <xdr:spPr>
        <a:xfrm>
          <a:off x="884464" y="31568573"/>
          <a:ext cx="12460439" cy="3467584"/>
        </a:xfrm>
        <a:prstGeom prst="rect">
          <a:avLst/>
        </a:prstGeom>
      </xdr:spPr>
    </xdr:pic>
    <xdr:clientData/>
  </xdr:twoCellAnchor>
  <xdr:twoCellAnchor editAs="oneCell">
    <xdr:from>
      <xdr:col>1</xdr:col>
      <xdr:colOff>163286</xdr:colOff>
      <xdr:row>91</xdr:row>
      <xdr:rowOff>0</xdr:rowOff>
    </xdr:from>
    <xdr:to>
      <xdr:col>19</xdr:col>
      <xdr:colOff>367770</xdr:colOff>
      <xdr:row>99</xdr:row>
      <xdr:rowOff>301201</xdr:rowOff>
    </xdr:to>
    <xdr:pic>
      <xdr:nvPicPr>
        <xdr:cNvPr id="19" name="図 18">
          <a:extLst>
            <a:ext uri="{FF2B5EF4-FFF2-40B4-BE49-F238E27FC236}">
              <a16:creationId xmlns:a16="http://schemas.microsoft.com/office/drawing/2014/main" id="{74CC3E61-594B-46B3-A15D-8C6021215BFE}"/>
            </a:ext>
          </a:extLst>
        </xdr:cNvPr>
        <xdr:cNvPicPr>
          <a:picLocks noChangeAspect="1"/>
        </xdr:cNvPicPr>
      </xdr:nvPicPr>
      <xdr:blipFill>
        <a:blip xmlns:r="http://schemas.openxmlformats.org/officeDocument/2006/relationships" r:embed="rId10"/>
        <a:stretch>
          <a:fillRect/>
        </a:stretch>
      </xdr:blipFill>
      <xdr:spPr>
        <a:xfrm>
          <a:off x="843643" y="35868429"/>
          <a:ext cx="12450913" cy="3458058"/>
        </a:xfrm>
        <a:prstGeom prst="rect">
          <a:avLst/>
        </a:prstGeom>
      </xdr:spPr>
    </xdr:pic>
    <xdr:clientData/>
  </xdr:twoCellAnchor>
  <xdr:twoCellAnchor editAs="oneCell">
    <xdr:from>
      <xdr:col>1</xdr:col>
      <xdr:colOff>136071</xdr:colOff>
      <xdr:row>102</xdr:row>
      <xdr:rowOff>54428</xdr:rowOff>
    </xdr:from>
    <xdr:to>
      <xdr:col>17</xdr:col>
      <xdr:colOff>262794</xdr:colOff>
      <xdr:row>119</xdr:row>
      <xdr:rowOff>205063</xdr:rowOff>
    </xdr:to>
    <xdr:pic>
      <xdr:nvPicPr>
        <xdr:cNvPr id="20" name="図 19">
          <a:extLst>
            <a:ext uri="{FF2B5EF4-FFF2-40B4-BE49-F238E27FC236}">
              <a16:creationId xmlns:a16="http://schemas.microsoft.com/office/drawing/2014/main" id="{CF685A6A-B843-4EF3-9B36-4C766D403F38}"/>
            </a:ext>
          </a:extLst>
        </xdr:cNvPr>
        <xdr:cNvPicPr>
          <a:picLocks noChangeAspect="1"/>
        </xdr:cNvPicPr>
      </xdr:nvPicPr>
      <xdr:blipFill>
        <a:blip xmlns:r="http://schemas.openxmlformats.org/officeDocument/2006/relationships" r:embed="rId11"/>
        <a:stretch>
          <a:fillRect/>
        </a:stretch>
      </xdr:blipFill>
      <xdr:spPr>
        <a:xfrm>
          <a:off x="816428" y="40263535"/>
          <a:ext cx="11012437" cy="6858957"/>
        </a:xfrm>
        <a:prstGeom prst="rect">
          <a:avLst/>
        </a:prstGeom>
      </xdr:spPr>
    </xdr:pic>
    <xdr:clientData/>
  </xdr:twoCellAnchor>
  <xdr:twoCellAnchor editAs="oneCell">
    <xdr:from>
      <xdr:col>4</xdr:col>
      <xdr:colOff>326571</xdr:colOff>
      <xdr:row>124</xdr:row>
      <xdr:rowOff>1</xdr:rowOff>
    </xdr:from>
    <xdr:to>
      <xdr:col>7</xdr:col>
      <xdr:colOff>555624</xdr:colOff>
      <xdr:row>125</xdr:row>
      <xdr:rowOff>176894</xdr:rowOff>
    </xdr:to>
    <xdr:pic>
      <xdr:nvPicPr>
        <xdr:cNvPr id="21" name="図 20">
          <a:extLst>
            <a:ext uri="{FF2B5EF4-FFF2-40B4-BE49-F238E27FC236}">
              <a16:creationId xmlns:a16="http://schemas.microsoft.com/office/drawing/2014/main" id="{D0CC0B72-3142-4AA9-B340-CC11C74BC94D}"/>
            </a:ext>
          </a:extLst>
        </xdr:cNvPr>
        <xdr:cNvPicPr>
          <a:picLocks noChangeAspect="1"/>
        </xdr:cNvPicPr>
      </xdr:nvPicPr>
      <xdr:blipFill>
        <a:blip xmlns:r="http://schemas.openxmlformats.org/officeDocument/2006/relationships" r:embed="rId12"/>
        <a:stretch>
          <a:fillRect/>
        </a:stretch>
      </xdr:blipFill>
      <xdr:spPr>
        <a:xfrm>
          <a:off x="3048000" y="49489180"/>
          <a:ext cx="2270124" cy="571500"/>
        </a:xfrm>
        <a:prstGeom prst="rect">
          <a:avLst/>
        </a:prstGeom>
      </xdr:spPr>
    </xdr:pic>
    <xdr:clientData/>
  </xdr:twoCellAnchor>
  <xdr:twoCellAnchor editAs="oneCell">
    <xdr:from>
      <xdr:col>13</xdr:col>
      <xdr:colOff>81643</xdr:colOff>
      <xdr:row>123</xdr:row>
      <xdr:rowOff>367393</xdr:rowOff>
    </xdr:from>
    <xdr:to>
      <xdr:col>16</xdr:col>
      <xdr:colOff>319940</xdr:colOff>
      <xdr:row>125</xdr:row>
      <xdr:rowOff>217714</xdr:rowOff>
    </xdr:to>
    <xdr:pic>
      <xdr:nvPicPr>
        <xdr:cNvPr id="22" name="図 21">
          <a:extLst>
            <a:ext uri="{FF2B5EF4-FFF2-40B4-BE49-F238E27FC236}">
              <a16:creationId xmlns:a16="http://schemas.microsoft.com/office/drawing/2014/main" id="{D20311B0-3627-4A16-97DE-5EE6A0A9DECB}"/>
            </a:ext>
          </a:extLst>
        </xdr:cNvPr>
        <xdr:cNvPicPr>
          <a:picLocks noChangeAspect="1"/>
        </xdr:cNvPicPr>
      </xdr:nvPicPr>
      <xdr:blipFill>
        <a:blip xmlns:r="http://schemas.openxmlformats.org/officeDocument/2006/relationships" r:embed="rId13"/>
        <a:stretch>
          <a:fillRect/>
        </a:stretch>
      </xdr:blipFill>
      <xdr:spPr>
        <a:xfrm>
          <a:off x="8926286" y="49461964"/>
          <a:ext cx="2279368" cy="639535"/>
        </a:xfrm>
        <a:prstGeom prst="rect">
          <a:avLst/>
        </a:prstGeom>
      </xdr:spPr>
    </xdr:pic>
    <xdr:clientData/>
  </xdr:twoCellAnchor>
  <xdr:twoCellAnchor editAs="oneCell">
    <xdr:from>
      <xdr:col>1</xdr:col>
      <xdr:colOff>40822</xdr:colOff>
      <xdr:row>129</xdr:row>
      <xdr:rowOff>176893</xdr:rowOff>
    </xdr:from>
    <xdr:to>
      <xdr:col>7</xdr:col>
      <xdr:colOff>178254</xdr:colOff>
      <xdr:row>145</xdr:row>
      <xdr:rowOff>44903</xdr:rowOff>
    </xdr:to>
    <xdr:pic>
      <xdr:nvPicPr>
        <xdr:cNvPr id="23" name="図 22">
          <a:extLst>
            <a:ext uri="{FF2B5EF4-FFF2-40B4-BE49-F238E27FC236}">
              <a16:creationId xmlns:a16="http://schemas.microsoft.com/office/drawing/2014/main" id="{5B781E87-13B7-48E8-9703-A3702908DD90}"/>
            </a:ext>
          </a:extLst>
        </xdr:cNvPr>
        <xdr:cNvPicPr>
          <a:picLocks noChangeAspect="1"/>
        </xdr:cNvPicPr>
      </xdr:nvPicPr>
      <xdr:blipFill>
        <a:blip xmlns:r="http://schemas.openxmlformats.org/officeDocument/2006/relationships" r:embed="rId14"/>
        <a:stretch>
          <a:fillRect/>
        </a:stretch>
      </xdr:blipFill>
      <xdr:spPr>
        <a:xfrm>
          <a:off x="721179" y="51639107"/>
          <a:ext cx="4219575" cy="6181725"/>
        </a:xfrm>
        <a:prstGeom prst="rect">
          <a:avLst/>
        </a:prstGeom>
      </xdr:spPr>
    </xdr:pic>
    <xdr:clientData/>
  </xdr:twoCellAnchor>
  <xdr:twoCellAnchor>
    <xdr:from>
      <xdr:col>1</xdr:col>
      <xdr:colOff>147249</xdr:colOff>
      <xdr:row>142</xdr:row>
      <xdr:rowOff>337673</xdr:rowOff>
    </xdr:from>
    <xdr:to>
      <xdr:col>7</xdr:col>
      <xdr:colOff>207899</xdr:colOff>
      <xdr:row>143</xdr:row>
      <xdr:rowOff>150067</xdr:rowOff>
    </xdr:to>
    <xdr:sp macro="" textlink="">
      <xdr:nvSpPr>
        <xdr:cNvPr id="24" name="フレーム 23">
          <a:extLst>
            <a:ext uri="{FF2B5EF4-FFF2-40B4-BE49-F238E27FC236}">
              <a16:creationId xmlns:a16="http://schemas.microsoft.com/office/drawing/2014/main" id="{95A28518-AC79-4203-8351-10AC0C7A93B4}"/>
            </a:ext>
          </a:extLst>
        </xdr:cNvPr>
        <xdr:cNvSpPr/>
      </xdr:nvSpPr>
      <xdr:spPr>
        <a:xfrm>
          <a:off x="827606" y="56929780"/>
          <a:ext cx="4142793" cy="207001"/>
        </a:xfrm>
        <a:prstGeom prst="frame">
          <a:avLst>
            <a:gd name="adj1" fmla="val 19694"/>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clientData/>
  </xdr:twoCellAnchor>
  <xdr:twoCellAnchor editAs="oneCell">
    <xdr:from>
      <xdr:col>10</xdr:col>
      <xdr:colOff>40822</xdr:colOff>
      <xdr:row>134</xdr:row>
      <xdr:rowOff>312964</xdr:rowOff>
    </xdr:from>
    <xdr:to>
      <xdr:col>25</xdr:col>
      <xdr:colOff>666901</xdr:colOff>
      <xdr:row>143</xdr:row>
      <xdr:rowOff>133821</xdr:rowOff>
    </xdr:to>
    <xdr:pic>
      <xdr:nvPicPr>
        <xdr:cNvPr id="2" name="図 1">
          <a:extLst>
            <a:ext uri="{FF2B5EF4-FFF2-40B4-BE49-F238E27FC236}">
              <a16:creationId xmlns:a16="http://schemas.microsoft.com/office/drawing/2014/main" id="{BDD0FCBA-5084-46B8-905B-2B8CF7296363}"/>
            </a:ext>
          </a:extLst>
        </xdr:cNvPr>
        <xdr:cNvPicPr>
          <a:picLocks noChangeAspect="1"/>
        </xdr:cNvPicPr>
      </xdr:nvPicPr>
      <xdr:blipFill>
        <a:blip xmlns:r="http://schemas.openxmlformats.org/officeDocument/2006/relationships" r:embed="rId15"/>
        <a:stretch>
          <a:fillRect/>
        </a:stretch>
      </xdr:blipFill>
      <xdr:spPr>
        <a:xfrm>
          <a:off x="6844393" y="53748214"/>
          <a:ext cx="10831437" cy="3372321"/>
        </a:xfrm>
        <a:prstGeom prst="rect">
          <a:avLst/>
        </a:prstGeom>
      </xdr:spPr>
    </xdr:pic>
    <xdr:clientData/>
  </xdr:twoCellAnchor>
  <xdr:twoCellAnchor>
    <xdr:from>
      <xdr:col>7</xdr:col>
      <xdr:colOff>217715</xdr:colOff>
      <xdr:row>134</xdr:row>
      <xdr:rowOff>326571</xdr:rowOff>
    </xdr:from>
    <xdr:to>
      <xdr:col>10</xdr:col>
      <xdr:colOff>54430</xdr:colOff>
      <xdr:row>142</xdr:row>
      <xdr:rowOff>285750</xdr:rowOff>
    </xdr:to>
    <xdr:cxnSp macro="">
      <xdr:nvCxnSpPr>
        <xdr:cNvPr id="17" name="直線コネクタ 16">
          <a:extLst>
            <a:ext uri="{FF2B5EF4-FFF2-40B4-BE49-F238E27FC236}">
              <a16:creationId xmlns:a16="http://schemas.microsoft.com/office/drawing/2014/main" id="{EC0F6566-05E0-4FF4-86A0-7C1C53D2FC3F}"/>
            </a:ext>
          </a:extLst>
        </xdr:cNvPr>
        <xdr:cNvCxnSpPr/>
      </xdr:nvCxnSpPr>
      <xdr:spPr>
        <a:xfrm flipV="1">
          <a:off x="4980215" y="53761821"/>
          <a:ext cx="1877786" cy="3116036"/>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204108</xdr:colOff>
      <xdr:row>143</xdr:row>
      <xdr:rowOff>27215</xdr:rowOff>
    </xdr:from>
    <xdr:to>
      <xdr:col>10</xdr:col>
      <xdr:colOff>54430</xdr:colOff>
      <xdr:row>143</xdr:row>
      <xdr:rowOff>176894</xdr:rowOff>
    </xdr:to>
    <xdr:cxnSp macro="">
      <xdr:nvCxnSpPr>
        <xdr:cNvPr id="27" name="直線コネクタ 26">
          <a:extLst>
            <a:ext uri="{FF2B5EF4-FFF2-40B4-BE49-F238E27FC236}">
              <a16:creationId xmlns:a16="http://schemas.microsoft.com/office/drawing/2014/main" id="{30A78725-246E-4B5A-B1FD-2A924FA58D8C}"/>
            </a:ext>
          </a:extLst>
        </xdr:cNvPr>
        <xdr:cNvCxnSpPr/>
      </xdr:nvCxnSpPr>
      <xdr:spPr>
        <a:xfrm flipV="1">
          <a:off x="4966608" y="57013929"/>
          <a:ext cx="1891393" cy="149679"/>
        </a:xfrm>
        <a:prstGeom prst="line">
          <a:avLst/>
        </a:prstGeom>
        <a:ln w="38100">
          <a:prstDash val="dash"/>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108856</xdr:colOff>
      <xdr:row>150</xdr:row>
      <xdr:rowOff>108857</xdr:rowOff>
    </xdr:from>
    <xdr:to>
      <xdr:col>20</xdr:col>
      <xdr:colOff>452247</xdr:colOff>
      <xdr:row>160</xdr:row>
      <xdr:rowOff>144791</xdr:rowOff>
    </xdr:to>
    <xdr:pic>
      <xdr:nvPicPr>
        <xdr:cNvPr id="25" name="図 24">
          <a:extLst>
            <a:ext uri="{FF2B5EF4-FFF2-40B4-BE49-F238E27FC236}">
              <a16:creationId xmlns:a16="http://schemas.microsoft.com/office/drawing/2014/main" id="{E1EBDF0A-BB8C-4632-8CB4-4B0C5AB6D938}"/>
            </a:ext>
          </a:extLst>
        </xdr:cNvPr>
        <xdr:cNvPicPr>
          <a:picLocks noChangeAspect="1"/>
        </xdr:cNvPicPr>
      </xdr:nvPicPr>
      <xdr:blipFill>
        <a:blip xmlns:r="http://schemas.openxmlformats.org/officeDocument/2006/relationships" r:embed="rId16"/>
        <a:stretch>
          <a:fillRect/>
        </a:stretch>
      </xdr:blipFill>
      <xdr:spPr>
        <a:xfrm>
          <a:off x="789213" y="59463214"/>
          <a:ext cx="13270177" cy="3982006"/>
        </a:xfrm>
        <a:prstGeom prst="rect">
          <a:avLst/>
        </a:prstGeom>
      </xdr:spPr>
    </xdr:pic>
    <xdr:clientData/>
  </xdr:twoCellAnchor>
  <xdr:twoCellAnchor editAs="oneCell">
    <xdr:from>
      <xdr:col>6</xdr:col>
      <xdr:colOff>108857</xdr:colOff>
      <xdr:row>148</xdr:row>
      <xdr:rowOff>13608</xdr:rowOff>
    </xdr:from>
    <xdr:to>
      <xdr:col>9</xdr:col>
      <xdr:colOff>68036</xdr:colOff>
      <xdr:row>149</xdr:row>
      <xdr:rowOff>63502</xdr:rowOff>
    </xdr:to>
    <xdr:pic>
      <xdr:nvPicPr>
        <xdr:cNvPr id="29" name="図 28">
          <a:extLst>
            <a:ext uri="{FF2B5EF4-FFF2-40B4-BE49-F238E27FC236}">
              <a16:creationId xmlns:a16="http://schemas.microsoft.com/office/drawing/2014/main" id="{2CA9306A-B5F1-41C0-97DE-25933EBB05A7}"/>
            </a:ext>
          </a:extLst>
        </xdr:cNvPr>
        <xdr:cNvPicPr>
          <a:picLocks noChangeAspect="1"/>
        </xdr:cNvPicPr>
      </xdr:nvPicPr>
      <xdr:blipFill>
        <a:blip xmlns:r="http://schemas.openxmlformats.org/officeDocument/2006/relationships" r:embed="rId17"/>
        <a:stretch>
          <a:fillRect/>
        </a:stretch>
      </xdr:blipFill>
      <xdr:spPr>
        <a:xfrm>
          <a:off x="4191000" y="58973358"/>
          <a:ext cx="2000250" cy="444501"/>
        </a:xfrm>
        <a:prstGeom prst="rect">
          <a:avLst/>
        </a:prstGeom>
      </xdr:spPr>
    </xdr:pic>
    <xdr:clientData/>
  </xdr:twoCellAnchor>
  <xdr:twoCellAnchor>
    <xdr:from>
      <xdr:col>15</xdr:col>
      <xdr:colOff>299358</xdr:colOff>
      <xdr:row>152</xdr:row>
      <xdr:rowOff>13607</xdr:rowOff>
    </xdr:from>
    <xdr:to>
      <xdr:col>16</xdr:col>
      <xdr:colOff>340179</xdr:colOff>
      <xdr:row>160</xdr:row>
      <xdr:rowOff>176892</xdr:rowOff>
    </xdr:to>
    <xdr:sp macro="" textlink="">
      <xdr:nvSpPr>
        <xdr:cNvPr id="30" name="フレーム 29">
          <a:extLst>
            <a:ext uri="{FF2B5EF4-FFF2-40B4-BE49-F238E27FC236}">
              <a16:creationId xmlns:a16="http://schemas.microsoft.com/office/drawing/2014/main" id="{F8239ADB-09C9-4B6C-9D3E-C945A4ABF62A}"/>
            </a:ext>
          </a:extLst>
        </xdr:cNvPr>
        <xdr:cNvSpPr/>
      </xdr:nvSpPr>
      <xdr:spPr>
        <a:xfrm>
          <a:off x="10504715" y="60157178"/>
          <a:ext cx="721178" cy="3320143"/>
        </a:xfrm>
        <a:prstGeom prst="frame">
          <a:avLst>
            <a:gd name="adj1" fmla="val 8373"/>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201706</xdr:colOff>
      <xdr:row>53</xdr:row>
      <xdr:rowOff>43295</xdr:rowOff>
    </xdr:from>
    <xdr:to>
      <xdr:col>12</xdr:col>
      <xdr:colOff>372340</xdr:colOff>
      <xdr:row>55</xdr:row>
      <xdr:rowOff>216477</xdr:rowOff>
    </xdr:to>
    <xdr:sp macro="" textlink="">
      <xdr:nvSpPr>
        <xdr:cNvPr id="3" name="右中かっこ 2">
          <a:extLst>
            <a:ext uri="{FF2B5EF4-FFF2-40B4-BE49-F238E27FC236}">
              <a16:creationId xmlns:a16="http://schemas.microsoft.com/office/drawing/2014/main" id="{00000000-0008-0000-0800-000003000000}"/>
            </a:ext>
          </a:extLst>
        </xdr:cNvPr>
        <xdr:cNvSpPr/>
      </xdr:nvSpPr>
      <xdr:spPr>
        <a:xfrm>
          <a:off x="5681382" y="11675001"/>
          <a:ext cx="674899" cy="666241"/>
        </a:xfrm>
        <a:prstGeom prst="rightBrace">
          <a:avLst>
            <a:gd name="adj1" fmla="val 8333"/>
            <a:gd name="adj2" fmla="val 51515"/>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28</xdr:col>
      <xdr:colOff>448235</xdr:colOff>
      <xdr:row>5</xdr:row>
      <xdr:rowOff>56029</xdr:rowOff>
    </xdr:from>
    <xdr:ext cx="6801971" cy="2322431"/>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9110382" y="1210235"/>
          <a:ext cx="6801971" cy="2322431"/>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このシートで処遇改善等加算</a:t>
          </a:r>
          <a:r>
            <a:rPr kumimoji="1" lang="en-US" altLang="ja-JP" sz="1400"/>
            <a:t>Ⅰ</a:t>
          </a:r>
          <a:r>
            <a:rPr kumimoji="1" lang="ja-JP" altLang="en-US" sz="1400"/>
            <a:t>・</a:t>
          </a:r>
          <a:r>
            <a:rPr kumimoji="1" lang="en-US" altLang="ja-JP" sz="1400"/>
            <a:t>Ⅱ</a:t>
          </a:r>
          <a:r>
            <a:rPr kumimoji="1" lang="ja-JP" altLang="en-US" sz="1400"/>
            <a:t>の見込金額の算定基礎となる児童数を算出します。</a:t>
          </a:r>
          <a:endParaRPr kumimoji="1" lang="en-US" altLang="ja-JP" sz="1400"/>
        </a:p>
        <a:p>
          <a:endParaRPr kumimoji="1" lang="en-US" altLang="ja-JP" sz="1400"/>
        </a:p>
        <a:p>
          <a:r>
            <a:rPr kumimoji="1" lang="ja-JP" altLang="en-US" sz="1400"/>
            <a:t>（１）で、前年度実績より</a:t>
          </a:r>
          <a:r>
            <a:rPr kumimoji="1" lang="en-US" altLang="ja-JP" sz="1400"/>
            <a:t>4</a:t>
          </a:r>
          <a:r>
            <a:rPr kumimoji="1" lang="ja-JP" altLang="en-US" sz="1400"/>
            <a:t>月から</a:t>
          </a:r>
          <a:r>
            <a:rPr kumimoji="1" lang="en-US" altLang="ja-JP" sz="1400"/>
            <a:t>5</a:t>
          </a:r>
          <a:r>
            <a:rPr kumimoji="1" lang="ja-JP" altLang="en-US" sz="1400"/>
            <a:t>月以降の伸び率を算定</a:t>
          </a:r>
          <a:endParaRPr kumimoji="1" lang="en-US" altLang="ja-JP" sz="1400"/>
        </a:p>
        <a:p>
          <a:r>
            <a:rPr kumimoji="1" lang="ja-JP" altLang="en-US" sz="1400"/>
            <a:t>（２）で、</a:t>
          </a:r>
          <a:r>
            <a:rPr kumimoji="1" lang="en-US" altLang="ja-JP" sz="1400"/>
            <a:t>4</a:t>
          </a:r>
          <a:r>
            <a:rPr kumimoji="1" lang="ja-JP" altLang="en-US" sz="1400"/>
            <a:t>月の初日児童数</a:t>
          </a:r>
          <a:r>
            <a:rPr kumimoji="1" lang="en-US" altLang="ja-JP" sz="1400"/>
            <a:t>×</a:t>
          </a:r>
          <a:r>
            <a:rPr kumimoji="1" lang="ja-JP" altLang="en-US" sz="1400"/>
            <a:t>（１）で算定した伸び率で年間の平均児童数（年齢別）を算出</a:t>
          </a:r>
          <a:endParaRPr kumimoji="1" lang="en-US" altLang="ja-JP" sz="1400"/>
        </a:p>
        <a:p>
          <a:endParaRPr kumimoji="1" lang="en-US" altLang="ja-JP" sz="1400"/>
        </a:p>
        <a:p>
          <a:r>
            <a:rPr kumimoji="1" lang="ja-JP" altLang="en-US" sz="1400"/>
            <a:t>ただし、（１）～（２）の手順で算定すると実態と乖離してしまう施設や、新規開設で前年度実績が無い施設については、（３）～（４）により年間の見込み児童数を直接入力する。</a:t>
          </a:r>
          <a:endParaRPr kumimoji="1" lang="en-US" altLang="ja-JP" sz="1400"/>
        </a:p>
        <a:p>
          <a:endParaRPr kumimoji="1" lang="en-US" altLang="ja-JP" sz="1400"/>
        </a:p>
        <a:p>
          <a:r>
            <a:rPr kumimoji="1" lang="en-US" altLang="ja-JP" sz="1400"/>
            <a:t>※</a:t>
          </a:r>
          <a:r>
            <a:rPr kumimoji="1" lang="ja-JP" altLang="en-US" sz="1400"/>
            <a:t>分園がある施設は（児童数</a:t>
          </a:r>
          <a:r>
            <a:rPr kumimoji="1" lang="en-US" altLang="ja-JP" sz="1400"/>
            <a:t>-</a:t>
          </a:r>
          <a:r>
            <a:rPr kumimoji="1" lang="ja-JP" altLang="en-US" sz="1400"/>
            <a:t>分園）シートも入力が必要</a:t>
          </a:r>
          <a:endParaRPr kumimoji="1" lang="en-US" altLang="ja-JP" sz="1400"/>
        </a:p>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201706</xdr:colOff>
      <xdr:row>40</xdr:row>
      <xdr:rowOff>43295</xdr:rowOff>
    </xdr:from>
    <xdr:to>
      <xdr:col>12</xdr:col>
      <xdr:colOff>372340</xdr:colOff>
      <xdr:row>42</xdr:row>
      <xdr:rowOff>216477</xdr:rowOff>
    </xdr:to>
    <xdr:sp macro="" textlink="">
      <xdr:nvSpPr>
        <xdr:cNvPr id="4" name="右中かっこ 3">
          <a:extLst>
            <a:ext uri="{FF2B5EF4-FFF2-40B4-BE49-F238E27FC236}">
              <a16:creationId xmlns:a16="http://schemas.microsoft.com/office/drawing/2014/main" id="{00000000-0008-0000-0900-000004000000}"/>
            </a:ext>
          </a:extLst>
        </xdr:cNvPr>
        <xdr:cNvSpPr/>
      </xdr:nvSpPr>
      <xdr:spPr>
        <a:xfrm>
          <a:off x="5678581" y="11730470"/>
          <a:ext cx="675459" cy="668482"/>
        </a:xfrm>
        <a:prstGeom prst="rightBrace">
          <a:avLst>
            <a:gd name="adj1" fmla="val 8333"/>
            <a:gd name="adj2" fmla="val 51515"/>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25978</xdr:colOff>
      <xdr:row>17</xdr:row>
      <xdr:rowOff>17318</xdr:rowOff>
    </xdr:from>
    <xdr:to>
      <xdr:col>24</xdr:col>
      <xdr:colOff>112568</xdr:colOff>
      <xdr:row>63</xdr:row>
      <xdr:rowOff>8659</xdr:rowOff>
    </xdr:to>
    <xdr:sp macro="" textlink="">
      <xdr:nvSpPr>
        <xdr:cNvPr id="5" name="大かっこ 4">
          <a:extLst>
            <a:ext uri="{FF2B5EF4-FFF2-40B4-BE49-F238E27FC236}">
              <a16:creationId xmlns:a16="http://schemas.microsoft.com/office/drawing/2014/main" id="{00000000-0008-0000-1100-000005000000}"/>
            </a:ext>
          </a:extLst>
        </xdr:cNvPr>
        <xdr:cNvSpPr/>
      </xdr:nvSpPr>
      <xdr:spPr>
        <a:xfrm>
          <a:off x="9598603" y="72864518"/>
          <a:ext cx="246784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25978</xdr:colOff>
      <xdr:row>17</xdr:row>
      <xdr:rowOff>17318</xdr:rowOff>
    </xdr:from>
    <xdr:to>
      <xdr:col>24</xdr:col>
      <xdr:colOff>112568</xdr:colOff>
      <xdr:row>63</xdr:row>
      <xdr:rowOff>8659</xdr:rowOff>
    </xdr:to>
    <xdr:sp macro="" textlink="">
      <xdr:nvSpPr>
        <xdr:cNvPr id="3" name="大かっこ 2">
          <a:extLst>
            <a:ext uri="{FF2B5EF4-FFF2-40B4-BE49-F238E27FC236}">
              <a16:creationId xmlns:a16="http://schemas.microsoft.com/office/drawing/2014/main" id="{1E7126FE-7B2F-46D7-B440-65DB5EA698AE}"/>
            </a:ext>
          </a:extLst>
        </xdr:cNvPr>
        <xdr:cNvSpPr/>
      </xdr:nvSpPr>
      <xdr:spPr>
        <a:xfrm>
          <a:off x="9598603" y="72864518"/>
          <a:ext cx="246784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57150</xdr:colOff>
      <xdr:row>21</xdr:row>
      <xdr:rowOff>19050</xdr:rowOff>
    </xdr:from>
    <xdr:to>
      <xdr:col>32</xdr:col>
      <xdr:colOff>28575</xdr:colOff>
      <xdr:row>22</xdr:row>
      <xdr:rowOff>304800</xdr:rowOff>
    </xdr:to>
    <xdr:sp macro="" textlink="">
      <xdr:nvSpPr>
        <xdr:cNvPr id="2" name="正方形/長方形 1">
          <a:extLst>
            <a:ext uri="{FF2B5EF4-FFF2-40B4-BE49-F238E27FC236}">
              <a16:creationId xmlns:a16="http://schemas.microsoft.com/office/drawing/2014/main" id="{77D4DCB7-E494-4CFE-A3BF-C35F98B15C09}"/>
            </a:ext>
          </a:extLst>
        </xdr:cNvPr>
        <xdr:cNvSpPr/>
      </xdr:nvSpPr>
      <xdr:spPr>
        <a:xfrm>
          <a:off x="10572750" y="6457950"/>
          <a:ext cx="1495425" cy="609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R5</a:t>
          </a:r>
          <a:r>
            <a:rPr kumimoji="1" lang="ja-JP" altLang="en-US" sz="1100"/>
            <a:t>追加</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25978</xdr:colOff>
      <xdr:row>17</xdr:row>
      <xdr:rowOff>17318</xdr:rowOff>
    </xdr:from>
    <xdr:to>
      <xdr:col>24</xdr:col>
      <xdr:colOff>112568</xdr:colOff>
      <xdr:row>63</xdr:row>
      <xdr:rowOff>8659</xdr:rowOff>
    </xdr:to>
    <xdr:sp macro="" textlink="">
      <xdr:nvSpPr>
        <xdr:cNvPr id="3" name="大かっこ 2">
          <a:extLst>
            <a:ext uri="{FF2B5EF4-FFF2-40B4-BE49-F238E27FC236}">
              <a16:creationId xmlns:a16="http://schemas.microsoft.com/office/drawing/2014/main" id="{00000000-0008-0000-1700-000003000000}"/>
            </a:ext>
          </a:extLst>
        </xdr:cNvPr>
        <xdr:cNvSpPr/>
      </xdr:nvSpPr>
      <xdr:spPr>
        <a:xfrm>
          <a:off x="9465253" y="72654968"/>
          <a:ext cx="2601190" cy="743989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20</xdr:col>
      <xdr:colOff>25978</xdr:colOff>
      <xdr:row>17</xdr:row>
      <xdr:rowOff>17318</xdr:rowOff>
    </xdr:from>
    <xdr:to>
      <xdr:col>24</xdr:col>
      <xdr:colOff>112568</xdr:colOff>
      <xdr:row>63</xdr:row>
      <xdr:rowOff>8659</xdr:rowOff>
    </xdr:to>
    <xdr:sp macro="" textlink="">
      <xdr:nvSpPr>
        <xdr:cNvPr id="4" name="大かっこ 3">
          <a:extLst>
            <a:ext uri="{FF2B5EF4-FFF2-40B4-BE49-F238E27FC236}">
              <a16:creationId xmlns:a16="http://schemas.microsoft.com/office/drawing/2014/main" id="{00000000-0008-0000-1700-000004000000}"/>
            </a:ext>
          </a:extLst>
        </xdr:cNvPr>
        <xdr:cNvSpPr/>
      </xdr:nvSpPr>
      <xdr:spPr>
        <a:xfrm>
          <a:off x="9465253" y="72740693"/>
          <a:ext cx="2601190" cy="743989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25978</xdr:colOff>
      <xdr:row>17</xdr:row>
      <xdr:rowOff>17318</xdr:rowOff>
    </xdr:from>
    <xdr:to>
      <xdr:col>24</xdr:col>
      <xdr:colOff>112568</xdr:colOff>
      <xdr:row>63</xdr:row>
      <xdr:rowOff>8659</xdr:rowOff>
    </xdr:to>
    <xdr:sp macro="" textlink="">
      <xdr:nvSpPr>
        <xdr:cNvPr id="5" name="大かっこ 4">
          <a:extLst>
            <a:ext uri="{FF2B5EF4-FFF2-40B4-BE49-F238E27FC236}">
              <a16:creationId xmlns:a16="http://schemas.microsoft.com/office/drawing/2014/main" id="{75AD04CC-44CF-4596-BB47-A51092888812}"/>
            </a:ext>
          </a:extLst>
        </xdr:cNvPr>
        <xdr:cNvSpPr/>
      </xdr:nvSpPr>
      <xdr:spPr>
        <a:xfrm>
          <a:off x="9465253" y="72740693"/>
          <a:ext cx="2601190" cy="743989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22</xdr:col>
      <xdr:colOff>164522</xdr:colOff>
      <xdr:row>6</xdr:row>
      <xdr:rowOff>8658</xdr:rowOff>
    </xdr:from>
    <xdr:to>
      <xdr:col>28</xdr:col>
      <xdr:colOff>86590</xdr:colOff>
      <xdr:row>21</xdr:row>
      <xdr:rowOff>190499</xdr:rowOff>
    </xdr:to>
    <xdr:sp macro="" textlink="">
      <xdr:nvSpPr>
        <xdr:cNvPr id="3" name="大かっこ 2">
          <a:extLst>
            <a:ext uri="{FF2B5EF4-FFF2-40B4-BE49-F238E27FC236}">
              <a16:creationId xmlns:a16="http://schemas.microsoft.com/office/drawing/2014/main" id="{00000000-0008-0000-1900-000003000000}"/>
            </a:ext>
          </a:extLst>
        </xdr:cNvPr>
        <xdr:cNvSpPr/>
      </xdr:nvSpPr>
      <xdr:spPr>
        <a:xfrm>
          <a:off x="12089822" y="19201533"/>
          <a:ext cx="2931968" cy="3039341"/>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22</xdr:col>
      <xdr:colOff>164522</xdr:colOff>
      <xdr:row>6</xdr:row>
      <xdr:rowOff>8658</xdr:rowOff>
    </xdr:from>
    <xdr:to>
      <xdr:col>28</xdr:col>
      <xdr:colOff>86590</xdr:colOff>
      <xdr:row>21</xdr:row>
      <xdr:rowOff>190499</xdr:rowOff>
    </xdr:to>
    <xdr:sp macro="" textlink="">
      <xdr:nvSpPr>
        <xdr:cNvPr id="6" name="大かっこ 5">
          <a:extLst>
            <a:ext uri="{FF2B5EF4-FFF2-40B4-BE49-F238E27FC236}">
              <a16:creationId xmlns:a16="http://schemas.microsoft.com/office/drawing/2014/main" id="{00000000-0008-0000-1900-000006000000}"/>
            </a:ext>
          </a:extLst>
        </xdr:cNvPr>
        <xdr:cNvSpPr/>
      </xdr:nvSpPr>
      <xdr:spPr>
        <a:xfrm>
          <a:off x="10394372" y="19201533"/>
          <a:ext cx="2931968" cy="3039341"/>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164522</xdr:colOff>
      <xdr:row>6</xdr:row>
      <xdr:rowOff>8658</xdr:rowOff>
    </xdr:from>
    <xdr:to>
      <xdr:col>28</xdr:col>
      <xdr:colOff>86590</xdr:colOff>
      <xdr:row>21</xdr:row>
      <xdr:rowOff>190499</xdr:rowOff>
    </xdr:to>
    <xdr:sp macro="" textlink="">
      <xdr:nvSpPr>
        <xdr:cNvPr id="5" name="大かっこ 4">
          <a:extLst>
            <a:ext uri="{FF2B5EF4-FFF2-40B4-BE49-F238E27FC236}">
              <a16:creationId xmlns:a16="http://schemas.microsoft.com/office/drawing/2014/main" id="{E1DFC35E-B760-44E9-94E5-0004DC530BAF}"/>
            </a:ext>
          </a:extLst>
        </xdr:cNvPr>
        <xdr:cNvSpPr/>
      </xdr:nvSpPr>
      <xdr:spPr>
        <a:xfrm>
          <a:off x="10394372" y="19201533"/>
          <a:ext cx="2931968" cy="3039341"/>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0</xdr:colOff>
      <xdr:row>6</xdr:row>
      <xdr:rowOff>42333</xdr:rowOff>
    </xdr:from>
    <xdr:to>
      <xdr:col>31</xdr:col>
      <xdr:colOff>1923</xdr:colOff>
      <xdr:row>12</xdr:row>
      <xdr:rowOff>0</xdr:rowOff>
    </xdr:to>
    <xdr:sp macro="" textlink="">
      <xdr:nvSpPr>
        <xdr:cNvPr id="2" name="大かっこ 1">
          <a:extLst>
            <a:ext uri="{FF2B5EF4-FFF2-40B4-BE49-F238E27FC236}">
              <a16:creationId xmlns:a16="http://schemas.microsoft.com/office/drawing/2014/main" id="{00000000-0008-0000-1D00-000002000000}"/>
            </a:ext>
          </a:extLst>
        </xdr:cNvPr>
        <xdr:cNvSpPr/>
      </xdr:nvSpPr>
      <xdr:spPr>
        <a:xfrm>
          <a:off x="12230100" y="928158"/>
          <a:ext cx="3078498" cy="1043517"/>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25</xdr:col>
      <xdr:colOff>0</xdr:colOff>
      <xdr:row>6</xdr:row>
      <xdr:rowOff>0</xdr:rowOff>
    </xdr:from>
    <xdr:to>
      <xdr:col>31</xdr:col>
      <xdr:colOff>12506</xdr:colOff>
      <xdr:row>29</xdr:row>
      <xdr:rowOff>137582</xdr:rowOff>
    </xdr:to>
    <xdr:sp macro="" textlink="">
      <xdr:nvSpPr>
        <xdr:cNvPr id="3" name="大かっこ 2">
          <a:extLst>
            <a:ext uri="{FF2B5EF4-FFF2-40B4-BE49-F238E27FC236}">
              <a16:creationId xmlns:a16="http://schemas.microsoft.com/office/drawing/2014/main" id="{00000000-0008-0000-1D00-000003000000}"/>
            </a:ext>
          </a:extLst>
        </xdr:cNvPr>
        <xdr:cNvSpPr/>
      </xdr:nvSpPr>
      <xdr:spPr>
        <a:xfrm>
          <a:off x="11087100" y="21459825"/>
          <a:ext cx="3089081" cy="3423707"/>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0</xdr:colOff>
      <xdr:row>6</xdr:row>
      <xdr:rowOff>0</xdr:rowOff>
    </xdr:from>
    <xdr:to>
      <xdr:col>31</xdr:col>
      <xdr:colOff>12506</xdr:colOff>
      <xdr:row>29</xdr:row>
      <xdr:rowOff>137582</xdr:rowOff>
    </xdr:to>
    <xdr:sp macro="" textlink="">
      <xdr:nvSpPr>
        <xdr:cNvPr id="4" name="大かっこ 3">
          <a:extLst>
            <a:ext uri="{FF2B5EF4-FFF2-40B4-BE49-F238E27FC236}">
              <a16:creationId xmlns:a16="http://schemas.microsoft.com/office/drawing/2014/main" id="{4CF45CDA-1CB0-4062-860F-B6CBB77A754F}"/>
            </a:ext>
          </a:extLst>
        </xdr:cNvPr>
        <xdr:cNvSpPr/>
      </xdr:nvSpPr>
      <xdr:spPr>
        <a:xfrm>
          <a:off x="11087100" y="21459825"/>
          <a:ext cx="3089081" cy="3423707"/>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0</xdr:colOff>
      <xdr:row>6</xdr:row>
      <xdr:rowOff>0</xdr:rowOff>
    </xdr:from>
    <xdr:to>
      <xdr:col>31</xdr:col>
      <xdr:colOff>1923</xdr:colOff>
      <xdr:row>16</xdr:row>
      <xdr:rowOff>0</xdr:rowOff>
    </xdr:to>
    <xdr:sp macro="" textlink="">
      <xdr:nvSpPr>
        <xdr:cNvPr id="2" name="大かっこ 1">
          <a:extLst>
            <a:ext uri="{FF2B5EF4-FFF2-40B4-BE49-F238E27FC236}">
              <a16:creationId xmlns:a16="http://schemas.microsoft.com/office/drawing/2014/main" id="{00000000-0008-0000-1F00-000002000000}"/>
            </a:ext>
          </a:extLst>
        </xdr:cNvPr>
        <xdr:cNvSpPr/>
      </xdr:nvSpPr>
      <xdr:spPr>
        <a:xfrm>
          <a:off x="12782550" y="885825"/>
          <a:ext cx="3049923" cy="1524000"/>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25</xdr:col>
      <xdr:colOff>0</xdr:colOff>
      <xdr:row>6</xdr:row>
      <xdr:rowOff>0</xdr:rowOff>
    </xdr:from>
    <xdr:to>
      <xdr:col>31</xdr:col>
      <xdr:colOff>12507</xdr:colOff>
      <xdr:row>6</xdr:row>
      <xdr:rowOff>2789</xdr:rowOff>
    </xdr:to>
    <xdr:sp macro="" textlink="">
      <xdr:nvSpPr>
        <xdr:cNvPr id="3" name="大かっこ 2">
          <a:extLst>
            <a:ext uri="{FF2B5EF4-FFF2-40B4-BE49-F238E27FC236}">
              <a16:creationId xmlns:a16="http://schemas.microsoft.com/office/drawing/2014/main" id="{00000000-0008-0000-1F00-000003000000}"/>
            </a:ext>
          </a:extLst>
        </xdr:cNvPr>
        <xdr:cNvSpPr/>
      </xdr:nvSpPr>
      <xdr:spPr>
        <a:xfrm>
          <a:off x="12839700" y="4933950"/>
          <a:ext cx="3060507" cy="2789"/>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25</xdr:col>
      <xdr:colOff>0</xdr:colOff>
      <xdr:row>6</xdr:row>
      <xdr:rowOff>0</xdr:rowOff>
    </xdr:from>
    <xdr:to>
      <xdr:col>31</xdr:col>
      <xdr:colOff>12507</xdr:colOff>
      <xdr:row>6</xdr:row>
      <xdr:rowOff>2789</xdr:rowOff>
    </xdr:to>
    <xdr:sp macro="" textlink="">
      <xdr:nvSpPr>
        <xdr:cNvPr id="4" name="大かっこ 3">
          <a:extLst>
            <a:ext uri="{FF2B5EF4-FFF2-40B4-BE49-F238E27FC236}">
              <a16:creationId xmlns:a16="http://schemas.microsoft.com/office/drawing/2014/main" id="{00000000-0008-0000-1F00-000004000000}"/>
            </a:ext>
          </a:extLst>
        </xdr:cNvPr>
        <xdr:cNvSpPr/>
      </xdr:nvSpPr>
      <xdr:spPr>
        <a:xfrm>
          <a:off x="12839700" y="4933950"/>
          <a:ext cx="3060507" cy="2789"/>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25</xdr:col>
      <xdr:colOff>0</xdr:colOff>
      <xdr:row>6</xdr:row>
      <xdr:rowOff>0</xdr:rowOff>
    </xdr:from>
    <xdr:to>
      <xdr:col>31</xdr:col>
      <xdr:colOff>12507</xdr:colOff>
      <xdr:row>46</xdr:row>
      <xdr:rowOff>2790</xdr:rowOff>
    </xdr:to>
    <xdr:sp macro="" textlink="">
      <xdr:nvSpPr>
        <xdr:cNvPr id="5" name="大かっこ 4">
          <a:extLst>
            <a:ext uri="{FF2B5EF4-FFF2-40B4-BE49-F238E27FC236}">
              <a16:creationId xmlns:a16="http://schemas.microsoft.com/office/drawing/2014/main" id="{00000000-0008-0000-1F00-000005000000}"/>
            </a:ext>
          </a:extLst>
        </xdr:cNvPr>
        <xdr:cNvSpPr/>
      </xdr:nvSpPr>
      <xdr:spPr>
        <a:xfrm>
          <a:off x="11582400" y="21459825"/>
          <a:ext cx="3060507" cy="3431790"/>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0</xdr:colOff>
      <xdr:row>6</xdr:row>
      <xdr:rowOff>0</xdr:rowOff>
    </xdr:from>
    <xdr:to>
      <xdr:col>31</xdr:col>
      <xdr:colOff>12507</xdr:colOff>
      <xdr:row>46</xdr:row>
      <xdr:rowOff>2790</xdr:rowOff>
    </xdr:to>
    <xdr:sp macro="" textlink="">
      <xdr:nvSpPr>
        <xdr:cNvPr id="6" name="大かっこ 5">
          <a:extLst>
            <a:ext uri="{FF2B5EF4-FFF2-40B4-BE49-F238E27FC236}">
              <a16:creationId xmlns:a16="http://schemas.microsoft.com/office/drawing/2014/main" id="{190D7E50-AFF5-4006-B01A-74EC21A4D81E}"/>
            </a:ext>
          </a:extLst>
        </xdr:cNvPr>
        <xdr:cNvSpPr/>
      </xdr:nvSpPr>
      <xdr:spPr>
        <a:xfrm>
          <a:off x="11582400" y="21345525"/>
          <a:ext cx="3060507" cy="3431790"/>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32102;&#20184;&#20418;/04&#65306;&#35036;&#21161;&#37329;/13&#65306;&#23455;&#36027;&#24500;&#21454;/R3&#24180;&#24230;/100_&#25945;&#26448;&#36027;/10_&#27010;&#31639;/00_&#27096;&#24335;/02-&#30003;&#35531;&#26360;&#27096;&#24335;&#65288;&#35469;&#12371;&#6528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礎情報"/>
      <sheetName val="提出書類チェック表"/>
      <sheetName val="基礎データ入力"/>
      <sheetName val="様式1"/>
      <sheetName val="様式２-1(1)"/>
      <sheetName val="(2)"/>
      <sheetName val="(3)"/>
      <sheetName val="(4)"/>
      <sheetName val="(5)"/>
      <sheetName val="(6)"/>
      <sheetName val="(7)"/>
      <sheetName val="(8)"/>
      <sheetName val="(9)"/>
      <sheetName val="(10)"/>
      <sheetName val="様式2-2(1)"/>
      <sheetName val="2(2)"/>
      <sheetName val="2(3)"/>
      <sheetName val="2(4)"/>
      <sheetName val="2(5)"/>
      <sheetName val="2(6)"/>
      <sheetName val="2(7)"/>
      <sheetName val="2(8)"/>
      <sheetName val="2(9)"/>
      <sheetName val="2(10)"/>
      <sheetName val="様式2-3(1)"/>
      <sheetName val="3(2)"/>
      <sheetName val="3(3)"/>
      <sheetName val="3(4)"/>
      <sheetName val="3(5)"/>
      <sheetName val="3(6)"/>
      <sheetName val="3(7)"/>
      <sheetName val="3(8)"/>
      <sheetName val="3(9)"/>
      <sheetName val="3(10)"/>
      <sheetName val="様式3"/>
      <sheetName val="概算交付申出書 "/>
    </sheetNames>
    <sheetDataSet>
      <sheetData sheetId="0" refreshError="1"/>
      <sheetData sheetId="1"/>
      <sheetData sheetId="2"/>
      <sheetData sheetId="3" refreshError="1"/>
      <sheetData sheetId="4">
        <row r="3">
          <cell r="AL3" t="str">
            <v>平成</v>
          </cell>
        </row>
        <row r="4">
          <cell r="AL4" t="str">
            <v>令和</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4" Type="http://schemas.openxmlformats.org/officeDocument/2006/relationships/drawing" Target="../drawings/drawing6.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drawing" Target="../drawings/drawing7.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4" Type="http://schemas.openxmlformats.org/officeDocument/2006/relationships/drawing" Target="../drawings/drawing8.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drawing" Target="../drawings/drawing9.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3">
    <tabColor rgb="FFFFFF00"/>
  </sheetPr>
  <dimension ref="A1:K30"/>
  <sheetViews>
    <sheetView workbookViewId="0">
      <selection activeCell="D31" sqref="D31"/>
    </sheetView>
  </sheetViews>
  <sheetFormatPr defaultRowHeight="13.5"/>
  <sheetData>
    <row r="1" spans="1:1">
      <c r="A1" t="s">
        <v>1176</v>
      </c>
    </row>
    <row r="2" spans="1:1">
      <c r="A2" t="s">
        <v>1177</v>
      </c>
    </row>
    <row r="3" spans="1:1">
      <c r="A3" t="s">
        <v>1178</v>
      </c>
    </row>
    <row r="4" spans="1:1">
      <c r="A4" t="s">
        <v>1180</v>
      </c>
    </row>
    <row r="5" spans="1:1">
      <c r="A5" t="s">
        <v>1181</v>
      </c>
    </row>
    <row r="6" spans="1:1">
      <c r="A6" t="s">
        <v>1182</v>
      </c>
    </row>
    <row r="9" spans="1:1">
      <c r="A9" t="s">
        <v>1179</v>
      </c>
    </row>
    <row r="11" spans="1:1">
      <c r="A11" t="s">
        <v>1010</v>
      </c>
    </row>
    <row r="12" spans="1:1">
      <c r="A12" t="s">
        <v>1009</v>
      </c>
    </row>
    <row r="13" spans="1:1">
      <c r="A13" t="s">
        <v>1012</v>
      </c>
    </row>
    <row r="14" spans="1:1">
      <c r="A14" t="s">
        <v>1011</v>
      </c>
    </row>
    <row r="15" spans="1:1">
      <c r="A15" t="s">
        <v>1013</v>
      </c>
    </row>
    <row r="16" spans="1:1">
      <c r="A16" t="s">
        <v>1162</v>
      </c>
    </row>
    <row r="17" spans="1:11">
      <c r="A17" t="s">
        <v>1163</v>
      </c>
    </row>
    <row r="18" spans="1:11">
      <c r="A18" t="s">
        <v>1175</v>
      </c>
    </row>
    <row r="21" spans="1:11">
      <c r="A21" t="s">
        <v>1164</v>
      </c>
    </row>
    <row r="22" spans="1:11">
      <c r="A22" t="s">
        <v>1165</v>
      </c>
      <c r="K22" s="379" t="s">
        <v>233</v>
      </c>
    </row>
    <row r="23" spans="1:11">
      <c r="K23" s="378"/>
    </row>
    <row r="24" spans="1:11">
      <c r="K24" s="378" t="s">
        <v>234</v>
      </c>
    </row>
    <row r="25" spans="1:11">
      <c r="K25" s="378" t="s">
        <v>87</v>
      </c>
    </row>
    <row r="26" spans="1:11">
      <c r="K26" s="377" t="s">
        <v>5</v>
      </c>
    </row>
    <row r="27" spans="1:11">
      <c r="K27" s="377" t="s">
        <v>235</v>
      </c>
    </row>
    <row r="28" spans="1:11">
      <c r="K28" s="377" t="s">
        <v>236</v>
      </c>
    </row>
    <row r="29" spans="1:11">
      <c r="K29" s="377" t="s">
        <v>237</v>
      </c>
    </row>
    <row r="30" spans="1:11">
      <c r="K30" s="377" t="s">
        <v>238</v>
      </c>
    </row>
  </sheetData>
  <sheetProtection algorithmName="SHA-512" hashValue="1/aGEsWF6+rx1ItkCJHHdQxsV//PC7k91llDQ6ytPZ04ov1YYo5ZF43PA9FRjpckXRS9iFyeeNAHma4pTklVoA==" saltValue="0JfRJajxER4neAjSTUdsAw==" spinCount="100000" sheet="1" objects="1" scenarios="1"/>
  <phoneticPr fontId="60"/>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6" tint="0.59999389629810485"/>
  </sheetPr>
  <dimension ref="A1:AL74"/>
  <sheetViews>
    <sheetView view="pageBreakPreview" zoomScale="70" zoomScaleNormal="70" zoomScaleSheetLayoutView="70" workbookViewId="0">
      <selection activeCell="E19" sqref="E19"/>
    </sheetView>
  </sheetViews>
  <sheetFormatPr defaultColWidth="8.875" defaultRowHeight="17.25" outlineLevelCol="1"/>
  <cols>
    <col min="1" max="1" width="14.25" style="736" customWidth="1"/>
    <col min="2" max="3" width="11.875" style="736" customWidth="1"/>
    <col min="4" max="9" width="15.75" style="736" customWidth="1"/>
    <col min="10" max="10" width="19.125" style="736" customWidth="1"/>
    <col min="11" max="11" width="15.75" style="736" customWidth="1"/>
    <col min="12" max="12" width="16.375" style="736" customWidth="1"/>
    <col min="13" max="16" width="15.75" style="736" customWidth="1"/>
    <col min="17" max="17" width="15.875" style="736" customWidth="1"/>
    <col min="18" max="18" width="15.625" style="736" customWidth="1"/>
    <col min="19" max="19" width="15.625" style="732" hidden="1" customWidth="1" outlineLevel="1"/>
    <col min="20" max="21" width="15.625" style="736" hidden="1" customWidth="1" outlineLevel="1"/>
    <col min="22" max="26" width="8.875" style="736" hidden="1" customWidth="1" outlineLevel="1"/>
    <col min="27" max="27" width="10.25" style="736" hidden="1" customWidth="1" outlineLevel="1"/>
    <col min="28" max="37" width="8.875" style="736" hidden="1" customWidth="1" outlineLevel="1"/>
    <col min="38" max="38" width="8.875" style="736" collapsed="1"/>
    <col min="39" max="16384" width="8.875" style="736"/>
  </cols>
  <sheetData>
    <row r="1" spans="1:32" ht="20.100000000000001" customHeight="1" thickBot="1">
      <c r="A1" s="730" t="str">
        <f ca="1">RIGHT(CELL("filename",A2),LEN(CELL("filename",A2))-FIND("]",CELL("filename",A2)))</f>
        <v>入力（加算）保</v>
      </c>
      <c r="B1" s="731"/>
      <c r="C1" s="731"/>
      <c r="D1" s="731"/>
      <c r="E1" s="731"/>
      <c r="F1" s="731"/>
      <c r="G1" s="731"/>
      <c r="H1" s="731"/>
      <c r="I1" s="731"/>
      <c r="J1" s="731"/>
      <c r="K1" s="731"/>
      <c r="L1" s="731"/>
      <c r="M1" s="731"/>
      <c r="N1" s="731"/>
      <c r="O1" s="1592" t="str">
        <f>CONCATENATE('入力（基本)'!G11)</f>
        <v/>
      </c>
      <c r="P1" s="1592"/>
      <c r="Q1" s="1592"/>
      <c r="R1" s="1592"/>
      <c r="T1" s="733" t="s">
        <v>224</v>
      </c>
      <c r="U1" s="734" t="s">
        <v>184</v>
      </c>
      <c r="V1" s="735" t="s">
        <v>182</v>
      </c>
      <c r="W1" s="733" t="s">
        <v>181</v>
      </c>
      <c r="X1" s="735" t="s">
        <v>180</v>
      </c>
      <c r="Y1" s="735" t="s">
        <v>505</v>
      </c>
      <c r="Z1" s="733" t="s">
        <v>178</v>
      </c>
      <c r="AA1" s="733" t="s">
        <v>521</v>
      </c>
      <c r="AB1" s="733" t="s">
        <v>179</v>
      </c>
      <c r="AC1" s="733" t="s">
        <v>185</v>
      </c>
      <c r="AD1" s="1600" t="s">
        <v>190</v>
      </c>
      <c r="AE1" s="1600"/>
      <c r="AF1" s="733" t="s">
        <v>527</v>
      </c>
    </row>
    <row r="2" spans="1:32" ht="20.100000000000001" customHeight="1" thickBot="1">
      <c r="A2" s="731"/>
      <c r="B2" s="1593" t="s">
        <v>869</v>
      </c>
      <c r="C2" s="1593"/>
      <c r="D2" s="1593"/>
      <c r="E2" s="1593"/>
      <c r="F2" s="1593"/>
      <c r="G2" s="1593"/>
      <c r="H2" s="1593"/>
      <c r="I2" s="1593"/>
      <c r="J2" s="1593"/>
      <c r="K2" s="1593"/>
      <c r="L2" s="1593"/>
      <c r="M2" s="1593"/>
      <c r="N2" s="1593"/>
      <c r="O2" s="1593"/>
      <c r="P2" s="1593"/>
      <c r="Q2" s="1593"/>
      <c r="R2" s="731"/>
      <c r="T2" s="737"/>
      <c r="U2" s="738">
        <f>IF(ISERROR(VLOOKUP($I$12,$T$3:$U$14,2,FALSE)+1-VLOOKUP($I$11,$T$3:$U$14,2,FALSE)),0,VLOOKUP($I$12,$T$3:$U$14,2,FALSE)+1-VLOOKUP($I$11,$T$3:$U$14,2,FALSE))</f>
        <v>0</v>
      </c>
      <c r="V2" s="735"/>
      <c r="W2" s="733"/>
      <c r="X2" s="735"/>
      <c r="Y2" s="735"/>
      <c r="Z2" s="733"/>
      <c r="AA2" s="733"/>
      <c r="AB2" s="733"/>
      <c r="AC2" s="733"/>
      <c r="AD2" s="733">
        <v>1</v>
      </c>
      <c r="AE2" s="733">
        <v>1</v>
      </c>
      <c r="AF2" s="739">
        <f>IF(L19="あり",VLOOKUP($D$9,保育所1!$B$77:$BF$93,57,TRUE),1)</f>
        <v>1</v>
      </c>
    </row>
    <row r="3" spans="1:32" ht="20.100000000000001" customHeight="1">
      <c r="A3" s="731"/>
      <c r="B3" s="1593"/>
      <c r="C3" s="1593"/>
      <c r="D3" s="1593"/>
      <c r="E3" s="1593"/>
      <c r="F3" s="1593"/>
      <c r="G3" s="1593"/>
      <c r="H3" s="1593"/>
      <c r="I3" s="1593"/>
      <c r="J3" s="1593"/>
      <c r="K3" s="1593"/>
      <c r="L3" s="1593"/>
      <c r="M3" s="1593"/>
      <c r="N3" s="1593"/>
      <c r="O3" s="1593"/>
      <c r="P3" s="1593"/>
      <c r="Q3" s="1593"/>
      <c r="R3" s="731"/>
      <c r="T3" s="740">
        <v>4</v>
      </c>
      <c r="U3" s="741">
        <v>1</v>
      </c>
      <c r="V3" s="735" t="s">
        <v>18</v>
      </c>
      <c r="W3" s="408">
        <v>3</v>
      </c>
      <c r="X3" s="409">
        <v>6.3</v>
      </c>
      <c r="Y3" s="409" t="s">
        <v>506</v>
      </c>
      <c r="Z3" s="733" t="s">
        <v>19</v>
      </c>
      <c r="AA3" s="733" t="s">
        <v>519</v>
      </c>
      <c r="AB3" s="742" t="s">
        <v>189</v>
      </c>
      <c r="AC3" s="733" t="s">
        <v>19</v>
      </c>
      <c r="AD3" s="733">
        <v>46</v>
      </c>
      <c r="AE3" s="733">
        <v>2</v>
      </c>
    </row>
    <row r="4" spans="1:32" ht="20.100000000000001" customHeight="1">
      <c r="A4" s="731"/>
      <c r="B4" s="1597" t="s">
        <v>815</v>
      </c>
      <c r="C4" s="1597"/>
      <c r="D4" s="1597"/>
      <c r="E4" s="731"/>
      <c r="F4" s="973"/>
      <c r="G4" s="973"/>
      <c r="H4" s="973"/>
      <c r="I4" s="973"/>
      <c r="J4" s="973"/>
      <c r="K4" s="973"/>
      <c r="L4" s="973"/>
      <c r="M4" s="973"/>
      <c r="N4" s="973"/>
      <c r="O4" s="973"/>
      <c r="P4" s="744" t="s">
        <v>122</v>
      </c>
      <c r="R4" s="731"/>
      <c r="S4" s="731"/>
      <c r="T4" s="740">
        <v>5</v>
      </c>
      <c r="U4" s="741">
        <v>2</v>
      </c>
      <c r="V4" s="735" t="s">
        <v>19</v>
      </c>
      <c r="W4" s="408">
        <v>4</v>
      </c>
      <c r="X4" s="409">
        <v>4.3</v>
      </c>
      <c r="Y4" s="409" t="s">
        <v>507</v>
      </c>
      <c r="Z4" s="733" t="s">
        <v>176</v>
      </c>
      <c r="AA4" s="733" t="s">
        <v>522</v>
      </c>
      <c r="AB4" s="742">
        <v>1</v>
      </c>
      <c r="AC4" s="733">
        <v>1</v>
      </c>
      <c r="AD4" s="745">
        <v>151</v>
      </c>
      <c r="AE4" s="742">
        <v>3</v>
      </c>
    </row>
    <row r="5" spans="1:32" ht="20.100000000000001" customHeight="1">
      <c r="A5" s="731"/>
      <c r="B5" s="1601" t="s">
        <v>3</v>
      </c>
      <c r="C5" s="1601"/>
      <c r="D5" s="1589"/>
      <c r="E5" s="1589"/>
      <c r="F5" s="973"/>
      <c r="G5" s="973"/>
      <c r="H5" s="973"/>
      <c r="I5" s="973"/>
      <c r="J5" s="973"/>
      <c r="K5" s="973"/>
      <c r="L5" s="973"/>
      <c r="M5" s="973"/>
      <c r="N5" s="973"/>
      <c r="O5" s="973"/>
      <c r="P5" s="746" t="s">
        <v>123</v>
      </c>
      <c r="Q5" s="731" t="s">
        <v>120</v>
      </c>
      <c r="R5" s="731"/>
      <c r="S5" s="731"/>
      <c r="T5" s="740">
        <v>6</v>
      </c>
      <c r="U5" s="741">
        <v>3</v>
      </c>
      <c r="W5" s="410">
        <v>5</v>
      </c>
      <c r="X5" s="411">
        <v>2.4</v>
      </c>
      <c r="Y5" s="411" t="s">
        <v>508</v>
      </c>
      <c r="Z5" s="733" t="s">
        <v>177</v>
      </c>
      <c r="AA5" s="733" t="s">
        <v>520</v>
      </c>
      <c r="AB5" s="742">
        <v>2</v>
      </c>
      <c r="AC5" s="733">
        <v>2</v>
      </c>
      <c r="AD5" s="745">
        <v>241</v>
      </c>
      <c r="AE5" s="745">
        <v>3.5</v>
      </c>
    </row>
    <row r="6" spans="1:32" ht="20.100000000000001" customHeight="1">
      <c r="A6" s="731"/>
      <c r="B6" s="1601" t="s">
        <v>4</v>
      </c>
      <c r="C6" s="1601"/>
      <c r="D6" s="1589" t="s">
        <v>97</v>
      </c>
      <c r="E6" s="1589"/>
      <c r="F6" s="973"/>
      <c r="G6" s="973"/>
      <c r="H6" s="973"/>
      <c r="I6" s="973"/>
      <c r="J6" s="973"/>
      <c r="K6" s="973"/>
      <c r="L6" s="973"/>
      <c r="M6" s="973"/>
      <c r="N6" s="973"/>
      <c r="O6" s="973"/>
      <c r="P6" s="747" t="s">
        <v>124</v>
      </c>
      <c r="Q6" s="748" t="s">
        <v>125</v>
      </c>
      <c r="R6" s="731"/>
      <c r="S6" s="731"/>
      <c r="T6" s="740">
        <v>7</v>
      </c>
      <c r="U6" s="741">
        <v>4</v>
      </c>
      <c r="W6" s="408">
        <v>6</v>
      </c>
      <c r="X6" s="409">
        <v>1.1000000000000001</v>
      </c>
      <c r="Y6" s="411" t="s">
        <v>509</v>
      </c>
      <c r="AB6" s="742">
        <v>3</v>
      </c>
      <c r="AC6" s="733">
        <v>3</v>
      </c>
      <c r="AD6" s="733">
        <v>271</v>
      </c>
      <c r="AE6" s="733">
        <v>5</v>
      </c>
    </row>
    <row r="7" spans="1:32" ht="27" customHeight="1">
      <c r="A7" s="731"/>
      <c r="B7" s="1602" t="s">
        <v>211</v>
      </c>
      <c r="C7" s="1140" t="s">
        <v>200</v>
      </c>
      <c r="D7" s="1594">
        <f>'入力（基本)'!G13</f>
        <v>0</v>
      </c>
      <c r="E7" s="1594"/>
      <c r="F7" s="973"/>
      <c r="G7" s="973"/>
      <c r="H7" s="973"/>
      <c r="I7" s="973"/>
      <c r="J7" s="973"/>
      <c r="K7" s="973"/>
      <c r="L7" s="973"/>
      <c r="M7" s="973"/>
      <c r="N7" s="973"/>
      <c r="O7" s="973"/>
      <c r="P7" s="731"/>
      <c r="Q7" s="731"/>
      <c r="R7" s="731"/>
      <c r="S7" s="731"/>
      <c r="T7" s="740">
        <v>8</v>
      </c>
      <c r="U7" s="741">
        <v>5</v>
      </c>
      <c r="Y7" s="411" t="s">
        <v>510</v>
      </c>
      <c r="AB7" s="742">
        <v>3.5</v>
      </c>
      <c r="AC7" s="733">
        <v>4</v>
      </c>
      <c r="AD7" s="733">
        <v>301</v>
      </c>
      <c r="AE7" s="733">
        <v>6</v>
      </c>
    </row>
    <row r="8" spans="1:32" ht="27" customHeight="1">
      <c r="A8" s="731"/>
      <c r="B8" s="1601"/>
      <c r="C8" s="1140" t="s">
        <v>201</v>
      </c>
      <c r="D8" s="1594">
        <f>'入力（基本)'!G14</f>
        <v>0</v>
      </c>
      <c r="E8" s="1594"/>
      <c r="F8" s="973"/>
      <c r="G8" s="973"/>
      <c r="H8" s="973"/>
      <c r="I8" s="973"/>
      <c r="J8" s="973"/>
      <c r="K8" s="973"/>
      <c r="L8" s="973"/>
      <c r="M8" s="973"/>
      <c r="N8" s="973"/>
      <c r="O8" s="973"/>
      <c r="P8" s="731"/>
      <c r="Q8" s="731"/>
      <c r="R8" s="731"/>
      <c r="S8" s="731"/>
      <c r="T8" s="740">
        <v>9</v>
      </c>
      <c r="U8" s="741">
        <v>6</v>
      </c>
      <c r="AB8" s="742">
        <v>4</v>
      </c>
      <c r="AC8" s="733">
        <v>5</v>
      </c>
      <c r="AD8" s="733">
        <v>451</v>
      </c>
      <c r="AE8" s="733">
        <v>8</v>
      </c>
    </row>
    <row r="9" spans="1:32" ht="27" customHeight="1">
      <c r="A9" s="731"/>
      <c r="B9" s="1601"/>
      <c r="C9" s="1140" t="s">
        <v>209</v>
      </c>
      <c r="D9" s="1595">
        <f>SUM(D7:E8)</f>
        <v>0</v>
      </c>
      <c r="E9" s="1595"/>
      <c r="F9" s="973"/>
      <c r="G9" s="973"/>
      <c r="H9" s="973"/>
      <c r="I9" s="973"/>
      <c r="J9" s="973"/>
      <c r="K9" s="973"/>
      <c r="L9" s="973"/>
      <c r="M9" s="973"/>
      <c r="N9" s="973"/>
      <c r="O9" s="973"/>
      <c r="P9" s="731"/>
      <c r="Q9" s="731"/>
      <c r="R9" s="731"/>
      <c r="S9" s="731"/>
      <c r="T9" s="740">
        <v>10</v>
      </c>
      <c r="U9" s="741">
        <v>7</v>
      </c>
      <c r="AB9" s="742">
        <v>4.5</v>
      </c>
    </row>
    <row r="10" spans="1:32" ht="27" customHeight="1">
      <c r="A10" s="731"/>
      <c r="B10" s="1602" t="s">
        <v>212</v>
      </c>
      <c r="C10" s="1140" t="s">
        <v>200</v>
      </c>
      <c r="D10" s="1596"/>
      <c r="E10" s="1596"/>
      <c r="F10" s="973"/>
      <c r="G10" s="973"/>
      <c r="H10" s="973"/>
      <c r="I10" s="973"/>
      <c r="J10" s="973"/>
      <c r="K10" s="973"/>
      <c r="L10" s="973"/>
      <c r="M10" s="973"/>
      <c r="N10" s="973"/>
      <c r="O10" s="973"/>
      <c r="P10" s="731"/>
      <c r="Q10" s="731"/>
      <c r="S10" s="731"/>
      <c r="T10" s="740">
        <v>11</v>
      </c>
      <c r="U10" s="741">
        <v>8</v>
      </c>
      <c r="AB10" s="742">
        <v>5</v>
      </c>
    </row>
    <row r="11" spans="1:32" ht="27" customHeight="1">
      <c r="A11" s="731"/>
      <c r="B11" s="1601"/>
      <c r="C11" s="1140" t="s">
        <v>201</v>
      </c>
      <c r="D11" s="1594">
        <f>'入力（基本)'!G16</f>
        <v>0</v>
      </c>
      <c r="E11" s="1594"/>
      <c r="F11" s="973"/>
      <c r="G11" s="973"/>
      <c r="H11" s="973"/>
      <c r="I11" s="973"/>
      <c r="J11" s="973"/>
      <c r="K11" s="973"/>
      <c r="L11" s="973"/>
      <c r="M11" s="973"/>
      <c r="N11" s="973"/>
      <c r="O11" s="973"/>
      <c r="P11" s="731"/>
      <c r="Q11" s="731"/>
      <c r="R11" s="731"/>
      <c r="S11" s="731"/>
      <c r="T11" s="740">
        <v>12</v>
      </c>
      <c r="U11" s="741">
        <v>9</v>
      </c>
      <c r="AB11" s="742">
        <v>5.5</v>
      </c>
    </row>
    <row r="12" spans="1:32" ht="27" customHeight="1">
      <c r="A12" s="731"/>
      <c r="B12" s="1601"/>
      <c r="C12" s="1140" t="s">
        <v>209</v>
      </c>
      <c r="D12" s="1595">
        <f>SUM(D10:E11)</f>
        <v>0</v>
      </c>
      <c r="E12" s="1595"/>
      <c r="F12" s="973"/>
      <c r="G12" s="973"/>
      <c r="H12" s="973"/>
      <c r="I12" s="973"/>
      <c r="J12" s="973"/>
      <c r="K12" s="973"/>
      <c r="L12" s="973"/>
      <c r="M12" s="973"/>
      <c r="N12" s="973"/>
      <c r="O12" s="973"/>
      <c r="P12" s="731"/>
      <c r="Q12" s="731"/>
      <c r="R12" s="731"/>
      <c r="S12" s="731"/>
      <c r="T12" s="740">
        <v>1</v>
      </c>
      <c r="U12" s="741">
        <v>10</v>
      </c>
      <c r="AB12" s="742">
        <v>6</v>
      </c>
    </row>
    <row r="13" spans="1:32" ht="21" customHeight="1">
      <c r="A13" s="731"/>
      <c r="B13" s="731"/>
      <c r="C13" s="731"/>
      <c r="D13" s="731"/>
      <c r="E13" s="731"/>
      <c r="F13" s="973"/>
      <c r="G13" s="973"/>
      <c r="H13" s="973"/>
      <c r="I13" s="973"/>
      <c r="J13" s="973"/>
      <c r="K13" s="973"/>
      <c r="L13" s="973"/>
      <c r="M13" s="973"/>
      <c r="N13" s="973"/>
      <c r="O13" s="973"/>
      <c r="P13" s="731"/>
      <c r="Q13" s="731"/>
      <c r="R13" s="731"/>
      <c r="S13" s="731"/>
      <c r="T13" s="740">
        <v>2</v>
      </c>
      <c r="U13" s="741">
        <v>11</v>
      </c>
      <c r="AB13" s="742">
        <v>6.5</v>
      </c>
    </row>
    <row r="14" spans="1:32" ht="20.100000000000001" customHeight="1">
      <c r="A14" s="731"/>
      <c r="B14" s="731"/>
      <c r="C14" s="731"/>
      <c r="D14" s="731"/>
      <c r="E14" s="731"/>
      <c r="F14" s="973"/>
      <c r="G14" s="973"/>
      <c r="H14" s="973"/>
      <c r="I14" s="973"/>
      <c r="J14" s="973"/>
      <c r="K14" s="973"/>
      <c r="L14" s="973"/>
      <c r="M14" s="973"/>
      <c r="N14" s="973"/>
      <c r="O14" s="973"/>
      <c r="P14" s="731"/>
      <c r="Q14" s="731"/>
      <c r="R14" s="731"/>
      <c r="T14" s="740">
        <v>3</v>
      </c>
      <c r="U14" s="741">
        <v>12</v>
      </c>
      <c r="AB14" s="742">
        <v>7</v>
      </c>
    </row>
    <row r="15" spans="1:32" ht="19.5" customHeight="1">
      <c r="A15" s="731"/>
      <c r="B15" s="1580" t="s">
        <v>819</v>
      </c>
      <c r="C15" s="1580"/>
      <c r="D15" s="731"/>
      <c r="E15" s="731"/>
      <c r="F15" s="749"/>
      <c r="G15" s="743"/>
      <c r="H15" s="743"/>
      <c r="I15" s="412"/>
      <c r="J15" s="413"/>
      <c r="K15" s="717"/>
      <c r="L15" s="717"/>
      <c r="M15" s="731"/>
      <c r="O15" s="731"/>
      <c r="P15" s="731"/>
      <c r="R15" s="731"/>
      <c r="AB15" s="742">
        <v>7.5</v>
      </c>
    </row>
    <row r="16" spans="1:32" ht="20.100000000000001" customHeight="1">
      <c r="A16" s="731"/>
      <c r="B16" s="1581"/>
      <c r="C16" s="1581"/>
      <c r="D16" s="414" t="s">
        <v>538</v>
      </c>
      <c r="E16" s="415"/>
      <c r="F16" s="415"/>
      <c r="G16" s="415"/>
      <c r="H16" s="415"/>
      <c r="I16" s="414" t="s">
        <v>239</v>
      </c>
      <c r="J16" s="415"/>
      <c r="K16" s="416"/>
      <c r="L16" s="417" t="s">
        <v>229</v>
      </c>
      <c r="M16" s="414" t="s">
        <v>230</v>
      </c>
      <c r="N16" s="415"/>
      <c r="O16" s="416"/>
      <c r="P16" s="416"/>
      <c r="Q16" s="749"/>
      <c r="R16" s="731"/>
      <c r="AB16" s="742">
        <v>8</v>
      </c>
    </row>
    <row r="17" spans="1:27" ht="20.100000000000001" customHeight="1">
      <c r="A17" s="731"/>
      <c r="B17" s="1568" t="s">
        <v>208</v>
      </c>
      <c r="C17" s="1568"/>
      <c r="D17" s="1585" t="s">
        <v>9</v>
      </c>
      <c r="E17" s="1585" t="s">
        <v>91</v>
      </c>
      <c r="F17" s="1607" t="s">
        <v>93</v>
      </c>
      <c r="G17" s="1585" t="s">
        <v>94</v>
      </c>
      <c r="H17" s="1585" t="s">
        <v>115</v>
      </c>
      <c r="I17" s="1585" t="s">
        <v>95</v>
      </c>
      <c r="J17" s="1590" t="s">
        <v>765</v>
      </c>
      <c r="K17" s="1585" t="s">
        <v>433</v>
      </c>
      <c r="L17" s="1618" t="s">
        <v>518</v>
      </c>
      <c r="M17" s="1585" t="s">
        <v>98</v>
      </c>
      <c r="N17" s="1585" t="s">
        <v>17</v>
      </c>
      <c r="O17" s="1585" t="s">
        <v>202</v>
      </c>
      <c r="P17" s="1585" t="s">
        <v>511</v>
      </c>
      <c r="Q17" s="749"/>
      <c r="R17" s="749"/>
    </row>
    <row r="18" spans="1:27" ht="20.100000000000001" customHeight="1">
      <c r="A18" s="731"/>
      <c r="B18" s="1568"/>
      <c r="C18" s="1568"/>
      <c r="D18" s="1586"/>
      <c r="E18" s="1586"/>
      <c r="F18" s="1608"/>
      <c r="G18" s="1586"/>
      <c r="H18" s="1586"/>
      <c r="I18" s="1586"/>
      <c r="J18" s="1591"/>
      <c r="K18" s="1586"/>
      <c r="L18" s="1619"/>
      <c r="M18" s="1586"/>
      <c r="N18" s="1586"/>
      <c r="O18" s="1586"/>
      <c r="P18" s="1586"/>
      <c r="Q18" s="749"/>
      <c r="R18" s="749"/>
      <c r="Y18" s="750"/>
    </row>
    <row r="19" spans="1:27" ht="20.100000000000001" customHeight="1">
      <c r="A19" s="731"/>
      <c r="B19" s="1568"/>
      <c r="C19" s="1568"/>
      <c r="D19" s="718" t="s">
        <v>119</v>
      </c>
      <c r="E19" s="418"/>
      <c r="F19" s="965"/>
      <c r="G19" s="657"/>
      <c r="H19" s="418"/>
      <c r="I19" s="418"/>
      <c r="J19" s="418"/>
      <c r="K19" s="418"/>
      <c r="L19" s="418"/>
      <c r="M19" s="418"/>
      <c r="N19" s="418"/>
      <c r="O19" s="418"/>
      <c r="P19" s="418"/>
      <c r="Q19" s="751"/>
      <c r="R19" s="731"/>
    </row>
    <row r="20" spans="1:27" ht="30" customHeight="1">
      <c r="A20" s="731"/>
      <c r="B20" s="717"/>
      <c r="C20" s="717"/>
      <c r="D20" s="717"/>
      <c r="E20" s="717"/>
      <c r="F20" s="717"/>
      <c r="G20" s="717"/>
      <c r="H20" s="717"/>
      <c r="I20" s="717"/>
      <c r="J20" s="717"/>
      <c r="K20" s="717"/>
      <c r="M20" s="717"/>
      <c r="N20" s="717"/>
      <c r="O20" s="717"/>
      <c r="P20" s="717"/>
      <c r="Q20" s="731"/>
      <c r="R20" s="731"/>
    </row>
    <row r="21" spans="1:27" ht="21.75" hidden="1" thickBot="1">
      <c r="A21" s="731"/>
      <c r="B21" s="1581" t="s">
        <v>820</v>
      </c>
      <c r="C21" s="1581"/>
      <c r="D21" s="1582" t="s">
        <v>149</v>
      </c>
      <c r="E21" s="1583"/>
      <c r="F21" s="1583"/>
      <c r="G21" s="1583"/>
      <c r="H21" s="1583"/>
      <c r="I21" s="1583"/>
      <c r="J21" s="1583"/>
      <c r="K21" s="1583"/>
      <c r="L21" s="1583"/>
      <c r="M21" s="1583"/>
      <c r="N21" s="1583"/>
      <c r="O21" s="1583"/>
      <c r="P21" s="1583"/>
      <c r="Q21" s="1584"/>
      <c r="R21" s="731"/>
      <c r="T21" s="731"/>
      <c r="Z21" s="752"/>
    </row>
    <row r="22" spans="1:27" s="732" customFormat="1" ht="21" hidden="1" customHeight="1">
      <c r="A22" s="1565" t="s">
        <v>112</v>
      </c>
      <c r="B22" s="1570" t="s">
        <v>101</v>
      </c>
      <c r="C22" s="1620"/>
      <c r="D22" s="1611" t="s">
        <v>9</v>
      </c>
      <c r="E22" s="1611" t="s">
        <v>91</v>
      </c>
      <c r="F22" s="1611" t="s">
        <v>93</v>
      </c>
      <c r="G22" s="1611" t="s">
        <v>94</v>
      </c>
      <c r="H22" s="1611" t="s">
        <v>115</v>
      </c>
      <c r="I22" s="1611" t="s">
        <v>95</v>
      </c>
      <c r="J22" s="1612" t="s">
        <v>504</v>
      </c>
      <c r="K22" s="1613" t="s">
        <v>433</v>
      </c>
      <c r="L22" s="419" t="s">
        <v>526</v>
      </c>
      <c r="M22" s="1614" t="s">
        <v>98</v>
      </c>
      <c r="N22" s="1616" t="s">
        <v>17</v>
      </c>
      <c r="O22" s="1606" t="s">
        <v>202</v>
      </c>
      <c r="P22" s="1587" t="s">
        <v>511</v>
      </c>
      <c r="Q22" s="1604" t="s">
        <v>126</v>
      </c>
      <c r="R22" s="420"/>
      <c r="T22" s="731"/>
      <c r="U22" s="736"/>
      <c r="V22" s="736"/>
      <c r="W22" s="736"/>
      <c r="X22" s="736"/>
      <c r="Z22" s="750"/>
    </row>
    <row r="23" spans="1:27" s="732" customFormat="1" hidden="1">
      <c r="A23" s="1566"/>
      <c r="B23" s="1572"/>
      <c r="C23" s="1621"/>
      <c r="D23" s="1586"/>
      <c r="E23" s="1586"/>
      <c r="F23" s="1586"/>
      <c r="G23" s="1586"/>
      <c r="H23" s="1586"/>
      <c r="I23" s="1586"/>
      <c r="J23" s="1591"/>
      <c r="K23" s="1610"/>
      <c r="L23" s="421" t="str">
        <f>IF($AF$2=1,"",CONCATENATE("（乗除調整",TEXT($AF$2,"##/100"),")"))</f>
        <v/>
      </c>
      <c r="M23" s="1615"/>
      <c r="N23" s="1617"/>
      <c r="O23" s="1591"/>
      <c r="P23" s="1588"/>
      <c r="Q23" s="1605"/>
      <c r="R23" s="420"/>
      <c r="T23" s="1599"/>
      <c r="U23" s="1598"/>
      <c r="V23" s="1598"/>
      <c r="W23" s="927"/>
      <c r="X23" s="736"/>
      <c r="Y23" s="1603"/>
      <c r="Z23" s="1603"/>
      <c r="AA23" s="1603"/>
    </row>
    <row r="24" spans="1:27" ht="20.100000000000001" hidden="1" customHeight="1">
      <c r="A24" s="1566"/>
      <c r="B24" s="1568" t="s">
        <v>203</v>
      </c>
      <c r="C24" s="1569"/>
      <c r="D24" s="753" t="e">
        <f>IF(D$19="あり",VLOOKUP($D$9,保育所1!$B$131:$BF$147,10,TRUE),0)</f>
        <v>#N/A</v>
      </c>
      <c r="E24" s="754"/>
      <c r="F24" s="753">
        <f>IF(ISERROR(保育所1!$A$150),0,保育所1!$A$150)</f>
        <v>0</v>
      </c>
      <c r="G24" s="753">
        <f>IF(G$19="あり",VLOOKUP(SUM($D$9,$D$12),保育所1!$B$77:$BF$93,31,TRUE),0)</f>
        <v>0</v>
      </c>
      <c r="H24" s="753">
        <f>IF(AND($H$19&lt;&gt;"",$H$19&lt;&gt;"なし"),VLOOKUP(SUM($D$9,$D$12),保育所1!$B$77:$BF$93,42,TRUE)*IF(SUM($D$9,$D$12)&lt;121,MIN(1,$H$19),MIN(2,$H$19)),0)</f>
        <v>0</v>
      </c>
      <c r="I24" s="754"/>
      <c r="J24" s="753">
        <f>IF(J19="あり",-VLOOKUP(SUM($D$9,$D$12),保育所1!$B$77:$BF$93,50,TRUE),0)</f>
        <v>0</v>
      </c>
      <c r="K24" s="755">
        <f>IFERROR(-IF(ROUNDDOWN(SUM($D24,$E24,$G24)*VLOOKUP($K$19,保育所1!$B$164:$C$168,2,FALSE),-1)&lt;10,ROUNDDOWN(SUM($D24,$E24,$G24)*VLOOKUP($K$19,保育所1!$B$164:$C$168,2,FALSE),0),ROUNDDOWN(SUM($D24,$E24,$G24)*VLOOKUP($K$19,保育所1!$B$164:$C$168,2,FALSE),-1)),0)</f>
        <v>0</v>
      </c>
      <c r="L24" s="756" t="e">
        <f>IF($AF$2=1,SUM($D24:$K24),(IF(ROUNDDOWN(SUM($D24:$K24)*$AF$2,-1)&lt;10,ROUNDDOWN(SUM($D24:$K24)*$AF$2,0),(ROUNDDOWN(SUM($D24:$K24)*$AF$2,-1)))))</f>
        <v>#N/A</v>
      </c>
      <c r="M24" s="757">
        <f>IF(M$19="あり",IF(ROUNDDOWN(保育所2!$K$4/$I$71,-1)&lt;10,ROUNDDOWN(保育所2!$K$4/$I$71,0),ROUNDDOWN(保育所2!$K$4/$I$71,-1)),0)</f>
        <v>0</v>
      </c>
      <c r="N24" s="753">
        <f>IF(N$19="特児",IF(ROUNDDOWN(保育所2!$K$8/$I$71,-1)&lt;10,ROUNDDOWN(保育所2!$K$8/$I$71,0),ROUNDDOWN(保育所2!$K$8/$I$71,-1)),IF(N$19="その他",IF(ROUNDDOWN(保育所2!$K$11/$I$71,-1)&lt;10,ROUNDDOWN(保育所2!$K$11/$I$71,0),ROUNDDOWN(保育所2!$K$11/$I$71,-1)),0))</f>
        <v>0</v>
      </c>
      <c r="O24" s="753">
        <f>IF(O$19="あり",IF(ROUNDDOWN(保育所2!$K$15/$I$71,-1)&lt;10,ROUNDDOWN(保育所2!$K$15/$I$71,0),ROUNDDOWN(保育所2!$K$15/$I$71,-1)),0)</f>
        <v>0</v>
      </c>
      <c r="P24" s="755">
        <f>IF(P$19="配置",IF(ROUNDDOWN(保育所2!$K$45/$I$71,-1)&lt;10,ROUNDDOWN(保育所2!$K$45/$I$71,0),ROUNDDOWN(保育所2!$K$45/$I$71,-1)),IF(P$19="兼務",IF(ROUNDDOWN(保育所2!$K$48/$I$71,-1)&lt;10,ROUNDDOWN(保育所2!$K$48/$I$71,0),ROUNDDOWN(保育所2!$K$48/$I$71,-1)),0))</f>
        <v>0</v>
      </c>
      <c r="Q24" s="758">
        <f>IF(ISERROR(SUM(L24:P24)),0,SUM(L24:P24))</f>
        <v>0</v>
      </c>
      <c r="R24" s="759"/>
      <c r="T24" s="1599"/>
      <c r="U24" s="1599"/>
      <c r="V24" s="1599"/>
      <c r="W24" s="752"/>
      <c r="Y24" s="752"/>
      <c r="Z24" s="791"/>
      <c r="AA24" s="791"/>
    </row>
    <row r="25" spans="1:27" ht="20.100000000000001" hidden="1" customHeight="1">
      <c r="A25" s="1566"/>
      <c r="B25" s="1568" t="s">
        <v>204</v>
      </c>
      <c r="C25" s="1569"/>
      <c r="D25" s="753" t="e">
        <f>IF(D$19="あり",VLOOKUP($D$9,保育所1!$B$113:$BF$129,10,TRUE),0)</f>
        <v>#N/A</v>
      </c>
      <c r="E25" s="754"/>
      <c r="F25" s="753">
        <f>F24</f>
        <v>0</v>
      </c>
      <c r="G25" s="753">
        <f t="shared" ref="F25:H27" si="0">G24</f>
        <v>0</v>
      </c>
      <c r="H25" s="753">
        <f>H24</f>
        <v>0</v>
      </c>
      <c r="I25" s="754"/>
      <c r="J25" s="753">
        <f>J24</f>
        <v>0</v>
      </c>
      <c r="K25" s="755">
        <f>IFERROR(-IF(ROUNDDOWN(SUM($D25,$E25,$G25)*VLOOKUP($K$19,保育所1!$B$164:$C$168,2,FALSE),-1)&lt;10,ROUNDDOWN(SUM($D25,$E25,$G25)*VLOOKUP($K$19,保育所1!$B$164:$C$168,2,FALSE),0),ROUNDDOWN(SUM($D25,$E25,$G25)*VLOOKUP($K$19,保育所1!$B$164:$C$168,2,FALSE),-1)),0)</f>
        <v>0</v>
      </c>
      <c r="L25" s="756" t="e">
        <f>IF($AF$2=1,SUM($D25:$K25),(IF(ROUNDDOWN(SUM($D25:$K25)*$AF$2,-1)&lt;10,ROUNDDOWN(SUM($D25:$K25)*$AF$2,0),(ROUNDDOWN(SUM($D25:$K25)*$AF$2,-1)))))</f>
        <v>#N/A</v>
      </c>
      <c r="M25" s="757">
        <f>M24</f>
        <v>0</v>
      </c>
      <c r="N25" s="753">
        <f>N24</f>
        <v>0</v>
      </c>
      <c r="O25" s="753">
        <f>O24</f>
        <v>0</v>
      </c>
      <c r="P25" s="755">
        <f>P24</f>
        <v>0</v>
      </c>
      <c r="Q25" s="758">
        <f>IF(ISERROR(SUM(L25:P25)),0,SUM(L25:P25))</f>
        <v>0</v>
      </c>
      <c r="R25" s="759"/>
      <c r="T25" s="1599"/>
      <c r="U25" s="1599"/>
      <c r="V25" s="1599"/>
      <c r="W25" s="752"/>
      <c r="Y25" s="752"/>
      <c r="Z25" s="791"/>
      <c r="AA25" s="791"/>
    </row>
    <row r="26" spans="1:27" ht="20.100000000000001" hidden="1" customHeight="1">
      <c r="A26" s="1566"/>
      <c r="B26" s="1568" t="s">
        <v>7</v>
      </c>
      <c r="C26" s="1569"/>
      <c r="D26" s="753" t="e">
        <f>IF(D$19="あり",VLOOKUP($D$9,保育所1!$B$95:$BF$111,10,TRUE),0)</f>
        <v>#N/A</v>
      </c>
      <c r="E26" s="753">
        <f>IF(E$19="あり",VLOOKUP(SUM($D$9,$D$12),保育所1!$B$95:$BF$111,18,TRUE),0)</f>
        <v>0</v>
      </c>
      <c r="F26" s="753">
        <f t="shared" si="0"/>
        <v>0</v>
      </c>
      <c r="G26" s="753">
        <f t="shared" si="0"/>
        <v>0</v>
      </c>
      <c r="H26" s="753">
        <f t="shared" si="0"/>
        <v>0</v>
      </c>
      <c r="I26" s="754"/>
      <c r="J26" s="753">
        <f>J25</f>
        <v>0</v>
      </c>
      <c r="K26" s="755">
        <f>IFERROR(-IF(ROUNDDOWN(SUM($D26,$E26,$G26)*VLOOKUP($K$19,保育所1!$B$164:$C$168,2,FALSE),-1)&lt;10,ROUNDDOWN(SUM($D26,$E26,$G26)*VLOOKUP($K$19,保育所1!$B$164:$C$168,2,FALSE),0),ROUNDDOWN(SUM($D26,$E26,$G26)*VLOOKUP($K$19,保育所1!$B$164:$C$168,2,FALSE),-1)),0)</f>
        <v>0</v>
      </c>
      <c r="L26" s="756" t="e">
        <f>IF($AF$2=1,SUM($D26:$K26),(IF(ROUNDDOWN(SUM($D26:$K26)*$AF$2,-1)&lt;10,ROUNDDOWN(SUM($D26:$K26)*$AF$2,0),(ROUNDDOWN(SUM($D26:$K26)*$AF$2,-1)))))</f>
        <v>#N/A</v>
      </c>
      <c r="M26" s="757">
        <f t="shared" ref="M26:O27" si="1">M25</f>
        <v>0</v>
      </c>
      <c r="N26" s="753">
        <f t="shared" si="1"/>
        <v>0</v>
      </c>
      <c r="O26" s="753">
        <f t="shared" si="1"/>
        <v>0</v>
      </c>
      <c r="P26" s="755">
        <f>P25</f>
        <v>0</v>
      </c>
      <c r="Q26" s="758">
        <f>IF(ISERROR(SUM(L26:P26)),0,SUM(L26:P26))</f>
        <v>0</v>
      </c>
      <c r="R26" s="759"/>
      <c r="T26" s="1599"/>
      <c r="U26" s="1599"/>
      <c r="V26" s="1599"/>
      <c r="W26" s="752"/>
      <c r="Y26" s="752"/>
      <c r="Z26" s="791"/>
      <c r="AA26" s="791"/>
    </row>
    <row r="27" spans="1:27" ht="20.100000000000001" hidden="1" customHeight="1">
      <c r="A27" s="1566"/>
      <c r="B27" s="1568" t="s">
        <v>8</v>
      </c>
      <c r="C27" s="1569"/>
      <c r="D27" s="760" t="e">
        <f>IF(D$19="あり",VLOOKUP($D$9,保育所1!$B$77:$BF$93,10,TRUE),0)</f>
        <v>#N/A</v>
      </c>
      <c r="E27" s="761"/>
      <c r="F27" s="760">
        <f t="shared" si="0"/>
        <v>0</v>
      </c>
      <c r="G27" s="760">
        <f t="shared" si="0"/>
        <v>0</v>
      </c>
      <c r="H27" s="753">
        <f t="shared" si="0"/>
        <v>0</v>
      </c>
      <c r="I27" s="761"/>
      <c r="J27" s="760">
        <f>J26</f>
        <v>0</v>
      </c>
      <c r="K27" s="762">
        <f>IFERROR(-IF(ROUNDDOWN(SUM($D27,$E27,$G27)*VLOOKUP($K$19,保育所1!$B$164:$C$168,2,FALSE),-1)&lt;10,ROUNDDOWN(SUM($D27,$E27,$G27)*VLOOKUP($K$19,保育所1!$B$164:$C$168,2,FALSE),0),ROUNDDOWN(SUM($D27,$E27,$G27)*VLOOKUP($K$19,保育所1!$B$164:$C$168,2,FALSE),-1)),0)</f>
        <v>0</v>
      </c>
      <c r="L27" s="756" t="e">
        <f>IF($AF$2=1,SUM($D27:$K27),(IF(ROUNDDOWN(SUM($D27:$K27)*$AF$2,-1)&lt;10,ROUNDDOWN(SUM($D27:$K27)*$AF$2,0),(ROUNDDOWN(SUM($D27:$K27)*$AF$2,-1)))))</f>
        <v>#N/A</v>
      </c>
      <c r="M27" s="757">
        <f t="shared" si="1"/>
        <v>0</v>
      </c>
      <c r="N27" s="753">
        <f t="shared" si="1"/>
        <v>0</v>
      </c>
      <c r="O27" s="753">
        <f t="shared" si="1"/>
        <v>0</v>
      </c>
      <c r="P27" s="755">
        <f>P26</f>
        <v>0</v>
      </c>
      <c r="Q27" s="758">
        <f>IF(ISERROR(SUM(L27:P27)),0,SUM(L27:P27))</f>
        <v>0</v>
      </c>
      <c r="R27" s="759"/>
      <c r="T27" s="1599"/>
      <c r="U27" s="1599"/>
      <c r="V27" s="1599"/>
      <c r="W27" s="752"/>
      <c r="Y27" s="752"/>
      <c r="Z27" s="791"/>
      <c r="AA27" s="791"/>
    </row>
    <row r="28" spans="1:27" ht="21" hidden="1" customHeight="1">
      <c r="A28" s="1566"/>
      <c r="B28" s="1570" t="s">
        <v>205</v>
      </c>
      <c r="C28" s="1571"/>
      <c r="D28" s="1585" t="s">
        <v>9</v>
      </c>
      <c r="E28" s="1585" t="s">
        <v>91</v>
      </c>
      <c r="F28" s="1585" t="s">
        <v>93</v>
      </c>
      <c r="G28" s="1585" t="s">
        <v>94</v>
      </c>
      <c r="H28" s="1585" t="s">
        <v>115</v>
      </c>
      <c r="I28" s="1585" t="s">
        <v>95</v>
      </c>
      <c r="J28" s="1585" t="s">
        <v>534</v>
      </c>
      <c r="K28" s="1609" t="s">
        <v>433</v>
      </c>
      <c r="L28" s="419" t="s">
        <v>526</v>
      </c>
      <c r="M28" s="1614" t="s">
        <v>98</v>
      </c>
      <c r="N28" s="1616" t="s">
        <v>17</v>
      </c>
      <c r="O28" s="1606" t="s">
        <v>202</v>
      </c>
      <c r="P28" s="1587" t="s">
        <v>511</v>
      </c>
      <c r="Q28" s="1604" t="s">
        <v>127</v>
      </c>
      <c r="R28" s="759"/>
      <c r="T28" s="1599"/>
      <c r="U28" s="1599"/>
      <c r="V28" s="1599"/>
      <c r="W28" s="939"/>
      <c r="Y28" s="752"/>
      <c r="Z28" s="791"/>
      <c r="AA28" s="791"/>
    </row>
    <row r="29" spans="1:27" hidden="1">
      <c r="A29" s="1566"/>
      <c r="B29" s="1572"/>
      <c r="C29" s="1573"/>
      <c r="D29" s="1586"/>
      <c r="E29" s="1586"/>
      <c r="F29" s="1586"/>
      <c r="G29" s="1586"/>
      <c r="H29" s="1586"/>
      <c r="I29" s="1586"/>
      <c r="J29" s="1586"/>
      <c r="K29" s="1610"/>
      <c r="L29" s="421" t="str">
        <f>IF($AF$2=1,"",CONCATENATE("（乗除調整",TEXT($AF$2,"##/100"),")"))</f>
        <v/>
      </c>
      <c r="M29" s="1615"/>
      <c r="N29" s="1617"/>
      <c r="O29" s="1591"/>
      <c r="P29" s="1588"/>
      <c r="Q29" s="1605"/>
      <c r="R29" s="759"/>
      <c r="T29" s="1599"/>
      <c r="U29" s="1598"/>
      <c r="V29" s="1598"/>
      <c r="W29" s="927"/>
      <c r="Y29" s="752"/>
      <c r="Z29" s="791"/>
      <c r="AA29" s="791"/>
    </row>
    <row r="30" spans="1:27" ht="20.100000000000001" hidden="1" customHeight="1">
      <c r="A30" s="1566"/>
      <c r="B30" s="1568" t="s">
        <v>203</v>
      </c>
      <c r="C30" s="1569"/>
      <c r="D30" s="753" t="e">
        <f>IF(D$19="あり",VLOOKUP($D$9,保育所1!$B$131:$BF$147,13,TRUE),0)</f>
        <v>#N/A</v>
      </c>
      <c r="E30" s="754"/>
      <c r="F30" s="753">
        <f>IF(ISERROR(保育所1!$A$150),0,保育所1!$A$150)</f>
        <v>0</v>
      </c>
      <c r="G30" s="753">
        <f>IF(G$19="あり",VLOOKUP(SUM($D$9,$D$12),保育所1!$B$77:$BF$93,31,TRUE),0)</f>
        <v>0</v>
      </c>
      <c r="H30" s="753">
        <f>IF(AND($H$19&lt;&gt;"",$H$19&lt;&gt;"なし"),VLOOKUP(SUM($D$9,$D$12),保育所1!$B$77:$BF$93,42,TRUE)*IF(SUM($D$9,$D$12)&lt;121,MIN(1,$H$19),MIN(2,$H$19)),0)</f>
        <v>0</v>
      </c>
      <c r="I30" s="754"/>
      <c r="J30" s="753">
        <f>IF(J19="あり",-VLOOKUP(SUM($D$9,$D$12),保育所1!$B$77:$BF$93,50,TRUE),0)</f>
        <v>0</v>
      </c>
      <c r="K30" s="755">
        <f>IFERROR(-IF(ROUNDDOWN(SUM($D30,$E30,$G30)*VLOOKUP($K$19,保育所1!$B$164:$C$168,2,FALSE),-1)&lt;10,ROUNDDOWN(SUM($D30,$E30,$G30)*VLOOKUP($K$19,保育所1!$B$164:$C$168,2,FALSE),0),ROUNDDOWN(SUM($D30,$E30,$G30)*VLOOKUP($K$19,保育所1!$B$164:$C$168,2,FALSE),-1)),0)</f>
        <v>0</v>
      </c>
      <c r="L30" s="756" t="e">
        <f>IF($AF$2=1,SUM($D30:$K30),(IF(ROUNDDOWN(SUM($D30:$K30)*$AF$2,-1)&lt;10,ROUNDDOWN(SUM($D30:$K30)*$AF$2,0),(ROUNDDOWN(SUM($D30:$K30)*$AF$2,-1)))))</f>
        <v>#N/A</v>
      </c>
      <c r="M30" s="757">
        <f>IF(M$19="あり",IF(ROUNDDOWN(保育所2!$K$4/$I$71,-1)&lt;10,ROUNDDOWN(保育所2!$K$4/$I$71,0),ROUNDDOWN(保育所2!$K$4/$I$71,-1)),0)</f>
        <v>0</v>
      </c>
      <c r="N30" s="753">
        <f>IF(N$19="特児",IF(ROUNDDOWN(保育所2!$K$8/$I$71,-1)&lt;10,ROUNDDOWN(保育所2!$K$8/$I$71,0),ROUNDDOWN(保育所2!$K$8/$I$71,-1)),IF(N$19="その他",IF(ROUNDDOWN(保育所2!$K$11/$I$71,-1)&lt;10,ROUNDDOWN(保育所2!$K$11/$I$71,0),ROUNDDOWN(保育所2!$K$11/$I$71,-1)),0))</f>
        <v>0</v>
      </c>
      <c r="O30" s="753">
        <f>IF(O$19="あり",IF(ROUNDDOWN(保育所2!$K$15/$I$71,-1)&lt;10,ROUNDDOWN(保育所2!$K$15/$I$71,0),ROUNDDOWN(保育所2!$K$15/$I$71,-1)),0)</f>
        <v>0</v>
      </c>
      <c r="P30" s="755">
        <f>IF(P$19="配置",IF(ROUNDDOWN(保育所2!$K$45/$I$71,-1)&lt;10,ROUNDDOWN(保育所2!$K$45/$I$71,0),ROUNDDOWN(保育所2!$K$45/$I$71,-1)),IF(P$19="兼務",IF(ROUNDDOWN(保育所2!$K$48/$I$71,-1)&lt;10,ROUNDDOWN(保育所2!$K$48/$I$71,0),ROUNDDOWN(保育所2!$K$48/$I$71,-1)),0))</f>
        <v>0</v>
      </c>
      <c r="Q30" s="758">
        <f>IF(ISERROR(SUM(L30:P30)),0,SUM(L30:P30))</f>
        <v>0</v>
      </c>
      <c r="R30" s="759"/>
      <c r="T30" s="1599"/>
      <c r="U30" s="1599"/>
      <c r="V30" s="1599"/>
      <c r="W30" s="752"/>
      <c r="Y30" s="752"/>
      <c r="Z30" s="791"/>
      <c r="AA30" s="791"/>
    </row>
    <row r="31" spans="1:27" ht="20.100000000000001" hidden="1" customHeight="1">
      <c r="A31" s="1566"/>
      <c r="B31" s="1568" t="s">
        <v>204</v>
      </c>
      <c r="C31" s="1569"/>
      <c r="D31" s="753" t="e">
        <f>IF(D$19="あり",VLOOKUP($D$9,保育所1!$B$113:$BF$129,13,TRUE),0)</f>
        <v>#N/A</v>
      </c>
      <c r="E31" s="754"/>
      <c r="F31" s="753">
        <f t="shared" ref="F31:H33" si="2">F30</f>
        <v>0</v>
      </c>
      <c r="G31" s="753">
        <f t="shared" si="2"/>
        <v>0</v>
      </c>
      <c r="H31" s="753">
        <f t="shared" si="2"/>
        <v>0</v>
      </c>
      <c r="I31" s="754"/>
      <c r="J31" s="753">
        <f>J30</f>
        <v>0</v>
      </c>
      <c r="K31" s="755">
        <f>IFERROR(-IF(ROUNDDOWN(SUM($D31,$E31,$G31)*VLOOKUP($K$19,保育所1!$B$164:$C$168,2,FALSE),-1)&lt;10,ROUNDDOWN(SUM($D31,$E31,$G31)*VLOOKUP($K$19,保育所1!$B$164:$C$168,2,FALSE),0),ROUNDDOWN(SUM($D31,$E31,$G31)*VLOOKUP($K$19,保育所1!$B$164:$C$168,2,FALSE),-1)),0)</f>
        <v>0</v>
      </c>
      <c r="L31" s="756" t="e">
        <f>IF($AF$2=1,SUM($D31:$K31),(IF(ROUNDDOWN(SUM($D31:$K31)*$AF$2,-1)&lt;10,ROUNDDOWN(SUM($D31:$K31)*$AF$2,0),(ROUNDDOWN(SUM($D31:$K31)*$AF$2,-1)))))</f>
        <v>#N/A</v>
      </c>
      <c r="M31" s="757">
        <f t="shared" ref="M31:O33" si="3">M30</f>
        <v>0</v>
      </c>
      <c r="N31" s="753">
        <f t="shared" si="3"/>
        <v>0</v>
      </c>
      <c r="O31" s="753">
        <f t="shared" si="3"/>
        <v>0</v>
      </c>
      <c r="P31" s="755">
        <f>P30</f>
        <v>0</v>
      </c>
      <c r="Q31" s="758">
        <f>IF(ISERROR(SUM(L31:P31)),0,SUM(L31:P31))</f>
        <v>0</v>
      </c>
      <c r="R31" s="717"/>
      <c r="T31" s="1599"/>
      <c r="U31" s="1599"/>
      <c r="V31" s="1599"/>
      <c r="W31" s="752"/>
      <c r="Y31" s="752"/>
      <c r="Z31" s="791"/>
      <c r="AA31" s="791"/>
    </row>
    <row r="32" spans="1:27" ht="20.100000000000001" hidden="1" customHeight="1">
      <c r="A32" s="1566"/>
      <c r="B32" s="1568" t="s">
        <v>7</v>
      </c>
      <c r="C32" s="1569"/>
      <c r="D32" s="753" t="e">
        <f>IF(D$19="あり",VLOOKUP($D$9,保育所1!$B$95:$BF$111,13,TRUE),0)</f>
        <v>#N/A</v>
      </c>
      <c r="E32" s="753">
        <f>IF(E$19="あり",VLOOKUP(SUM($D$9,$D$12),保育所1!$B$95:$BF$111,18,TRUE),0)</f>
        <v>0</v>
      </c>
      <c r="F32" s="753">
        <f t="shared" si="2"/>
        <v>0</v>
      </c>
      <c r="G32" s="753">
        <f t="shared" si="2"/>
        <v>0</v>
      </c>
      <c r="H32" s="753">
        <f t="shared" si="2"/>
        <v>0</v>
      </c>
      <c r="I32" s="754"/>
      <c r="J32" s="753">
        <f>J31</f>
        <v>0</v>
      </c>
      <c r="K32" s="755">
        <f>IFERROR(-IF(ROUNDDOWN(SUM($D32,$E32,$G32)*VLOOKUP($K$19,保育所1!$B$164:$C$168,2,FALSE),-1)&lt;10,ROUNDDOWN(SUM($D32,$E32,$G32)*VLOOKUP($K$19,保育所1!$B$164:$C$168,2,FALSE),0),ROUNDDOWN(SUM($D32,$E32,$G32)*VLOOKUP($K$19,保育所1!$B$164:$C$168,2,FALSE),-1)),0)</f>
        <v>0</v>
      </c>
      <c r="L32" s="756" t="e">
        <f>IF($AF$2=1,SUM($D32:$K32),(IF(ROUNDDOWN(SUM($D32:$K32)*$AF$2,-1)&lt;10,ROUNDDOWN(SUM($D32:$K32)*$AF$2,0),(ROUNDDOWN(SUM($D32:$K32)*$AF$2,-1)))))</f>
        <v>#N/A</v>
      </c>
      <c r="M32" s="757">
        <f t="shared" si="3"/>
        <v>0</v>
      </c>
      <c r="N32" s="753">
        <f t="shared" si="3"/>
        <v>0</v>
      </c>
      <c r="O32" s="753">
        <f t="shared" si="3"/>
        <v>0</v>
      </c>
      <c r="P32" s="755">
        <f>P31</f>
        <v>0</v>
      </c>
      <c r="Q32" s="758">
        <f>IF(ISERROR(SUM(L32:P32)),0,SUM(L32:P32))</f>
        <v>0</v>
      </c>
      <c r="R32" s="731"/>
      <c r="T32" s="1599"/>
      <c r="U32" s="1599"/>
      <c r="V32" s="1599"/>
      <c r="W32" s="752"/>
      <c r="Y32" s="752"/>
      <c r="Z32" s="791"/>
      <c r="AA32" s="791"/>
    </row>
    <row r="33" spans="1:27" ht="20.100000000000001" hidden="1" customHeight="1">
      <c r="A33" s="1567"/>
      <c r="B33" s="1568" t="s">
        <v>8</v>
      </c>
      <c r="C33" s="1569"/>
      <c r="D33" s="753" t="e">
        <f>IF(D$19="あり",VLOOKUP($D$9,保育所1!$B$77:$BF$93,13,TRUE),0)</f>
        <v>#N/A</v>
      </c>
      <c r="E33" s="754"/>
      <c r="F33" s="753">
        <f t="shared" si="2"/>
        <v>0</v>
      </c>
      <c r="G33" s="753">
        <f t="shared" si="2"/>
        <v>0</v>
      </c>
      <c r="H33" s="753">
        <f t="shared" si="2"/>
        <v>0</v>
      </c>
      <c r="I33" s="754"/>
      <c r="J33" s="753">
        <f>J32</f>
        <v>0</v>
      </c>
      <c r="K33" s="755">
        <f>IFERROR(-IF(ROUNDDOWN(SUM($D33,$E33,$G33)*VLOOKUP($K$19,保育所1!$B$164:$C$168,2,FALSE),-1)&lt;10,ROUNDDOWN(SUM($D33,$E33,$G33)*VLOOKUP($K$19,保育所1!$B$164:$C$168,2,FALSE),0),ROUNDDOWN(SUM($D33,$E33,$G33)*VLOOKUP($K$19,保育所1!$B$164:$C$168,2,FALSE),-1)),0)</f>
        <v>0</v>
      </c>
      <c r="L33" s="756" t="e">
        <f>IF($AF$2=1,SUM($D33:$K33),(IF(ROUNDDOWN(SUM($D33:$K33)*$AF$2,-1)&lt;10,ROUNDDOWN(SUM($D33:$K33)*$AF$2,0),(ROUNDDOWN(SUM($D33:$K33)*$AF$2,-1)))))</f>
        <v>#N/A</v>
      </c>
      <c r="M33" s="757">
        <f t="shared" si="3"/>
        <v>0</v>
      </c>
      <c r="N33" s="753">
        <f t="shared" si="3"/>
        <v>0</v>
      </c>
      <c r="O33" s="753">
        <f t="shared" si="3"/>
        <v>0</v>
      </c>
      <c r="P33" s="755">
        <f>P32</f>
        <v>0</v>
      </c>
      <c r="Q33" s="758">
        <f>IF(ISERROR(SUM(L33:P33)),0,SUM(L33:P33))</f>
        <v>0</v>
      </c>
      <c r="R33" s="731"/>
      <c r="T33" s="1599"/>
      <c r="U33" s="1599"/>
      <c r="V33" s="1599"/>
      <c r="W33" s="752"/>
      <c r="Y33" s="752"/>
      <c r="Z33" s="791"/>
      <c r="AA33" s="791"/>
    </row>
    <row r="34" spans="1:27" ht="20.100000000000001" hidden="1" customHeight="1">
      <c r="A34" s="731"/>
      <c r="B34" s="763"/>
      <c r="C34" s="763"/>
      <c r="D34" s="764"/>
      <c r="E34" s="765"/>
      <c r="F34" s="765"/>
      <c r="G34" s="765"/>
      <c r="H34" s="765"/>
      <c r="I34" s="765"/>
      <c r="J34" s="765"/>
      <c r="K34" s="765"/>
      <c r="L34" s="766"/>
      <c r="M34" s="766"/>
      <c r="N34" s="766"/>
      <c r="O34" s="766"/>
      <c r="P34" s="766"/>
      <c r="Q34" s="767"/>
      <c r="R34" s="731"/>
      <c r="T34" s="1599"/>
      <c r="U34" s="1599"/>
      <c r="V34" s="1599"/>
      <c r="W34" s="939"/>
      <c r="Y34" s="752"/>
      <c r="Z34" s="791"/>
      <c r="AA34" s="791"/>
    </row>
    <row r="35" spans="1:27" ht="21" hidden="1" customHeight="1">
      <c r="A35" s="1565" t="s">
        <v>113</v>
      </c>
      <c r="B35" s="1570" t="s">
        <v>101</v>
      </c>
      <c r="C35" s="1571"/>
      <c r="D35" s="1585" t="s">
        <v>9</v>
      </c>
      <c r="E35" s="1585" t="s">
        <v>91</v>
      </c>
      <c r="F35" s="1585" t="s">
        <v>93</v>
      </c>
      <c r="G35" s="1585" t="s">
        <v>94</v>
      </c>
      <c r="H35" s="1585" t="s">
        <v>115</v>
      </c>
      <c r="I35" s="1585" t="s">
        <v>95</v>
      </c>
      <c r="J35" s="1590" t="s">
        <v>504</v>
      </c>
      <c r="K35" s="1609" t="s">
        <v>433</v>
      </c>
      <c r="L35" s="419" t="s">
        <v>526</v>
      </c>
      <c r="M35" s="1614" t="s">
        <v>98</v>
      </c>
      <c r="N35" s="1616" t="s">
        <v>17</v>
      </c>
      <c r="O35" s="1606" t="s">
        <v>202</v>
      </c>
      <c r="P35" s="1587" t="s">
        <v>511</v>
      </c>
      <c r="Q35" s="1604" t="s">
        <v>206</v>
      </c>
      <c r="R35" s="731"/>
      <c r="T35" s="749"/>
      <c r="U35" s="1599"/>
      <c r="V35" s="1599"/>
      <c r="W35" s="749"/>
      <c r="Y35" s="752"/>
      <c r="Z35" s="791"/>
      <c r="AA35" s="791"/>
    </row>
    <row r="36" spans="1:27" hidden="1">
      <c r="A36" s="1566"/>
      <c r="B36" s="1572"/>
      <c r="C36" s="1573"/>
      <c r="D36" s="1586"/>
      <c r="E36" s="1586"/>
      <c r="F36" s="1586"/>
      <c r="G36" s="1586"/>
      <c r="H36" s="1586"/>
      <c r="I36" s="1586"/>
      <c r="J36" s="1591"/>
      <c r="K36" s="1610"/>
      <c r="L36" s="421" t="str">
        <f>IF($AF$2=1,"",CONCATENATE("（乗除調整",TEXT($AF$2,"##/100"),")"))</f>
        <v/>
      </c>
      <c r="M36" s="1615"/>
      <c r="N36" s="1617"/>
      <c r="O36" s="1591"/>
      <c r="P36" s="1588"/>
      <c r="Q36" s="1605"/>
      <c r="R36" s="731"/>
      <c r="T36" s="1599"/>
      <c r="U36" s="1598"/>
      <c r="V36" s="1598"/>
      <c r="W36" s="927"/>
      <c r="Y36" s="752"/>
      <c r="Z36" s="791"/>
      <c r="AA36" s="791"/>
    </row>
    <row r="37" spans="1:27" ht="20.100000000000001" hidden="1" customHeight="1">
      <c r="A37" s="1566"/>
      <c r="B37" s="1568" t="s">
        <v>203</v>
      </c>
      <c r="C37" s="1569"/>
      <c r="D37" s="753">
        <f>IFERROR(IF(D$19="あり",VLOOKUP($D$12,保育所1!$B$131:$BF$147,10,TRUE),0),0)</f>
        <v>0</v>
      </c>
      <c r="E37" s="754"/>
      <c r="F37" s="753">
        <f>IF($I$19="あり",IF(ISERROR(保育所1!$A$150),0,保育所1!$A$150),0)</f>
        <v>0</v>
      </c>
      <c r="G37" s="753">
        <f>IF(G$19="あり",VLOOKUP(SUM($D$9,$D$12),保育所1!$B$77:$BF$93,31,TRUE),0)</f>
        <v>0</v>
      </c>
      <c r="H37" s="753">
        <f>IF(AND($H$19&lt;&gt;"",$H$19&lt;&gt;"なし"),VLOOKUP(SUM($D$9,$D$12),保育所1!$B$77:$BF$93,42,TRUE)*IF(SUM($D$9,$D$12)&lt;121,MIN(1,$H$19),MIN(2,$H$19)),0)</f>
        <v>0</v>
      </c>
      <c r="I37" s="753">
        <f>IF(I$19="あり",-IF(ROUNDDOWN($D37*保育所1!$AU$41,-1)&lt;10,ROUNDDOWN($D37*保育所1!$AU$41,0),ROUNDDOWN($D37*保育所1!$AU$41,-1)),0)</f>
        <v>0</v>
      </c>
      <c r="J37" s="753">
        <f>IFERROR(IF(J19="あり",-VLOOKUP(SUM($D$9,$D$12),保育所1!$B$77:$BF$93,50,TRUE),0),0)</f>
        <v>0</v>
      </c>
      <c r="K37" s="768">
        <f>IFERROR(-IF(ROUNDDOWN(SUM($D37,$E37,$G37)*VLOOKUP($K$19,保育所1!$B$164:$C$168,2,FALSE),-1)&lt;10,ROUNDDOWN(SUM($D37,$E37,$G37)*VLOOKUP($K$19,保育所1!$B$164:$C$168,2,FALSE),0),ROUNDDOWN(SUM($D37,$E37,$G37)*VLOOKUP($K$19,保育所1!$B$164:$C$168,2,FALSE),-1)),0)</f>
        <v>0</v>
      </c>
      <c r="L37" s="756">
        <f>IF($AF$2=1,SUM($D37:$K37),(IF(ROUNDDOWN(SUM($D37:$K37)*$AF$2,-1)&lt;10,ROUNDDOWN(SUM($D37:$K37)*$AF$2,0),(ROUNDDOWN(SUM($D37:$K37)*$AF$2,-1)))))</f>
        <v>0</v>
      </c>
      <c r="M37" s="757">
        <f>IF(I19="あり",IF(M$19="あり",IF(ROUNDDOWN(保育所2!$K$4/$I$71,-1)&lt;10,ROUNDDOWN(保育所2!$K$4/$I$71,0),ROUNDDOWN(保育所2!$K$4/$I$71,-1)),0),0)</f>
        <v>0</v>
      </c>
      <c r="N37" s="753">
        <f>IF(I19="あり",IF(N$19="特児",IF(ROUNDDOWN(保育所2!$K$8/$I$71,-1)&lt;10,ROUNDDOWN(保育所2!$K$8/$I$71,0),ROUNDDOWN(保育所2!$K$8/$I$71,-1)),IF(N$19="その他",IF(ROUNDDOWN(保育所2!$K$11/$I$71,-1)&lt;10,ROUNDDOWN(保育所2!$K$11/$I$71,0),ROUNDDOWN(保育所2!$K$11/$I$71,-1)),0)),0)</f>
        <v>0</v>
      </c>
      <c r="O37" s="753">
        <f>IF(I19="あり",IF(O$19="あり",IF(ROUNDDOWN(保育所2!$K$15/$I$71,-1)&lt;10,ROUNDDOWN(保育所2!$K$15/$I$71,0),ROUNDDOWN(保育所2!$K$15/$I$71,-1)),0),0)</f>
        <v>0</v>
      </c>
      <c r="P37" s="1083">
        <f>IF(I19="あり",IF(P$19="配置",IF(ROUNDDOWN(保育所2!$K$45/$I$71,-1)&lt;10,ROUNDDOWN(保育所2!$K$45/$I$71,0),ROUNDDOWN(保育所2!$K$45/$I$71,-1)),IF(P$19="兼務",IF(ROUNDDOWN(保育所2!$K$48/$I$71,-1)&lt;10,ROUNDDOWN(保育所2!$K$48/$I$71,0),ROUNDDOWN(保育所2!$K$48/$I$71,-1)),0)),0)</f>
        <v>0</v>
      </c>
      <c r="Q37" s="758">
        <f>IF(ISERROR(SUM(L37:P37)),0,SUM(L37:P37))</f>
        <v>0</v>
      </c>
      <c r="R37" s="731"/>
      <c r="T37" s="1599"/>
      <c r="U37" s="1599"/>
      <c r="V37" s="1599"/>
      <c r="W37" s="752"/>
      <c r="Y37" s="752"/>
      <c r="Z37" s="791"/>
      <c r="AA37" s="791"/>
    </row>
    <row r="38" spans="1:27" ht="20.100000000000001" hidden="1" customHeight="1">
      <c r="A38" s="1566"/>
      <c r="B38" s="1568" t="s">
        <v>204</v>
      </c>
      <c r="C38" s="1569"/>
      <c r="D38" s="753">
        <f>IFERROR(IF(D$19="あり",VLOOKUP($D$12,保育所1!$B$113:$BF$129,10,TRUE),0),0)</f>
        <v>0</v>
      </c>
      <c r="E38" s="754"/>
      <c r="F38" s="769">
        <f t="shared" ref="F38:H40" si="4">F37</f>
        <v>0</v>
      </c>
      <c r="G38" s="753">
        <f t="shared" si="4"/>
        <v>0</v>
      </c>
      <c r="H38" s="753">
        <f t="shared" si="4"/>
        <v>0</v>
      </c>
      <c r="I38" s="753">
        <f>IF(I$19="あり",-IF(ROUNDDOWN($D38*保育所1!$AU$41,-1)&lt;10,ROUNDDOWN($D38*保育所1!$AU$41,0),ROUNDDOWN($D38*保育所1!$AU$41,-1)),0)</f>
        <v>0</v>
      </c>
      <c r="J38" s="753">
        <f>J37</f>
        <v>0</v>
      </c>
      <c r="K38" s="768">
        <f>IFERROR(-IF(ROUNDDOWN(SUM($D38,$E38,$G38)*VLOOKUP($K$19,保育所1!$B$164:$C$168,2,FALSE),-1)&lt;10,ROUNDDOWN(SUM($D38,$E38,$G38)*VLOOKUP($K$19,保育所1!$B$164:$C$168,2,FALSE),0),ROUNDDOWN(SUM($D38,$E38,$G38)*VLOOKUP($K$19,保育所1!$B$164:$C$168,2,FALSE),-1)),0)</f>
        <v>0</v>
      </c>
      <c r="L38" s="756">
        <f>IF($AF$2=1,SUM($D38:$K38),(IF(ROUNDDOWN(SUM($D38:$K38)*$AF$2,-1)&lt;10,ROUNDDOWN(SUM($D38:$K38)*$AF$2,0),(ROUNDDOWN(SUM($D38:$K38)*$AF$2,-1)))))</f>
        <v>0</v>
      </c>
      <c r="M38" s="757">
        <f t="shared" ref="M38:O40" si="5">M37</f>
        <v>0</v>
      </c>
      <c r="N38" s="1095">
        <f>N37</f>
        <v>0</v>
      </c>
      <c r="O38" s="753">
        <f t="shared" si="5"/>
        <v>0</v>
      </c>
      <c r="P38" s="755">
        <f>P37</f>
        <v>0</v>
      </c>
      <c r="Q38" s="758">
        <f>IF(ISERROR(SUM(L38:P38)),0,SUM(L38:P38))</f>
        <v>0</v>
      </c>
      <c r="R38" s="731"/>
      <c r="T38" s="1599"/>
      <c r="U38" s="1599"/>
      <c r="V38" s="1599"/>
      <c r="W38" s="752"/>
      <c r="Y38" s="752"/>
      <c r="Z38" s="791"/>
      <c r="AA38" s="791"/>
    </row>
    <row r="39" spans="1:27" ht="20.100000000000001" hidden="1" customHeight="1">
      <c r="A39" s="1566"/>
      <c r="B39" s="1568" t="s">
        <v>7</v>
      </c>
      <c r="C39" s="1569"/>
      <c r="D39" s="753">
        <f>IFERROR(IF(D$19="あり",VLOOKUP($D$12,保育所1!$B$95:$BF$111,10,TRUE),0),0)</f>
        <v>0</v>
      </c>
      <c r="E39" s="769">
        <f>IFERROR(IF(E$19="あり",VLOOKUP(SUM($D$9,$D$12),保育所1!$B$95:$BF$111,18,TRUE),0),0)</f>
        <v>0</v>
      </c>
      <c r="F39" s="769">
        <f t="shared" si="4"/>
        <v>0</v>
      </c>
      <c r="G39" s="753">
        <f t="shared" si="4"/>
        <v>0</v>
      </c>
      <c r="H39" s="753">
        <f t="shared" si="4"/>
        <v>0</v>
      </c>
      <c r="I39" s="753">
        <f>IF(I$19="あり",-IF(ROUNDDOWN($D39*保育所1!$AU$41,-1)&lt;10,ROUNDDOWN($D39*保育所1!$AU$41,0),ROUNDDOWN($D39*保育所1!$AU$41,-1)),0)</f>
        <v>0</v>
      </c>
      <c r="J39" s="753">
        <f>J38</f>
        <v>0</v>
      </c>
      <c r="K39" s="768">
        <f>IFERROR(-IF(ROUNDDOWN(SUM($D39,$E39,$G39)*VLOOKUP($K$19,保育所1!$B$164:$C$168,2,FALSE),-1)&lt;10,ROUNDDOWN(SUM($D39,$E39,$G39)*VLOOKUP($K$19,保育所1!$B$164:$C$168,2,FALSE),0),ROUNDDOWN(SUM($D39,$E39,$G39)*VLOOKUP($K$19,保育所1!$B$164:$C$168,2,FALSE),-1)),0)</f>
        <v>0</v>
      </c>
      <c r="L39" s="756">
        <f>IF($AF$2=1,SUM($D39:$K39),(IF(ROUNDDOWN(SUM($D39:$K39)*$AF$2,-1)&lt;10,ROUNDDOWN(SUM($D39:$K39)*$AF$2,0),(ROUNDDOWN(SUM($D39:$K39)*$AF$2,-1)))))</f>
        <v>0</v>
      </c>
      <c r="M39" s="757">
        <f t="shared" si="5"/>
        <v>0</v>
      </c>
      <c r="N39" s="753">
        <f t="shared" si="5"/>
        <v>0</v>
      </c>
      <c r="O39" s="753">
        <f t="shared" si="5"/>
        <v>0</v>
      </c>
      <c r="P39" s="755">
        <f>P38</f>
        <v>0</v>
      </c>
      <c r="Q39" s="758">
        <f>IF(ISERROR(SUM(L39:P39)),0,SUM(L39:P39))</f>
        <v>0</v>
      </c>
      <c r="R39" s="731"/>
      <c r="T39" s="1599"/>
      <c r="U39" s="1599"/>
      <c r="V39" s="1599"/>
      <c r="W39" s="752"/>
      <c r="Y39" s="752"/>
      <c r="Z39" s="791"/>
      <c r="AA39" s="791"/>
    </row>
    <row r="40" spans="1:27" ht="20.100000000000001" hidden="1" customHeight="1">
      <c r="A40" s="1566"/>
      <c r="B40" s="1568" t="s">
        <v>8</v>
      </c>
      <c r="C40" s="1569"/>
      <c r="D40" s="753">
        <f>IFERROR(IF(D$19="あり",VLOOKUP($D$12,保育所1!$B$77:$BF$93,10,TRUE),0),0)</f>
        <v>0</v>
      </c>
      <c r="E40" s="754"/>
      <c r="F40" s="769">
        <f t="shared" si="4"/>
        <v>0</v>
      </c>
      <c r="G40" s="753">
        <f t="shared" si="4"/>
        <v>0</v>
      </c>
      <c r="H40" s="753">
        <f t="shared" si="4"/>
        <v>0</v>
      </c>
      <c r="I40" s="753">
        <f>IF(I$19="あり",-IF(ROUNDDOWN($D40*保育所1!$AU$41,-1)&lt;10,ROUNDDOWN($D40*保育所1!$AU$41,0),ROUNDDOWN($D40*保育所1!$AU$41,-1)),0)</f>
        <v>0</v>
      </c>
      <c r="J40" s="753">
        <f>J39</f>
        <v>0</v>
      </c>
      <c r="K40" s="768">
        <f>IFERROR(-IF(ROUNDDOWN(SUM($D40,$E40,$G40)*VLOOKUP($K$19,保育所1!$B$164:$C$168,2,FALSE),-1)&lt;10,ROUNDDOWN(SUM($D40,$E40,$G40)*VLOOKUP($K$19,保育所1!$B$164:$C$168,2,FALSE),0),ROUNDDOWN(SUM($D40,$E40,$G40)*VLOOKUP($K$19,保育所1!$B$164:$C$168,2,FALSE),-1)),0)</f>
        <v>0</v>
      </c>
      <c r="L40" s="756">
        <f>IF($AF$2=1,SUM($D40:$K40),(IF(ROUNDDOWN(SUM($D40:$K40)*$AF$2,-1)&lt;10,ROUNDDOWN(SUM($D40:$K40)*$AF$2,0),(ROUNDDOWN(SUM($D40:$K40)*$AF$2,-1)))))</f>
        <v>0</v>
      </c>
      <c r="M40" s="757">
        <f t="shared" si="5"/>
        <v>0</v>
      </c>
      <c r="N40" s="753">
        <f t="shared" si="5"/>
        <v>0</v>
      </c>
      <c r="O40" s="753">
        <f t="shared" si="5"/>
        <v>0</v>
      </c>
      <c r="P40" s="755">
        <f>P39</f>
        <v>0</v>
      </c>
      <c r="Q40" s="758">
        <f>IF(ISERROR(SUM(L40:P40)),0,SUM(L40:P40))</f>
        <v>0</v>
      </c>
      <c r="R40" s="731"/>
      <c r="T40" s="1599"/>
      <c r="U40" s="1599"/>
      <c r="V40" s="1599"/>
      <c r="W40" s="752"/>
      <c r="Y40" s="752"/>
      <c r="Z40" s="791"/>
      <c r="AA40" s="791"/>
    </row>
    <row r="41" spans="1:27" ht="21" hidden="1" customHeight="1">
      <c r="A41" s="1566"/>
      <c r="B41" s="1570" t="s">
        <v>205</v>
      </c>
      <c r="C41" s="1571"/>
      <c r="D41" s="1631" t="s">
        <v>9</v>
      </c>
      <c r="E41" s="1631" t="s">
        <v>91</v>
      </c>
      <c r="F41" s="1631" t="s">
        <v>93</v>
      </c>
      <c r="G41" s="1631" t="s">
        <v>94</v>
      </c>
      <c r="H41" s="1631" t="s">
        <v>115</v>
      </c>
      <c r="I41" s="1631" t="s">
        <v>95</v>
      </c>
      <c r="J41" s="1606" t="s">
        <v>504</v>
      </c>
      <c r="K41" s="1630" t="s">
        <v>433</v>
      </c>
      <c r="L41" s="419" t="s">
        <v>526</v>
      </c>
      <c r="M41" s="1614" t="s">
        <v>98</v>
      </c>
      <c r="N41" s="1616" t="s">
        <v>17</v>
      </c>
      <c r="O41" s="1606" t="s">
        <v>202</v>
      </c>
      <c r="P41" s="1587" t="s">
        <v>511</v>
      </c>
      <c r="Q41" s="1604" t="s">
        <v>207</v>
      </c>
      <c r="R41" s="731"/>
      <c r="T41" s="1599"/>
      <c r="U41" s="1599"/>
      <c r="V41" s="1599"/>
      <c r="W41" s="939"/>
      <c r="Y41" s="752"/>
      <c r="Z41" s="791"/>
      <c r="AA41" s="791"/>
    </row>
    <row r="42" spans="1:27" hidden="1">
      <c r="A42" s="1566"/>
      <c r="B42" s="1572"/>
      <c r="C42" s="1573"/>
      <c r="D42" s="1586"/>
      <c r="E42" s="1586"/>
      <c r="F42" s="1586"/>
      <c r="G42" s="1586"/>
      <c r="H42" s="1586"/>
      <c r="I42" s="1586"/>
      <c r="J42" s="1591"/>
      <c r="K42" s="1610"/>
      <c r="L42" s="421" t="str">
        <f>IF($AF$2=1,"",CONCATENATE("（乗除調整",TEXT($AF$2,"##/100"),")"))</f>
        <v/>
      </c>
      <c r="M42" s="1615"/>
      <c r="N42" s="1617"/>
      <c r="O42" s="1591"/>
      <c r="P42" s="1588"/>
      <c r="Q42" s="1605"/>
      <c r="R42" s="731"/>
      <c r="T42" s="1599"/>
      <c r="U42" s="1598"/>
      <c r="V42" s="1598"/>
      <c r="W42" s="927"/>
      <c r="Y42" s="752"/>
      <c r="Z42" s="791"/>
      <c r="AA42" s="791"/>
    </row>
    <row r="43" spans="1:27" ht="20.100000000000001" hidden="1" customHeight="1">
      <c r="A43" s="1566"/>
      <c r="B43" s="1568" t="s">
        <v>203</v>
      </c>
      <c r="C43" s="1569"/>
      <c r="D43" s="769">
        <f>IFERROR(IF(D$19="あり",VLOOKUP($D$12,保育所1!$B$131:$BF$147,13,TRUE),0),0)</f>
        <v>0</v>
      </c>
      <c r="E43" s="754"/>
      <c r="F43" s="753">
        <f>IF($I$19="あり",IF(ISERROR(保育所1!$A$150),0,保育所1!$A$150),0)</f>
        <v>0</v>
      </c>
      <c r="G43" s="753">
        <f>IF(G$19="あり",VLOOKUP(SUM($D$9,$D$12),保育所1!$B$77:$BF$93,31,TRUE),0)</f>
        <v>0</v>
      </c>
      <c r="H43" s="753">
        <f>IF(AND($H$19&lt;&gt;"",$H$19&lt;&gt;"なし"),VLOOKUP(SUM($D$9,$D$12),保育所1!$B$77:$BF$93,42,TRUE)*IF(SUM($D$9,$D$12)&lt;121,MIN(1,$H$19),MIN(2,$H$19)),0)</f>
        <v>0</v>
      </c>
      <c r="I43" s="753">
        <f>IF(I$19="あり",-IF(ROUNDDOWN($D43*保育所1!$AU$41,-1)&lt;10,ROUNDDOWN($D43*保育所1!$AU$41,0),ROUNDDOWN($D43*保育所1!$AU$41,-1)),0)</f>
        <v>0</v>
      </c>
      <c r="J43" s="753">
        <f>IFERROR(IF(J19="あり",-VLOOKUP(SUM($D$9,$D$12),保育所1!$B$77:$BF$93,50,TRUE),0),0)</f>
        <v>0</v>
      </c>
      <c r="K43" s="755">
        <f>IFERROR(-IF(ROUNDDOWN(SUM($D43,$E43,$G43)*VLOOKUP($K$19,保育所1!$B$164:$C$168,2,FALSE),-1)&lt;10,ROUNDDOWN(SUM($D43,$E43,$G43)*VLOOKUP($K$19,保育所1!$B$164:$C$168,2,FALSE),0),ROUNDDOWN(SUM($D43,$E43,$G43)*VLOOKUP($K$19,保育所1!$B$164:$C$168,2,FALSE),-1)),0)</f>
        <v>0</v>
      </c>
      <c r="L43" s="756">
        <f>IF($AF$2=1,SUM($D43:$K43),(IF(ROUNDDOWN(SUM($D43:$K43)*$AF$2,-1)&lt;10,ROUNDDOWN(SUM($D43:$K43)*$AF$2,0),(ROUNDDOWN(SUM($D43:$K43)*$AF$2,-1)))))</f>
        <v>0</v>
      </c>
      <c r="M43" s="757">
        <f>IF(I19="あり",IF(M$19="あり",IF(ROUNDDOWN(保育所2!$K$4/$I$71,-1)&lt;10,ROUNDDOWN(保育所2!$K$4/$I$71,0),ROUNDDOWN(保育所2!$K$4/$I$71,-1)),0),0)</f>
        <v>0</v>
      </c>
      <c r="N43" s="753">
        <f>IF(I19="あり",IF(N$19="特児",IF(ROUNDDOWN(保育所2!$K$8/$I$71,-1)&lt;10,ROUNDDOWN(保育所2!$K$8/$I$71,0),ROUNDDOWN(保育所2!$K$8/$I$71,-1)),IF(N$19="その他",IF(ROUNDDOWN(保育所2!$K$11/$I$71,-1)&lt;10,ROUNDDOWN(保育所2!$K$11/$I$71,0),ROUNDDOWN(保育所2!$K$11/$I$71,-1)),0)),0)</f>
        <v>0</v>
      </c>
      <c r="O43" s="753">
        <f>IF(I19="あり",IF(O$19="あり",IF(ROUNDDOWN(保育所2!$K$15/$I$71,-1)&lt;10,ROUNDDOWN(保育所2!$K$15/$I$71,0),ROUNDDOWN(保育所2!$K$15/$I$71,-1)),0),0)</f>
        <v>0</v>
      </c>
      <c r="P43" s="1083">
        <f>IF(I19="あり",IF(P$19="配置",IF(ROUNDDOWN(保育所2!$K$45/$I$71,-1)&lt;10,ROUNDDOWN(保育所2!$K$45/$I$71,0),ROUNDDOWN(保育所2!$K$45/$I$71,-1)),IF(P$19="兼務",IF(ROUNDDOWN(保育所2!$K$48/$I$71,-1)&lt;10,ROUNDDOWN(保育所2!$K$48/$I$71,0),ROUNDDOWN(保育所2!$K$48/$I$71,-1)),0)),0)</f>
        <v>0</v>
      </c>
      <c r="Q43" s="758">
        <f>IF(ISERROR(SUM(L43:P43)),0,SUM(L43:P43))</f>
        <v>0</v>
      </c>
      <c r="R43" s="731"/>
      <c r="T43" s="1599"/>
      <c r="U43" s="1599"/>
      <c r="V43" s="1599"/>
      <c r="W43" s="752"/>
      <c r="Y43" s="752"/>
      <c r="Z43" s="791"/>
      <c r="AA43" s="791"/>
    </row>
    <row r="44" spans="1:27" ht="20.100000000000001" hidden="1" customHeight="1">
      <c r="A44" s="1566"/>
      <c r="B44" s="1568" t="s">
        <v>204</v>
      </c>
      <c r="C44" s="1569"/>
      <c r="D44" s="769">
        <f>IFERROR(IF(D$19="あり",VLOOKUP($D$12,保育所1!$B$113:$BF$129,13,TRUE),0),0)</f>
        <v>0</v>
      </c>
      <c r="E44" s="754"/>
      <c r="F44" s="769">
        <f t="shared" ref="F44:G46" si="6">F43</f>
        <v>0</v>
      </c>
      <c r="G44" s="753">
        <f t="shared" si="6"/>
        <v>0</v>
      </c>
      <c r="H44" s="753">
        <f>H43</f>
        <v>0</v>
      </c>
      <c r="I44" s="753">
        <f>IF(I$19="あり",-IF(ROUNDDOWN($D44*保育所1!$AU$41,-1)&lt;10,ROUNDDOWN($D44*保育所1!$AU$41,0),ROUNDDOWN($D44*保育所1!$AU$41,-1)),0)</f>
        <v>0</v>
      </c>
      <c r="J44" s="753">
        <f>J43</f>
        <v>0</v>
      </c>
      <c r="K44" s="755">
        <f>IFERROR(-IF(ROUNDDOWN(SUM($D44,$E44,$G44)*VLOOKUP($K$19,保育所1!$B$164:$C$168,2,FALSE),-1)&lt;10,ROUNDDOWN(SUM($D44,$E44,$G44)*VLOOKUP($K$19,保育所1!$B$164:$C$168,2,FALSE),0),ROUNDDOWN(SUM($D44,$E44,$G44)*VLOOKUP($K$19,保育所1!$B$164:$C$168,2,FALSE),-1)),0)</f>
        <v>0</v>
      </c>
      <c r="L44" s="756">
        <f>IF($AF$2=1,SUM($D44:$K44),(IF(ROUNDDOWN(SUM($D44:$K44)*$AF$2,-1)&lt;10,ROUNDDOWN(SUM($D44:$K44)*$AF$2,0),(ROUNDDOWN(SUM($D44:$K44)*$AF$2,-1)))))</f>
        <v>0</v>
      </c>
      <c r="M44" s="757">
        <f t="shared" ref="M44:O46" si="7">M43</f>
        <v>0</v>
      </c>
      <c r="N44" s="753">
        <f t="shared" si="7"/>
        <v>0</v>
      </c>
      <c r="O44" s="753">
        <f t="shared" si="7"/>
        <v>0</v>
      </c>
      <c r="P44" s="755">
        <f>P43</f>
        <v>0</v>
      </c>
      <c r="Q44" s="758">
        <f>IF(ISERROR(SUM(L44:P44)),0,SUM(L44:P44))</f>
        <v>0</v>
      </c>
      <c r="R44" s="731"/>
      <c r="T44" s="1599"/>
      <c r="U44" s="1599"/>
      <c r="V44" s="1599"/>
      <c r="W44" s="752"/>
      <c r="Y44" s="752"/>
      <c r="Z44" s="791"/>
      <c r="AA44" s="791"/>
    </row>
    <row r="45" spans="1:27" ht="20.100000000000001" hidden="1" customHeight="1">
      <c r="A45" s="1566"/>
      <c r="B45" s="1568" t="s">
        <v>7</v>
      </c>
      <c r="C45" s="1569"/>
      <c r="D45" s="769">
        <f>IFERROR(IF(D$19="あり",VLOOKUP($D$12,保育所1!$B$95:$BF$111,13,TRUE),0),0)</f>
        <v>0</v>
      </c>
      <c r="E45" s="769">
        <f>IFERROR(IF(E$19="あり",VLOOKUP(SUM($D$9,$D$12),保育所1!$B$95:$BF$111,18,TRUE),0),0)</f>
        <v>0</v>
      </c>
      <c r="F45" s="769">
        <f t="shared" si="6"/>
        <v>0</v>
      </c>
      <c r="G45" s="753">
        <f t="shared" si="6"/>
        <v>0</v>
      </c>
      <c r="H45" s="753">
        <f>H44</f>
        <v>0</v>
      </c>
      <c r="I45" s="753">
        <f>IF(I$19="あり",-IF(ROUNDDOWN($D45*保育所1!$AU$41,-1)&lt;10,ROUNDDOWN($D45*保育所1!$AU$41,0),ROUNDDOWN($D45*保育所1!$AU$41,-1)),0)</f>
        <v>0</v>
      </c>
      <c r="J45" s="753">
        <f>J44</f>
        <v>0</v>
      </c>
      <c r="K45" s="755">
        <f>IFERROR(-IF(ROUNDDOWN(SUM($D45,$E45,$G45)*VLOOKUP($K$19,保育所1!$B$164:$C$168,2,FALSE),-1)&lt;10,ROUNDDOWN(SUM($D45,$E45,$G45)*VLOOKUP($K$19,保育所1!$B$164:$C$168,2,FALSE),0),ROUNDDOWN(SUM($D45,$E45,$G45)*VLOOKUP($K$19,保育所1!$B$164:$C$168,2,FALSE),-1)),0)</f>
        <v>0</v>
      </c>
      <c r="L45" s="756">
        <f>IF($AF$2=1,SUM($D45:$K45),(IF(ROUNDDOWN(SUM($D45:$K45)*$AF$2,-1)&lt;10,ROUNDDOWN(SUM($D45:$K45)*$AF$2,0),(ROUNDDOWN(SUM($D45:$K45)*$AF$2,-1)))))</f>
        <v>0</v>
      </c>
      <c r="M45" s="757">
        <f t="shared" si="7"/>
        <v>0</v>
      </c>
      <c r="N45" s="753">
        <f t="shared" si="7"/>
        <v>0</v>
      </c>
      <c r="O45" s="753">
        <f t="shared" si="7"/>
        <v>0</v>
      </c>
      <c r="P45" s="755">
        <f>P44</f>
        <v>0</v>
      </c>
      <c r="Q45" s="758">
        <f>IF(ISERROR(SUM(L45:P45)),0,SUM(L45:P45))</f>
        <v>0</v>
      </c>
      <c r="R45" s="731"/>
      <c r="T45" s="1599"/>
      <c r="U45" s="1599"/>
      <c r="V45" s="1599"/>
      <c r="W45" s="752"/>
      <c r="Y45" s="752"/>
      <c r="Z45" s="791"/>
      <c r="AA45" s="791"/>
    </row>
    <row r="46" spans="1:27" ht="20.100000000000001" hidden="1" customHeight="1" thickBot="1">
      <c r="A46" s="1567"/>
      <c r="B46" s="1568" t="s">
        <v>8</v>
      </c>
      <c r="C46" s="1569"/>
      <c r="D46" s="769">
        <f>IFERROR(IF(D$19="あり",VLOOKUP($D$12,保育所1!$B$77:$BF$93,13,TRUE),0),0)</f>
        <v>0</v>
      </c>
      <c r="E46" s="754"/>
      <c r="F46" s="769">
        <f t="shared" si="6"/>
        <v>0</v>
      </c>
      <c r="G46" s="753">
        <f t="shared" si="6"/>
        <v>0</v>
      </c>
      <c r="H46" s="753">
        <f>H45</f>
        <v>0</v>
      </c>
      <c r="I46" s="753">
        <f>IF(I$19="あり",-IF(ROUNDDOWN($D46*保育所1!$AU$41,-1)&lt;10,ROUNDDOWN($D46*保育所1!$AU$41,0),ROUNDDOWN($D46*保育所1!$AU$41,-1)),0)</f>
        <v>0</v>
      </c>
      <c r="J46" s="753">
        <f>J45</f>
        <v>0</v>
      </c>
      <c r="K46" s="755">
        <f>IFERROR(-IF(ROUNDDOWN(SUM($D46,$E46,$G46)*VLOOKUP($K$19,保育所1!$B$164:$C$168,2,FALSE),-1)&lt;10,ROUNDDOWN(SUM($D46,$E46,$G46)*VLOOKUP($K$19,保育所1!$B$164:$C$168,2,FALSE),0),ROUNDDOWN(SUM($D46,$E46,$G46)*VLOOKUP($K$19,保育所1!$B$164:$C$168,2,FALSE),-1)),0)</f>
        <v>0</v>
      </c>
      <c r="L46" s="756">
        <f>IF($AF$2=1,SUM($D46:$K46),(IF(ROUNDDOWN(SUM($D46:$K46)*$AF$2,-1)&lt;10,ROUNDDOWN(SUM($D46:$K46)*$AF$2,0),(ROUNDDOWN(SUM($D46:$K46)*$AF$2,-1)))))</f>
        <v>0</v>
      </c>
      <c r="M46" s="757">
        <f t="shared" si="7"/>
        <v>0</v>
      </c>
      <c r="N46" s="753">
        <f t="shared" si="7"/>
        <v>0</v>
      </c>
      <c r="O46" s="753">
        <f t="shared" si="7"/>
        <v>0</v>
      </c>
      <c r="P46" s="755">
        <f>P45</f>
        <v>0</v>
      </c>
      <c r="Q46" s="770">
        <f>IF(ISERROR(SUM(L46:P46)),0,SUM(L46:P46))</f>
        <v>0</v>
      </c>
      <c r="R46" s="731"/>
      <c r="T46" s="1599"/>
      <c r="U46" s="1599"/>
      <c r="V46" s="1599"/>
      <c r="W46" s="752"/>
      <c r="Y46" s="752"/>
      <c r="Z46" s="791"/>
      <c r="AA46" s="791"/>
    </row>
    <row r="47" spans="1:27" ht="20.100000000000001" hidden="1" customHeight="1">
      <c r="A47" s="731"/>
      <c r="B47" s="717"/>
      <c r="C47" s="717"/>
      <c r="D47" s="759"/>
      <c r="E47" s="771"/>
      <c r="F47" s="771"/>
      <c r="G47" s="771"/>
      <c r="H47" s="771"/>
      <c r="I47" s="759"/>
      <c r="J47" s="759"/>
      <c r="K47" s="759"/>
      <c r="L47" s="759"/>
      <c r="M47" s="759"/>
      <c r="N47" s="759"/>
      <c r="O47" s="759"/>
      <c r="P47" s="731"/>
      <c r="Q47" s="731"/>
      <c r="R47" s="731"/>
      <c r="T47" s="1599"/>
      <c r="U47" s="1599"/>
      <c r="V47" s="1599"/>
      <c r="W47" s="939"/>
      <c r="Y47" s="752"/>
      <c r="Z47" s="752"/>
      <c r="AA47" s="790"/>
    </row>
    <row r="48" spans="1:27" ht="20.100000000000001" hidden="1" customHeight="1" thickBot="1">
      <c r="A48" s="731"/>
      <c r="B48" s="731"/>
      <c r="C48" s="731"/>
      <c r="D48" s="731"/>
      <c r="E48" s="759"/>
      <c r="F48" s="731"/>
      <c r="G48" s="731"/>
      <c r="H48" s="731"/>
      <c r="I48" s="759"/>
      <c r="J48" s="759"/>
      <c r="K48" s="759"/>
      <c r="L48" s="759"/>
      <c r="M48" s="759"/>
      <c r="N48" s="759"/>
      <c r="O48" s="759"/>
      <c r="P48" s="731"/>
      <c r="Q48" s="731"/>
      <c r="R48" s="731"/>
      <c r="S48" s="731"/>
      <c r="T48" s="750"/>
      <c r="U48" s="749"/>
      <c r="V48" s="772"/>
      <c r="W48" s="752"/>
      <c r="Y48" s="752"/>
      <c r="Z48" s="752"/>
      <c r="AA48" s="752"/>
    </row>
    <row r="49" spans="1:26" ht="33" hidden="1" customHeight="1" thickBot="1">
      <c r="A49" s="773" t="s">
        <v>128</v>
      </c>
      <c r="C49" s="731"/>
      <c r="D49" s="759"/>
      <c r="E49" s="759"/>
      <c r="F49" s="759"/>
      <c r="G49" s="773" t="s">
        <v>818</v>
      </c>
      <c r="H49" s="731"/>
      <c r="I49" s="731"/>
      <c r="J49" s="1574" t="s">
        <v>816</v>
      </c>
      <c r="K49" s="1575"/>
      <c r="L49" s="1576" t="s">
        <v>817</v>
      </c>
      <c r="M49" s="1577"/>
      <c r="N49" s="1578" t="s">
        <v>867</v>
      </c>
      <c r="O49" s="1579"/>
      <c r="P49" s="1578" t="s">
        <v>868</v>
      </c>
      <c r="Q49" s="1579"/>
      <c r="R49" s="731"/>
    </row>
    <row r="50" spans="1:26" ht="40.5" hidden="1" customHeight="1">
      <c r="A50" s="731"/>
      <c r="B50" s="731"/>
      <c r="C50" s="731"/>
      <c r="D50" s="731"/>
      <c r="E50" s="731"/>
      <c r="F50" s="731"/>
      <c r="G50" s="1622" t="s">
        <v>112</v>
      </c>
      <c r="H50" s="935" t="s">
        <v>101</v>
      </c>
      <c r="I50" s="944" t="s">
        <v>892</v>
      </c>
      <c r="J50" s="931" t="str">
        <f>"A×賃金改善率（"&amp;$I$5&amp;"％）"</f>
        <v>A×賃金改善率（％）</v>
      </c>
      <c r="K50" s="932" t="str">
        <f>CONCATENATE("×利用児童数×",$U$2,"月")</f>
        <v>×利用児童数×0月</v>
      </c>
      <c r="L50" s="930" t="str">
        <f>"A×加算Ⅰ新規事由に係る率（"&amp;$I$6&amp;"％）"</f>
        <v>A×加算Ⅰ新規事由に係る率（％）</v>
      </c>
      <c r="M50" s="422" t="str">
        <f>CONCATENATE("×利用児童数×",$U$2,"月")</f>
        <v>×利用児童数×0月</v>
      </c>
      <c r="N50" s="423" t="str">
        <f>"A×人勧影響率（"&amp;$I$8&amp;"％）"</f>
        <v>A×人勧影響率（％）</v>
      </c>
      <c r="O50" s="422" t="str">
        <f>CONCATENATE("×利用児童数×",$U$2,"月")</f>
        <v>×利用児童数×0月</v>
      </c>
      <c r="P50" s="423" t="str">
        <f>"A×人勧影響率（"&amp;$I$10&amp;"％）"</f>
        <v>A×人勧影響率（％）</v>
      </c>
      <c r="Q50" s="422" t="str">
        <f>CONCATENATE("×利用児童数×",$U$2,"月")</f>
        <v>×利用児童数×0月</v>
      </c>
      <c r="R50" s="731"/>
      <c r="Y50" s="718">
        <v>2015</v>
      </c>
      <c r="Z50" s="411">
        <v>6.1</v>
      </c>
    </row>
    <row r="51" spans="1:26" ht="20.100000000000001" hidden="1" customHeight="1">
      <c r="A51" s="1625" t="s">
        <v>915</v>
      </c>
      <c r="B51" s="1625"/>
      <c r="C51" s="1625"/>
      <c r="D51" s="1634">
        <f>$K$71</f>
        <v>0</v>
      </c>
      <c r="E51" s="1635"/>
      <c r="G51" s="1623"/>
      <c r="H51" s="936" t="s">
        <v>203</v>
      </c>
      <c r="I51" s="961">
        <f>'入力（児童数-本園)'!Y3</f>
        <v>0</v>
      </c>
      <c r="J51" s="774">
        <f>$Q24*$I$5</f>
        <v>0</v>
      </c>
      <c r="K51" s="775">
        <f>J51*$I51*$U$2</f>
        <v>0</v>
      </c>
      <c r="L51" s="757">
        <f>ROUNDDOWN($Q24*$I$6,0)</f>
        <v>0</v>
      </c>
      <c r="M51" s="775">
        <f>L51*$I51*$U$2</f>
        <v>0</v>
      </c>
      <c r="N51" s="769">
        <f>ROUNDDOWN($Q24*$I$8,0)</f>
        <v>0</v>
      </c>
      <c r="O51" s="775">
        <f>N51*$I51*$U$2</f>
        <v>0</v>
      </c>
      <c r="P51" s="753">
        <f>ROUNDDOWN($Q24*$I$10,0)</f>
        <v>0</v>
      </c>
      <c r="Q51" s="775">
        <f>P51*$I51*$U$2</f>
        <v>0</v>
      </c>
      <c r="R51" s="731"/>
      <c r="Y51" s="718">
        <v>2016</v>
      </c>
      <c r="Z51" s="409">
        <v>4.2</v>
      </c>
    </row>
    <row r="52" spans="1:26" ht="20.100000000000001" hidden="1" customHeight="1">
      <c r="A52" s="1629" t="str">
        <f>CONCATENATE("（賃金改善要件（",I5,"％）分）")</f>
        <v>（賃金改善要件（％）分）</v>
      </c>
      <c r="B52" s="1629"/>
      <c r="C52" s="1629"/>
      <c r="D52" s="776"/>
      <c r="E52" s="776"/>
      <c r="F52" s="731"/>
      <c r="G52" s="1623"/>
      <c r="H52" s="936" t="s">
        <v>153</v>
      </c>
      <c r="I52" s="961">
        <f>'入力（児童数-本園)'!Y4</f>
        <v>0</v>
      </c>
      <c r="J52" s="774">
        <f>$Q25*$I$5</f>
        <v>0</v>
      </c>
      <c r="K52" s="775">
        <f>J52*$I52*$U$2</f>
        <v>0</v>
      </c>
      <c r="L52" s="757">
        <f>ROUNDDOWN($Q25*$I$6,0)</f>
        <v>0</v>
      </c>
      <c r="M52" s="775">
        <f>L52*$I52*$U$2</f>
        <v>0</v>
      </c>
      <c r="N52" s="769">
        <f>ROUNDDOWN($Q25*$I$8,0)</f>
        <v>0</v>
      </c>
      <c r="O52" s="775">
        <f>N52*$I52*$U$2</f>
        <v>0</v>
      </c>
      <c r="P52" s="753">
        <f>ROUNDDOWN($Q25*$I$10,0)</f>
        <v>0</v>
      </c>
      <c r="Q52" s="775">
        <f>P52*$I52*$U$2</f>
        <v>0</v>
      </c>
      <c r="R52" s="731"/>
      <c r="Y52" s="718">
        <v>2017</v>
      </c>
      <c r="Z52" s="409">
        <v>2.9</v>
      </c>
    </row>
    <row r="53" spans="1:26" ht="20.100000000000001" hidden="1" customHeight="1">
      <c r="A53" s="776"/>
      <c r="B53" s="776"/>
      <c r="C53" s="776"/>
      <c r="D53" s="776"/>
      <c r="E53" s="776"/>
      <c r="F53" s="759"/>
      <c r="G53" s="1623"/>
      <c r="H53" s="936" t="s">
        <v>7</v>
      </c>
      <c r="I53" s="961">
        <f>'入力（児童数-本園)'!Y5</f>
        <v>0</v>
      </c>
      <c r="J53" s="774">
        <f>$Q26*$I$5</f>
        <v>0</v>
      </c>
      <c r="K53" s="775">
        <f>J53*$I53*$U$2</f>
        <v>0</v>
      </c>
      <c r="L53" s="757">
        <f>ROUNDDOWN($Q26*$I$6,0)</f>
        <v>0</v>
      </c>
      <c r="M53" s="775">
        <f>L53*$I53*$U$2</f>
        <v>0</v>
      </c>
      <c r="N53" s="769">
        <f>ROUNDDOWN($Q26*$I$8,0)</f>
        <v>0</v>
      </c>
      <c r="O53" s="775">
        <f>N53*$I53*$U$2</f>
        <v>0</v>
      </c>
      <c r="P53" s="753">
        <f>ROUNDDOWN($Q26*$I$10,0)</f>
        <v>0</v>
      </c>
      <c r="Q53" s="775">
        <f>P53*$I53*$U$2</f>
        <v>0</v>
      </c>
      <c r="R53" s="731"/>
      <c r="Y53" s="718">
        <v>2018</v>
      </c>
      <c r="Z53" s="409">
        <v>1.8</v>
      </c>
    </row>
    <row r="54" spans="1:26" hidden="1">
      <c r="A54" s="1628" t="s">
        <v>964</v>
      </c>
      <c r="B54" s="1628"/>
      <c r="C54" s="1628"/>
      <c r="D54" s="1628"/>
      <c r="E54" s="1628"/>
      <c r="F54" s="1628"/>
      <c r="G54" s="1623"/>
      <c r="H54" s="936" t="s">
        <v>8</v>
      </c>
      <c r="I54" s="962">
        <f>'入力（児童数-本園)'!Y6</f>
        <v>0</v>
      </c>
      <c r="J54" s="774">
        <f>$Q27*$I$5</f>
        <v>0</v>
      </c>
      <c r="K54" s="775">
        <f>J54*$I54*$U$2</f>
        <v>0</v>
      </c>
      <c r="L54" s="757">
        <f>ROUNDDOWN($Q27*$I$6,0)</f>
        <v>0</v>
      </c>
      <c r="M54" s="775">
        <f>L54*$I54*$U$2</f>
        <v>0</v>
      </c>
      <c r="N54" s="769">
        <f>ROUNDDOWN($Q27*$I$8,0)</f>
        <v>0</v>
      </c>
      <c r="O54" s="775">
        <f>N54*$I54*$U$2</f>
        <v>0</v>
      </c>
      <c r="P54" s="753">
        <f>ROUNDDOWN($Q27*$I$10,0)</f>
        <v>0</v>
      </c>
      <c r="Q54" s="775">
        <f>P54*$I54*$U$2</f>
        <v>0</v>
      </c>
      <c r="R54" s="731"/>
      <c r="Y54" s="718">
        <v>2019</v>
      </c>
      <c r="Z54" s="409">
        <v>1</v>
      </c>
    </row>
    <row r="55" spans="1:26" ht="40.5" hidden="1" customHeight="1">
      <c r="A55" s="731"/>
      <c r="B55" s="731"/>
      <c r="D55" s="777"/>
      <c r="E55" s="777"/>
      <c r="F55" s="759"/>
      <c r="G55" s="1623"/>
      <c r="H55" s="937" t="s">
        <v>205</v>
      </c>
      <c r="I55" s="945" t="s">
        <v>892</v>
      </c>
      <c r="J55" s="424" t="str">
        <f>"B×賃金改善率（"&amp;$I$5&amp;"％）"</f>
        <v>B×賃金改善率（％）</v>
      </c>
      <c r="K55" s="422" t="str">
        <f>CONCATENATE("×利用児童数×",$U$2,"月")</f>
        <v>×利用児童数×0月</v>
      </c>
      <c r="L55" s="930" t="str">
        <f>"B×加算Ⅰ新規事由に係る率（"&amp;$I$6&amp;"％）"</f>
        <v>B×加算Ⅰ新規事由に係る率（％）</v>
      </c>
      <c r="M55" s="422" t="str">
        <f>CONCATENATE("×利用児童数×",$U$2,"月")</f>
        <v>×利用児童数×0月</v>
      </c>
      <c r="N55" s="423" t="str">
        <f>"B×人勧影響率（"&amp;$I$8&amp;"％）"</f>
        <v>B×人勧影響率（％）</v>
      </c>
      <c r="O55" s="422" t="str">
        <f>CONCATENATE("×利用児童数×",$U$2,"月")</f>
        <v>×利用児童数×0月</v>
      </c>
      <c r="P55" s="423" t="str">
        <f>"B×人勧影響率（"&amp;$I$10&amp;"％）"</f>
        <v>B×人勧影響率（％）</v>
      </c>
      <c r="Q55" s="422" t="str">
        <f>CONCATENATE("×利用児童数×",$U$2,"月")</f>
        <v>×利用児童数×0月</v>
      </c>
      <c r="R55" s="731"/>
    </row>
    <row r="56" spans="1:26" ht="20.100000000000001" hidden="1" customHeight="1">
      <c r="A56" s="1625" t="s">
        <v>814</v>
      </c>
      <c r="B56" s="1625"/>
      <c r="C56" s="1625"/>
      <c r="D56" s="1632">
        <f>$M$71</f>
        <v>0</v>
      </c>
      <c r="E56" s="1633"/>
      <c r="G56" s="1623"/>
      <c r="H56" s="936" t="s">
        <v>203</v>
      </c>
      <c r="I56" s="961">
        <f>'入力（児童数-本園)'!Z3</f>
        <v>0</v>
      </c>
      <c r="J56" s="774">
        <f>$Q30*$I$5</f>
        <v>0</v>
      </c>
      <c r="K56" s="775">
        <f>J56*$I56*$U$2</f>
        <v>0</v>
      </c>
      <c r="L56" s="757">
        <f>ROUNDDOWN($Q30*$I$6,0)</f>
        <v>0</v>
      </c>
      <c r="M56" s="775">
        <f>L56*$I56*$U$2</f>
        <v>0</v>
      </c>
      <c r="N56" s="769">
        <f>ROUNDDOWN($Q30*$I$8,0)</f>
        <v>0</v>
      </c>
      <c r="O56" s="775">
        <f>N56*$I56*$U$2</f>
        <v>0</v>
      </c>
      <c r="P56" s="753">
        <f>ROUNDDOWN($Q30*$I$10,0)</f>
        <v>0</v>
      </c>
      <c r="Q56" s="775">
        <f>P56*$I56*$U$2</f>
        <v>0</v>
      </c>
      <c r="R56" s="731"/>
      <c r="Z56" s="792"/>
    </row>
    <row r="57" spans="1:26" ht="20.100000000000001" hidden="1" customHeight="1">
      <c r="A57" s="1626" t="str">
        <f>CONCATENATE("（加算Ⅰ新規事由に係る加算率（",I6,"％）分）")</f>
        <v>（加算Ⅰ新規事由に係る加算率（％）分）</v>
      </c>
      <c r="B57" s="1626"/>
      <c r="C57" s="1626"/>
      <c r="D57" s="776"/>
      <c r="E57" s="776"/>
      <c r="F57" s="731"/>
      <c r="G57" s="1623"/>
      <c r="H57" s="936" t="s">
        <v>153</v>
      </c>
      <c r="I57" s="961">
        <f>'入力（児童数-本園)'!Z4</f>
        <v>0</v>
      </c>
      <c r="J57" s="774">
        <f>$Q31*$I$5</f>
        <v>0</v>
      </c>
      <c r="K57" s="775">
        <f>J57*$I57*$U$2</f>
        <v>0</v>
      </c>
      <c r="L57" s="757">
        <f>ROUNDDOWN($Q31*$I$6,0)</f>
        <v>0</v>
      </c>
      <c r="M57" s="775">
        <f>L57*$I57*$U$2</f>
        <v>0</v>
      </c>
      <c r="N57" s="769">
        <f>ROUNDDOWN($Q31*$I$8,0)</f>
        <v>0</v>
      </c>
      <c r="O57" s="775">
        <f>N57*$I57*$U$2</f>
        <v>0</v>
      </c>
      <c r="P57" s="753">
        <f>ROUNDDOWN($Q31*$I$10,0)</f>
        <v>0</v>
      </c>
      <c r="Q57" s="775">
        <f>P57*$I57*$U$2</f>
        <v>0</v>
      </c>
      <c r="R57" s="731"/>
    </row>
    <row r="58" spans="1:26" ht="20.100000000000001" hidden="1" customHeight="1">
      <c r="A58" s="1626"/>
      <c r="B58" s="1626"/>
      <c r="C58" s="1626"/>
      <c r="D58" s="776"/>
      <c r="E58" s="776"/>
      <c r="F58" s="759"/>
      <c r="G58" s="1623"/>
      <c r="H58" s="936" t="s">
        <v>7</v>
      </c>
      <c r="I58" s="961">
        <f>'入力（児童数-本園)'!Z5</f>
        <v>0</v>
      </c>
      <c r="J58" s="774">
        <f>$Q32*$I$5</f>
        <v>0</v>
      </c>
      <c r="K58" s="775">
        <f>J58*$I58*$U$2</f>
        <v>0</v>
      </c>
      <c r="L58" s="757">
        <f>ROUNDDOWN($Q32*$I$6,0)</f>
        <v>0</v>
      </c>
      <c r="M58" s="775">
        <f>L58*$I58*$U$2</f>
        <v>0</v>
      </c>
      <c r="N58" s="769">
        <f>ROUNDDOWN($Q32*$I$8,0)</f>
        <v>0</v>
      </c>
      <c r="O58" s="775">
        <f>N58*$I58*$U$2</f>
        <v>0</v>
      </c>
      <c r="P58" s="753">
        <f>ROUNDDOWN($Q32*$I$10,0)</f>
        <v>0</v>
      </c>
      <c r="Q58" s="775">
        <f>P58*$I58*$U$2</f>
        <v>0</v>
      </c>
      <c r="R58" s="731"/>
    </row>
    <row r="59" spans="1:26" ht="20.100000000000001" hidden="1" customHeight="1">
      <c r="A59" s="731"/>
      <c r="B59" s="731"/>
      <c r="C59" s="749"/>
      <c r="D59" s="420"/>
      <c r="E59" s="731"/>
      <c r="F59" s="731"/>
      <c r="G59" s="1624"/>
      <c r="H59" s="936" t="s">
        <v>8</v>
      </c>
      <c r="I59" s="961">
        <f>'入力（児童数-本園)'!Z6</f>
        <v>0</v>
      </c>
      <c r="J59" s="774">
        <f>$Q33*$I$5</f>
        <v>0</v>
      </c>
      <c r="K59" s="775">
        <f>J59*$I59*$U$2</f>
        <v>0</v>
      </c>
      <c r="L59" s="757">
        <f>ROUNDDOWN($Q33*$I$6,0)</f>
        <v>0</v>
      </c>
      <c r="M59" s="775">
        <f>L59*$I59*$U$2</f>
        <v>0</v>
      </c>
      <c r="N59" s="769">
        <f>ROUNDDOWN($Q33*$I$8,0)</f>
        <v>0</v>
      </c>
      <c r="O59" s="775">
        <f>N59*$I59*$U$2</f>
        <v>0</v>
      </c>
      <c r="P59" s="753">
        <f>ROUNDDOWN($Q33*$I$10,0)</f>
        <v>0</v>
      </c>
      <c r="Q59" s="775">
        <f>P59*$I59*$U$2</f>
        <v>0</v>
      </c>
      <c r="R59" s="731"/>
    </row>
    <row r="60" spans="1:26" ht="29.25" hidden="1" customHeight="1">
      <c r="A60" s="731"/>
      <c r="B60" s="731"/>
      <c r="C60" s="731"/>
      <c r="D60" s="731"/>
      <c r="E60" s="731"/>
      <c r="G60" s="731"/>
      <c r="H60" s="938"/>
      <c r="I60" s="929"/>
      <c r="J60" s="778"/>
      <c r="K60" s="780"/>
      <c r="L60" s="779"/>
      <c r="M60" s="780"/>
      <c r="N60" s="779"/>
      <c r="O60" s="780"/>
      <c r="P60" s="779"/>
      <c r="Q60" s="780"/>
      <c r="R60" s="731"/>
    </row>
    <row r="61" spans="1:26" ht="40.5" hidden="1" customHeight="1">
      <c r="A61" s="1625" t="s">
        <v>866</v>
      </c>
      <c r="B61" s="1625"/>
      <c r="C61" s="1625"/>
      <c r="D61" s="731"/>
      <c r="E61" s="731"/>
      <c r="F61" s="731"/>
      <c r="G61" s="1622" t="s">
        <v>113</v>
      </c>
      <c r="H61" s="937" t="s">
        <v>101</v>
      </c>
      <c r="I61" s="945" t="s">
        <v>892</v>
      </c>
      <c r="J61" s="424" t="str">
        <f>"C×賃金改善率（"&amp;$I$5&amp;"％）"</f>
        <v>C×賃金改善率（％）</v>
      </c>
      <c r="K61" s="422" t="str">
        <f>CONCATENATE("×利用児童数×",$U$2,"月")</f>
        <v>×利用児童数×0月</v>
      </c>
      <c r="L61" s="930" t="str">
        <f>"C×加算Ⅰ新規事由に係る率（"&amp;$I$6&amp;"％）"</f>
        <v>C×加算Ⅰ新規事由に係る率（％）</v>
      </c>
      <c r="M61" s="422" t="str">
        <f>CONCATENATE("×利用児童数×",$U$2,"月")</f>
        <v>×利用児童数×0月</v>
      </c>
      <c r="N61" s="423" t="str">
        <f>"C×人勧影響率（"&amp;$I$8&amp;"％）"</f>
        <v>C×人勧影響率（％）</v>
      </c>
      <c r="O61" s="422" t="str">
        <f>CONCATENATE("×利用児童数×",$U$2,"月")</f>
        <v>×利用児童数×0月</v>
      </c>
      <c r="P61" s="423" t="str">
        <f>"C×人勧影響率（"&amp;$I$10&amp;"％）"</f>
        <v>C×人勧影響率（％）</v>
      </c>
      <c r="Q61" s="422" t="str">
        <f>CONCATENATE("×利用児童数×",$U$2,"月")</f>
        <v>×利用児童数×0月</v>
      </c>
      <c r="R61" s="731"/>
    </row>
    <row r="62" spans="1:26" ht="20.100000000000001" hidden="1" customHeight="1">
      <c r="A62" s="1625"/>
      <c r="B62" s="1625"/>
      <c r="C62" s="1625"/>
      <c r="D62" s="1627">
        <f>$O$71</f>
        <v>0</v>
      </c>
      <c r="E62" s="1627"/>
      <c r="F62" s="731"/>
      <c r="G62" s="1623"/>
      <c r="H62" s="936" t="s">
        <v>203</v>
      </c>
      <c r="I62" s="961">
        <f>'入力（児童数-分園)'!W3</f>
        <v>0</v>
      </c>
      <c r="J62" s="774">
        <f>$Q37*$I$5</f>
        <v>0</v>
      </c>
      <c r="K62" s="775">
        <f>J62*$I62*$U$2</f>
        <v>0</v>
      </c>
      <c r="L62" s="757">
        <f>ROUNDDOWN($Q37*$I$6,0)</f>
        <v>0</v>
      </c>
      <c r="M62" s="775">
        <f>L62*$I62*$U$2</f>
        <v>0</v>
      </c>
      <c r="N62" s="769">
        <f>ROUNDDOWN($Q37*$I$8,0)</f>
        <v>0</v>
      </c>
      <c r="O62" s="775">
        <f>N62*$I62*$U$2</f>
        <v>0</v>
      </c>
      <c r="P62" s="753">
        <f>ROUNDDOWN($Q37*$I$10,0)</f>
        <v>0</v>
      </c>
      <c r="Q62" s="775">
        <f>P62*$I62*$U$2</f>
        <v>0</v>
      </c>
      <c r="R62" s="731"/>
    </row>
    <row r="63" spans="1:26" ht="20.100000000000001" hidden="1" customHeight="1">
      <c r="A63" s="1626" t="str">
        <f>CONCATENATE("（処遇Ⅰの基準年度の翌年～当年度まで（",I8,"％）分）")</f>
        <v>（処遇Ⅰの基準年度の翌年～当年度まで（％）分）</v>
      </c>
      <c r="B63" s="1626"/>
      <c r="C63" s="1626"/>
      <c r="D63" s="776"/>
      <c r="E63" s="776"/>
      <c r="F63" s="731"/>
      <c r="G63" s="1623"/>
      <c r="H63" s="936" t="s">
        <v>153</v>
      </c>
      <c r="I63" s="961">
        <f>'入力（児童数-分園)'!W4</f>
        <v>0</v>
      </c>
      <c r="J63" s="774">
        <f>$Q38*$I$5</f>
        <v>0</v>
      </c>
      <c r="K63" s="775">
        <f>J63*$I63*$U$2</f>
        <v>0</v>
      </c>
      <c r="L63" s="757">
        <f>ROUNDDOWN($Q38*$I$6,0)</f>
        <v>0</v>
      </c>
      <c r="M63" s="775">
        <f>L63*$I63*$U$2</f>
        <v>0</v>
      </c>
      <c r="N63" s="769">
        <f>ROUNDDOWN($Q38*$I$8,0)</f>
        <v>0</v>
      </c>
      <c r="O63" s="775">
        <f>N63*$I63*$U$2</f>
        <v>0</v>
      </c>
      <c r="P63" s="753">
        <f>ROUNDDOWN($Q38*$I$10,0)</f>
        <v>0</v>
      </c>
      <c r="Q63" s="775">
        <f>P63*$I63*$U$2</f>
        <v>0</v>
      </c>
      <c r="R63" s="731"/>
    </row>
    <row r="64" spans="1:26" ht="20.100000000000001" hidden="1" customHeight="1">
      <c r="A64" s="1626"/>
      <c r="B64" s="1626"/>
      <c r="C64" s="1626"/>
      <c r="D64" s="731"/>
      <c r="E64" s="731"/>
      <c r="F64" s="731"/>
      <c r="G64" s="1623"/>
      <c r="H64" s="936" t="s">
        <v>7</v>
      </c>
      <c r="I64" s="961">
        <f>'入力（児童数-分園)'!W5</f>
        <v>0</v>
      </c>
      <c r="J64" s="774">
        <f>$Q39*$I$5</f>
        <v>0</v>
      </c>
      <c r="K64" s="775">
        <f>J64*$I64*$U$2</f>
        <v>0</v>
      </c>
      <c r="L64" s="757">
        <f>ROUNDDOWN($Q39*$I$6,0)</f>
        <v>0</v>
      </c>
      <c r="M64" s="775">
        <f>L64*$I64*$U$2</f>
        <v>0</v>
      </c>
      <c r="N64" s="769">
        <f>ROUNDDOWN($Q39*$I$8,0)</f>
        <v>0</v>
      </c>
      <c r="O64" s="775">
        <f>N64*$I64*$U$2</f>
        <v>0</v>
      </c>
      <c r="P64" s="753">
        <f>ROUNDDOWN($Q39*$I$10,0)</f>
        <v>0</v>
      </c>
      <c r="Q64" s="775">
        <f>P64*$I64*$U$2</f>
        <v>0</v>
      </c>
      <c r="R64" s="731"/>
    </row>
    <row r="65" spans="1:19" hidden="1">
      <c r="A65" s="731"/>
      <c r="B65" s="731"/>
      <c r="C65" s="731"/>
      <c r="D65" s="731"/>
      <c r="E65" s="731"/>
      <c r="F65" s="731"/>
      <c r="G65" s="1623"/>
      <c r="H65" s="936" t="s">
        <v>8</v>
      </c>
      <c r="I65" s="962">
        <f>'入力（児童数-分園)'!W6</f>
        <v>0</v>
      </c>
      <c r="J65" s="774">
        <f>$Q40*$I$5</f>
        <v>0</v>
      </c>
      <c r="K65" s="775">
        <f>J65*$I65*$U$2</f>
        <v>0</v>
      </c>
      <c r="L65" s="757">
        <f>ROUNDDOWN($Q40*$I$6,0)</f>
        <v>0</v>
      </c>
      <c r="M65" s="775">
        <f>L65*$I65*$U$2</f>
        <v>0</v>
      </c>
      <c r="N65" s="769">
        <f>ROUNDDOWN($Q40*$I$8,0)</f>
        <v>0</v>
      </c>
      <c r="O65" s="775">
        <f>N65*$I65*$U$2</f>
        <v>0</v>
      </c>
      <c r="P65" s="753">
        <f>ROUNDDOWN($Q40*$I$10,0)</f>
        <v>0</v>
      </c>
      <c r="Q65" s="775">
        <f>P65*$I65*$U$2</f>
        <v>0</v>
      </c>
      <c r="R65" s="731"/>
    </row>
    <row r="66" spans="1:19" ht="40.5" hidden="1" customHeight="1">
      <c r="A66" s="1625" t="s">
        <v>866</v>
      </c>
      <c r="B66" s="1625"/>
      <c r="C66" s="1625"/>
      <c r="D66" s="731"/>
      <c r="E66" s="731"/>
      <c r="F66" s="731"/>
      <c r="G66" s="1623"/>
      <c r="H66" s="937" t="s">
        <v>205</v>
      </c>
      <c r="I66" s="945" t="s">
        <v>892</v>
      </c>
      <c r="J66" s="424" t="str">
        <f>"D×賃金改善率（"&amp;$I$5&amp;"％）"</f>
        <v>D×賃金改善率（％）</v>
      </c>
      <c r="K66" s="422" t="str">
        <f>CONCATENATE("×利用児童数×",$U$2,"月")</f>
        <v>×利用児童数×0月</v>
      </c>
      <c r="L66" s="930" t="str">
        <f>"D×加算Ⅰ新規事由に係る率（"&amp;$I$6&amp;"％）"</f>
        <v>D×加算Ⅰ新規事由に係る率（％）</v>
      </c>
      <c r="M66" s="422" t="str">
        <f>CONCATENATE("×利用児童数×",$U$2,"月")</f>
        <v>×利用児童数×0月</v>
      </c>
      <c r="N66" s="423" t="str">
        <f>"D×人勧影響率（"&amp;$I$8&amp;"％）"</f>
        <v>D×人勧影響率（％）</v>
      </c>
      <c r="O66" s="422" t="str">
        <f>CONCATENATE("×利用児童数×",$U$2,"月")</f>
        <v>×利用児童数×0月</v>
      </c>
      <c r="P66" s="423" t="str">
        <f>"D×人勧影響率（"&amp;$I$10&amp;"％）"</f>
        <v>D×人勧影響率（％）</v>
      </c>
      <c r="Q66" s="422" t="str">
        <f>CONCATENATE("×利用児童数×",$U$2,"月")</f>
        <v>×利用児童数×0月</v>
      </c>
      <c r="R66" s="731"/>
    </row>
    <row r="67" spans="1:19" ht="20.100000000000001" hidden="1" customHeight="1">
      <c r="A67" s="1625"/>
      <c r="B67" s="1625"/>
      <c r="C67" s="1625"/>
      <c r="D67" s="1627">
        <f>$Q$71</f>
        <v>0</v>
      </c>
      <c r="E67" s="1627"/>
      <c r="F67" s="731"/>
      <c r="G67" s="1623"/>
      <c r="H67" s="936" t="s">
        <v>203</v>
      </c>
      <c r="I67" s="961">
        <f>'入力（児童数-分園)'!X3</f>
        <v>0</v>
      </c>
      <c r="J67" s="774">
        <f>$Q43*$I$5</f>
        <v>0</v>
      </c>
      <c r="K67" s="933">
        <f>J67*$I67*$U$2</f>
        <v>0</v>
      </c>
      <c r="L67" s="757">
        <f>ROUNDDOWN($Q43*$I$6,0)</f>
        <v>0</v>
      </c>
      <c r="M67" s="781">
        <f>L67*$I67*$U$2</f>
        <v>0</v>
      </c>
      <c r="N67" s="769">
        <f>ROUNDDOWN($Q43*$I$8,0)</f>
        <v>0</v>
      </c>
      <c r="O67" s="775">
        <f>N67*$I67*$U$2</f>
        <v>0</v>
      </c>
      <c r="P67" s="753">
        <f>ROUNDDOWN($Q43*$I$10,0)</f>
        <v>0</v>
      </c>
      <c r="Q67" s="781">
        <f>P67*$I67*$U$2</f>
        <v>0</v>
      </c>
      <c r="R67" s="731"/>
    </row>
    <row r="68" spans="1:19" ht="20.100000000000001" hidden="1" customHeight="1">
      <c r="A68" s="1626" t="str">
        <f>CONCATENATE("（処遇Ⅱの基準年度の翌年～当年度まで（",I10,"％）分）")</f>
        <v>（処遇Ⅱの基準年度の翌年～当年度まで（％）分）</v>
      </c>
      <c r="B68" s="1626"/>
      <c r="C68" s="1626"/>
      <c r="D68" s="776"/>
      <c r="E68" s="776"/>
      <c r="F68" s="731"/>
      <c r="G68" s="1623"/>
      <c r="H68" s="936" t="s">
        <v>153</v>
      </c>
      <c r="I68" s="961">
        <f>'入力（児童数-分園)'!X4</f>
        <v>0</v>
      </c>
      <c r="J68" s="774">
        <f>$Q44*$I$5</f>
        <v>0</v>
      </c>
      <c r="K68" s="781">
        <f>J68*$I68*$U$2</f>
        <v>0</v>
      </c>
      <c r="L68" s="757">
        <f>ROUNDDOWN($Q44*$I$6,0)</f>
        <v>0</v>
      </c>
      <c r="M68" s="781">
        <f>L68*$I68*$U$2</f>
        <v>0</v>
      </c>
      <c r="N68" s="769">
        <f>ROUNDDOWN($Q44*$I$8,0)</f>
        <v>0</v>
      </c>
      <c r="O68" s="775">
        <f>N68*$I68*$U$2</f>
        <v>0</v>
      </c>
      <c r="P68" s="753">
        <f>ROUNDDOWN($Q44*$I$10,0)</f>
        <v>0</v>
      </c>
      <c r="Q68" s="781">
        <f>P68*$I68*$U$2</f>
        <v>0</v>
      </c>
      <c r="R68" s="731"/>
    </row>
    <row r="69" spans="1:19" ht="20.100000000000001" hidden="1" customHeight="1">
      <c r="A69" s="1626"/>
      <c r="B69" s="1626"/>
      <c r="C69" s="1626"/>
      <c r="D69" s="731"/>
      <c r="E69" s="731"/>
      <c r="F69" s="731"/>
      <c r="G69" s="1623"/>
      <c r="H69" s="936" t="s">
        <v>7</v>
      </c>
      <c r="I69" s="961">
        <f>'入力（児童数-分園)'!X5</f>
        <v>0</v>
      </c>
      <c r="J69" s="774">
        <f>$Q45*$I$5</f>
        <v>0</v>
      </c>
      <c r="K69" s="781">
        <f>J69*$I69*$U$2</f>
        <v>0</v>
      </c>
      <c r="L69" s="757">
        <f>ROUNDDOWN($Q45*$I$6,0)</f>
        <v>0</v>
      </c>
      <c r="M69" s="781">
        <f>L69*$I69*$U$2</f>
        <v>0</v>
      </c>
      <c r="N69" s="769">
        <f>ROUNDDOWN($Q45*$I$8,0)</f>
        <v>0</v>
      </c>
      <c r="O69" s="775">
        <f>N69*$I69*$U$2</f>
        <v>0</v>
      </c>
      <c r="P69" s="753">
        <f>ROUNDDOWN($Q45*$I$10,0)</f>
        <v>0</v>
      </c>
      <c r="Q69" s="781">
        <f>P69*$I69*$U$2</f>
        <v>0</v>
      </c>
      <c r="R69" s="731"/>
    </row>
    <row r="70" spans="1:19" ht="20.100000000000001" hidden="1" customHeight="1" thickBot="1">
      <c r="A70" s="731"/>
      <c r="B70" s="731"/>
      <c r="C70" s="731"/>
      <c r="D70" s="731"/>
      <c r="E70" s="731"/>
      <c r="F70" s="731"/>
      <c r="G70" s="1624"/>
      <c r="H70" s="936" t="s">
        <v>8</v>
      </c>
      <c r="I70" s="962">
        <f>'入力（児童数-分園)'!X6</f>
        <v>0</v>
      </c>
      <c r="J70" s="774">
        <f>$Q46*$I$5</f>
        <v>0</v>
      </c>
      <c r="K70" s="781">
        <f>J70*$I70*$U$2</f>
        <v>0</v>
      </c>
      <c r="L70" s="757">
        <f>ROUNDDOWN($Q46*$I$6,0)</f>
        <v>0</v>
      </c>
      <c r="M70" s="782">
        <f>L70*$I70*$U$2</f>
        <v>0</v>
      </c>
      <c r="N70" s="769">
        <f>ROUNDDOWN($Q46*$I$8,0)</f>
        <v>0</v>
      </c>
      <c r="O70" s="783">
        <f>N70*$I70*$U$2</f>
        <v>0</v>
      </c>
      <c r="P70" s="753">
        <f>ROUNDDOWN($Q46*$I$10,0)</f>
        <v>0</v>
      </c>
      <c r="Q70" s="782">
        <f>P70*$I70*$U$2</f>
        <v>0</v>
      </c>
      <c r="R70" s="731"/>
    </row>
    <row r="71" spans="1:19" ht="18.75" hidden="1" thickTop="1" thickBot="1">
      <c r="A71" s="731"/>
      <c r="B71" s="731"/>
      <c r="C71" s="731"/>
      <c r="D71" s="731"/>
      <c r="E71" s="731"/>
      <c r="F71" s="731"/>
      <c r="G71" s="731"/>
      <c r="H71" s="784" t="s">
        <v>0</v>
      </c>
      <c r="I71" s="934">
        <f>SUM(I51:I54,I56:I59,I62:I65,I67:I70)</f>
        <v>0</v>
      </c>
      <c r="J71" s="786" t="s">
        <v>0</v>
      </c>
      <c r="K71" s="785">
        <f>ROUNDDOWN(SUM(K51:K54,K56:K59,K62:K65,K67:K70),-3)</f>
        <v>0</v>
      </c>
      <c r="L71" s="786" t="s">
        <v>0</v>
      </c>
      <c r="M71" s="785">
        <f>ROUNDDOWN(SUM(M51:M54,M56:M59,M62:M65,M67:M70),-3)</f>
        <v>0</v>
      </c>
      <c r="N71" s="786" t="s">
        <v>0</v>
      </c>
      <c r="O71" s="850">
        <f>ROUNDDOWN(SUM(O51:O54,O56:O59,O62:O65,O67:O70),-3)</f>
        <v>0</v>
      </c>
      <c r="P71" s="786" t="s">
        <v>0</v>
      </c>
      <c r="Q71" s="785">
        <f>ROUNDDOWN(SUM(Q51:Q54,Q56:Q59,Q62:Q65,Q67:Q70),-3)</f>
        <v>0</v>
      </c>
      <c r="R71" s="731"/>
      <c r="S71" s="736"/>
    </row>
    <row r="72" spans="1:19" hidden="1">
      <c r="A72" s="731"/>
      <c r="B72" s="731"/>
      <c r="C72" s="749"/>
      <c r="E72" s="759"/>
      <c r="F72" s="787"/>
      <c r="G72" s="731"/>
      <c r="H72" s="731"/>
      <c r="I72" s="788"/>
      <c r="J72" s="731"/>
      <c r="K72" s="731"/>
      <c r="L72" s="731"/>
      <c r="M72" s="731"/>
      <c r="N72" s="731"/>
      <c r="O72" s="731"/>
      <c r="P72" s="731"/>
      <c r="Q72" s="731"/>
      <c r="R72" s="731"/>
      <c r="S72" s="736"/>
    </row>
    <row r="73" spans="1:19">
      <c r="C73" s="752"/>
      <c r="E73" s="789"/>
      <c r="F73" s="790"/>
      <c r="K73" s="731"/>
      <c r="L73" s="731"/>
      <c r="M73" s="731"/>
      <c r="N73" s="731"/>
      <c r="S73" s="736"/>
    </row>
    <row r="74" spans="1:19">
      <c r="C74" s="752"/>
    </row>
  </sheetData>
  <sheetProtection algorithmName="SHA-512" hashValue="99XWTjhQiq1eczGSGGBDlb6+z7UQwWNJSXup0IZ3HyHl3UEiYYv7NyOmr750qfCC34CqafirGUQeolBp5yQfYw==" saltValue="fB929VzRWUj+Z1448zAUbA==" spinCount="100000" sheet="1" objects="1" scenarios="1"/>
  <customSheetViews>
    <customSheetView guid="{2E52E5FF-9846-4DC5-A671-268FE925398C}" scale="70" showPageBreaks="1" printArea="1" hiddenColumns="1" view="pageBreakPreview">
      <selection activeCell="K50" sqref="K50:L50"/>
      <pageMargins left="0.70866141732283472" right="0.70866141732283472" top="0.74803149606299213" bottom="0.74803149606299213" header="0.31496062992125984" footer="0.31496062992125984"/>
      <pageSetup paperSize="9" scale="36" fitToHeight="2" orientation="landscape" r:id="rId1"/>
    </customSheetView>
    <customSheetView guid="{BADA99B3-B36A-4925-87A7-F72FC97D3DBA}" scale="70" showPageBreaks="1" printArea="1" view="pageBreakPreview">
      <selection activeCell="AA48" sqref="AA48"/>
      <pageMargins left="0.70866141732283472" right="0.70866141732283472" top="0.74803149606299213" bottom="0.74803149606299213" header="0.31496062992125984" footer="0.31496062992125984"/>
      <pageSetup paperSize="9" scale="36" fitToHeight="2" orientation="landscape" r:id="rId2"/>
    </customSheetView>
  </customSheetViews>
  <mergeCells count="154">
    <mergeCell ref="U42:V42"/>
    <mergeCell ref="A61:C62"/>
    <mergeCell ref="A63:C64"/>
    <mergeCell ref="A66:C67"/>
    <mergeCell ref="D67:E67"/>
    <mergeCell ref="A68:C69"/>
    <mergeCell ref="A54:F54"/>
    <mergeCell ref="A51:C51"/>
    <mergeCell ref="A52:C52"/>
    <mergeCell ref="A56:C56"/>
    <mergeCell ref="A57:C58"/>
    <mergeCell ref="P49:Q49"/>
    <mergeCell ref="J41:J42"/>
    <mergeCell ref="K41:K42"/>
    <mergeCell ref="H41:H42"/>
    <mergeCell ref="I41:I42"/>
    <mergeCell ref="D56:E56"/>
    <mergeCell ref="D62:E62"/>
    <mergeCell ref="D41:D42"/>
    <mergeCell ref="E41:E42"/>
    <mergeCell ref="F41:F42"/>
    <mergeCell ref="G41:G42"/>
    <mergeCell ref="G61:G70"/>
    <mergeCell ref="D51:E51"/>
    <mergeCell ref="U39:V39"/>
    <mergeCell ref="U40:V40"/>
    <mergeCell ref="U44:V44"/>
    <mergeCell ref="G50:G59"/>
    <mergeCell ref="B45:C45"/>
    <mergeCell ref="B43:C43"/>
    <mergeCell ref="U45:V45"/>
    <mergeCell ref="U43:V43"/>
    <mergeCell ref="U47:V47"/>
    <mergeCell ref="M41:M42"/>
    <mergeCell ref="N41:N42"/>
    <mergeCell ref="O41:O42"/>
    <mergeCell ref="P41:P42"/>
    <mergeCell ref="Q41:Q42"/>
    <mergeCell ref="U46:V46"/>
    <mergeCell ref="T36:T47"/>
    <mergeCell ref="U36:V36"/>
    <mergeCell ref="U37:V37"/>
    <mergeCell ref="M35:M36"/>
    <mergeCell ref="N35:N36"/>
    <mergeCell ref="O35:O36"/>
    <mergeCell ref="P35:P36"/>
    <mergeCell ref="U41:V41"/>
    <mergeCell ref="G35:G36"/>
    <mergeCell ref="U31:V31"/>
    <mergeCell ref="U26:V26"/>
    <mergeCell ref="U27:V27"/>
    <mergeCell ref="U25:V25"/>
    <mergeCell ref="D28:D29"/>
    <mergeCell ref="E28:E29"/>
    <mergeCell ref="B21:C21"/>
    <mergeCell ref="B25:C25"/>
    <mergeCell ref="U38:V38"/>
    <mergeCell ref="I35:I36"/>
    <mergeCell ref="J35:J36"/>
    <mergeCell ref="K35:K36"/>
    <mergeCell ref="U28:V28"/>
    <mergeCell ref="U32:V32"/>
    <mergeCell ref="U33:V33"/>
    <mergeCell ref="U24:V24"/>
    <mergeCell ref="U35:V35"/>
    <mergeCell ref="U34:V34"/>
    <mergeCell ref="U23:V23"/>
    <mergeCell ref="B22:C23"/>
    <mergeCell ref="D22:D23"/>
    <mergeCell ref="E22:E23"/>
    <mergeCell ref="T23:T34"/>
    <mergeCell ref="Q22:Q23"/>
    <mergeCell ref="K22:K23"/>
    <mergeCell ref="M22:M23"/>
    <mergeCell ref="N22:N23"/>
    <mergeCell ref="Q35:Q36"/>
    <mergeCell ref="L17:L18"/>
    <mergeCell ref="B26:C26"/>
    <mergeCell ref="B30:C30"/>
    <mergeCell ref="B31:C31"/>
    <mergeCell ref="B32:C32"/>
    <mergeCell ref="O22:O23"/>
    <mergeCell ref="P22:P23"/>
    <mergeCell ref="B27:C27"/>
    <mergeCell ref="B24:C24"/>
    <mergeCell ref="M28:M29"/>
    <mergeCell ref="N28:N29"/>
    <mergeCell ref="B28:C29"/>
    <mergeCell ref="F22:F23"/>
    <mergeCell ref="G22:G23"/>
    <mergeCell ref="D35:D36"/>
    <mergeCell ref="E35:E36"/>
    <mergeCell ref="F35:F36"/>
    <mergeCell ref="U29:V29"/>
    <mergeCell ref="U30:V30"/>
    <mergeCell ref="AD1:AE1"/>
    <mergeCell ref="B5:C5"/>
    <mergeCell ref="B7:B9"/>
    <mergeCell ref="Y23:AA23"/>
    <mergeCell ref="M17:M18"/>
    <mergeCell ref="Q28:Q29"/>
    <mergeCell ref="O28:O29"/>
    <mergeCell ref="B6:C6"/>
    <mergeCell ref="B10:B12"/>
    <mergeCell ref="F17:F18"/>
    <mergeCell ref="G17:G18"/>
    <mergeCell ref="F28:F29"/>
    <mergeCell ref="G28:G29"/>
    <mergeCell ref="H28:H29"/>
    <mergeCell ref="I28:I29"/>
    <mergeCell ref="J28:J29"/>
    <mergeCell ref="K28:K29"/>
    <mergeCell ref="N17:N18"/>
    <mergeCell ref="O17:O18"/>
    <mergeCell ref="H22:H23"/>
    <mergeCell ref="I22:I23"/>
    <mergeCell ref="J22:J23"/>
    <mergeCell ref="D5:E5"/>
    <mergeCell ref="J17:J18"/>
    <mergeCell ref="K17:K18"/>
    <mergeCell ref="O1:R1"/>
    <mergeCell ref="B2:Q3"/>
    <mergeCell ref="D6:E6"/>
    <mergeCell ref="D7:E7"/>
    <mergeCell ref="D8:E8"/>
    <mergeCell ref="D9:E9"/>
    <mergeCell ref="D10:E10"/>
    <mergeCell ref="D11:E11"/>
    <mergeCell ref="D12:E12"/>
    <mergeCell ref="B4:D4"/>
    <mergeCell ref="A22:A33"/>
    <mergeCell ref="B37:C37"/>
    <mergeCell ref="B35:C36"/>
    <mergeCell ref="J49:K49"/>
    <mergeCell ref="L49:M49"/>
    <mergeCell ref="N49:O49"/>
    <mergeCell ref="B15:C16"/>
    <mergeCell ref="D21:Q21"/>
    <mergeCell ref="P17:P18"/>
    <mergeCell ref="B33:C33"/>
    <mergeCell ref="P28:P29"/>
    <mergeCell ref="A35:A46"/>
    <mergeCell ref="B39:C39"/>
    <mergeCell ref="B40:C40"/>
    <mergeCell ref="B46:C46"/>
    <mergeCell ref="B44:C44"/>
    <mergeCell ref="B41:C42"/>
    <mergeCell ref="B17:C19"/>
    <mergeCell ref="B38:C38"/>
    <mergeCell ref="H35:H36"/>
    <mergeCell ref="D17:D18"/>
    <mergeCell ref="E17:E18"/>
    <mergeCell ref="H17:H18"/>
    <mergeCell ref="I17:I18"/>
  </mergeCells>
  <phoneticPr fontId="4"/>
  <dataValidations count="6">
    <dataValidation type="whole" operator="greaterThanOrEqual" allowBlank="1" showInputMessage="1" showErrorMessage="1" sqref="F19" xr:uid="{00000000-0002-0000-0A00-000000000000}">
      <formula1>0</formula1>
    </dataValidation>
    <dataValidation type="list" allowBlank="1" showInputMessage="1" showErrorMessage="1" sqref="O19 D19:E19 L19:M19 G19 I19:J19" xr:uid="{00000000-0002-0000-0A00-000001000000}">
      <formula1>$V$2:$V$4</formula1>
    </dataValidation>
    <dataValidation type="list" errorStyle="warning" showInputMessage="1" showErrorMessage="1" sqref="N19" xr:uid="{00000000-0002-0000-0A00-000002000000}">
      <formula1>$Z$2:$Z$5</formula1>
    </dataValidation>
    <dataValidation type="list" allowBlank="1" showInputMessage="1" showErrorMessage="1" sqref="K19" xr:uid="{00000000-0002-0000-0A00-000003000000}">
      <formula1>$Y$2:$Y$7</formula1>
    </dataValidation>
    <dataValidation type="list" allowBlank="1" showInputMessage="1" showErrorMessage="1" sqref="P19" xr:uid="{00000000-0002-0000-0A00-000004000000}">
      <formula1>$AA$2:$AA$5</formula1>
    </dataValidation>
    <dataValidation type="list" allowBlank="1" showInputMessage="1" showErrorMessage="1" sqref="H19" xr:uid="{F2948D07-A5CC-4ED2-8007-815FC8CC1CE9}">
      <formula1>$AB$3:$AB$5</formula1>
    </dataValidation>
  </dataValidations>
  <printOptions horizontalCentered="1"/>
  <pageMargins left="0.70866141732283472" right="0.70866141732283472" top="0.74803149606299213" bottom="0.74803149606299213" header="0.31496062992125984" footer="0.31496062992125984"/>
  <pageSetup paperSize="9" scale="33" fitToHeight="2" orientation="landscape"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FFC000"/>
  </sheetPr>
  <dimension ref="A1:P119"/>
  <sheetViews>
    <sheetView view="pageBreakPreview" zoomScale="70" zoomScaleNormal="100" zoomScaleSheetLayoutView="70" workbookViewId="0">
      <selection activeCell="F9" sqref="F9"/>
    </sheetView>
  </sheetViews>
  <sheetFormatPr defaultRowHeight="13.5" outlineLevelCol="1"/>
  <cols>
    <col min="1" max="1" width="2.875" style="260" customWidth="1"/>
    <col min="2" max="2" width="3" style="260" customWidth="1"/>
    <col min="3" max="3" width="12.125" style="260" customWidth="1"/>
    <col min="4" max="4" width="18" style="260" customWidth="1"/>
    <col min="5" max="5" width="10.625" style="260" customWidth="1"/>
    <col min="6" max="8" width="10.625" style="507" customWidth="1"/>
    <col min="9" max="9" width="12.875" style="507" customWidth="1"/>
    <col min="10" max="12" width="10.625" style="260" customWidth="1"/>
    <col min="13" max="13" width="9" style="260" hidden="1" customWidth="1" outlineLevel="1"/>
    <col min="14" max="14" width="4.375" style="260" hidden="1" customWidth="1" outlineLevel="1"/>
    <col min="15" max="15" width="9" style="260" hidden="1" customWidth="1" outlineLevel="1"/>
    <col min="16" max="16" width="9" style="260" collapsed="1"/>
    <col min="17" max="256" width="9" style="260"/>
    <col min="257" max="257" width="2.875" style="260" customWidth="1"/>
    <col min="258" max="258" width="3" style="260" customWidth="1"/>
    <col min="259" max="259" width="12.125" style="260" customWidth="1"/>
    <col min="260" max="260" width="18" style="260" customWidth="1"/>
    <col min="261" max="261" width="8" style="260" customWidth="1"/>
    <col min="262" max="262" width="9.875" style="260" customWidth="1"/>
    <col min="263" max="263" width="7.875" style="260" bestFit="1" customWidth="1"/>
    <col min="264" max="264" width="13.25" style="260" bestFit="1" customWidth="1"/>
    <col min="265" max="265" width="9" style="260" customWidth="1"/>
    <col min="266" max="512" width="9" style="260"/>
    <col min="513" max="513" width="2.875" style="260" customWidth="1"/>
    <col min="514" max="514" width="3" style="260" customWidth="1"/>
    <col min="515" max="515" width="12.125" style="260" customWidth="1"/>
    <col min="516" max="516" width="18" style="260" customWidth="1"/>
    <col min="517" max="517" width="8" style="260" customWidth="1"/>
    <col min="518" max="518" width="9.875" style="260" customWidth="1"/>
    <col min="519" max="519" width="7.875" style="260" bestFit="1" customWidth="1"/>
    <col min="520" max="520" width="13.25" style="260" bestFit="1" customWidth="1"/>
    <col min="521" max="521" width="9" style="260" customWidth="1"/>
    <col min="522" max="768" width="9" style="260"/>
    <col min="769" max="769" width="2.875" style="260" customWidth="1"/>
    <col min="770" max="770" width="3" style="260" customWidth="1"/>
    <col min="771" max="771" width="12.125" style="260" customWidth="1"/>
    <col min="772" max="772" width="18" style="260" customWidth="1"/>
    <col min="773" max="773" width="8" style="260" customWidth="1"/>
    <col min="774" max="774" width="9.875" style="260" customWidth="1"/>
    <col min="775" max="775" width="7.875" style="260" bestFit="1" customWidth="1"/>
    <col min="776" max="776" width="13.25" style="260" bestFit="1" customWidth="1"/>
    <col min="777" max="777" width="9" style="260" customWidth="1"/>
    <col min="778" max="1024" width="9" style="260"/>
    <col min="1025" max="1025" width="2.875" style="260" customWidth="1"/>
    <col min="1026" max="1026" width="3" style="260" customWidth="1"/>
    <col min="1027" max="1027" width="12.125" style="260" customWidth="1"/>
    <col min="1028" max="1028" width="18" style="260" customWidth="1"/>
    <col min="1029" max="1029" width="8" style="260" customWidth="1"/>
    <col min="1030" max="1030" width="9.875" style="260" customWidth="1"/>
    <col min="1031" max="1031" width="7.875" style="260" bestFit="1" customWidth="1"/>
    <col min="1032" max="1032" width="13.25" style="260" bestFit="1" customWidth="1"/>
    <col min="1033" max="1033" width="9" style="260" customWidth="1"/>
    <col min="1034" max="1280" width="9" style="260"/>
    <col min="1281" max="1281" width="2.875" style="260" customWidth="1"/>
    <col min="1282" max="1282" width="3" style="260" customWidth="1"/>
    <col min="1283" max="1283" width="12.125" style="260" customWidth="1"/>
    <col min="1284" max="1284" width="18" style="260" customWidth="1"/>
    <col min="1285" max="1285" width="8" style="260" customWidth="1"/>
    <col min="1286" max="1286" width="9.875" style="260" customWidth="1"/>
    <col min="1287" max="1287" width="7.875" style="260" bestFit="1" customWidth="1"/>
    <col min="1288" max="1288" width="13.25" style="260" bestFit="1" customWidth="1"/>
    <col min="1289" max="1289" width="9" style="260" customWidth="1"/>
    <col min="1290" max="1536" width="9" style="260"/>
    <col min="1537" max="1537" width="2.875" style="260" customWidth="1"/>
    <col min="1538" max="1538" width="3" style="260" customWidth="1"/>
    <col min="1539" max="1539" width="12.125" style="260" customWidth="1"/>
    <col min="1540" max="1540" width="18" style="260" customWidth="1"/>
    <col min="1541" max="1541" width="8" style="260" customWidth="1"/>
    <col min="1542" max="1542" width="9.875" style="260" customWidth="1"/>
    <col min="1543" max="1543" width="7.875" style="260" bestFit="1" customWidth="1"/>
    <col min="1544" max="1544" width="13.25" style="260" bestFit="1" customWidth="1"/>
    <col min="1545" max="1545" width="9" style="260" customWidth="1"/>
    <col min="1546" max="1792" width="9" style="260"/>
    <col min="1793" max="1793" width="2.875" style="260" customWidth="1"/>
    <col min="1794" max="1794" width="3" style="260" customWidth="1"/>
    <col min="1795" max="1795" width="12.125" style="260" customWidth="1"/>
    <col min="1796" max="1796" width="18" style="260" customWidth="1"/>
    <col min="1797" max="1797" width="8" style="260" customWidth="1"/>
    <col min="1798" max="1798" width="9.875" style="260" customWidth="1"/>
    <col min="1799" max="1799" width="7.875" style="260" bestFit="1" customWidth="1"/>
    <col min="1800" max="1800" width="13.25" style="260" bestFit="1" customWidth="1"/>
    <col min="1801" max="1801" width="9" style="260" customWidth="1"/>
    <col min="1802" max="2048" width="9" style="260"/>
    <col min="2049" max="2049" width="2.875" style="260" customWidth="1"/>
    <col min="2050" max="2050" width="3" style="260" customWidth="1"/>
    <col min="2051" max="2051" width="12.125" style="260" customWidth="1"/>
    <col min="2052" max="2052" width="18" style="260" customWidth="1"/>
    <col min="2053" max="2053" width="8" style="260" customWidth="1"/>
    <col min="2054" max="2054" width="9.875" style="260" customWidth="1"/>
    <col min="2055" max="2055" width="7.875" style="260" bestFit="1" customWidth="1"/>
    <col min="2056" max="2056" width="13.25" style="260" bestFit="1" customWidth="1"/>
    <col min="2057" max="2057" width="9" style="260" customWidth="1"/>
    <col min="2058" max="2304" width="9" style="260"/>
    <col min="2305" max="2305" width="2.875" style="260" customWidth="1"/>
    <col min="2306" max="2306" width="3" style="260" customWidth="1"/>
    <col min="2307" max="2307" width="12.125" style="260" customWidth="1"/>
    <col min="2308" max="2308" width="18" style="260" customWidth="1"/>
    <col min="2309" max="2309" width="8" style="260" customWidth="1"/>
    <col min="2310" max="2310" width="9.875" style="260" customWidth="1"/>
    <col min="2311" max="2311" width="7.875" style="260" bestFit="1" customWidth="1"/>
    <col min="2312" max="2312" width="13.25" style="260" bestFit="1" customWidth="1"/>
    <col min="2313" max="2313" width="9" style="260" customWidth="1"/>
    <col min="2314" max="2560" width="9" style="260"/>
    <col min="2561" max="2561" width="2.875" style="260" customWidth="1"/>
    <col min="2562" max="2562" width="3" style="260" customWidth="1"/>
    <col min="2563" max="2563" width="12.125" style="260" customWidth="1"/>
    <col min="2564" max="2564" width="18" style="260" customWidth="1"/>
    <col min="2565" max="2565" width="8" style="260" customWidth="1"/>
    <col min="2566" max="2566" width="9.875" style="260" customWidth="1"/>
    <col min="2567" max="2567" width="7.875" style="260" bestFit="1" customWidth="1"/>
    <col min="2568" max="2568" width="13.25" style="260" bestFit="1" customWidth="1"/>
    <col min="2569" max="2569" width="9" style="260" customWidth="1"/>
    <col min="2570" max="2816" width="9" style="260"/>
    <col min="2817" max="2817" width="2.875" style="260" customWidth="1"/>
    <col min="2818" max="2818" width="3" style="260" customWidth="1"/>
    <col min="2819" max="2819" width="12.125" style="260" customWidth="1"/>
    <col min="2820" max="2820" width="18" style="260" customWidth="1"/>
    <col min="2821" max="2821" width="8" style="260" customWidth="1"/>
    <col min="2822" max="2822" width="9.875" style="260" customWidth="1"/>
    <col min="2823" max="2823" width="7.875" style="260" bestFit="1" customWidth="1"/>
    <col min="2824" max="2824" width="13.25" style="260" bestFit="1" customWidth="1"/>
    <col min="2825" max="2825" width="9" style="260" customWidth="1"/>
    <col min="2826" max="3072" width="9" style="260"/>
    <col min="3073" max="3073" width="2.875" style="260" customWidth="1"/>
    <col min="3074" max="3074" width="3" style="260" customWidth="1"/>
    <col min="3075" max="3075" width="12.125" style="260" customWidth="1"/>
    <col min="3076" max="3076" width="18" style="260" customWidth="1"/>
    <col min="3077" max="3077" width="8" style="260" customWidth="1"/>
    <col min="3078" max="3078" width="9.875" style="260" customWidth="1"/>
    <col min="3079" max="3079" width="7.875" style="260" bestFit="1" customWidth="1"/>
    <col min="3080" max="3080" width="13.25" style="260" bestFit="1" customWidth="1"/>
    <col min="3081" max="3081" width="9" style="260" customWidth="1"/>
    <col min="3082" max="3328" width="9" style="260"/>
    <col min="3329" max="3329" width="2.875" style="260" customWidth="1"/>
    <col min="3330" max="3330" width="3" style="260" customWidth="1"/>
    <col min="3331" max="3331" width="12.125" style="260" customWidth="1"/>
    <col min="3332" max="3332" width="18" style="260" customWidth="1"/>
    <col min="3333" max="3333" width="8" style="260" customWidth="1"/>
    <col min="3334" max="3334" width="9.875" style="260" customWidth="1"/>
    <col min="3335" max="3335" width="7.875" style="260" bestFit="1" customWidth="1"/>
    <col min="3336" max="3336" width="13.25" style="260" bestFit="1" customWidth="1"/>
    <col min="3337" max="3337" width="9" style="260" customWidth="1"/>
    <col min="3338" max="3584" width="9" style="260"/>
    <col min="3585" max="3585" width="2.875" style="260" customWidth="1"/>
    <col min="3586" max="3586" width="3" style="260" customWidth="1"/>
    <col min="3587" max="3587" width="12.125" style="260" customWidth="1"/>
    <col min="3588" max="3588" width="18" style="260" customWidth="1"/>
    <col min="3589" max="3589" width="8" style="260" customWidth="1"/>
    <col min="3590" max="3590" width="9.875" style="260" customWidth="1"/>
    <col min="3591" max="3591" width="7.875" style="260" bestFit="1" customWidth="1"/>
    <col min="3592" max="3592" width="13.25" style="260" bestFit="1" customWidth="1"/>
    <col min="3593" max="3593" width="9" style="260" customWidth="1"/>
    <col min="3594" max="3840" width="9" style="260"/>
    <col min="3841" max="3841" width="2.875" style="260" customWidth="1"/>
    <col min="3842" max="3842" width="3" style="260" customWidth="1"/>
    <col min="3843" max="3843" width="12.125" style="260" customWidth="1"/>
    <col min="3844" max="3844" width="18" style="260" customWidth="1"/>
    <col min="3845" max="3845" width="8" style="260" customWidth="1"/>
    <col min="3846" max="3846" width="9.875" style="260" customWidth="1"/>
    <col min="3847" max="3847" width="7.875" style="260" bestFit="1" customWidth="1"/>
    <col min="3848" max="3848" width="13.25" style="260" bestFit="1" customWidth="1"/>
    <col min="3849" max="3849" width="9" style="260" customWidth="1"/>
    <col min="3850" max="4096" width="9" style="260"/>
    <col min="4097" max="4097" width="2.875" style="260" customWidth="1"/>
    <col min="4098" max="4098" width="3" style="260" customWidth="1"/>
    <col min="4099" max="4099" width="12.125" style="260" customWidth="1"/>
    <col min="4100" max="4100" width="18" style="260" customWidth="1"/>
    <col min="4101" max="4101" width="8" style="260" customWidth="1"/>
    <col min="4102" max="4102" width="9.875" style="260" customWidth="1"/>
    <col min="4103" max="4103" width="7.875" style="260" bestFit="1" customWidth="1"/>
    <col min="4104" max="4104" width="13.25" style="260" bestFit="1" customWidth="1"/>
    <col min="4105" max="4105" width="9" style="260" customWidth="1"/>
    <col min="4106" max="4352" width="9" style="260"/>
    <col min="4353" max="4353" width="2.875" style="260" customWidth="1"/>
    <col min="4354" max="4354" width="3" style="260" customWidth="1"/>
    <col min="4355" max="4355" width="12.125" style="260" customWidth="1"/>
    <col min="4356" max="4356" width="18" style="260" customWidth="1"/>
    <col min="4357" max="4357" width="8" style="260" customWidth="1"/>
    <col min="4358" max="4358" width="9.875" style="260" customWidth="1"/>
    <col min="4359" max="4359" width="7.875" style="260" bestFit="1" customWidth="1"/>
    <col min="4360" max="4360" width="13.25" style="260" bestFit="1" customWidth="1"/>
    <col min="4361" max="4361" width="9" style="260" customWidth="1"/>
    <col min="4362" max="4608" width="9" style="260"/>
    <col min="4609" max="4609" width="2.875" style="260" customWidth="1"/>
    <col min="4610" max="4610" width="3" style="260" customWidth="1"/>
    <col min="4611" max="4611" width="12.125" style="260" customWidth="1"/>
    <col min="4612" max="4612" width="18" style="260" customWidth="1"/>
    <col min="4613" max="4613" width="8" style="260" customWidth="1"/>
    <col min="4614" max="4614" width="9.875" style="260" customWidth="1"/>
    <col min="4615" max="4615" width="7.875" style="260" bestFit="1" customWidth="1"/>
    <col min="4616" max="4616" width="13.25" style="260" bestFit="1" customWidth="1"/>
    <col min="4617" max="4617" width="9" style="260" customWidth="1"/>
    <col min="4618" max="4864" width="9" style="260"/>
    <col min="4865" max="4865" width="2.875" style="260" customWidth="1"/>
    <col min="4866" max="4866" width="3" style="260" customWidth="1"/>
    <col min="4867" max="4867" width="12.125" style="260" customWidth="1"/>
    <col min="4868" max="4868" width="18" style="260" customWidth="1"/>
    <col min="4869" max="4869" width="8" style="260" customWidth="1"/>
    <col min="4870" max="4870" width="9.875" style="260" customWidth="1"/>
    <col min="4871" max="4871" width="7.875" style="260" bestFit="1" customWidth="1"/>
    <col min="4872" max="4872" width="13.25" style="260" bestFit="1" customWidth="1"/>
    <col min="4873" max="4873" width="9" style="260" customWidth="1"/>
    <col min="4874" max="5120" width="9" style="260"/>
    <col min="5121" max="5121" width="2.875" style="260" customWidth="1"/>
    <col min="5122" max="5122" width="3" style="260" customWidth="1"/>
    <col min="5123" max="5123" width="12.125" style="260" customWidth="1"/>
    <col min="5124" max="5124" width="18" style="260" customWidth="1"/>
    <col min="5125" max="5125" width="8" style="260" customWidth="1"/>
    <col min="5126" max="5126" width="9.875" style="260" customWidth="1"/>
    <col min="5127" max="5127" width="7.875" style="260" bestFit="1" customWidth="1"/>
    <col min="5128" max="5128" width="13.25" style="260" bestFit="1" customWidth="1"/>
    <col min="5129" max="5129" width="9" style="260" customWidth="1"/>
    <col min="5130" max="5376" width="9" style="260"/>
    <col min="5377" max="5377" width="2.875" style="260" customWidth="1"/>
    <col min="5378" max="5378" width="3" style="260" customWidth="1"/>
    <col min="5379" max="5379" width="12.125" style="260" customWidth="1"/>
    <col min="5380" max="5380" width="18" style="260" customWidth="1"/>
    <col min="5381" max="5381" width="8" style="260" customWidth="1"/>
    <col min="5382" max="5382" width="9.875" style="260" customWidth="1"/>
    <col min="5383" max="5383" width="7.875" style="260" bestFit="1" customWidth="1"/>
    <col min="5384" max="5384" width="13.25" style="260" bestFit="1" customWidth="1"/>
    <col min="5385" max="5385" width="9" style="260" customWidth="1"/>
    <col min="5386" max="5632" width="9" style="260"/>
    <col min="5633" max="5633" width="2.875" style="260" customWidth="1"/>
    <col min="5634" max="5634" width="3" style="260" customWidth="1"/>
    <col min="5635" max="5635" width="12.125" style="260" customWidth="1"/>
    <col min="5636" max="5636" width="18" style="260" customWidth="1"/>
    <col min="5637" max="5637" width="8" style="260" customWidth="1"/>
    <col min="5638" max="5638" width="9.875" style="260" customWidth="1"/>
    <col min="5639" max="5639" width="7.875" style="260" bestFit="1" customWidth="1"/>
    <col min="5640" max="5640" width="13.25" style="260" bestFit="1" customWidth="1"/>
    <col min="5641" max="5641" width="9" style="260" customWidth="1"/>
    <col min="5642" max="5888" width="9" style="260"/>
    <col min="5889" max="5889" width="2.875" style="260" customWidth="1"/>
    <col min="5890" max="5890" width="3" style="260" customWidth="1"/>
    <col min="5891" max="5891" width="12.125" style="260" customWidth="1"/>
    <col min="5892" max="5892" width="18" style="260" customWidth="1"/>
    <col min="5893" max="5893" width="8" style="260" customWidth="1"/>
    <col min="5894" max="5894" width="9.875" style="260" customWidth="1"/>
    <col min="5895" max="5895" width="7.875" style="260" bestFit="1" customWidth="1"/>
    <col min="5896" max="5896" width="13.25" style="260" bestFit="1" customWidth="1"/>
    <col min="5897" max="5897" width="9" style="260" customWidth="1"/>
    <col min="5898" max="6144" width="9" style="260"/>
    <col min="6145" max="6145" width="2.875" style="260" customWidth="1"/>
    <col min="6146" max="6146" width="3" style="260" customWidth="1"/>
    <col min="6147" max="6147" width="12.125" style="260" customWidth="1"/>
    <col min="6148" max="6148" width="18" style="260" customWidth="1"/>
    <col min="6149" max="6149" width="8" style="260" customWidth="1"/>
    <col min="6150" max="6150" width="9.875" style="260" customWidth="1"/>
    <col min="6151" max="6151" width="7.875" style="260" bestFit="1" customWidth="1"/>
    <col min="6152" max="6152" width="13.25" style="260" bestFit="1" customWidth="1"/>
    <col min="6153" max="6153" width="9" style="260" customWidth="1"/>
    <col min="6154" max="6400" width="9" style="260"/>
    <col min="6401" max="6401" width="2.875" style="260" customWidth="1"/>
    <col min="6402" max="6402" width="3" style="260" customWidth="1"/>
    <col min="6403" max="6403" width="12.125" style="260" customWidth="1"/>
    <col min="6404" max="6404" width="18" style="260" customWidth="1"/>
    <col min="6405" max="6405" width="8" style="260" customWidth="1"/>
    <col min="6406" max="6406" width="9.875" style="260" customWidth="1"/>
    <col min="6407" max="6407" width="7.875" style="260" bestFit="1" customWidth="1"/>
    <col min="6408" max="6408" width="13.25" style="260" bestFit="1" customWidth="1"/>
    <col min="6409" max="6409" width="9" style="260" customWidth="1"/>
    <col min="6410" max="6656" width="9" style="260"/>
    <col min="6657" max="6657" width="2.875" style="260" customWidth="1"/>
    <col min="6658" max="6658" width="3" style="260" customWidth="1"/>
    <col min="6659" max="6659" width="12.125" style="260" customWidth="1"/>
    <col min="6660" max="6660" width="18" style="260" customWidth="1"/>
    <col min="6661" max="6661" width="8" style="260" customWidth="1"/>
    <col min="6662" max="6662" width="9.875" style="260" customWidth="1"/>
    <col min="6663" max="6663" width="7.875" style="260" bestFit="1" customWidth="1"/>
    <col min="6664" max="6664" width="13.25" style="260" bestFit="1" customWidth="1"/>
    <col min="6665" max="6665" width="9" style="260" customWidth="1"/>
    <col min="6666" max="6912" width="9" style="260"/>
    <col min="6913" max="6913" width="2.875" style="260" customWidth="1"/>
    <col min="6914" max="6914" width="3" style="260" customWidth="1"/>
    <col min="6915" max="6915" width="12.125" style="260" customWidth="1"/>
    <col min="6916" max="6916" width="18" style="260" customWidth="1"/>
    <col min="6917" max="6917" width="8" style="260" customWidth="1"/>
    <col min="6918" max="6918" width="9.875" style="260" customWidth="1"/>
    <col min="6919" max="6919" width="7.875" style="260" bestFit="1" customWidth="1"/>
    <col min="6920" max="6920" width="13.25" style="260" bestFit="1" customWidth="1"/>
    <col min="6921" max="6921" width="9" style="260" customWidth="1"/>
    <col min="6922" max="7168" width="9" style="260"/>
    <col min="7169" max="7169" width="2.875" style="260" customWidth="1"/>
    <col min="7170" max="7170" width="3" style="260" customWidth="1"/>
    <col min="7171" max="7171" width="12.125" style="260" customWidth="1"/>
    <col min="7172" max="7172" width="18" style="260" customWidth="1"/>
    <col min="7173" max="7173" width="8" style="260" customWidth="1"/>
    <col min="7174" max="7174" width="9.875" style="260" customWidth="1"/>
    <col min="7175" max="7175" width="7.875" style="260" bestFit="1" customWidth="1"/>
    <col min="7176" max="7176" width="13.25" style="260" bestFit="1" customWidth="1"/>
    <col min="7177" max="7177" width="9" style="260" customWidth="1"/>
    <col min="7178" max="7424" width="9" style="260"/>
    <col min="7425" max="7425" width="2.875" style="260" customWidth="1"/>
    <col min="7426" max="7426" width="3" style="260" customWidth="1"/>
    <col min="7427" max="7427" width="12.125" style="260" customWidth="1"/>
    <col min="7428" max="7428" width="18" style="260" customWidth="1"/>
    <col min="7429" max="7429" width="8" style="260" customWidth="1"/>
    <col min="7430" max="7430" width="9.875" style="260" customWidth="1"/>
    <col min="7431" max="7431" width="7.875" style="260" bestFit="1" customWidth="1"/>
    <col min="7432" max="7432" width="13.25" style="260" bestFit="1" customWidth="1"/>
    <col min="7433" max="7433" width="9" style="260" customWidth="1"/>
    <col min="7434" max="7680" width="9" style="260"/>
    <col min="7681" max="7681" width="2.875" style="260" customWidth="1"/>
    <col min="7682" max="7682" width="3" style="260" customWidth="1"/>
    <col min="7683" max="7683" width="12.125" style="260" customWidth="1"/>
    <col min="7684" max="7684" width="18" style="260" customWidth="1"/>
    <col min="7685" max="7685" width="8" style="260" customWidth="1"/>
    <col min="7686" max="7686" width="9.875" style="260" customWidth="1"/>
    <col min="7687" max="7687" width="7.875" style="260" bestFit="1" customWidth="1"/>
    <col min="7688" max="7688" width="13.25" style="260" bestFit="1" customWidth="1"/>
    <col min="7689" max="7689" width="9" style="260" customWidth="1"/>
    <col min="7690" max="7936" width="9" style="260"/>
    <col min="7937" max="7937" width="2.875" style="260" customWidth="1"/>
    <col min="7938" max="7938" width="3" style="260" customWidth="1"/>
    <col min="7939" max="7939" width="12.125" style="260" customWidth="1"/>
    <col min="7940" max="7940" width="18" style="260" customWidth="1"/>
    <col min="7941" max="7941" width="8" style="260" customWidth="1"/>
    <col min="7942" max="7942" width="9.875" style="260" customWidth="1"/>
    <col min="7943" max="7943" width="7.875" style="260" bestFit="1" customWidth="1"/>
    <col min="7944" max="7944" width="13.25" style="260" bestFit="1" customWidth="1"/>
    <col min="7945" max="7945" width="9" style="260" customWidth="1"/>
    <col min="7946" max="8192" width="9" style="260"/>
    <col min="8193" max="8193" width="2.875" style="260" customWidth="1"/>
    <col min="8194" max="8194" width="3" style="260" customWidth="1"/>
    <col min="8195" max="8195" width="12.125" style="260" customWidth="1"/>
    <col min="8196" max="8196" width="18" style="260" customWidth="1"/>
    <col min="8197" max="8197" width="8" style="260" customWidth="1"/>
    <col min="8198" max="8198" width="9.875" style="260" customWidth="1"/>
    <col min="8199" max="8199" width="7.875" style="260" bestFit="1" customWidth="1"/>
    <col min="8200" max="8200" width="13.25" style="260" bestFit="1" customWidth="1"/>
    <col min="8201" max="8201" width="9" style="260" customWidth="1"/>
    <col min="8202" max="8448" width="9" style="260"/>
    <col min="8449" max="8449" width="2.875" style="260" customWidth="1"/>
    <col min="8450" max="8450" width="3" style="260" customWidth="1"/>
    <col min="8451" max="8451" width="12.125" style="260" customWidth="1"/>
    <col min="8452" max="8452" width="18" style="260" customWidth="1"/>
    <col min="8453" max="8453" width="8" style="260" customWidth="1"/>
    <col min="8454" max="8454" width="9.875" style="260" customWidth="1"/>
    <col min="8455" max="8455" width="7.875" style="260" bestFit="1" customWidth="1"/>
    <col min="8456" max="8456" width="13.25" style="260" bestFit="1" customWidth="1"/>
    <col min="8457" max="8457" width="9" style="260" customWidth="1"/>
    <col min="8458" max="8704" width="9" style="260"/>
    <col min="8705" max="8705" width="2.875" style="260" customWidth="1"/>
    <col min="8706" max="8706" width="3" style="260" customWidth="1"/>
    <col min="8707" max="8707" width="12.125" style="260" customWidth="1"/>
    <col min="8708" max="8708" width="18" style="260" customWidth="1"/>
    <col min="8709" max="8709" width="8" style="260" customWidth="1"/>
    <col min="8710" max="8710" width="9.875" style="260" customWidth="1"/>
    <col min="8711" max="8711" width="7.875" style="260" bestFit="1" customWidth="1"/>
    <col min="8712" max="8712" width="13.25" style="260" bestFit="1" customWidth="1"/>
    <col min="8713" max="8713" width="9" style="260" customWidth="1"/>
    <col min="8714" max="8960" width="9" style="260"/>
    <col min="8961" max="8961" width="2.875" style="260" customWidth="1"/>
    <col min="8962" max="8962" width="3" style="260" customWidth="1"/>
    <col min="8963" max="8963" width="12.125" style="260" customWidth="1"/>
    <col min="8964" max="8964" width="18" style="260" customWidth="1"/>
    <col min="8965" max="8965" width="8" style="260" customWidth="1"/>
    <col min="8966" max="8966" width="9.875" style="260" customWidth="1"/>
    <col min="8967" max="8967" width="7.875" style="260" bestFit="1" customWidth="1"/>
    <col min="8968" max="8968" width="13.25" style="260" bestFit="1" customWidth="1"/>
    <col min="8969" max="8969" width="9" style="260" customWidth="1"/>
    <col min="8970" max="9216" width="9" style="260"/>
    <col min="9217" max="9217" width="2.875" style="260" customWidth="1"/>
    <col min="9218" max="9218" width="3" style="260" customWidth="1"/>
    <col min="9219" max="9219" width="12.125" style="260" customWidth="1"/>
    <col min="9220" max="9220" width="18" style="260" customWidth="1"/>
    <col min="9221" max="9221" width="8" style="260" customWidth="1"/>
    <col min="9222" max="9222" width="9.875" style="260" customWidth="1"/>
    <col min="9223" max="9223" width="7.875" style="260" bestFit="1" customWidth="1"/>
    <col min="9224" max="9224" width="13.25" style="260" bestFit="1" customWidth="1"/>
    <col min="9225" max="9225" width="9" style="260" customWidth="1"/>
    <col min="9226" max="9472" width="9" style="260"/>
    <col min="9473" max="9473" width="2.875" style="260" customWidth="1"/>
    <col min="9474" max="9474" width="3" style="260" customWidth="1"/>
    <col min="9475" max="9475" width="12.125" style="260" customWidth="1"/>
    <col min="9476" max="9476" width="18" style="260" customWidth="1"/>
    <col min="9477" max="9477" width="8" style="260" customWidth="1"/>
    <col min="9478" max="9478" width="9.875" style="260" customWidth="1"/>
    <col min="9479" max="9479" width="7.875" style="260" bestFit="1" customWidth="1"/>
    <col min="9480" max="9480" width="13.25" style="260" bestFit="1" customWidth="1"/>
    <col min="9481" max="9481" width="9" style="260" customWidth="1"/>
    <col min="9482" max="9728" width="9" style="260"/>
    <col min="9729" max="9729" width="2.875" style="260" customWidth="1"/>
    <col min="9730" max="9730" width="3" style="260" customWidth="1"/>
    <col min="9731" max="9731" width="12.125" style="260" customWidth="1"/>
    <col min="9732" max="9732" width="18" style="260" customWidth="1"/>
    <col min="9733" max="9733" width="8" style="260" customWidth="1"/>
    <col min="9734" max="9734" width="9.875" style="260" customWidth="1"/>
    <col min="9735" max="9735" width="7.875" style="260" bestFit="1" customWidth="1"/>
    <col min="9736" max="9736" width="13.25" style="260" bestFit="1" customWidth="1"/>
    <col min="9737" max="9737" width="9" style="260" customWidth="1"/>
    <col min="9738" max="9984" width="9" style="260"/>
    <col min="9985" max="9985" width="2.875" style="260" customWidth="1"/>
    <col min="9986" max="9986" width="3" style="260" customWidth="1"/>
    <col min="9987" max="9987" width="12.125" style="260" customWidth="1"/>
    <col min="9988" max="9988" width="18" style="260" customWidth="1"/>
    <col min="9989" max="9989" width="8" style="260" customWidth="1"/>
    <col min="9990" max="9990" width="9.875" style="260" customWidth="1"/>
    <col min="9991" max="9991" width="7.875" style="260" bestFit="1" customWidth="1"/>
    <col min="9992" max="9992" width="13.25" style="260" bestFit="1" customWidth="1"/>
    <col min="9993" max="9993" width="9" style="260" customWidth="1"/>
    <col min="9994" max="10240" width="9" style="260"/>
    <col min="10241" max="10241" width="2.875" style="260" customWidth="1"/>
    <col min="10242" max="10242" width="3" style="260" customWidth="1"/>
    <col min="10243" max="10243" width="12.125" style="260" customWidth="1"/>
    <col min="10244" max="10244" width="18" style="260" customWidth="1"/>
    <col min="10245" max="10245" width="8" style="260" customWidth="1"/>
    <col min="10246" max="10246" width="9.875" style="260" customWidth="1"/>
    <col min="10247" max="10247" width="7.875" style="260" bestFit="1" customWidth="1"/>
    <col min="10248" max="10248" width="13.25" style="260" bestFit="1" customWidth="1"/>
    <col min="10249" max="10249" width="9" style="260" customWidth="1"/>
    <col min="10250" max="10496" width="9" style="260"/>
    <col min="10497" max="10497" width="2.875" style="260" customWidth="1"/>
    <col min="10498" max="10498" width="3" style="260" customWidth="1"/>
    <col min="10499" max="10499" width="12.125" style="260" customWidth="1"/>
    <col min="10500" max="10500" width="18" style="260" customWidth="1"/>
    <col min="10501" max="10501" width="8" style="260" customWidth="1"/>
    <col min="10502" max="10502" width="9.875" style="260" customWidth="1"/>
    <col min="10503" max="10503" width="7.875" style="260" bestFit="1" customWidth="1"/>
    <col min="10504" max="10504" width="13.25" style="260" bestFit="1" customWidth="1"/>
    <col min="10505" max="10505" width="9" style="260" customWidth="1"/>
    <col min="10506" max="10752" width="9" style="260"/>
    <col min="10753" max="10753" width="2.875" style="260" customWidth="1"/>
    <col min="10754" max="10754" width="3" style="260" customWidth="1"/>
    <col min="10755" max="10755" width="12.125" style="260" customWidth="1"/>
    <col min="10756" max="10756" width="18" style="260" customWidth="1"/>
    <col min="10757" max="10757" width="8" style="260" customWidth="1"/>
    <col min="10758" max="10758" width="9.875" style="260" customWidth="1"/>
    <col min="10759" max="10759" width="7.875" style="260" bestFit="1" customWidth="1"/>
    <col min="10760" max="10760" width="13.25" style="260" bestFit="1" customWidth="1"/>
    <col min="10761" max="10761" width="9" style="260" customWidth="1"/>
    <col min="10762" max="11008" width="9" style="260"/>
    <col min="11009" max="11009" width="2.875" style="260" customWidth="1"/>
    <col min="11010" max="11010" width="3" style="260" customWidth="1"/>
    <col min="11011" max="11011" width="12.125" style="260" customWidth="1"/>
    <col min="11012" max="11012" width="18" style="260" customWidth="1"/>
    <col min="11013" max="11013" width="8" style="260" customWidth="1"/>
    <col min="11014" max="11014" width="9.875" style="260" customWidth="1"/>
    <col min="11015" max="11015" width="7.875" style="260" bestFit="1" customWidth="1"/>
    <col min="11016" max="11016" width="13.25" style="260" bestFit="1" customWidth="1"/>
    <col min="11017" max="11017" width="9" style="260" customWidth="1"/>
    <col min="11018" max="11264" width="9" style="260"/>
    <col min="11265" max="11265" width="2.875" style="260" customWidth="1"/>
    <col min="11266" max="11266" width="3" style="260" customWidth="1"/>
    <col min="11267" max="11267" width="12.125" style="260" customWidth="1"/>
    <col min="11268" max="11268" width="18" style="260" customWidth="1"/>
    <col min="11269" max="11269" width="8" style="260" customWidth="1"/>
    <col min="11270" max="11270" width="9.875" style="260" customWidth="1"/>
    <col min="11271" max="11271" width="7.875" style="260" bestFit="1" customWidth="1"/>
    <col min="11272" max="11272" width="13.25" style="260" bestFit="1" customWidth="1"/>
    <col min="11273" max="11273" width="9" style="260" customWidth="1"/>
    <col min="11274" max="11520" width="9" style="260"/>
    <col min="11521" max="11521" width="2.875" style="260" customWidth="1"/>
    <col min="11522" max="11522" width="3" style="260" customWidth="1"/>
    <col min="11523" max="11523" width="12.125" style="260" customWidth="1"/>
    <col min="11524" max="11524" width="18" style="260" customWidth="1"/>
    <col min="11525" max="11525" width="8" style="260" customWidth="1"/>
    <col min="11526" max="11526" width="9.875" style="260" customWidth="1"/>
    <col min="11527" max="11527" width="7.875" style="260" bestFit="1" customWidth="1"/>
    <col min="11528" max="11528" width="13.25" style="260" bestFit="1" customWidth="1"/>
    <col min="11529" max="11529" width="9" style="260" customWidth="1"/>
    <col min="11530" max="11776" width="9" style="260"/>
    <col min="11777" max="11777" width="2.875" style="260" customWidth="1"/>
    <col min="11778" max="11778" width="3" style="260" customWidth="1"/>
    <col min="11779" max="11779" width="12.125" style="260" customWidth="1"/>
    <col min="11780" max="11780" width="18" style="260" customWidth="1"/>
    <col min="11781" max="11781" width="8" style="260" customWidth="1"/>
    <col min="11782" max="11782" width="9.875" style="260" customWidth="1"/>
    <col min="11783" max="11783" width="7.875" style="260" bestFit="1" customWidth="1"/>
    <col min="11784" max="11784" width="13.25" style="260" bestFit="1" customWidth="1"/>
    <col min="11785" max="11785" width="9" style="260" customWidth="1"/>
    <col min="11786" max="12032" width="9" style="260"/>
    <col min="12033" max="12033" width="2.875" style="260" customWidth="1"/>
    <col min="12034" max="12034" width="3" style="260" customWidth="1"/>
    <col min="12035" max="12035" width="12.125" style="260" customWidth="1"/>
    <col min="12036" max="12036" width="18" style="260" customWidth="1"/>
    <col min="12037" max="12037" width="8" style="260" customWidth="1"/>
    <col min="12038" max="12038" width="9.875" style="260" customWidth="1"/>
    <col min="12039" max="12039" width="7.875" style="260" bestFit="1" customWidth="1"/>
    <col min="12040" max="12040" width="13.25" style="260" bestFit="1" customWidth="1"/>
    <col min="12041" max="12041" width="9" style="260" customWidth="1"/>
    <col min="12042" max="12288" width="9" style="260"/>
    <col min="12289" max="12289" width="2.875" style="260" customWidth="1"/>
    <col min="12290" max="12290" width="3" style="260" customWidth="1"/>
    <col min="12291" max="12291" width="12.125" style="260" customWidth="1"/>
    <col min="12292" max="12292" width="18" style="260" customWidth="1"/>
    <col min="12293" max="12293" width="8" style="260" customWidth="1"/>
    <col min="12294" max="12294" width="9.875" style="260" customWidth="1"/>
    <col min="12295" max="12295" width="7.875" style="260" bestFit="1" customWidth="1"/>
    <col min="12296" max="12296" width="13.25" style="260" bestFit="1" customWidth="1"/>
    <col min="12297" max="12297" width="9" style="260" customWidth="1"/>
    <col min="12298" max="12544" width="9" style="260"/>
    <col min="12545" max="12545" width="2.875" style="260" customWidth="1"/>
    <col min="12546" max="12546" width="3" style="260" customWidth="1"/>
    <col min="12547" max="12547" width="12.125" style="260" customWidth="1"/>
    <col min="12548" max="12548" width="18" style="260" customWidth="1"/>
    <col min="12549" max="12549" width="8" style="260" customWidth="1"/>
    <col min="12550" max="12550" width="9.875" style="260" customWidth="1"/>
    <col min="12551" max="12551" width="7.875" style="260" bestFit="1" customWidth="1"/>
    <col min="12552" max="12552" width="13.25" style="260" bestFit="1" customWidth="1"/>
    <col min="12553" max="12553" width="9" style="260" customWidth="1"/>
    <col min="12554" max="12800" width="9" style="260"/>
    <col min="12801" max="12801" width="2.875" style="260" customWidth="1"/>
    <col min="12802" max="12802" width="3" style="260" customWidth="1"/>
    <col min="12803" max="12803" width="12.125" style="260" customWidth="1"/>
    <col min="12804" max="12804" width="18" style="260" customWidth="1"/>
    <col min="12805" max="12805" width="8" style="260" customWidth="1"/>
    <col min="12806" max="12806" width="9.875" style="260" customWidth="1"/>
    <col min="12807" max="12807" width="7.875" style="260" bestFit="1" customWidth="1"/>
    <col min="12808" max="12808" width="13.25" style="260" bestFit="1" customWidth="1"/>
    <col min="12809" max="12809" width="9" style="260" customWidth="1"/>
    <col min="12810" max="13056" width="9" style="260"/>
    <col min="13057" max="13057" width="2.875" style="260" customWidth="1"/>
    <col min="13058" max="13058" width="3" style="260" customWidth="1"/>
    <col min="13059" max="13059" width="12.125" style="260" customWidth="1"/>
    <col min="13060" max="13060" width="18" style="260" customWidth="1"/>
    <col min="13061" max="13061" width="8" style="260" customWidth="1"/>
    <col min="13062" max="13062" width="9.875" style="260" customWidth="1"/>
    <col min="13063" max="13063" width="7.875" style="260" bestFit="1" customWidth="1"/>
    <col min="13064" max="13064" width="13.25" style="260" bestFit="1" customWidth="1"/>
    <col min="13065" max="13065" width="9" style="260" customWidth="1"/>
    <col min="13066" max="13312" width="9" style="260"/>
    <col min="13313" max="13313" width="2.875" style="260" customWidth="1"/>
    <col min="13314" max="13314" width="3" style="260" customWidth="1"/>
    <col min="13315" max="13315" width="12.125" style="260" customWidth="1"/>
    <col min="13316" max="13316" width="18" style="260" customWidth="1"/>
    <col min="13317" max="13317" width="8" style="260" customWidth="1"/>
    <col min="13318" max="13318" width="9.875" style="260" customWidth="1"/>
    <col min="13319" max="13319" width="7.875" style="260" bestFit="1" customWidth="1"/>
    <col min="13320" max="13320" width="13.25" style="260" bestFit="1" customWidth="1"/>
    <col min="13321" max="13321" width="9" style="260" customWidth="1"/>
    <col min="13322" max="13568" width="9" style="260"/>
    <col min="13569" max="13569" width="2.875" style="260" customWidth="1"/>
    <col min="13570" max="13570" width="3" style="260" customWidth="1"/>
    <col min="13571" max="13571" width="12.125" style="260" customWidth="1"/>
    <col min="13572" max="13572" width="18" style="260" customWidth="1"/>
    <col min="13573" max="13573" width="8" style="260" customWidth="1"/>
    <col min="13574" max="13574" width="9.875" style="260" customWidth="1"/>
    <col min="13575" max="13575" width="7.875" style="260" bestFit="1" customWidth="1"/>
    <col min="13576" max="13576" width="13.25" style="260" bestFit="1" customWidth="1"/>
    <col min="13577" max="13577" width="9" style="260" customWidth="1"/>
    <col min="13578" max="13824" width="9" style="260"/>
    <col min="13825" max="13825" width="2.875" style="260" customWidth="1"/>
    <col min="13826" max="13826" width="3" style="260" customWidth="1"/>
    <col min="13827" max="13827" width="12.125" style="260" customWidth="1"/>
    <col min="13828" max="13828" width="18" style="260" customWidth="1"/>
    <col min="13829" max="13829" width="8" style="260" customWidth="1"/>
    <col min="13830" max="13830" width="9.875" style="260" customWidth="1"/>
    <col min="13831" max="13831" width="7.875" style="260" bestFit="1" customWidth="1"/>
    <col min="13832" max="13832" width="13.25" style="260" bestFit="1" customWidth="1"/>
    <col min="13833" max="13833" width="9" style="260" customWidth="1"/>
    <col min="13834" max="14080" width="9" style="260"/>
    <col min="14081" max="14081" width="2.875" style="260" customWidth="1"/>
    <col min="14082" max="14082" width="3" style="260" customWidth="1"/>
    <col min="14083" max="14083" width="12.125" style="260" customWidth="1"/>
    <col min="14084" max="14084" width="18" style="260" customWidth="1"/>
    <col min="14085" max="14085" width="8" style="260" customWidth="1"/>
    <col min="14086" max="14086" width="9.875" style="260" customWidth="1"/>
    <col min="14087" max="14087" width="7.875" style="260" bestFit="1" customWidth="1"/>
    <col min="14088" max="14088" width="13.25" style="260" bestFit="1" customWidth="1"/>
    <col min="14089" max="14089" width="9" style="260" customWidth="1"/>
    <col min="14090" max="14336" width="9" style="260"/>
    <col min="14337" max="14337" width="2.875" style="260" customWidth="1"/>
    <col min="14338" max="14338" width="3" style="260" customWidth="1"/>
    <col min="14339" max="14339" width="12.125" style="260" customWidth="1"/>
    <col min="14340" max="14340" width="18" style="260" customWidth="1"/>
    <col min="14341" max="14341" width="8" style="260" customWidth="1"/>
    <col min="14342" max="14342" width="9.875" style="260" customWidth="1"/>
    <col min="14343" max="14343" width="7.875" style="260" bestFit="1" customWidth="1"/>
    <col min="14344" max="14344" width="13.25" style="260" bestFit="1" customWidth="1"/>
    <col min="14345" max="14345" width="9" style="260" customWidth="1"/>
    <col min="14346" max="14592" width="9" style="260"/>
    <col min="14593" max="14593" width="2.875" style="260" customWidth="1"/>
    <col min="14594" max="14594" width="3" style="260" customWidth="1"/>
    <col min="14595" max="14595" width="12.125" style="260" customWidth="1"/>
    <col min="14596" max="14596" width="18" style="260" customWidth="1"/>
    <col min="14597" max="14597" width="8" style="260" customWidth="1"/>
    <col min="14598" max="14598" width="9.875" style="260" customWidth="1"/>
    <col min="14599" max="14599" width="7.875" style="260" bestFit="1" customWidth="1"/>
    <col min="14600" max="14600" width="13.25" style="260" bestFit="1" customWidth="1"/>
    <col min="14601" max="14601" width="9" style="260" customWidth="1"/>
    <col min="14602" max="14848" width="9" style="260"/>
    <col min="14849" max="14849" width="2.875" style="260" customWidth="1"/>
    <col min="14850" max="14850" width="3" style="260" customWidth="1"/>
    <col min="14851" max="14851" width="12.125" style="260" customWidth="1"/>
    <col min="14852" max="14852" width="18" style="260" customWidth="1"/>
    <col min="14853" max="14853" width="8" style="260" customWidth="1"/>
    <col min="14854" max="14854" width="9.875" style="260" customWidth="1"/>
    <col min="14855" max="14855" width="7.875" style="260" bestFit="1" customWidth="1"/>
    <col min="14856" max="14856" width="13.25" style="260" bestFit="1" customWidth="1"/>
    <col min="14857" max="14857" width="9" style="260" customWidth="1"/>
    <col min="14858" max="15104" width="9" style="260"/>
    <col min="15105" max="15105" width="2.875" style="260" customWidth="1"/>
    <col min="15106" max="15106" width="3" style="260" customWidth="1"/>
    <col min="15107" max="15107" width="12.125" style="260" customWidth="1"/>
    <col min="15108" max="15108" width="18" style="260" customWidth="1"/>
    <col min="15109" max="15109" width="8" style="260" customWidth="1"/>
    <col min="15110" max="15110" width="9.875" style="260" customWidth="1"/>
    <col min="15111" max="15111" width="7.875" style="260" bestFit="1" customWidth="1"/>
    <col min="15112" max="15112" width="13.25" style="260" bestFit="1" customWidth="1"/>
    <col min="15113" max="15113" width="9" style="260" customWidth="1"/>
    <col min="15114" max="15360" width="9" style="260"/>
    <col min="15361" max="15361" width="2.875" style="260" customWidth="1"/>
    <col min="15362" max="15362" width="3" style="260" customWidth="1"/>
    <col min="15363" max="15363" width="12.125" style="260" customWidth="1"/>
    <col min="15364" max="15364" width="18" style="260" customWidth="1"/>
    <col min="15365" max="15365" width="8" style="260" customWidth="1"/>
    <col min="15366" max="15366" width="9.875" style="260" customWidth="1"/>
    <col min="15367" max="15367" width="7.875" style="260" bestFit="1" customWidth="1"/>
    <col min="15368" max="15368" width="13.25" style="260" bestFit="1" customWidth="1"/>
    <col min="15369" max="15369" width="9" style="260" customWidth="1"/>
    <col min="15370" max="15616" width="9" style="260"/>
    <col min="15617" max="15617" width="2.875" style="260" customWidth="1"/>
    <col min="15618" max="15618" width="3" style="260" customWidth="1"/>
    <col min="15619" max="15619" width="12.125" style="260" customWidth="1"/>
    <col min="15620" max="15620" width="18" style="260" customWidth="1"/>
    <col min="15621" max="15621" width="8" style="260" customWidth="1"/>
    <col min="15622" max="15622" width="9.875" style="260" customWidth="1"/>
    <col min="15623" max="15623" width="7.875" style="260" bestFit="1" customWidth="1"/>
    <col min="15624" max="15624" width="13.25" style="260" bestFit="1" customWidth="1"/>
    <col min="15625" max="15625" width="9" style="260" customWidth="1"/>
    <col min="15626" max="15872" width="9" style="260"/>
    <col min="15873" max="15873" width="2.875" style="260" customWidth="1"/>
    <col min="15874" max="15874" width="3" style="260" customWidth="1"/>
    <col min="15875" max="15875" width="12.125" style="260" customWidth="1"/>
    <col min="15876" max="15876" width="18" style="260" customWidth="1"/>
    <col min="15877" max="15877" width="8" style="260" customWidth="1"/>
    <col min="15878" max="15878" width="9.875" style="260" customWidth="1"/>
    <col min="15879" max="15879" width="7.875" style="260" bestFit="1" customWidth="1"/>
    <col min="15880" max="15880" width="13.25" style="260" bestFit="1" customWidth="1"/>
    <col min="15881" max="15881" width="9" style="260" customWidth="1"/>
    <col min="15882" max="16128" width="9" style="260"/>
    <col min="16129" max="16129" width="2.875" style="260" customWidth="1"/>
    <col min="16130" max="16130" width="3" style="260" customWidth="1"/>
    <col min="16131" max="16131" width="12.125" style="260" customWidth="1"/>
    <col min="16132" max="16132" width="18" style="260" customWidth="1"/>
    <col min="16133" max="16133" width="8" style="260" customWidth="1"/>
    <col min="16134" max="16134" width="9.875" style="260" customWidth="1"/>
    <col min="16135" max="16135" width="7.875" style="260" bestFit="1" customWidth="1"/>
    <col min="16136" max="16136" width="13.25" style="260" bestFit="1" customWidth="1"/>
    <col min="16137" max="16137" width="9" style="260" customWidth="1"/>
    <col min="16138" max="16384" width="9" style="260"/>
  </cols>
  <sheetData>
    <row r="1" spans="1:15" ht="14.25">
      <c r="A1" s="1676" t="s">
        <v>797</v>
      </c>
      <c r="B1" s="1676"/>
      <c r="C1" s="1676"/>
      <c r="D1" s="262"/>
      <c r="E1" s="262"/>
      <c r="F1" s="443"/>
      <c r="G1" s="443"/>
      <c r="H1" s="443"/>
      <c r="I1" s="443"/>
      <c r="J1" s="1677" t="str">
        <f>CONCATENATE('入力（基本)'!G11)</f>
        <v/>
      </c>
      <c r="K1" s="1677"/>
      <c r="L1" s="1677"/>
    </row>
    <row r="2" spans="1:15" s="294" customFormat="1" ht="23.25" customHeight="1">
      <c r="A2" s="1678" t="str">
        <f>"【試算用】加算算定対象人数等認定申請書（処遇改善等加算Ⅲ）(保育所)"</f>
        <v>【試算用】加算算定対象人数等認定申請書（処遇改善等加算Ⅲ）(保育所)</v>
      </c>
      <c r="B2" s="1678"/>
      <c r="C2" s="1678"/>
      <c r="D2" s="1678"/>
      <c r="E2" s="1678"/>
      <c r="F2" s="1678"/>
      <c r="G2" s="1678"/>
      <c r="H2" s="1678"/>
      <c r="I2" s="1678"/>
      <c r="J2" s="1678"/>
      <c r="K2" s="1678"/>
      <c r="L2" s="1678"/>
      <c r="O2" s="293" t="s">
        <v>182</v>
      </c>
    </row>
    <row r="3" spans="1:15" ht="19.5" customHeight="1">
      <c r="A3" s="262"/>
      <c r="B3" s="262"/>
      <c r="C3" s="262"/>
      <c r="D3" s="262"/>
      <c r="E3" s="265"/>
      <c r="F3" s="265"/>
      <c r="G3" s="265"/>
      <c r="H3" s="265"/>
      <c r="I3" s="443"/>
      <c r="J3" s="262"/>
      <c r="K3" s="262"/>
      <c r="L3" s="262"/>
      <c r="O3" s="261"/>
    </row>
    <row r="4" spans="1:15" ht="19.5" customHeight="1" thickBot="1">
      <c r="A4" s="444" t="s">
        <v>591</v>
      </c>
      <c r="B4" s="262"/>
      <c r="C4" s="262"/>
      <c r="D4" s="262"/>
      <c r="E4" s="265"/>
      <c r="F4" s="265"/>
      <c r="G4" s="265"/>
      <c r="H4" s="265"/>
      <c r="I4" s="1666" t="s">
        <v>786</v>
      </c>
      <c r="J4" s="1668"/>
      <c r="K4" s="1669"/>
      <c r="L4" s="1670"/>
      <c r="O4" s="261" t="s">
        <v>587</v>
      </c>
    </row>
    <row r="5" spans="1:15" ht="19.5" customHeight="1" thickBot="1">
      <c r="A5" s="445"/>
      <c r="B5" s="1699"/>
      <c r="C5" s="1700"/>
      <c r="D5" s="1700"/>
      <c r="E5" s="1700"/>
      <c r="F5" s="446" t="s">
        <v>112</v>
      </c>
      <c r="G5" s="447" t="s">
        <v>113</v>
      </c>
      <c r="H5" s="265"/>
      <c r="I5" s="1667"/>
      <c r="J5" s="1671"/>
      <c r="K5" s="1672"/>
      <c r="L5" s="1673"/>
      <c r="O5" s="261" t="s">
        <v>589</v>
      </c>
    </row>
    <row r="6" spans="1:15" ht="19.5" customHeight="1" thickBot="1">
      <c r="A6" s="445"/>
      <c r="B6" s="1661" t="s">
        <v>628</v>
      </c>
      <c r="C6" s="1662"/>
      <c r="D6" s="1662"/>
      <c r="E6" s="1663"/>
      <c r="F6" s="1664" t="str">
        <f>IF(G7&gt;0,"あり","なし")</f>
        <v>なし</v>
      </c>
      <c r="G6" s="1665"/>
      <c r="H6" s="265"/>
      <c r="I6" s="989"/>
      <c r="J6" s="989"/>
      <c r="K6" s="989"/>
      <c r="L6" s="989"/>
    </row>
    <row r="7" spans="1:15" ht="19.5" customHeight="1" thickBot="1">
      <c r="A7" s="444"/>
      <c r="B7" s="1661" t="s">
        <v>593</v>
      </c>
      <c r="C7" s="1662"/>
      <c r="D7" s="1662"/>
      <c r="E7" s="1662"/>
      <c r="F7" s="1370">
        <f>SUM('入力（加算）保'!D7:E8)</f>
        <v>0</v>
      </c>
      <c r="G7" s="1370">
        <f>SUM('入力（加算）保'!D10:E11)</f>
        <v>0</v>
      </c>
      <c r="H7" s="265"/>
      <c r="I7" s="989"/>
      <c r="J7" s="989"/>
      <c r="K7" s="989"/>
      <c r="L7" s="989"/>
    </row>
    <row r="8" spans="1:15" ht="19.5" customHeight="1" thickBot="1">
      <c r="A8" s="444"/>
      <c r="B8" s="1680" t="s">
        <v>629</v>
      </c>
      <c r="C8" s="1681"/>
      <c r="D8" s="1681"/>
      <c r="E8" s="1682"/>
      <c r="F8" s="448">
        <f>F9+F10+F11+F12</f>
        <v>0</v>
      </c>
      <c r="G8" s="449">
        <f>G9+G10+G11+G12</f>
        <v>0</v>
      </c>
      <c r="H8" s="265"/>
      <c r="I8" s="265"/>
      <c r="J8" s="443"/>
      <c r="K8" s="262"/>
      <c r="L8" s="262"/>
    </row>
    <row r="9" spans="1:15" ht="19.5" customHeight="1">
      <c r="A9" s="444"/>
      <c r="B9" s="450"/>
      <c r="C9" s="1683" t="s">
        <v>595</v>
      </c>
      <c r="D9" s="1684"/>
      <c r="E9" s="451"/>
      <c r="F9" s="452">
        <f>'入力（児童数-本園)'!AB3</f>
        <v>0</v>
      </c>
      <c r="G9" s="453">
        <f>'入力（児童数-分園)'!Z3</f>
        <v>0</v>
      </c>
      <c r="H9" s="1685" t="str">
        <f>IF(OR(F8&gt;F7*1.2,G8&gt;G7*1.2),"←警告：定員の120％を超過しています。","")</f>
        <v/>
      </c>
      <c r="I9" s="1686"/>
      <c r="J9" s="1686"/>
      <c r="K9" s="1686"/>
      <c r="L9" s="1686"/>
    </row>
    <row r="10" spans="1:15" ht="19.5" customHeight="1">
      <c r="A10" s="444"/>
      <c r="B10" s="450"/>
      <c r="C10" s="1683" t="s">
        <v>630</v>
      </c>
      <c r="D10" s="1684"/>
      <c r="E10" s="451"/>
      <c r="F10" s="454">
        <f>'入力（児童数-本園)'!AB4</f>
        <v>0</v>
      </c>
      <c r="G10" s="455">
        <f>'入力（児童数-分園)'!Z4</f>
        <v>0</v>
      </c>
      <c r="H10" s="1685"/>
      <c r="I10" s="1686"/>
      <c r="J10" s="1686"/>
      <c r="K10" s="1686"/>
      <c r="L10" s="1686"/>
    </row>
    <row r="11" spans="1:15" ht="19.5" customHeight="1">
      <c r="A11" s="444"/>
      <c r="B11" s="450"/>
      <c r="C11" s="1684" t="s">
        <v>631</v>
      </c>
      <c r="D11" s="1687"/>
      <c r="E11" s="451"/>
      <c r="F11" s="454">
        <f>'入力（児童数-本園)'!AB6</f>
        <v>0</v>
      </c>
      <c r="G11" s="455">
        <f>'入力（児童数-分園)'!Z5</f>
        <v>0</v>
      </c>
      <c r="H11" s="1685"/>
      <c r="I11" s="1686"/>
      <c r="J11" s="1686"/>
      <c r="K11" s="1686"/>
      <c r="L11" s="1686"/>
    </row>
    <row r="12" spans="1:15" ht="19.5" customHeight="1" thickBot="1">
      <c r="A12" s="262"/>
      <c r="B12" s="456"/>
      <c r="C12" s="1688" t="s">
        <v>632</v>
      </c>
      <c r="D12" s="1689"/>
      <c r="E12" s="457"/>
      <c r="F12" s="458">
        <f>'入力（児童数-本園)'!AB7</f>
        <v>0</v>
      </c>
      <c r="G12" s="459">
        <f>'入力（児童数-分園)'!Z6</f>
        <v>0</v>
      </c>
      <c r="H12" s="1685"/>
      <c r="I12" s="1686"/>
      <c r="J12" s="1686"/>
      <c r="K12" s="1686"/>
      <c r="L12" s="1686"/>
    </row>
    <row r="13" spans="1:15" ht="19.5" customHeight="1">
      <c r="A13" s="262"/>
      <c r="B13" s="460" t="s">
        <v>598</v>
      </c>
      <c r="C13" s="1690" t="s">
        <v>633</v>
      </c>
      <c r="D13" s="1690"/>
      <c r="E13" s="1690"/>
      <c r="F13" s="1690"/>
      <c r="G13" s="1690"/>
      <c r="H13" s="1690"/>
      <c r="I13" s="1690"/>
      <c r="J13" s="1690"/>
      <c r="K13" s="1690"/>
      <c r="L13" s="1690"/>
    </row>
    <row r="14" spans="1:15" ht="19.5" customHeight="1">
      <c r="A14" s="262"/>
      <c r="B14" s="460"/>
      <c r="C14" s="1690"/>
      <c r="D14" s="1690"/>
      <c r="E14" s="1690"/>
      <c r="F14" s="1690"/>
      <c r="G14" s="1690"/>
      <c r="H14" s="1690"/>
      <c r="I14" s="1690"/>
      <c r="J14" s="1690"/>
      <c r="K14" s="1690"/>
      <c r="L14" s="1690"/>
    </row>
    <row r="15" spans="1:15" ht="22.5" customHeight="1">
      <c r="A15" s="262"/>
      <c r="B15" s="1645"/>
      <c r="C15" s="1645"/>
      <c r="D15" s="1645"/>
      <c r="E15" s="1645"/>
      <c r="F15" s="1645"/>
      <c r="G15" s="1645"/>
      <c r="H15" s="1645"/>
      <c r="I15" s="460"/>
      <c r="J15" s="461"/>
      <c r="K15" s="462" t="s">
        <v>789</v>
      </c>
      <c r="L15" s="463">
        <v>12</v>
      </c>
    </row>
    <row r="16" spans="1:15" ht="19.5" customHeight="1">
      <c r="A16" s="262"/>
      <c r="B16" s="460"/>
      <c r="C16" s="461"/>
      <c r="D16" s="461"/>
      <c r="E16" s="461"/>
      <c r="F16" s="461"/>
      <c r="G16" s="461"/>
      <c r="H16" s="461"/>
      <c r="I16" s="461"/>
      <c r="J16" s="461"/>
      <c r="K16" s="461"/>
      <c r="L16" s="461"/>
    </row>
    <row r="17" spans="1:12" ht="19.5" customHeight="1" thickBot="1">
      <c r="A17" s="444" t="s">
        <v>599</v>
      </c>
      <c r="B17" s="262"/>
      <c r="C17" s="262"/>
      <c r="D17" s="262"/>
      <c r="E17" s="262"/>
      <c r="F17" s="443"/>
      <c r="G17" s="443"/>
      <c r="H17" s="443"/>
      <c r="I17" s="443"/>
      <c r="J17" s="262"/>
      <c r="K17" s="262"/>
      <c r="L17" s="262"/>
    </row>
    <row r="18" spans="1:12" ht="19.5" customHeight="1" thickBot="1">
      <c r="A18" s="444"/>
      <c r="B18" s="262"/>
      <c r="C18" s="262"/>
      <c r="D18" s="262"/>
      <c r="E18" s="1691" t="s">
        <v>634</v>
      </c>
      <c r="F18" s="1692"/>
      <c r="G18" s="1692"/>
      <c r="H18" s="1693"/>
      <c r="I18" s="1694" t="s">
        <v>635</v>
      </c>
      <c r="J18" s="1695"/>
      <c r="K18" s="1695"/>
      <c r="L18" s="1696"/>
    </row>
    <row r="19" spans="1:12" ht="24">
      <c r="A19" s="262"/>
      <c r="B19" s="464"/>
      <c r="C19" s="465"/>
      <c r="D19" s="465"/>
      <c r="E19" s="466" t="s">
        <v>600</v>
      </c>
      <c r="F19" s="1001" t="s">
        <v>926</v>
      </c>
      <c r="G19" s="1697" t="s">
        <v>602</v>
      </c>
      <c r="H19" s="1698"/>
      <c r="I19" s="467" t="s">
        <v>600</v>
      </c>
      <c r="J19" s="1001" t="s">
        <v>926</v>
      </c>
      <c r="K19" s="1674" t="s">
        <v>602</v>
      </c>
      <c r="L19" s="1675"/>
    </row>
    <row r="20" spans="1:12" ht="19.5" customHeight="1">
      <c r="A20" s="273"/>
      <c r="B20" s="580" t="s">
        <v>603</v>
      </c>
      <c r="C20" s="1679" t="s">
        <v>636</v>
      </c>
      <c r="D20" s="1679"/>
      <c r="E20" s="468"/>
      <c r="F20" s="1002"/>
      <c r="G20" s="997"/>
      <c r="H20" s="469"/>
      <c r="I20" s="464"/>
      <c r="J20" s="1002"/>
      <c r="K20" s="997"/>
      <c r="L20" s="469"/>
    </row>
    <row r="21" spans="1:12" ht="33" customHeight="1">
      <c r="A21" s="273"/>
      <c r="B21" s="581"/>
      <c r="C21" s="471" t="s">
        <v>637</v>
      </c>
      <c r="D21" s="472"/>
      <c r="E21" s="473"/>
      <c r="F21" s="1003">
        <f>F9</f>
        <v>0</v>
      </c>
      <c r="G21" s="998">
        <f>F21*1/30</f>
        <v>0</v>
      </c>
      <c r="H21" s="474">
        <f>ROUNDDOWN(G21,1)</f>
        <v>0</v>
      </c>
      <c r="I21" s="471"/>
      <c r="J21" s="1003">
        <f>G9</f>
        <v>0</v>
      </c>
      <c r="K21" s="998">
        <f>IF(F6="あり",J21*1/30,0)</f>
        <v>0</v>
      </c>
      <c r="L21" s="474">
        <f>ROUNDDOWN(K21,1)</f>
        <v>0</v>
      </c>
    </row>
    <row r="22" spans="1:12" ht="19.5" customHeight="1">
      <c r="A22" s="273"/>
      <c r="B22" s="581"/>
      <c r="C22" s="475" t="s">
        <v>638</v>
      </c>
      <c r="D22" s="476"/>
      <c r="E22" s="477"/>
      <c r="F22" s="1004">
        <f>F10</f>
        <v>0</v>
      </c>
      <c r="G22" s="999">
        <f>IF(E23="あり",F22/15,F22/20)</f>
        <v>0</v>
      </c>
      <c r="H22" s="479">
        <f>ROUNDDOWN(G22,1)</f>
        <v>0</v>
      </c>
      <c r="I22" s="262"/>
      <c r="J22" s="1004">
        <f>G10</f>
        <v>0</v>
      </c>
      <c r="K22" s="999">
        <f>IF(F6="あり",IF(I23="あり",J22/15,J22/20),0)</f>
        <v>0</v>
      </c>
      <c r="L22" s="479">
        <f>ROUNDDOWN(K22,1)</f>
        <v>0</v>
      </c>
    </row>
    <row r="23" spans="1:12" ht="19.5" customHeight="1">
      <c r="A23" s="273"/>
      <c r="B23" s="581"/>
      <c r="C23" s="475" t="s">
        <v>639</v>
      </c>
      <c r="D23" s="476"/>
      <c r="E23" s="647" t="str">
        <f>CONCATENATE('入力（加算）保'!E19)</f>
        <v/>
      </c>
      <c r="F23" s="1005"/>
      <c r="G23" s="999"/>
      <c r="H23" s="479"/>
      <c r="I23" s="603" t="str">
        <f>E23</f>
        <v/>
      </c>
      <c r="J23" s="1005"/>
      <c r="K23" s="999"/>
      <c r="L23" s="479"/>
    </row>
    <row r="24" spans="1:12" ht="19.5" customHeight="1">
      <c r="A24" s="273"/>
      <c r="B24" s="581"/>
      <c r="C24" s="475" t="s">
        <v>631</v>
      </c>
      <c r="D24" s="476"/>
      <c r="E24" s="994"/>
      <c r="F24" s="1004">
        <f>F11</f>
        <v>0</v>
      </c>
      <c r="G24" s="999">
        <f>F24*1/6</f>
        <v>0</v>
      </c>
      <c r="H24" s="479">
        <f>ROUNDDOWN(G24,1)</f>
        <v>0</v>
      </c>
      <c r="I24" s="475"/>
      <c r="J24" s="1004">
        <f>G11</f>
        <v>0</v>
      </c>
      <c r="K24" s="999">
        <f>IF(F6="あり",J24*1/6,0)</f>
        <v>0</v>
      </c>
      <c r="L24" s="479">
        <f>ROUNDDOWN(K24,1)</f>
        <v>0</v>
      </c>
    </row>
    <row r="25" spans="1:12" ht="19.5" customHeight="1" thickBot="1">
      <c r="A25" s="273"/>
      <c r="B25" s="581"/>
      <c r="C25" s="480" t="s">
        <v>632</v>
      </c>
      <c r="D25" s="481"/>
      <c r="E25" s="995"/>
      <c r="F25" s="1006">
        <f>F12</f>
        <v>0</v>
      </c>
      <c r="G25" s="1000">
        <f>F25*1/3</f>
        <v>0</v>
      </c>
      <c r="H25" s="483">
        <f>ROUNDDOWN(G25,1)</f>
        <v>0</v>
      </c>
      <c r="I25" s="480"/>
      <c r="J25" s="1006">
        <f>G12</f>
        <v>0</v>
      </c>
      <c r="K25" s="1000">
        <f>IF(F6="あり",J25*1/3,0)</f>
        <v>0</v>
      </c>
      <c r="L25" s="483">
        <f>ROUNDDOWN(K25,1)</f>
        <v>0</v>
      </c>
    </row>
    <row r="26" spans="1:12" ht="19.5" customHeight="1" thickTop="1">
      <c r="A26" s="273"/>
      <c r="B26" s="582"/>
      <c r="C26" s="456" t="s">
        <v>1370</v>
      </c>
      <c r="D26" s="484"/>
      <c r="E26" s="1646">
        <f>ROUND(SUM(H21:H25),0)*1.3</f>
        <v>0</v>
      </c>
      <c r="F26" s="1647"/>
      <c r="G26" s="1647"/>
      <c r="H26" s="1648"/>
      <c r="I26" s="1646">
        <f>ROUND(SUM(L21:L25),0)*1.3</f>
        <v>0</v>
      </c>
      <c r="J26" s="1647"/>
      <c r="K26" s="1647"/>
      <c r="L26" s="1648"/>
    </row>
    <row r="27" spans="1:12" ht="19.5" customHeight="1">
      <c r="A27" s="273"/>
      <c r="B27" s="583" t="s">
        <v>640</v>
      </c>
      <c r="C27" s="1636" t="s">
        <v>641</v>
      </c>
      <c r="D27" s="1636"/>
      <c r="E27" s="648" t="str">
        <f>IF(SUM('入力（児童数-本園)'!Y3:Y6)&gt;0,"あり","なし")</f>
        <v>なし</v>
      </c>
      <c r="F27" s="1009"/>
      <c r="G27" s="1007"/>
      <c r="H27" s="488">
        <f>IF(E27="あり",1.7,0)</f>
        <v>0</v>
      </c>
      <c r="I27" s="648" t="str">
        <f>IF(SUM('入力（児童数-分園)'!W3:W6)&gt;0,"あり","なし")</f>
        <v>なし</v>
      </c>
      <c r="J27" s="1012"/>
      <c r="K27" s="1007"/>
      <c r="L27" s="488">
        <f>IF(F6="あり",IF(I27="あり",1.7,0),0)</f>
        <v>0</v>
      </c>
    </row>
    <row r="28" spans="1:12" ht="19.5" customHeight="1">
      <c r="A28" s="273"/>
      <c r="B28" s="583" t="s">
        <v>642</v>
      </c>
      <c r="C28" s="1397" t="s">
        <v>643</v>
      </c>
      <c r="D28" s="490"/>
      <c r="E28" s="648" t="str">
        <f>CONCATENATE('入力（加算）保'!M19)</f>
        <v/>
      </c>
      <c r="F28" s="1009"/>
      <c r="G28" s="1007"/>
      <c r="H28" s="488">
        <f>IF(E28="あり",1.2,0)</f>
        <v>0</v>
      </c>
      <c r="I28" s="1637" t="s">
        <v>644</v>
      </c>
      <c r="J28" s="1638"/>
      <c r="K28" s="1007"/>
      <c r="L28" s="488"/>
    </row>
    <row r="29" spans="1:12" ht="19.5" customHeight="1">
      <c r="A29" s="273"/>
      <c r="B29" s="583" t="s">
        <v>645</v>
      </c>
      <c r="C29" s="1397" t="s">
        <v>1301</v>
      </c>
      <c r="D29" s="490"/>
      <c r="E29" s="648" t="str">
        <f>IF(AND('入力（加算）保'!N19&lt;&gt;"",'入力（加算）保'!N19&lt;&gt;"なし"),"あり","なし")</f>
        <v>なし</v>
      </c>
      <c r="F29" s="1009"/>
      <c r="G29" s="1007"/>
      <c r="H29" s="488">
        <f>IF(E29="あり",IF('入力（加算）保'!N19="特児",0.4,0.3),0)</f>
        <v>0</v>
      </c>
      <c r="I29" s="1639"/>
      <c r="J29" s="1640"/>
      <c r="K29" s="1007"/>
      <c r="L29" s="488"/>
    </row>
    <row r="30" spans="1:12" ht="19.5" customHeight="1">
      <c r="A30" s="273"/>
      <c r="B30" s="583" t="s">
        <v>646</v>
      </c>
      <c r="C30" s="1397" t="s">
        <v>1302</v>
      </c>
      <c r="D30" s="490"/>
      <c r="E30" s="648" t="str">
        <f>CONCATENATE('入力（加算）保'!O19)</f>
        <v/>
      </c>
      <c r="F30" s="1009"/>
      <c r="G30" s="1007"/>
      <c r="H30" s="488">
        <f>IF(E30="あり",0.4,0)</f>
        <v>0</v>
      </c>
      <c r="I30" s="1639"/>
      <c r="J30" s="1640"/>
      <c r="K30" s="1007"/>
      <c r="L30" s="488"/>
    </row>
    <row r="31" spans="1:12" ht="19.5" customHeight="1">
      <c r="A31" s="273"/>
      <c r="B31" s="583" t="s">
        <v>648</v>
      </c>
      <c r="C31" s="489" t="s">
        <v>1303</v>
      </c>
      <c r="D31" s="490"/>
      <c r="E31" s="648" t="str">
        <f>IF(AND('入力（加算）保'!F19&gt;0,ISNUMBER('入力（加算）保'!F19)),"あり","なし")</f>
        <v>なし</v>
      </c>
      <c r="F31" s="1009"/>
      <c r="G31" s="1007"/>
      <c r="H31" s="1369" cm="1">
        <f t="array" ref="H31">IF(E31="あり",INDEX({0.5,0.5,0.6,0.7,0.8,0.8,0.9,1,1.1,1.1,1.2,1.3,1.4,1.5},MATCH('入力（加算）保'!F19,{1,211,280,350,420,490,560,630,700,770,840,910,980,1050},1)),0)</f>
        <v>0</v>
      </c>
      <c r="I31" s="1641"/>
      <c r="J31" s="1642"/>
      <c r="K31" s="1007"/>
      <c r="L31" s="488"/>
    </row>
    <row r="32" spans="1:12" ht="19.5" customHeight="1">
      <c r="A32" s="1400"/>
      <c r="B32" s="1401" t="s">
        <v>1304</v>
      </c>
      <c r="C32" s="1399" t="s">
        <v>94</v>
      </c>
      <c r="D32" s="490"/>
      <c r="E32" s="1443"/>
      <c r="F32" s="1010"/>
      <c r="G32" s="1007"/>
      <c r="H32" s="1369">
        <f>IF(E32="あり",2.7,0)</f>
        <v>0</v>
      </c>
      <c r="I32" s="1402"/>
      <c r="J32" s="1403"/>
      <c r="K32" s="1007"/>
      <c r="L32" s="488"/>
    </row>
    <row r="33" spans="1:15" ht="19.5" customHeight="1">
      <c r="A33" s="1400"/>
      <c r="B33" s="1401" t="s">
        <v>1305</v>
      </c>
      <c r="C33" s="1399" t="s">
        <v>1309</v>
      </c>
      <c r="D33" s="490"/>
      <c r="E33" s="648" t="str">
        <f>IF(AND('入力（加算）保'!H19&lt;&gt;"",'入力（加算）保'!H19&lt;&gt;"なし"),"あり","なし")</f>
        <v>なし</v>
      </c>
      <c r="F33" s="1010">
        <f>'入力（加算）保'!H19</f>
        <v>0</v>
      </c>
      <c r="G33" s="1007"/>
      <c r="H33" s="1369">
        <f>IF(E33="あり",F33*1.3,0)</f>
        <v>0</v>
      </c>
      <c r="I33" s="1402"/>
      <c r="J33" s="1403"/>
      <c r="K33" s="1007"/>
      <c r="L33" s="488"/>
    </row>
    <row r="34" spans="1:15" ht="19.5" customHeight="1">
      <c r="A34" s="1400"/>
      <c r="B34" s="1401" t="s">
        <v>1306</v>
      </c>
      <c r="C34" s="1399" t="s">
        <v>1310</v>
      </c>
      <c r="D34" s="490"/>
      <c r="E34" s="648" t="str">
        <f>IF('入力（加算）保'!P19="配置","あり","なし")</f>
        <v>なし</v>
      </c>
      <c r="F34" s="1010"/>
      <c r="G34" s="1007"/>
      <c r="H34" s="1369">
        <f>IF(E34="あり",0.6,0)</f>
        <v>0</v>
      </c>
      <c r="I34" s="1402"/>
      <c r="J34" s="1403"/>
      <c r="K34" s="1007"/>
      <c r="L34" s="488"/>
    </row>
    <row r="35" spans="1:15" ht="19.5" customHeight="1">
      <c r="A35" s="1400"/>
      <c r="B35" s="1401" t="s">
        <v>1307</v>
      </c>
      <c r="C35" s="1399" t="s">
        <v>1312</v>
      </c>
      <c r="D35" s="490"/>
      <c r="E35" s="1421"/>
      <c r="F35" s="1010"/>
      <c r="G35" s="1007"/>
      <c r="H35" s="1369"/>
      <c r="I35" s="648" t="str">
        <f>CONCATENATE('入力（加算）保'!I19)</f>
        <v/>
      </c>
      <c r="J35" s="1403"/>
      <c r="K35" s="1007"/>
      <c r="L35" s="488">
        <f>IF(F6="あり",IF(G7&lt;=40,-1.3,(IF(G7&lt;=150,-2.6,-3.8))),0)</f>
        <v>0</v>
      </c>
    </row>
    <row r="36" spans="1:15" ht="19.5" customHeight="1">
      <c r="A36" s="1400"/>
      <c r="B36" s="1401" t="s">
        <v>1308</v>
      </c>
      <c r="C36" s="1399" t="s">
        <v>1311</v>
      </c>
      <c r="D36" s="490"/>
      <c r="E36" s="648" t="str">
        <f>CONCATENATE('入力（加算）保'!J19)</f>
        <v/>
      </c>
      <c r="F36" s="1010"/>
      <c r="G36" s="1007"/>
      <c r="H36" s="1369">
        <f>IF(E36="あり",-1,0)</f>
        <v>0</v>
      </c>
      <c r="I36" s="1402"/>
      <c r="J36" s="1403"/>
      <c r="K36" s="1007"/>
      <c r="L36" s="488"/>
    </row>
    <row r="37" spans="1:15" ht="19.5" customHeight="1" thickBot="1">
      <c r="A37" s="273"/>
      <c r="B37" s="491" t="s">
        <v>649</v>
      </c>
      <c r="C37" s="492"/>
      <c r="D37" s="492"/>
      <c r="E37" s="493"/>
      <c r="F37" s="1011"/>
      <c r="G37" s="1008"/>
      <c r="H37" s="494">
        <f>IF(F7&lt;=30,4.5,IF(F7&lt;=40,4.2,IF(F7&lt;=90,5.4,IF(F7&lt;=150,5.1,6.3))))</f>
        <v>4.5</v>
      </c>
      <c r="I37" s="996"/>
      <c r="J37" s="1013"/>
      <c r="K37" s="1008"/>
      <c r="L37" s="494">
        <f>IF(F6="あり",IF(G7&lt;=30,4.5,IF(G7&lt;=40,4.2,IF(G7&lt;=90,5.4,IF(G7&lt;=150,5.1,6.3)))),0)</f>
        <v>0</v>
      </c>
    </row>
    <row r="38" spans="1:15" ht="19.5" customHeight="1" thickTop="1" thickBot="1">
      <c r="A38" s="273"/>
      <c r="B38" s="922" t="s">
        <v>625</v>
      </c>
      <c r="C38" s="279"/>
      <c r="D38" s="279"/>
      <c r="E38" s="1649">
        <f>SUM(E26,H27:H36,H37)</f>
        <v>4.5</v>
      </c>
      <c r="F38" s="1650"/>
      <c r="G38" s="1650"/>
      <c r="H38" s="1651"/>
      <c r="I38" s="1652">
        <f>SUM(I26,L27:L36,L37)</f>
        <v>0</v>
      </c>
      <c r="J38" s="1653"/>
      <c r="K38" s="1653"/>
      <c r="L38" s="1654"/>
      <c r="N38" s="261" t="s">
        <v>790</v>
      </c>
      <c r="O38" s="389">
        <v>40000</v>
      </c>
    </row>
    <row r="39" spans="1:15" ht="19.5" customHeight="1" thickBot="1">
      <c r="A39" s="273"/>
      <c r="B39" s="1643" t="s">
        <v>1298</v>
      </c>
      <c r="C39" s="1644"/>
      <c r="D39" s="1644"/>
      <c r="E39" s="1655" t="str">
        <f>IF(F7=0,"定員未入力",ROUND(E38,0))</f>
        <v>定員未入力</v>
      </c>
      <c r="F39" s="1656"/>
      <c r="G39" s="1656"/>
      <c r="H39" s="1657"/>
      <c r="I39" s="1658" t="str">
        <f>IF(G7=0,"定員未入力",ROUND(I38,0))</f>
        <v>定員未入力</v>
      </c>
      <c r="J39" s="1659"/>
      <c r="K39" s="1659"/>
      <c r="L39" s="1660"/>
      <c r="N39" s="261" t="s">
        <v>791</v>
      </c>
      <c r="O39" s="389">
        <v>5000</v>
      </c>
    </row>
    <row r="40" spans="1:15" ht="19.5" customHeight="1">
      <c r="A40" s="982"/>
      <c r="B40" s="279"/>
      <c r="C40" s="279"/>
      <c r="D40" s="279"/>
      <c r="E40" s="982"/>
      <c r="F40" s="443"/>
      <c r="G40" s="500"/>
      <c r="H40" s="501"/>
      <c r="I40" s="502"/>
      <c r="J40" s="262"/>
      <c r="K40" s="262"/>
      <c r="L40" s="262"/>
      <c r="N40" s="261" t="s">
        <v>960</v>
      </c>
      <c r="O40" s="389">
        <f>保育所2!$L$19</f>
        <v>48900</v>
      </c>
    </row>
    <row r="41" spans="1:15" ht="19.5" customHeight="1" thickBot="1">
      <c r="A41" s="445" t="s">
        <v>1314</v>
      </c>
      <c r="B41" s="982"/>
      <c r="C41" s="982"/>
      <c r="D41" s="982"/>
      <c r="E41" s="982"/>
      <c r="F41" s="443"/>
      <c r="G41" s="443"/>
      <c r="H41" s="443"/>
      <c r="I41" s="443"/>
      <c r="J41" s="262"/>
      <c r="K41" s="262"/>
      <c r="L41" s="262"/>
      <c r="N41" s="261" t="s">
        <v>961</v>
      </c>
      <c r="O41" s="389">
        <f>保育所2!$L$20</f>
        <v>6110</v>
      </c>
    </row>
    <row r="42" spans="1:15" ht="19.5" customHeight="1" thickBot="1">
      <c r="A42" s="982"/>
      <c r="B42" s="445"/>
      <c r="C42" s="445"/>
      <c r="D42" s="445"/>
      <c r="E42" s="1701" t="s">
        <v>1296</v>
      </c>
      <c r="F42" s="1702"/>
      <c r="G42" s="1703" t="s">
        <v>1297</v>
      </c>
      <c r="H42" s="1704"/>
      <c r="I42" s="443"/>
      <c r="J42" s="443"/>
      <c r="K42" s="262"/>
      <c r="L42" s="262"/>
    </row>
    <row r="43" spans="1:15" ht="19.5" customHeight="1" thickBot="1">
      <c r="A43" s="982"/>
      <c r="B43" s="504"/>
      <c r="C43" s="1707">
        <v>11000</v>
      </c>
      <c r="D43" s="1708"/>
      <c r="E43" s="1705">
        <f>C43*SUM(E39,I39)</f>
        <v>0</v>
      </c>
      <c r="F43" s="1706"/>
      <c r="G43" s="1705">
        <f>E43*L15</f>
        <v>0</v>
      </c>
      <c r="H43" s="1706"/>
      <c r="I43" s="443"/>
      <c r="J43" s="262"/>
      <c r="K43" s="262"/>
      <c r="L43" s="262"/>
    </row>
    <row r="44" spans="1:15" ht="19.5" customHeight="1">
      <c r="A44" s="982"/>
      <c r="B44" s="445"/>
      <c r="C44" s="445"/>
      <c r="D44" s="445"/>
      <c r="E44" s="643"/>
      <c r="F44" s="644"/>
      <c r="G44" s="443"/>
      <c r="H44" s="443"/>
      <c r="I44" s="443"/>
      <c r="J44" s="262"/>
      <c r="K44" s="262"/>
      <c r="L44" s="262"/>
    </row>
    <row r="45" spans="1:15" ht="19.5" customHeight="1">
      <c r="A45" s="982"/>
      <c r="B45" s="982"/>
      <c r="C45" s="982"/>
      <c r="D45" s="262"/>
      <c r="E45" s="445"/>
      <c r="F45" s="443"/>
      <c r="G45" s="443"/>
      <c r="H45" s="443"/>
      <c r="I45" s="443"/>
      <c r="J45" s="262"/>
      <c r="K45" s="262"/>
      <c r="L45" s="262"/>
    </row>
    <row r="46" spans="1:15" ht="19.5" customHeight="1"/>
    <row r="47" spans="1:15" ht="19.5" customHeight="1">
      <c r="F47" s="260"/>
      <c r="G47" s="260"/>
      <c r="H47" s="260"/>
    </row>
    <row r="48" spans="1:15" ht="33.75" customHeight="1">
      <c r="F48" s="260"/>
      <c r="G48" s="260"/>
      <c r="H48" s="260"/>
    </row>
    <row r="49" spans="6:9" ht="33.75" customHeight="1"/>
    <row r="50" spans="6:9" ht="33.75" customHeight="1"/>
    <row r="51" spans="6:9" ht="33.75" customHeight="1"/>
    <row r="52" spans="6:9" ht="33.75" customHeight="1">
      <c r="I52" s="260"/>
    </row>
    <row r="53" spans="6:9" ht="33.75" customHeight="1">
      <c r="F53" s="260"/>
      <c r="G53" s="260"/>
      <c r="H53" s="260"/>
      <c r="I53" s="260"/>
    </row>
    <row r="54" spans="6:9" ht="33.75" customHeight="1">
      <c r="F54" s="260"/>
      <c r="G54" s="260"/>
      <c r="H54" s="260"/>
      <c r="I54" s="260"/>
    </row>
    <row r="55" spans="6:9" ht="33.75" customHeight="1">
      <c r="F55" s="260"/>
      <c r="G55" s="260"/>
      <c r="H55" s="260"/>
      <c r="I55" s="260"/>
    </row>
    <row r="56" spans="6:9" ht="33.75" customHeight="1">
      <c r="F56" s="260"/>
      <c r="G56" s="260"/>
      <c r="H56" s="260"/>
      <c r="I56" s="260"/>
    </row>
    <row r="57" spans="6:9" ht="33.75" customHeight="1">
      <c r="F57" s="260"/>
      <c r="G57" s="260"/>
      <c r="H57" s="260"/>
      <c r="I57" s="260"/>
    </row>
    <row r="58" spans="6:9" ht="33.75" customHeight="1">
      <c r="F58" s="260"/>
      <c r="G58" s="260"/>
      <c r="H58" s="260"/>
      <c r="I58" s="260"/>
    </row>
    <row r="59" spans="6:9" ht="20.25" customHeight="1">
      <c r="F59" s="260"/>
      <c r="G59" s="260"/>
      <c r="H59" s="260"/>
      <c r="I59" s="260"/>
    </row>
    <row r="60" spans="6:9" ht="20.25" customHeight="1">
      <c r="F60" s="260"/>
      <c r="G60" s="260"/>
      <c r="H60" s="260"/>
      <c r="I60" s="260"/>
    </row>
    <row r="61" spans="6:9" ht="20.25" customHeight="1">
      <c r="F61" s="260"/>
      <c r="G61" s="260"/>
      <c r="H61" s="260"/>
      <c r="I61" s="260"/>
    </row>
    <row r="62" spans="6:9" ht="20.25" customHeight="1">
      <c r="F62" s="260"/>
      <c r="G62" s="260"/>
      <c r="H62" s="260"/>
      <c r="I62" s="260"/>
    </row>
    <row r="63" spans="6:9" ht="20.25" customHeight="1">
      <c r="F63" s="260"/>
      <c r="G63" s="260"/>
      <c r="H63" s="260"/>
      <c r="I63" s="260"/>
    </row>
    <row r="64" spans="6:9" ht="20.25" customHeight="1">
      <c r="F64" s="260"/>
      <c r="G64" s="260"/>
      <c r="H64" s="260"/>
      <c r="I64" s="260"/>
    </row>
    <row r="65" s="260" customFormat="1" ht="20.25" customHeight="1"/>
    <row r="66" s="260" customFormat="1" ht="20.25" customHeight="1"/>
    <row r="67" s="260" customFormat="1" ht="20.25" customHeight="1"/>
    <row r="68" s="260" customFormat="1" ht="20.25" customHeight="1"/>
    <row r="69" s="260" customFormat="1" ht="20.25" customHeight="1"/>
    <row r="70" s="260" customFormat="1" ht="20.25" customHeight="1"/>
    <row r="71" s="260" customFormat="1" ht="20.25" customHeight="1"/>
    <row r="72" s="260" customFormat="1" ht="20.25" customHeight="1"/>
    <row r="73" s="260" customFormat="1" ht="20.25" customHeight="1"/>
    <row r="74" s="260" customFormat="1" ht="20.25" customHeight="1"/>
    <row r="75" s="260" customFormat="1" ht="20.25" customHeight="1"/>
    <row r="76" s="260" customFormat="1" ht="20.25" customHeight="1"/>
    <row r="77" s="260" customFormat="1" ht="20.25" customHeight="1"/>
    <row r="78" s="260" customFormat="1" ht="20.25" customHeight="1"/>
    <row r="79" s="260" customFormat="1" ht="20.25" customHeight="1"/>
    <row r="80" s="260" customFormat="1" ht="20.25" customHeight="1"/>
    <row r="81" s="260" customFormat="1" ht="20.25" customHeight="1"/>
    <row r="82" s="260" customFormat="1" ht="20.25" customHeight="1"/>
    <row r="83" s="260" customFormat="1" ht="20.25" customHeight="1"/>
    <row r="84" s="260" customFormat="1" ht="20.25" customHeight="1"/>
    <row r="85" s="260" customFormat="1" ht="20.25" customHeight="1"/>
    <row r="86" s="260" customFormat="1" ht="20.25" customHeight="1"/>
    <row r="87" s="260" customFormat="1" ht="20.25" customHeight="1"/>
    <row r="88" s="260" customFormat="1" ht="20.25" customHeight="1"/>
    <row r="89" s="260" customFormat="1" ht="20.25" customHeight="1"/>
    <row r="90" s="260" customFormat="1" ht="20.25" customHeight="1"/>
    <row r="91" s="260" customFormat="1" ht="20.25" customHeight="1"/>
    <row r="92" s="260" customFormat="1" ht="20.25" customHeight="1"/>
    <row r="93" s="260" customFormat="1" ht="20.25" customHeight="1"/>
    <row r="94" s="260" customFormat="1" ht="20.25" customHeight="1"/>
    <row r="95" s="260" customFormat="1" ht="20.25" customHeight="1"/>
    <row r="96" s="260" customFormat="1" ht="20.25" customHeight="1"/>
    <row r="97" s="260" customFormat="1" ht="20.25" customHeight="1"/>
    <row r="98" s="260" customFormat="1" ht="20.25" customHeight="1"/>
    <row r="99" s="260" customFormat="1" ht="20.25" customHeight="1"/>
    <row r="100" s="260" customFormat="1" ht="20.25" customHeight="1"/>
    <row r="101" s="260" customFormat="1" ht="20.25" customHeight="1"/>
    <row r="102" s="260" customFormat="1" ht="20.25" customHeight="1"/>
    <row r="103" s="260" customFormat="1" ht="20.25" customHeight="1"/>
    <row r="104" s="260" customFormat="1" ht="20.25" customHeight="1"/>
    <row r="105" s="260" customFormat="1" ht="20.25" customHeight="1"/>
    <row r="106" s="260" customFormat="1" ht="20.25" customHeight="1"/>
    <row r="107" s="260" customFormat="1" ht="20.25" customHeight="1"/>
    <row r="108" s="260" customFormat="1" ht="20.25" customHeight="1"/>
    <row r="109" s="260" customFormat="1" ht="20.25" customHeight="1"/>
    <row r="110" s="260" customFormat="1" ht="20.25" customHeight="1"/>
    <row r="111" s="260" customFormat="1" ht="20.25" customHeight="1"/>
    <row r="112" s="260" customFormat="1" ht="20.25" customHeight="1"/>
    <row r="113" spans="6:9" ht="20.25" customHeight="1">
      <c r="F113" s="260"/>
      <c r="G113" s="260"/>
      <c r="H113" s="260"/>
      <c r="I113" s="260"/>
    </row>
    <row r="114" spans="6:9" ht="20.25" customHeight="1">
      <c r="F114" s="260"/>
      <c r="G114" s="260"/>
      <c r="H114" s="260"/>
      <c r="I114" s="260"/>
    </row>
    <row r="115" spans="6:9" ht="20.25" customHeight="1">
      <c r="F115" s="260"/>
      <c r="G115" s="260"/>
      <c r="H115" s="260"/>
      <c r="I115" s="260"/>
    </row>
    <row r="116" spans="6:9" ht="20.25" customHeight="1">
      <c r="F116" s="260"/>
      <c r="G116" s="260"/>
      <c r="H116" s="260"/>
      <c r="I116" s="260"/>
    </row>
    <row r="117" spans="6:9" ht="20.25" customHeight="1">
      <c r="F117" s="260"/>
      <c r="G117" s="260"/>
      <c r="H117" s="260"/>
      <c r="I117" s="260"/>
    </row>
    <row r="118" spans="6:9" ht="20.25" customHeight="1"/>
    <row r="119" spans="6:9" ht="20.25" customHeight="1"/>
  </sheetData>
  <sheetProtection algorithmName="SHA-512" hashValue="Fmmx+KMGyWzOCVNk3E8mrnQlXNaiyMMehEFxH7g2nuyZcKoseZ9KzWWKFvYt+Vel3SeHsLQ4yrTbm+oBSm12mA==" saltValue="n0YofKb2qahlhOhdoDIlrA==" spinCount="100000" sheet="1" objects="1" scenarios="1"/>
  <customSheetViews>
    <customSheetView guid="{2E52E5FF-9846-4DC5-A671-268FE925398C}" scale="85" showPageBreaks="1" printArea="1" view="pageBreakPreview" topLeftCell="A22">
      <selection activeCell="E23" sqref="E23"/>
      <pageMargins left="0.7" right="0.7" top="0.75" bottom="0.75" header="0.3" footer="0.3"/>
      <pageSetup paperSize="9" scale="69" orientation="portrait" r:id="rId1"/>
    </customSheetView>
    <customSheetView guid="{BADA99B3-B36A-4925-87A7-F72FC97D3DBA}" scale="85" showPageBreaks="1" printArea="1" view="pageBreakPreview" topLeftCell="A16">
      <selection activeCell="J38" sqref="J38:K38"/>
      <pageMargins left="0.7" right="0.7" top="0.75" bottom="0.75" header="0.3" footer="0.3"/>
      <pageSetup paperSize="9" scale="69" orientation="portrait" r:id="rId2"/>
    </customSheetView>
  </customSheetViews>
  <mergeCells count="36">
    <mergeCell ref="E42:F42"/>
    <mergeCell ref="G42:H42"/>
    <mergeCell ref="E43:F43"/>
    <mergeCell ref="G43:H43"/>
    <mergeCell ref="C43:D43"/>
    <mergeCell ref="A1:C1"/>
    <mergeCell ref="J1:L1"/>
    <mergeCell ref="A2:L2"/>
    <mergeCell ref="C20:D20"/>
    <mergeCell ref="B7:E7"/>
    <mergeCell ref="B8:E8"/>
    <mergeCell ref="C9:D9"/>
    <mergeCell ref="H9:L12"/>
    <mergeCell ref="C10:D10"/>
    <mergeCell ref="C11:D11"/>
    <mergeCell ref="C12:D12"/>
    <mergeCell ref="C13:L14"/>
    <mergeCell ref="E18:H18"/>
    <mergeCell ref="I18:L18"/>
    <mergeCell ref="G19:H19"/>
    <mergeCell ref="B5:E5"/>
    <mergeCell ref="B6:E6"/>
    <mergeCell ref="F6:G6"/>
    <mergeCell ref="I4:I5"/>
    <mergeCell ref="J4:L5"/>
    <mergeCell ref="K19:L19"/>
    <mergeCell ref="C27:D27"/>
    <mergeCell ref="I28:J31"/>
    <mergeCell ref="B39:D39"/>
    <mergeCell ref="B15:H15"/>
    <mergeCell ref="E26:H26"/>
    <mergeCell ref="I26:L26"/>
    <mergeCell ref="E38:H38"/>
    <mergeCell ref="I38:L38"/>
    <mergeCell ref="E39:H39"/>
    <mergeCell ref="I39:L39"/>
  </mergeCells>
  <phoneticPr fontId="60"/>
  <dataValidations count="2">
    <dataValidation type="list" errorStyle="warning" allowBlank="1" showInputMessage="1" showErrorMessage="1" sqref="E23 I23 I27 E27:E36 I35" xr:uid="{00000000-0002-0000-2800-000000000000}">
      <formula1>$O$3:$O$5</formula1>
    </dataValidation>
    <dataValidation type="list" allowBlank="1" showInputMessage="1" showErrorMessage="1" sqref="WLQ983062 E65560:E65564 JA65562:JA65566 SW65562:SW65566 ACS65562:ACS65566 AMO65562:AMO65566 AWK65562:AWK65566 BGG65562:BGG65566 BQC65562:BQC65566 BZY65562:BZY65566 CJU65562:CJU65566 CTQ65562:CTQ65566 DDM65562:DDM65566 DNI65562:DNI65566 DXE65562:DXE65566 EHA65562:EHA65566 EQW65562:EQW65566 FAS65562:FAS65566 FKO65562:FKO65566 FUK65562:FUK65566 GEG65562:GEG65566 GOC65562:GOC65566 GXY65562:GXY65566 HHU65562:HHU65566 HRQ65562:HRQ65566 IBM65562:IBM65566 ILI65562:ILI65566 IVE65562:IVE65566 JFA65562:JFA65566 JOW65562:JOW65566 JYS65562:JYS65566 KIO65562:KIO65566 KSK65562:KSK65566 LCG65562:LCG65566 LMC65562:LMC65566 LVY65562:LVY65566 MFU65562:MFU65566 MPQ65562:MPQ65566 MZM65562:MZM65566 NJI65562:NJI65566 NTE65562:NTE65566 ODA65562:ODA65566 OMW65562:OMW65566 OWS65562:OWS65566 PGO65562:PGO65566 PQK65562:PQK65566 QAG65562:QAG65566 QKC65562:QKC65566 QTY65562:QTY65566 RDU65562:RDU65566 RNQ65562:RNQ65566 RXM65562:RXM65566 SHI65562:SHI65566 SRE65562:SRE65566 TBA65562:TBA65566 TKW65562:TKW65566 TUS65562:TUS65566 UEO65562:UEO65566 UOK65562:UOK65566 UYG65562:UYG65566 VIC65562:VIC65566 VRY65562:VRY65566 WBU65562:WBU65566 WLQ65562:WLQ65566 WVM65562:WVM65566 E131096:E131100 JA131098:JA131102 SW131098:SW131102 ACS131098:ACS131102 AMO131098:AMO131102 AWK131098:AWK131102 BGG131098:BGG131102 BQC131098:BQC131102 BZY131098:BZY131102 CJU131098:CJU131102 CTQ131098:CTQ131102 DDM131098:DDM131102 DNI131098:DNI131102 DXE131098:DXE131102 EHA131098:EHA131102 EQW131098:EQW131102 FAS131098:FAS131102 FKO131098:FKO131102 FUK131098:FUK131102 GEG131098:GEG131102 GOC131098:GOC131102 GXY131098:GXY131102 HHU131098:HHU131102 HRQ131098:HRQ131102 IBM131098:IBM131102 ILI131098:ILI131102 IVE131098:IVE131102 JFA131098:JFA131102 JOW131098:JOW131102 JYS131098:JYS131102 KIO131098:KIO131102 KSK131098:KSK131102 LCG131098:LCG131102 LMC131098:LMC131102 LVY131098:LVY131102 MFU131098:MFU131102 MPQ131098:MPQ131102 MZM131098:MZM131102 NJI131098:NJI131102 NTE131098:NTE131102 ODA131098:ODA131102 OMW131098:OMW131102 OWS131098:OWS131102 PGO131098:PGO131102 PQK131098:PQK131102 QAG131098:QAG131102 QKC131098:QKC131102 QTY131098:QTY131102 RDU131098:RDU131102 RNQ131098:RNQ131102 RXM131098:RXM131102 SHI131098:SHI131102 SRE131098:SRE131102 TBA131098:TBA131102 TKW131098:TKW131102 TUS131098:TUS131102 UEO131098:UEO131102 UOK131098:UOK131102 UYG131098:UYG131102 VIC131098:VIC131102 VRY131098:VRY131102 WBU131098:WBU131102 WLQ131098:WLQ131102 WVM131098:WVM131102 E196632:E196636 JA196634:JA196638 SW196634:SW196638 ACS196634:ACS196638 AMO196634:AMO196638 AWK196634:AWK196638 BGG196634:BGG196638 BQC196634:BQC196638 BZY196634:BZY196638 CJU196634:CJU196638 CTQ196634:CTQ196638 DDM196634:DDM196638 DNI196634:DNI196638 DXE196634:DXE196638 EHA196634:EHA196638 EQW196634:EQW196638 FAS196634:FAS196638 FKO196634:FKO196638 FUK196634:FUK196638 GEG196634:GEG196638 GOC196634:GOC196638 GXY196634:GXY196638 HHU196634:HHU196638 HRQ196634:HRQ196638 IBM196634:IBM196638 ILI196634:ILI196638 IVE196634:IVE196638 JFA196634:JFA196638 JOW196634:JOW196638 JYS196634:JYS196638 KIO196634:KIO196638 KSK196634:KSK196638 LCG196634:LCG196638 LMC196634:LMC196638 LVY196634:LVY196638 MFU196634:MFU196638 MPQ196634:MPQ196638 MZM196634:MZM196638 NJI196634:NJI196638 NTE196634:NTE196638 ODA196634:ODA196638 OMW196634:OMW196638 OWS196634:OWS196638 PGO196634:PGO196638 PQK196634:PQK196638 QAG196634:QAG196638 QKC196634:QKC196638 QTY196634:QTY196638 RDU196634:RDU196638 RNQ196634:RNQ196638 RXM196634:RXM196638 SHI196634:SHI196638 SRE196634:SRE196638 TBA196634:TBA196638 TKW196634:TKW196638 TUS196634:TUS196638 UEO196634:UEO196638 UOK196634:UOK196638 UYG196634:UYG196638 VIC196634:VIC196638 VRY196634:VRY196638 WBU196634:WBU196638 WLQ196634:WLQ196638 WVM196634:WVM196638 E262168:E262172 JA262170:JA262174 SW262170:SW262174 ACS262170:ACS262174 AMO262170:AMO262174 AWK262170:AWK262174 BGG262170:BGG262174 BQC262170:BQC262174 BZY262170:BZY262174 CJU262170:CJU262174 CTQ262170:CTQ262174 DDM262170:DDM262174 DNI262170:DNI262174 DXE262170:DXE262174 EHA262170:EHA262174 EQW262170:EQW262174 FAS262170:FAS262174 FKO262170:FKO262174 FUK262170:FUK262174 GEG262170:GEG262174 GOC262170:GOC262174 GXY262170:GXY262174 HHU262170:HHU262174 HRQ262170:HRQ262174 IBM262170:IBM262174 ILI262170:ILI262174 IVE262170:IVE262174 JFA262170:JFA262174 JOW262170:JOW262174 JYS262170:JYS262174 KIO262170:KIO262174 KSK262170:KSK262174 LCG262170:LCG262174 LMC262170:LMC262174 LVY262170:LVY262174 MFU262170:MFU262174 MPQ262170:MPQ262174 MZM262170:MZM262174 NJI262170:NJI262174 NTE262170:NTE262174 ODA262170:ODA262174 OMW262170:OMW262174 OWS262170:OWS262174 PGO262170:PGO262174 PQK262170:PQK262174 QAG262170:QAG262174 QKC262170:QKC262174 QTY262170:QTY262174 RDU262170:RDU262174 RNQ262170:RNQ262174 RXM262170:RXM262174 SHI262170:SHI262174 SRE262170:SRE262174 TBA262170:TBA262174 TKW262170:TKW262174 TUS262170:TUS262174 UEO262170:UEO262174 UOK262170:UOK262174 UYG262170:UYG262174 VIC262170:VIC262174 VRY262170:VRY262174 WBU262170:WBU262174 WLQ262170:WLQ262174 WVM262170:WVM262174 E327704:E327708 JA327706:JA327710 SW327706:SW327710 ACS327706:ACS327710 AMO327706:AMO327710 AWK327706:AWK327710 BGG327706:BGG327710 BQC327706:BQC327710 BZY327706:BZY327710 CJU327706:CJU327710 CTQ327706:CTQ327710 DDM327706:DDM327710 DNI327706:DNI327710 DXE327706:DXE327710 EHA327706:EHA327710 EQW327706:EQW327710 FAS327706:FAS327710 FKO327706:FKO327710 FUK327706:FUK327710 GEG327706:GEG327710 GOC327706:GOC327710 GXY327706:GXY327710 HHU327706:HHU327710 HRQ327706:HRQ327710 IBM327706:IBM327710 ILI327706:ILI327710 IVE327706:IVE327710 JFA327706:JFA327710 JOW327706:JOW327710 JYS327706:JYS327710 KIO327706:KIO327710 KSK327706:KSK327710 LCG327706:LCG327710 LMC327706:LMC327710 LVY327706:LVY327710 MFU327706:MFU327710 MPQ327706:MPQ327710 MZM327706:MZM327710 NJI327706:NJI327710 NTE327706:NTE327710 ODA327706:ODA327710 OMW327706:OMW327710 OWS327706:OWS327710 PGO327706:PGO327710 PQK327706:PQK327710 QAG327706:QAG327710 QKC327706:QKC327710 QTY327706:QTY327710 RDU327706:RDU327710 RNQ327706:RNQ327710 RXM327706:RXM327710 SHI327706:SHI327710 SRE327706:SRE327710 TBA327706:TBA327710 TKW327706:TKW327710 TUS327706:TUS327710 UEO327706:UEO327710 UOK327706:UOK327710 UYG327706:UYG327710 VIC327706:VIC327710 VRY327706:VRY327710 WBU327706:WBU327710 WLQ327706:WLQ327710 WVM327706:WVM327710 E393240:E393244 JA393242:JA393246 SW393242:SW393246 ACS393242:ACS393246 AMO393242:AMO393246 AWK393242:AWK393246 BGG393242:BGG393246 BQC393242:BQC393246 BZY393242:BZY393246 CJU393242:CJU393246 CTQ393242:CTQ393246 DDM393242:DDM393246 DNI393242:DNI393246 DXE393242:DXE393246 EHA393242:EHA393246 EQW393242:EQW393246 FAS393242:FAS393246 FKO393242:FKO393246 FUK393242:FUK393246 GEG393242:GEG393246 GOC393242:GOC393246 GXY393242:GXY393246 HHU393242:HHU393246 HRQ393242:HRQ393246 IBM393242:IBM393246 ILI393242:ILI393246 IVE393242:IVE393246 JFA393242:JFA393246 JOW393242:JOW393246 JYS393242:JYS393246 KIO393242:KIO393246 KSK393242:KSK393246 LCG393242:LCG393246 LMC393242:LMC393246 LVY393242:LVY393246 MFU393242:MFU393246 MPQ393242:MPQ393246 MZM393242:MZM393246 NJI393242:NJI393246 NTE393242:NTE393246 ODA393242:ODA393246 OMW393242:OMW393246 OWS393242:OWS393246 PGO393242:PGO393246 PQK393242:PQK393246 QAG393242:QAG393246 QKC393242:QKC393246 QTY393242:QTY393246 RDU393242:RDU393246 RNQ393242:RNQ393246 RXM393242:RXM393246 SHI393242:SHI393246 SRE393242:SRE393246 TBA393242:TBA393246 TKW393242:TKW393246 TUS393242:TUS393246 UEO393242:UEO393246 UOK393242:UOK393246 UYG393242:UYG393246 VIC393242:VIC393246 VRY393242:VRY393246 WBU393242:WBU393246 WLQ393242:WLQ393246 WVM393242:WVM393246 E458776:E458780 JA458778:JA458782 SW458778:SW458782 ACS458778:ACS458782 AMO458778:AMO458782 AWK458778:AWK458782 BGG458778:BGG458782 BQC458778:BQC458782 BZY458778:BZY458782 CJU458778:CJU458782 CTQ458778:CTQ458782 DDM458778:DDM458782 DNI458778:DNI458782 DXE458778:DXE458782 EHA458778:EHA458782 EQW458778:EQW458782 FAS458778:FAS458782 FKO458778:FKO458782 FUK458778:FUK458782 GEG458778:GEG458782 GOC458778:GOC458782 GXY458778:GXY458782 HHU458778:HHU458782 HRQ458778:HRQ458782 IBM458778:IBM458782 ILI458778:ILI458782 IVE458778:IVE458782 JFA458778:JFA458782 JOW458778:JOW458782 JYS458778:JYS458782 KIO458778:KIO458782 KSK458778:KSK458782 LCG458778:LCG458782 LMC458778:LMC458782 LVY458778:LVY458782 MFU458778:MFU458782 MPQ458778:MPQ458782 MZM458778:MZM458782 NJI458778:NJI458782 NTE458778:NTE458782 ODA458778:ODA458782 OMW458778:OMW458782 OWS458778:OWS458782 PGO458778:PGO458782 PQK458778:PQK458782 QAG458778:QAG458782 QKC458778:QKC458782 QTY458778:QTY458782 RDU458778:RDU458782 RNQ458778:RNQ458782 RXM458778:RXM458782 SHI458778:SHI458782 SRE458778:SRE458782 TBA458778:TBA458782 TKW458778:TKW458782 TUS458778:TUS458782 UEO458778:UEO458782 UOK458778:UOK458782 UYG458778:UYG458782 VIC458778:VIC458782 VRY458778:VRY458782 WBU458778:WBU458782 WLQ458778:WLQ458782 WVM458778:WVM458782 E524312:E524316 JA524314:JA524318 SW524314:SW524318 ACS524314:ACS524318 AMO524314:AMO524318 AWK524314:AWK524318 BGG524314:BGG524318 BQC524314:BQC524318 BZY524314:BZY524318 CJU524314:CJU524318 CTQ524314:CTQ524318 DDM524314:DDM524318 DNI524314:DNI524318 DXE524314:DXE524318 EHA524314:EHA524318 EQW524314:EQW524318 FAS524314:FAS524318 FKO524314:FKO524318 FUK524314:FUK524318 GEG524314:GEG524318 GOC524314:GOC524318 GXY524314:GXY524318 HHU524314:HHU524318 HRQ524314:HRQ524318 IBM524314:IBM524318 ILI524314:ILI524318 IVE524314:IVE524318 JFA524314:JFA524318 JOW524314:JOW524318 JYS524314:JYS524318 KIO524314:KIO524318 KSK524314:KSK524318 LCG524314:LCG524318 LMC524314:LMC524318 LVY524314:LVY524318 MFU524314:MFU524318 MPQ524314:MPQ524318 MZM524314:MZM524318 NJI524314:NJI524318 NTE524314:NTE524318 ODA524314:ODA524318 OMW524314:OMW524318 OWS524314:OWS524318 PGO524314:PGO524318 PQK524314:PQK524318 QAG524314:QAG524318 QKC524314:QKC524318 QTY524314:QTY524318 RDU524314:RDU524318 RNQ524314:RNQ524318 RXM524314:RXM524318 SHI524314:SHI524318 SRE524314:SRE524318 TBA524314:TBA524318 TKW524314:TKW524318 TUS524314:TUS524318 UEO524314:UEO524318 UOK524314:UOK524318 UYG524314:UYG524318 VIC524314:VIC524318 VRY524314:VRY524318 WBU524314:WBU524318 WLQ524314:WLQ524318 WVM524314:WVM524318 E589848:E589852 JA589850:JA589854 SW589850:SW589854 ACS589850:ACS589854 AMO589850:AMO589854 AWK589850:AWK589854 BGG589850:BGG589854 BQC589850:BQC589854 BZY589850:BZY589854 CJU589850:CJU589854 CTQ589850:CTQ589854 DDM589850:DDM589854 DNI589850:DNI589854 DXE589850:DXE589854 EHA589850:EHA589854 EQW589850:EQW589854 FAS589850:FAS589854 FKO589850:FKO589854 FUK589850:FUK589854 GEG589850:GEG589854 GOC589850:GOC589854 GXY589850:GXY589854 HHU589850:HHU589854 HRQ589850:HRQ589854 IBM589850:IBM589854 ILI589850:ILI589854 IVE589850:IVE589854 JFA589850:JFA589854 JOW589850:JOW589854 JYS589850:JYS589854 KIO589850:KIO589854 KSK589850:KSK589854 LCG589850:LCG589854 LMC589850:LMC589854 LVY589850:LVY589854 MFU589850:MFU589854 MPQ589850:MPQ589854 MZM589850:MZM589854 NJI589850:NJI589854 NTE589850:NTE589854 ODA589850:ODA589854 OMW589850:OMW589854 OWS589850:OWS589854 PGO589850:PGO589854 PQK589850:PQK589854 QAG589850:QAG589854 QKC589850:QKC589854 QTY589850:QTY589854 RDU589850:RDU589854 RNQ589850:RNQ589854 RXM589850:RXM589854 SHI589850:SHI589854 SRE589850:SRE589854 TBA589850:TBA589854 TKW589850:TKW589854 TUS589850:TUS589854 UEO589850:UEO589854 UOK589850:UOK589854 UYG589850:UYG589854 VIC589850:VIC589854 VRY589850:VRY589854 WBU589850:WBU589854 WLQ589850:WLQ589854 WVM589850:WVM589854 E655384:E655388 JA655386:JA655390 SW655386:SW655390 ACS655386:ACS655390 AMO655386:AMO655390 AWK655386:AWK655390 BGG655386:BGG655390 BQC655386:BQC655390 BZY655386:BZY655390 CJU655386:CJU655390 CTQ655386:CTQ655390 DDM655386:DDM655390 DNI655386:DNI655390 DXE655386:DXE655390 EHA655386:EHA655390 EQW655386:EQW655390 FAS655386:FAS655390 FKO655386:FKO655390 FUK655386:FUK655390 GEG655386:GEG655390 GOC655386:GOC655390 GXY655386:GXY655390 HHU655386:HHU655390 HRQ655386:HRQ655390 IBM655386:IBM655390 ILI655386:ILI655390 IVE655386:IVE655390 JFA655386:JFA655390 JOW655386:JOW655390 JYS655386:JYS655390 KIO655386:KIO655390 KSK655386:KSK655390 LCG655386:LCG655390 LMC655386:LMC655390 LVY655386:LVY655390 MFU655386:MFU655390 MPQ655386:MPQ655390 MZM655386:MZM655390 NJI655386:NJI655390 NTE655386:NTE655390 ODA655386:ODA655390 OMW655386:OMW655390 OWS655386:OWS655390 PGO655386:PGO655390 PQK655386:PQK655390 QAG655386:QAG655390 QKC655386:QKC655390 QTY655386:QTY655390 RDU655386:RDU655390 RNQ655386:RNQ655390 RXM655386:RXM655390 SHI655386:SHI655390 SRE655386:SRE655390 TBA655386:TBA655390 TKW655386:TKW655390 TUS655386:TUS655390 UEO655386:UEO655390 UOK655386:UOK655390 UYG655386:UYG655390 VIC655386:VIC655390 VRY655386:VRY655390 WBU655386:WBU655390 WLQ655386:WLQ655390 WVM655386:WVM655390 E720920:E720924 JA720922:JA720926 SW720922:SW720926 ACS720922:ACS720926 AMO720922:AMO720926 AWK720922:AWK720926 BGG720922:BGG720926 BQC720922:BQC720926 BZY720922:BZY720926 CJU720922:CJU720926 CTQ720922:CTQ720926 DDM720922:DDM720926 DNI720922:DNI720926 DXE720922:DXE720926 EHA720922:EHA720926 EQW720922:EQW720926 FAS720922:FAS720926 FKO720922:FKO720926 FUK720922:FUK720926 GEG720922:GEG720926 GOC720922:GOC720926 GXY720922:GXY720926 HHU720922:HHU720926 HRQ720922:HRQ720926 IBM720922:IBM720926 ILI720922:ILI720926 IVE720922:IVE720926 JFA720922:JFA720926 JOW720922:JOW720926 JYS720922:JYS720926 KIO720922:KIO720926 KSK720922:KSK720926 LCG720922:LCG720926 LMC720922:LMC720926 LVY720922:LVY720926 MFU720922:MFU720926 MPQ720922:MPQ720926 MZM720922:MZM720926 NJI720922:NJI720926 NTE720922:NTE720926 ODA720922:ODA720926 OMW720922:OMW720926 OWS720922:OWS720926 PGO720922:PGO720926 PQK720922:PQK720926 QAG720922:QAG720926 QKC720922:QKC720926 QTY720922:QTY720926 RDU720922:RDU720926 RNQ720922:RNQ720926 RXM720922:RXM720926 SHI720922:SHI720926 SRE720922:SRE720926 TBA720922:TBA720926 TKW720922:TKW720926 TUS720922:TUS720926 UEO720922:UEO720926 UOK720922:UOK720926 UYG720922:UYG720926 VIC720922:VIC720926 VRY720922:VRY720926 WBU720922:WBU720926 WLQ720922:WLQ720926 WVM720922:WVM720926 E786456:E786460 JA786458:JA786462 SW786458:SW786462 ACS786458:ACS786462 AMO786458:AMO786462 AWK786458:AWK786462 BGG786458:BGG786462 BQC786458:BQC786462 BZY786458:BZY786462 CJU786458:CJU786462 CTQ786458:CTQ786462 DDM786458:DDM786462 DNI786458:DNI786462 DXE786458:DXE786462 EHA786458:EHA786462 EQW786458:EQW786462 FAS786458:FAS786462 FKO786458:FKO786462 FUK786458:FUK786462 GEG786458:GEG786462 GOC786458:GOC786462 GXY786458:GXY786462 HHU786458:HHU786462 HRQ786458:HRQ786462 IBM786458:IBM786462 ILI786458:ILI786462 IVE786458:IVE786462 JFA786458:JFA786462 JOW786458:JOW786462 JYS786458:JYS786462 KIO786458:KIO786462 KSK786458:KSK786462 LCG786458:LCG786462 LMC786458:LMC786462 LVY786458:LVY786462 MFU786458:MFU786462 MPQ786458:MPQ786462 MZM786458:MZM786462 NJI786458:NJI786462 NTE786458:NTE786462 ODA786458:ODA786462 OMW786458:OMW786462 OWS786458:OWS786462 PGO786458:PGO786462 PQK786458:PQK786462 QAG786458:QAG786462 QKC786458:QKC786462 QTY786458:QTY786462 RDU786458:RDU786462 RNQ786458:RNQ786462 RXM786458:RXM786462 SHI786458:SHI786462 SRE786458:SRE786462 TBA786458:TBA786462 TKW786458:TKW786462 TUS786458:TUS786462 UEO786458:UEO786462 UOK786458:UOK786462 UYG786458:UYG786462 VIC786458:VIC786462 VRY786458:VRY786462 WBU786458:WBU786462 WLQ786458:WLQ786462 WVM786458:WVM786462 E851992:E851996 JA851994:JA851998 SW851994:SW851998 ACS851994:ACS851998 AMO851994:AMO851998 AWK851994:AWK851998 BGG851994:BGG851998 BQC851994:BQC851998 BZY851994:BZY851998 CJU851994:CJU851998 CTQ851994:CTQ851998 DDM851994:DDM851998 DNI851994:DNI851998 DXE851994:DXE851998 EHA851994:EHA851998 EQW851994:EQW851998 FAS851994:FAS851998 FKO851994:FKO851998 FUK851994:FUK851998 GEG851994:GEG851998 GOC851994:GOC851998 GXY851994:GXY851998 HHU851994:HHU851998 HRQ851994:HRQ851998 IBM851994:IBM851998 ILI851994:ILI851998 IVE851994:IVE851998 JFA851994:JFA851998 JOW851994:JOW851998 JYS851994:JYS851998 KIO851994:KIO851998 KSK851994:KSK851998 LCG851994:LCG851998 LMC851994:LMC851998 LVY851994:LVY851998 MFU851994:MFU851998 MPQ851994:MPQ851998 MZM851994:MZM851998 NJI851994:NJI851998 NTE851994:NTE851998 ODA851994:ODA851998 OMW851994:OMW851998 OWS851994:OWS851998 PGO851994:PGO851998 PQK851994:PQK851998 QAG851994:QAG851998 QKC851994:QKC851998 QTY851994:QTY851998 RDU851994:RDU851998 RNQ851994:RNQ851998 RXM851994:RXM851998 SHI851994:SHI851998 SRE851994:SRE851998 TBA851994:TBA851998 TKW851994:TKW851998 TUS851994:TUS851998 UEO851994:UEO851998 UOK851994:UOK851998 UYG851994:UYG851998 VIC851994:VIC851998 VRY851994:VRY851998 WBU851994:WBU851998 WLQ851994:WLQ851998 WVM851994:WVM851998 E917528:E917532 JA917530:JA917534 SW917530:SW917534 ACS917530:ACS917534 AMO917530:AMO917534 AWK917530:AWK917534 BGG917530:BGG917534 BQC917530:BQC917534 BZY917530:BZY917534 CJU917530:CJU917534 CTQ917530:CTQ917534 DDM917530:DDM917534 DNI917530:DNI917534 DXE917530:DXE917534 EHA917530:EHA917534 EQW917530:EQW917534 FAS917530:FAS917534 FKO917530:FKO917534 FUK917530:FUK917534 GEG917530:GEG917534 GOC917530:GOC917534 GXY917530:GXY917534 HHU917530:HHU917534 HRQ917530:HRQ917534 IBM917530:IBM917534 ILI917530:ILI917534 IVE917530:IVE917534 JFA917530:JFA917534 JOW917530:JOW917534 JYS917530:JYS917534 KIO917530:KIO917534 KSK917530:KSK917534 LCG917530:LCG917534 LMC917530:LMC917534 LVY917530:LVY917534 MFU917530:MFU917534 MPQ917530:MPQ917534 MZM917530:MZM917534 NJI917530:NJI917534 NTE917530:NTE917534 ODA917530:ODA917534 OMW917530:OMW917534 OWS917530:OWS917534 PGO917530:PGO917534 PQK917530:PQK917534 QAG917530:QAG917534 QKC917530:QKC917534 QTY917530:QTY917534 RDU917530:RDU917534 RNQ917530:RNQ917534 RXM917530:RXM917534 SHI917530:SHI917534 SRE917530:SRE917534 TBA917530:TBA917534 TKW917530:TKW917534 TUS917530:TUS917534 UEO917530:UEO917534 UOK917530:UOK917534 UYG917530:UYG917534 VIC917530:VIC917534 VRY917530:VRY917534 WBU917530:WBU917534 WLQ917530:WLQ917534 WVM917530:WVM917534 E983064:E983068 JA983066:JA983070 SW983066:SW983070 ACS983066:ACS983070 AMO983066:AMO983070 AWK983066:AWK983070 BGG983066:BGG983070 BQC983066:BQC983070 BZY983066:BZY983070 CJU983066:CJU983070 CTQ983066:CTQ983070 DDM983066:DDM983070 DNI983066:DNI983070 DXE983066:DXE983070 EHA983066:EHA983070 EQW983066:EQW983070 FAS983066:FAS983070 FKO983066:FKO983070 FUK983066:FUK983070 GEG983066:GEG983070 GOC983066:GOC983070 GXY983066:GXY983070 HHU983066:HHU983070 HRQ983066:HRQ983070 IBM983066:IBM983070 ILI983066:ILI983070 IVE983066:IVE983070 JFA983066:JFA983070 JOW983066:JOW983070 JYS983066:JYS983070 KIO983066:KIO983070 KSK983066:KSK983070 LCG983066:LCG983070 LMC983066:LMC983070 LVY983066:LVY983070 MFU983066:MFU983070 MPQ983066:MPQ983070 MZM983066:MZM983070 NJI983066:NJI983070 NTE983066:NTE983070 ODA983066:ODA983070 OMW983066:OMW983070 OWS983066:OWS983070 PGO983066:PGO983070 PQK983066:PQK983070 QAG983066:QAG983070 QKC983066:QKC983070 QTY983066:QTY983070 RDU983066:RDU983070 RNQ983066:RNQ983070 RXM983066:RXM983070 SHI983066:SHI983070 SRE983066:SRE983070 TBA983066:TBA983070 TKW983066:TKW983070 TUS983066:TUS983070 UEO983066:UEO983070 UOK983066:UOK983070 UYG983066:UYG983070 VIC983066:VIC983070 VRY983066:VRY983070 WBU983066:WBU983070 WLQ983066:WLQ983070 WVM983066:WVM983070 WVM983062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56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2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28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4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0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6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2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08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4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0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6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2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88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4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0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JA29:JA38 SW29:SW38 ACS29:ACS38 AMO29:AMO38 AWK29:AWK38 BGG29:BGG38 BQC29:BQC38 BZY29:BZY38 CJU29:CJU38 CTQ29:CTQ38 DDM29:DDM38 DNI29:DNI38 DXE29:DXE38 EHA29:EHA38 EQW29:EQW38 FAS29:FAS38 FKO29:FKO38 FUK29:FUK38 GEG29:GEG38 GOC29:GOC38 GXY29:GXY38 HHU29:HHU38 HRQ29:HRQ38 IBM29:IBM38 ILI29:ILI38 IVE29:IVE38 JFA29:JFA38 JOW29:JOW38 JYS29:JYS38 KIO29:KIO38 KSK29:KSK38 LCG29:LCG38 LMC29:LMC38 LVY29:LVY38 MFU29:MFU38 MPQ29:MPQ38 MZM29:MZM38 NJI29:NJI38 NTE29:NTE38 ODA29:ODA38 OMW29:OMW38 OWS29:OWS38 PGO29:PGO38 PQK29:PQK38 QAG29:QAG38 QKC29:QKC38 QTY29:QTY38 RDU29:RDU38 RNQ29:RNQ38 RXM29:RXM38 SHI29:SHI38 SRE29:SRE38 TBA29:TBA38 TKW29:TKW38 TUS29:TUS38 UEO29:UEO38 UOK29:UOK38 UYG29:UYG38 VIC29:VIC38 VRY29:VRY38 WBU29:WBU38 WLQ29:WLQ38 WVM29:WVM38" xr:uid="{00000000-0002-0000-2800-000001000000}">
      <formula1>"　,あり,なし"</formula1>
    </dataValidation>
  </dataValidations>
  <pageMargins left="0.7" right="0.7" top="0.75" bottom="0.75" header="0.3" footer="0.3"/>
  <pageSetup paperSize="9" scale="6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58EA-CB02-4F5E-A216-92D1F3676A1D}">
  <sheetPr>
    <tabColor theme="1"/>
  </sheetPr>
  <dimension ref="A1"/>
  <sheetViews>
    <sheetView workbookViewId="0">
      <selection activeCell="S40" sqref="S40"/>
    </sheetView>
  </sheetViews>
  <sheetFormatPr defaultRowHeight="13.5"/>
  <sheetData/>
  <sheetProtection algorithmName="SHA-512" hashValue="YswK8hww2RAFixoAdcDm5GHCpx2LxDWtJXAAqYx5Sn5kPi7jLh5+ED9fMsosHexHuGMXPAgMzGGslv+n91drcQ==" saltValue="8K5Ab9czfCOG4Xc1GBF5vg==" spinCount="100000" sheet="1" objects="1" scenarios="1"/>
  <phoneticPr fontId="6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6" tint="0.59999389629810485"/>
    <pageSetUpPr fitToPage="1"/>
  </sheetPr>
  <dimension ref="A1:AN58"/>
  <sheetViews>
    <sheetView view="pageBreakPreview" zoomScale="55" zoomScaleNormal="70" zoomScaleSheetLayoutView="55" workbookViewId="0">
      <selection activeCell="E21" sqref="E21"/>
    </sheetView>
  </sheetViews>
  <sheetFormatPr defaultColWidth="8.875" defaultRowHeight="17.25" outlineLevelCol="1"/>
  <cols>
    <col min="1" max="1" width="8.875" style="659"/>
    <col min="2" max="3" width="11.875" style="659" customWidth="1"/>
    <col min="4" max="9" width="15.75" style="659" customWidth="1"/>
    <col min="10" max="10" width="17.125" style="659" customWidth="1"/>
    <col min="11" max="11" width="15.75" style="659" customWidth="1"/>
    <col min="12" max="12" width="16.375" style="659" customWidth="1"/>
    <col min="13" max="13" width="17" style="659" customWidth="1"/>
    <col min="14" max="16" width="15.75" style="659" customWidth="1"/>
    <col min="17" max="17" width="15.875" style="659" customWidth="1"/>
    <col min="18" max="21" width="15.625" style="659" customWidth="1"/>
    <col min="22" max="39" width="8.875" style="659" hidden="1" customWidth="1" outlineLevel="1"/>
    <col min="40" max="40" width="8.875" style="659" collapsed="1"/>
    <col min="41" max="16384" width="8.875" style="659"/>
  </cols>
  <sheetData>
    <row r="1" spans="1:39" ht="20.100000000000001" customHeight="1" thickBot="1">
      <c r="A1" s="793" t="str">
        <f ca="1">RIGHT(CELL("filename",A4),LEN(CELL("filename",A4))-FIND("]",CELL("filename",A4)))</f>
        <v>入力（加算）幼</v>
      </c>
      <c r="B1" s="658"/>
      <c r="C1" s="658"/>
      <c r="D1" s="658"/>
      <c r="E1" s="658"/>
      <c r="F1" s="658"/>
      <c r="G1" s="658"/>
      <c r="H1" s="658"/>
      <c r="I1" s="658"/>
      <c r="J1" s="658"/>
      <c r="K1" s="658"/>
      <c r="L1" s="658"/>
      <c r="M1" s="658"/>
      <c r="N1" s="658"/>
      <c r="O1" s="658"/>
      <c r="P1" s="658"/>
      <c r="Q1" s="658"/>
      <c r="R1" s="1744" t="str">
        <f>CONCATENATE('入力（基本)'!G11)</f>
        <v/>
      </c>
      <c r="S1" s="1744"/>
      <c r="T1" s="1744"/>
      <c r="U1" s="1744"/>
      <c r="V1" s="794"/>
      <c r="W1" s="794"/>
      <c r="X1" s="658"/>
      <c r="AA1" s="663" t="s">
        <v>183</v>
      </c>
      <c r="AB1" s="795" t="s">
        <v>184</v>
      </c>
      <c r="AC1" s="662" t="s">
        <v>182</v>
      </c>
      <c r="AD1" s="663" t="s">
        <v>181</v>
      </c>
      <c r="AE1" s="662" t="s">
        <v>180</v>
      </c>
      <c r="AF1" s="663" t="s">
        <v>178</v>
      </c>
      <c r="AG1" s="1736" t="s">
        <v>179</v>
      </c>
      <c r="AH1" s="1737"/>
      <c r="AI1" s="663" t="s">
        <v>521</v>
      </c>
      <c r="AJ1" s="663" t="s">
        <v>185</v>
      </c>
      <c r="AK1" s="1729" t="s">
        <v>190</v>
      </c>
      <c r="AL1" s="1730"/>
      <c r="AM1" s="663" t="s">
        <v>528</v>
      </c>
    </row>
    <row r="2" spans="1:39" ht="20.100000000000001" customHeight="1" thickBot="1">
      <c r="A2" s="796"/>
      <c r="B2" s="1745" t="s">
        <v>869</v>
      </c>
      <c r="C2" s="1745"/>
      <c r="D2" s="1745"/>
      <c r="E2" s="1745"/>
      <c r="F2" s="1745"/>
      <c r="G2" s="1745"/>
      <c r="H2" s="1745"/>
      <c r="I2" s="1745"/>
      <c r="J2" s="1745"/>
      <c r="K2" s="1745"/>
      <c r="L2" s="1745"/>
      <c r="M2" s="1745"/>
      <c r="N2" s="1745"/>
      <c r="O2" s="1745"/>
      <c r="P2" s="1745"/>
      <c r="Q2" s="1745"/>
      <c r="R2" s="1745"/>
      <c r="S2" s="1745"/>
      <c r="T2" s="1745"/>
      <c r="U2" s="794"/>
      <c r="V2" s="658"/>
      <c r="AA2" s="797"/>
      <c r="AB2" s="798">
        <f>IF(ISERROR(VLOOKUP($D$10,$AA$3:$AB$14,2,FALSE)+1-VLOOKUP($D$9,$AA$3:$AB$14,2,FALSE)),0,VLOOKUP($D$10,$AA$3:$AB$14,2,FALSE)+1-VLOOKUP($D$9,$AA$3:$AB$14,2,FALSE))</f>
        <v>12</v>
      </c>
      <c r="AC2" s="662"/>
      <c r="AD2" s="663"/>
      <c r="AE2" s="662"/>
      <c r="AF2" s="663"/>
      <c r="AG2" s="663"/>
      <c r="AH2" s="663"/>
      <c r="AI2" s="663"/>
      <c r="AJ2" s="663"/>
      <c r="AK2" s="799">
        <v>1</v>
      </c>
      <c r="AL2" s="800">
        <v>1</v>
      </c>
      <c r="AM2" s="801">
        <f>IF(E25="あり",VLOOKUP($D$8,幼稚園1!$B$43:$BB$59,53,TRUE),1)</f>
        <v>1</v>
      </c>
    </row>
    <row r="3" spans="1:39" ht="20.100000000000001" customHeight="1">
      <c r="A3" s="796"/>
      <c r="B3" s="1745"/>
      <c r="C3" s="1745"/>
      <c r="D3" s="1745"/>
      <c r="E3" s="1745"/>
      <c r="F3" s="1745"/>
      <c r="G3" s="1745"/>
      <c r="H3" s="1745"/>
      <c r="I3" s="1745"/>
      <c r="J3" s="1745"/>
      <c r="K3" s="1745"/>
      <c r="L3" s="1745"/>
      <c r="M3" s="1745"/>
      <c r="N3" s="1745"/>
      <c r="O3" s="1745"/>
      <c r="P3" s="1745"/>
      <c r="Q3" s="1745"/>
      <c r="R3" s="1745"/>
      <c r="S3" s="1745"/>
      <c r="T3" s="1745"/>
      <c r="U3" s="794"/>
      <c r="V3" s="658"/>
      <c r="AA3" s="660">
        <v>4</v>
      </c>
      <c r="AB3" s="661">
        <v>1</v>
      </c>
      <c r="AC3" s="662" t="s">
        <v>18</v>
      </c>
      <c r="AD3" s="172">
        <v>3</v>
      </c>
      <c r="AE3" s="173">
        <v>6.3</v>
      </c>
      <c r="AF3" s="663" t="s">
        <v>19</v>
      </c>
      <c r="AG3" s="664" t="s">
        <v>189</v>
      </c>
      <c r="AH3" s="664"/>
      <c r="AI3" s="663" t="s">
        <v>519</v>
      </c>
      <c r="AJ3" s="662">
        <v>1</v>
      </c>
      <c r="AK3" s="799">
        <v>46</v>
      </c>
      <c r="AL3" s="800">
        <v>2</v>
      </c>
    </row>
    <row r="4" spans="1:39" ht="20.100000000000001" customHeight="1">
      <c r="A4" s="658"/>
      <c r="B4" s="400"/>
      <c r="C4" s="400"/>
      <c r="D4" s="400"/>
      <c r="E4" s="400"/>
      <c r="F4" s="400"/>
      <c r="G4" s="658"/>
      <c r="H4" s="658"/>
      <c r="I4" s="658"/>
      <c r="J4" s="658"/>
      <c r="K4" s="658"/>
      <c r="L4" s="658"/>
      <c r="M4" s="658"/>
      <c r="N4" s="658"/>
      <c r="O4" s="658"/>
      <c r="P4" s="658"/>
      <c r="Q4" s="658"/>
      <c r="R4" s="658"/>
      <c r="S4" s="658"/>
      <c r="T4" s="658"/>
      <c r="U4" s="658"/>
      <c r="V4" s="658"/>
      <c r="AA4" s="660">
        <v>5</v>
      </c>
      <c r="AB4" s="661">
        <v>2</v>
      </c>
      <c r="AC4" s="662" t="s">
        <v>19</v>
      </c>
      <c r="AD4" s="172">
        <v>4</v>
      </c>
      <c r="AE4" s="173">
        <v>4.3</v>
      </c>
      <c r="AF4" s="663" t="s">
        <v>176</v>
      </c>
      <c r="AG4" s="664">
        <f>1</f>
        <v>1</v>
      </c>
      <c r="AH4" s="664">
        <v>1</v>
      </c>
      <c r="AI4" s="663" t="s">
        <v>522</v>
      </c>
      <c r="AJ4" s="662">
        <v>2</v>
      </c>
      <c r="AK4" s="802">
        <v>151</v>
      </c>
      <c r="AL4" s="803">
        <v>3</v>
      </c>
    </row>
    <row r="5" spans="1:39" ht="20.100000000000001" customHeight="1">
      <c r="A5" s="658"/>
      <c r="B5" s="1734" t="s">
        <v>829</v>
      </c>
      <c r="C5" s="1734"/>
      <c r="D5" s="1734"/>
      <c r="E5" s="401"/>
      <c r="F5" s="973"/>
      <c r="G5" s="973"/>
      <c r="H5" s="973"/>
      <c r="I5" s="973"/>
      <c r="J5" s="973"/>
      <c r="K5" s="973"/>
      <c r="L5" s="973"/>
      <c r="M5" s="973"/>
      <c r="N5" s="973"/>
      <c r="O5" s="973"/>
      <c r="P5" s="973"/>
      <c r="Q5" s="973"/>
      <c r="R5" s="804" t="s">
        <v>122</v>
      </c>
      <c r="S5" s="658"/>
      <c r="T5" s="658"/>
      <c r="U5" s="658"/>
      <c r="V5" s="658"/>
      <c r="AA5" s="660">
        <v>6</v>
      </c>
      <c r="AB5" s="661">
        <v>3</v>
      </c>
      <c r="AD5" s="174">
        <v>5</v>
      </c>
      <c r="AE5" s="175">
        <v>2.4</v>
      </c>
      <c r="AF5" s="663" t="s">
        <v>177</v>
      </c>
      <c r="AG5" s="664" t="str">
        <f t="shared" ref="AG5:AG16" si="0">IF($J$21&gt;=AH5,AH5,"")</f>
        <v/>
      </c>
      <c r="AH5" s="664">
        <v>2</v>
      </c>
      <c r="AI5" s="663" t="s">
        <v>520</v>
      </c>
      <c r="AJ5" s="662">
        <v>3</v>
      </c>
      <c r="AK5" s="802">
        <v>241</v>
      </c>
      <c r="AL5" s="805">
        <v>3.5</v>
      </c>
    </row>
    <row r="6" spans="1:39" ht="30" customHeight="1">
      <c r="A6" s="658"/>
      <c r="B6" s="1735" t="s">
        <v>3</v>
      </c>
      <c r="C6" s="1735"/>
      <c r="D6" s="1731"/>
      <c r="E6" s="1731"/>
      <c r="F6" s="973"/>
      <c r="G6" s="973"/>
      <c r="H6" s="973"/>
      <c r="I6" s="973"/>
      <c r="J6" s="973"/>
      <c r="K6" s="973"/>
      <c r="L6" s="973"/>
      <c r="M6" s="973"/>
      <c r="N6" s="973"/>
      <c r="O6" s="973"/>
      <c r="P6" s="973"/>
      <c r="Q6" s="973"/>
      <c r="R6" s="806" t="s">
        <v>123</v>
      </c>
      <c r="S6" s="658" t="s">
        <v>120</v>
      </c>
      <c r="T6" s="658"/>
      <c r="U6" s="658"/>
      <c r="V6" s="658"/>
      <c r="AA6" s="660">
        <v>7</v>
      </c>
      <c r="AB6" s="661">
        <v>4</v>
      </c>
      <c r="AD6" s="172">
        <v>6</v>
      </c>
      <c r="AE6" s="173">
        <v>1.1000000000000001</v>
      </c>
      <c r="AG6" s="664" t="str">
        <f t="shared" si="0"/>
        <v/>
      </c>
      <c r="AH6" s="664">
        <v>3</v>
      </c>
      <c r="AI6" s="376"/>
      <c r="AJ6" s="662">
        <v>4</v>
      </c>
      <c r="AK6" s="799">
        <v>271</v>
      </c>
      <c r="AL6" s="800">
        <v>5</v>
      </c>
    </row>
    <row r="7" spans="1:39" ht="30" customHeight="1">
      <c r="A7" s="658"/>
      <c r="B7" s="1735" t="s">
        <v>4</v>
      </c>
      <c r="C7" s="1735"/>
      <c r="D7" s="1731" t="s">
        <v>5</v>
      </c>
      <c r="E7" s="1731"/>
      <c r="F7" s="973"/>
      <c r="G7" s="973"/>
      <c r="H7" s="973"/>
      <c r="I7" s="973"/>
      <c r="J7" s="973"/>
      <c r="K7" s="973"/>
      <c r="L7" s="973"/>
      <c r="M7" s="973"/>
      <c r="N7" s="973"/>
      <c r="O7" s="973"/>
      <c r="P7" s="973"/>
      <c r="Q7" s="973"/>
      <c r="R7" s="807" t="s">
        <v>124</v>
      </c>
      <c r="S7" s="796" t="s">
        <v>125</v>
      </c>
      <c r="T7" s="658"/>
      <c r="U7" s="658"/>
      <c r="V7" s="658"/>
      <c r="AA7" s="660">
        <v>8</v>
      </c>
      <c r="AB7" s="661">
        <v>5</v>
      </c>
      <c r="AG7" s="664" t="str">
        <f t="shared" si="0"/>
        <v/>
      </c>
      <c r="AH7" s="664">
        <v>3.5</v>
      </c>
      <c r="AI7" s="376"/>
      <c r="AJ7" s="662">
        <v>5</v>
      </c>
      <c r="AK7" s="799">
        <v>301</v>
      </c>
      <c r="AL7" s="800">
        <v>6</v>
      </c>
    </row>
    <row r="8" spans="1:39" ht="30" customHeight="1">
      <c r="A8" s="658"/>
      <c r="B8" s="1372" t="s">
        <v>2</v>
      </c>
      <c r="C8" s="1372" t="s">
        <v>173</v>
      </c>
      <c r="D8" s="1732">
        <f>'入力（基本)'!G12</f>
        <v>0</v>
      </c>
      <c r="E8" s="1732"/>
      <c r="F8" s="973"/>
      <c r="G8" s="973"/>
      <c r="H8" s="973"/>
      <c r="I8" s="973"/>
      <c r="J8" s="973"/>
      <c r="K8" s="973"/>
      <c r="L8" s="973"/>
      <c r="M8" s="973"/>
      <c r="N8" s="973"/>
      <c r="O8" s="973"/>
      <c r="P8" s="973"/>
      <c r="Q8" s="973"/>
      <c r="R8" s="658"/>
      <c r="S8" s="658"/>
      <c r="T8" s="658"/>
      <c r="U8" s="658"/>
      <c r="V8" s="658"/>
      <c r="AA8" s="660">
        <v>9</v>
      </c>
      <c r="AB8" s="661">
        <v>6</v>
      </c>
      <c r="AG8" s="664" t="str">
        <f t="shared" si="0"/>
        <v/>
      </c>
      <c r="AH8" s="664">
        <v>4</v>
      </c>
      <c r="AI8" s="376"/>
      <c r="AK8" s="808">
        <v>451</v>
      </c>
      <c r="AL8" s="809">
        <v>8</v>
      </c>
    </row>
    <row r="9" spans="1:39" ht="30" customHeight="1">
      <c r="A9" s="658"/>
      <c r="B9" s="1735" t="s">
        <v>134</v>
      </c>
      <c r="C9" s="1735"/>
      <c r="D9" s="1733">
        <v>4</v>
      </c>
      <c r="E9" s="1733"/>
      <c r="F9" s="973"/>
      <c r="G9" s="973"/>
      <c r="H9" s="973"/>
      <c r="I9" s="973"/>
      <c r="J9" s="973"/>
      <c r="K9" s="973"/>
      <c r="L9" s="973"/>
      <c r="M9" s="973"/>
      <c r="N9" s="973"/>
      <c r="O9" s="973"/>
      <c r="P9" s="973"/>
      <c r="Q9" s="973"/>
      <c r="R9" s="658"/>
      <c r="S9" s="658"/>
      <c r="T9" s="658"/>
      <c r="U9" s="658"/>
      <c r="V9" s="658"/>
      <c r="AA9" s="660">
        <v>10</v>
      </c>
      <c r="AB9" s="661">
        <v>7</v>
      </c>
      <c r="AG9" s="664" t="str">
        <f t="shared" si="0"/>
        <v/>
      </c>
      <c r="AH9" s="664">
        <v>4.5</v>
      </c>
    </row>
    <row r="10" spans="1:39" ht="30" customHeight="1">
      <c r="A10" s="658"/>
      <c r="B10" s="1735" t="s">
        <v>223</v>
      </c>
      <c r="C10" s="1735"/>
      <c r="D10" s="1733">
        <v>3</v>
      </c>
      <c r="E10" s="1733"/>
      <c r="F10" s="973"/>
      <c r="G10" s="973"/>
      <c r="H10" s="973"/>
      <c r="I10" s="973"/>
      <c r="J10" s="973"/>
      <c r="K10" s="973"/>
      <c r="L10" s="973"/>
      <c r="M10" s="973"/>
      <c r="N10" s="973"/>
      <c r="O10" s="973"/>
      <c r="P10" s="973"/>
      <c r="Q10" s="973"/>
      <c r="R10" s="658"/>
      <c r="S10" s="658"/>
      <c r="T10" s="658"/>
      <c r="U10" s="658"/>
      <c r="V10" s="658"/>
      <c r="AA10" s="660">
        <v>11</v>
      </c>
      <c r="AB10" s="661">
        <v>8</v>
      </c>
      <c r="AG10" s="664" t="str">
        <f t="shared" si="0"/>
        <v/>
      </c>
      <c r="AH10" s="664">
        <v>5</v>
      </c>
    </row>
    <row r="11" spans="1:39" ht="20.100000000000001" customHeight="1">
      <c r="A11" s="658"/>
      <c r="B11" s="658"/>
      <c r="C11" s="658"/>
      <c r="D11" s="658"/>
      <c r="E11" s="658"/>
      <c r="F11" s="973"/>
      <c r="G11" s="973"/>
      <c r="H11" s="973"/>
      <c r="I11" s="973"/>
      <c r="J11" s="973"/>
      <c r="K11" s="973"/>
      <c r="L11" s="973"/>
      <c r="M11" s="973"/>
      <c r="N11" s="973"/>
      <c r="O11" s="973"/>
      <c r="P11" s="973"/>
      <c r="Q11" s="973"/>
      <c r="R11" s="658"/>
      <c r="S11" s="658"/>
      <c r="T11" s="658"/>
      <c r="U11" s="658"/>
      <c r="V11" s="658"/>
      <c r="AA11" s="660">
        <v>12</v>
      </c>
      <c r="AB11" s="661">
        <v>9</v>
      </c>
      <c r="AG11" s="664" t="str">
        <f t="shared" si="0"/>
        <v/>
      </c>
      <c r="AH11" s="664">
        <v>5.5</v>
      </c>
    </row>
    <row r="12" spans="1:39" ht="20.100000000000001" customHeight="1">
      <c r="A12" s="658"/>
      <c r="B12" s="658"/>
      <c r="C12" s="658"/>
      <c r="D12" s="658"/>
      <c r="E12" s="658"/>
      <c r="F12" s="973"/>
      <c r="G12" s="973"/>
      <c r="H12" s="973"/>
      <c r="I12" s="973"/>
      <c r="J12" s="973"/>
      <c r="K12" s="973"/>
      <c r="L12" s="973"/>
      <c r="M12" s="973"/>
      <c r="N12" s="973"/>
      <c r="O12" s="973"/>
      <c r="P12" s="973"/>
      <c r="Q12" s="973"/>
      <c r="R12" s="658"/>
      <c r="S12" s="658"/>
      <c r="T12" s="658"/>
      <c r="U12" s="658"/>
      <c r="V12" s="658"/>
      <c r="AA12" s="660">
        <v>1</v>
      </c>
      <c r="AB12" s="661">
        <v>10</v>
      </c>
      <c r="AG12" s="664" t="str">
        <f t="shared" si="0"/>
        <v/>
      </c>
      <c r="AH12" s="664">
        <v>6</v>
      </c>
    </row>
    <row r="13" spans="1:39" ht="19.5" customHeight="1">
      <c r="A13" s="658"/>
      <c r="B13" s="658"/>
      <c r="C13" s="658"/>
      <c r="D13" s="658"/>
      <c r="E13" s="658"/>
      <c r="F13" s="973"/>
      <c r="G13" s="973"/>
      <c r="H13" s="973"/>
      <c r="I13" s="973"/>
      <c r="J13" s="973"/>
      <c r="K13" s="973"/>
      <c r="L13" s="973"/>
      <c r="M13" s="973"/>
      <c r="N13" s="973"/>
      <c r="O13" s="973"/>
      <c r="P13" s="973"/>
      <c r="Q13" s="973"/>
      <c r="R13" s="658"/>
      <c r="S13" s="658"/>
      <c r="T13" s="658"/>
      <c r="U13" s="658"/>
      <c r="V13" s="658"/>
      <c r="AA13" s="660">
        <v>2</v>
      </c>
      <c r="AB13" s="661">
        <v>11</v>
      </c>
      <c r="AG13" s="664" t="str">
        <f t="shared" si="0"/>
        <v/>
      </c>
      <c r="AH13" s="664">
        <v>6.5</v>
      </c>
    </row>
    <row r="14" spans="1:39" ht="20.100000000000001" customHeight="1">
      <c r="A14" s="658"/>
      <c r="B14" s="658"/>
      <c r="C14" s="658"/>
      <c r="D14" s="658"/>
      <c r="E14" s="658"/>
      <c r="F14" s="973"/>
      <c r="G14" s="973"/>
      <c r="H14" s="973"/>
      <c r="I14" s="973"/>
      <c r="J14" s="973"/>
      <c r="K14" s="973"/>
      <c r="L14" s="973"/>
      <c r="M14" s="973"/>
      <c r="N14" s="973"/>
      <c r="O14" s="973"/>
      <c r="P14" s="973"/>
      <c r="Q14" s="973"/>
      <c r="R14" s="658"/>
      <c r="S14" s="658"/>
      <c r="T14" s="658"/>
      <c r="U14" s="658"/>
      <c r="V14" s="658"/>
      <c r="AA14" s="660">
        <v>3</v>
      </c>
      <c r="AB14" s="661">
        <v>12</v>
      </c>
      <c r="AG14" s="664" t="str">
        <f t="shared" si="0"/>
        <v/>
      </c>
      <c r="AH14" s="664">
        <v>7</v>
      </c>
    </row>
    <row r="15" spans="1:39" ht="20.100000000000001" customHeight="1">
      <c r="A15" s="658"/>
      <c r="B15" s="658"/>
      <c r="C15" s="658"/>
      <c r="D15" s="658"/>
      <c r="E15" s="658"/>
      <c r="F15" s="973"/>
      <c r="G15" s="973"/>
      <c r="H15" s="973"/>
      <c r="I15" s="973"/>
      <c r="J15" s="973"/>
      <c r="K15" s="973"/>
      <c r="L15" s="973"/>
      <c r="M15" s="973"/>
      <c r="N15" s="973"/>
      <c r="O15" s="973"/>
      <c r="P15" s="973"/>
      <c r="Q15" s="973"/>
      <c r="R15" s="658"/>
      <c r="S15" s="658"/>
      <c r="T15" s="658"/>
      <c r="U15" s="658"/>
      <c r="V15" s="658"/>
      <c r="AA15" s="966"/>
      <c r="AB15" s="843"/>
      <c r="AG15" s="664" t="str">
        <f t="shared" si="0"/>
        <v/>
      </c>
      <c r="AH15" s="664">
        <v>7.5</v>
      </c>
    </row>
    <row r="16" spans="1:39" ht="29.25" customHeight="1">
      <c r="A16" s="658"/>
      <c r="B16" s="658"/>
      <c r="C16" s="658"/>
      <c r="D16" s="658"/>
      <c r="E16" s="658"/>
      <c r="F16" s="973"/>
      <c r="G16" s="973"/>
      <c r="H16" s="973"/>
      <c r="I16" s="973"/>
      <c r="J16" s="973"/>
      <c r="K16" s="973"/>
      <c r="L16" s="973"/>
      <c r="M16" s="973"/>
      <c r="N16" s="973"/>
      <c r="O16" s="973"/>
      <c r="P16" s="973"/>
      <c r="Q16" s="973"/>
      <c r="R16" s="658"/>
      <c r="S16" s="658"/>
      <c r="T16" s="658"/>
      <c r="U16" s="658"/>
      <c r="V16" s="658"/>
      <c r="AG16" s="664" t="str">
        <f t="shared" si="0"/>
        <v/>
      </c>
      <c r="AH16" s="664">
        <v>8</v>
      </c>
    </row>
    <row r="17" spans="1:34" ht="20.100000000000001" customHeight="1">
      <c r="A17" s="658"/>
      <c r="B17" s="1734" t="s">
        <v>121</v>
      </c>
      <c r="C17" s="1734"/>
      <c r="D17" s="658"/>
      <c r="E17" s="658"/>
      <c r="F17" s="658"/>
      <c r="G17" s="658"/>
      <c r="H17" s="658"/>
      <c r="I17" s="658"/>
      <c r="J17" s="658"/>
      <c r="K17" s="658"/>
      <c r="L17" s="658"/>
      <c r="M17" s="658"/>
      <c r="N17" s="658"/>
      <c r="O17" s="658"/>
      <c r="P17" s="658"/>
      <c r="Q17" s="658"/>
      <c r="R17" s="658"/>
      <c r="S17" s="658"/>
      <c r="T17" s="658"/>
      <c r="U17" s="658"/>
      <c r="V17" s="658"/>
    </row>
    <row r="18" spans="1:34" ht="20.100000000000001" customHeight="1">
      <c r="A18" s="658"/>
      <c r="B18" s="1746" t="s">
        <v>174</v>
      </c>
      <c r="C18" s="1517"/>
      <c r="D18" s="404" t="s">
        <v>531</v>
      </c>
      <c r="E18" s="405"/>
      <c r="F18" s="405"/>
      <c r="G18" s="405"/>
      <c r="H18" s="405"/>
      <c r="I18" s="405"/>
      <c r="J18" s="405"/>
      <c r="K18" s="405"/>
      <c r="L18" s="404"/>
      <c r="M18" s="406"/>
      <c r="N18" s="811">
        <f>COUNT(L21:M21)</f>
        <v>0</v>
      </c>
      <c r="O18" s="375"/>
      <c r="P18" s="375"/>
      <c r="Q18" s="658"/>
      <c r="R18" s="658"/>
      <c r="S18" s="658"/>
      <c r="T18" s="658"/>
      <c r="U18" s="658"/>
    </row>
    <row r="19" spans="1:34" ht="31.5" customHeight="1">
      <c r="A19" s="658"/>
      <c r="B19" s="1747"/>
      <c r="C19" s="1748"/>
      <c r="D19" s="1726" t="s">
        <v>9</v>
      </c>
      <c r="E19" s="1726" t="s">
        <v>10</v>
      </c>
      <c r="F19" s="1726" t="s">
        <v>11</v>
      </c>
      <c r="G19" s="1726" t="s">
        <v>12</v>
      </c>
      <c r="H19" s="1726" t="s">
        <v>766</v>
      </c>
      <c r="I19" s="1726" t="s">
        <v>13</v>
      </c>
      <c r="J19" s="1726" t="s">
        <v>191</v>
      </c>
      <c r="K19" s="1726" t="s">
        <v>14</v>
      </c>
      <c r="L19" s="1719" t="s">
        <v>524</v>
      </c>
      <c r="M19" s="1721" t="s">
        <v>525</v>
      </c>
      <c r="N19" s="812" t="str">
        <f>IF(N18&gt;1,"【注意】　給食実施加算は「調理・搬入」 のどちらか一方しか選択できません！","")</f>
        <v/>
      </c>
      <c r="O19" s="375"/>
      <c r="P19" s="375"/>
      <c r="Q19" s="375"/>
      <c r="R19" s="375"/>
      <c r="S19" s="658"/>
      <c r="T19" s="658"/>
      <c r="U19" s="658"/>
      <c r="AA19" s="376"/>
    </row>
    <row r="20" spans="1:34" ht="20.100000000000001" customHeight="1">
      <c r="A20" s="658"/>
      <c r="B20" s="1747"/>
      <c r="C20" s="1748"/>
      <c r="D20" s="1727"/>
      <c r="E20" s="1727"/>
      <c r="F20" s="1727"/>
      <c r="G20" s="1727"/>
      <c r="H20" s="1727"/>
      <c r="I20" s="1727"/>
      <c r="J20" s="1727"/>
      <c r="K20" s="1727"/>
      <c r="L20" s="1720"/>
      <c r="M20" s="1722"/>
      <c r="N20" s="812"/>
      <c r="O20" s="375"/>
      <c r="P20" s="375"/>
      <c r="Q20" s="375"/>
      <c r="R20" s="375"/>
      <c r="S20" s="658"/>
      <c r="T20" s="658"/>
      <c r="U20" s="658"/>
      <c r="Z20" s="376"/>
    </row>
    <row r="21" spans="1:34" ht="31.5" customHeight="1">
      <c r="A21" s="658"/>
      <c r="B21" s="1747"/>
      <c r="C21" s="1748"/>
      <c r="D21" s="715" t="s">
        <v>119</v>
      </c>
      <c r="E21" s="185"/>
      <c r="F21" s="185"/>
      <c r="G21" s="185"/>
      <c r="H21" s="727"/>
      <c r="I21" s="727"/>
      <c r="J21" s="442">
        <f>IFERROR(VLOOKUP($D$8,AK2:AL8,2,TRUE),0)</f>
        <v>0</v>
      </c>
      <c r="K21" s="185"/>
      <c r="L21" s="654"/>
      <c r="M21" s="728"/>
      <c r="N21" s="812"/>
      <c r="O21" s="813"/>
      <c r="P21" s="813"/>
      <c r="Q21" s="813"/>
      <c r="R21" s="658"/>
      <c r="S21" s="814"/>
      <c r="T21" s="814"/>
      <c r="U21" s="814"/>
    </row>
    <row r="22" spans="1:34" ht="31.5" customHeight="1">
      <c r="A22" s="814"/>
      <c r="B22" s="1747"/>
      <c r="C22" s="1748"/>
      <c r="D22" s="425" t="s">
        <v>228</v>
      </c>
      <c r="E22" s="425" t="s">
        <v>229</v>
      </c>
      <c r="F22" s="405" t="s">
        <v>230</v>
      </c>
      <c r="G22" s="405"/>
      <c r="H22" s="405"/>
      <c r="I22" s="405"/>
      <c r="J22" s="405"/>
      <c r="K22" s="406"/>
      <c r="L22" s="406"/>
      <c r="M22" s="375"/>
      <c r="N22" s="375"/>
      <c r="O22" s="375"/>
      <c r="P22" s="375"/>
      <c r="Q22" s="375"/>
      <c r="R22" s="658"/>
      <c r="S22" s="658"/>
      <c r="T22" s="658"/>
      <c r="U22" s="658"/>
    </row>
    <row r="23" spans="1:34" ht="31.5" customHeight="1">
      <c r="A23" s="814"/>
      <c r="B23" s="1747"/>
      <c r="C23" s="1748"/>
      <c r="D23" s="1728" t="s">
        <v>92</v>
      </c>
      <c r="E23" s="1728" t="s">
        <v>518</v>
      </c>
      <c r="F23" s="1728" t="s">
        <v>15</v>
      </c>
      <c r="G23" s="1728" t="s">
        <v>16</v>
      </c>
      <c r="H23" s="1728" t="s">
        <v>17</v>
      </c>
      <c r="I23" s="1728" t="s">
        <v>175</v>
      </c>
      <c r="J23" s="1728" t="s">
        <v>116</v>
      </c>
      <c r="K23" s="1728" t="s">
        <v>117</v>
      </c>
      <c r="L23" s="1728" t="s">
        <v>511</v>
      </c>
      <c r="M23" s="814"/>
      <c r="N23" s="814"/>
      <c r="O23" s="814"/>
      <c r="P23" s="814"/>
      <c r="Q23" s="814"/>
      <c r="R23" s="814"/>
      <c r="S23" s="814"/>
      <c r="T23" s="814"/>
      <c r="U23" s="814"/>
    </row>
    <row r="24" spans="1:34" ht="31.5" customHeight="1">
      <c r="A24" s="814"/>
      <c r="B24" s="1747"/>
      <c r="C24" s="1748"/>
      <c r="D24" s="1710"/>
      <c r="E24" s="1710"/>
      <c r="F24" s="1710"/>
      <c r="G24" s="1710"/>
      <c r="H24" s="1710"/>
      <c r="I24" s="1710"/>
      <c r="J24" s="1710"/>
      <c r="K24" s="1710"/>
      <c r="L24" s="1710"/>
      <c r="M24" s="814"/>
      <c r="N24" s="814"/>
      <c r="O24" s="814"/>
      <c r="P24" s="814"/>
      <c r="Q24" s="814"/>
      <c r="R24" s="814"/>
      <c r="S24" s="814"/>
      <c r="T24" s="814"/>
      <c r="U24" s="814"/>
    </row>
    <row r="25" spans="1:34" ht="30.75" customHeight="1">
      <c r="A25" s="658"/>
      <c r="B25" s="1749"/>
      <c r="C25" s="1519"/>
      <c r="D25" s="185"/>
      <c r="E25" s="185"/>
      <c r="F25" s="185"/>
      <c r="G25" s="185"/>
      <c r="H25" s="185"/>
      <c r="I25" s="185"/>
      <c r="J25" s="185"/>
      <c r="K25" s="185"/>
      <c r="L25" s="185"/>
      <c r="M25" s="814"/>
      <c r="N25" s="814"/>
      <c r="O25" s="814"/>
      <c r="P25" s="814"/>
      <c r="Q25" s="814"/>
      <c r="R25" s="814"/>
      <c r="S25" s="658"/>
      <c r="T25" s="658"/>
      <c r="U25" s="658"/>
      <c r="V25" s="196"/>
      <c r="W25" s="196"/>
      <c r="AA25" s="196"/>
      <c r="AB25" s="196"/>
      <c r="AG25" s="196"/>
      <c r="AH25" s="196"/>
    </row>
    <row r="26" spans="1:34" s="196" customFormat="1" ht="21.75" customHeight="1">
      <c r="A26" s="658"/>
      <c r="B26" s="403"/>
      <c r="C26" s="403"/>
      <c r="D26" s="403"/>
      <c r="E26" s="403"/>
      <c r="F26" s="403"/>
      <c r="G26" s="403"/>
      <c r="H26" s="403"/>
      <c r="I26" s="403"/>
      <c r="J26" s="403"/>
      <c r="K26" s="403"/>
      <c r="L26" s="403"/>
      <c r="M26" s="814"/>
      <c r="N26" s="814"/>
      <c r="O26" s="814"/>
      <c r="P26" s="814"/>
      <c r="Q26" s="814"/>
      <c r="R26" s="814"/>
      <c r="S26" s="815"/>
      <c r="T26" s="815"/>
      <c r="U26" s="816"/>
      <c r="V26" s="659"/>
      <c r="W26" s="1752"/>
      <c r="X26" s="1752"/>
      <c r="Y26" s="928"/>
      <c r="Z26" s="659"/>
      <c r="AA26" s="659"/>
      <c r="AB26" s="659"/>
      <c r="AG26" s="659"/>
      <c r="AH26" s="659"/>
    </row>
    <row r="27" spans="1:34" ht="19.5" hidden="1" customHeight="1" thickBot="1">
      <c r="A27" s="658"/>
      <c r="B27" s="1718" t="s">
        <v>129</v>
      </c>
      <c r="C27" s="1718"/>
      <c r="D27" s="403"/>
      <c r="E27" s="403"/>
      <c r="F27" s="403"/>
      <c r="G27" s="403"/>
      <c r="H27" s="403"/>
      <c r="I27" s="403"/>
      <c r="J27" s="403"/>
      <c r="K27" s="403"/>
      <c r="L27" s="403"/>
      <c r="M27" s="814"/>
      <c r="N27" s="814"/>
      <c r="O27" s="814"/>
      <c r="P27" s="814"/>
      <c r="Q27" s="814"/>
      <c r="R27" s="814"/>
      <c r="S27" s="815"/>
      <c r="T27" s="815"/>
      <c r="U27" s="816"/>
      <c r="V27" s="196"/>
      <c r="W27" s="1751"/>
      <c r="X27" s="1751"/>
      <c r="Y27" s="843"/>
      <c r="AA27" s="196"/>
      <c r="AB27" s="196"/>
      <c r="AG27" s="196"/>
      <c r="AH27" s="196"/>
    </row>
    <row r="28" spans="1:34" s="196" customFormat="1" ht="20.100000000000001" hidden="1" customHeight="1" thickBot="1">
      <c r="A28" s="658"/>
      <c r="B28" s="658"/>
      <c r="C28" s="658"/>
      <c r="D28" s="1738" t="s">
        <v>149</v>
      </c>
      <c r="E28" s="1739"/>
      <c r="F28" s="1739"/>
      <c r="G28" s="1739"/>
      <c r="H28" s="1739"/>
      <c r="I28" s="1739"/>
      <c r="J28" s="1739"/>
      <c r="K28" s="1739"/>
      <c r="L28" s="1739"/>
      <c r="M28" s="1739"/>
      <c r="N28" s="1739"/>
      <c r="O28" s="1739"/>
      <c r="P28" s="1739"/>
      <c r="Q28" s="1739"/>
      <c r="R28" s="1739"/>
      <c r="S28" s="1739"/>
      <c r="T28" s="1739"/>
      <c r="U28" s="1740"/>
      <c r="V28" s="659"/>
      <c r="W28" s="1751"/>
      <c r="X28" s="1751"/>
      <c r="Y28" s="376"/>
      <c r="Z28" s="659"/>
      <c r="AA28" s="659"/>
      <c r="AB28" s="659"/>
      <c r="AG28" s="659"/>
      <c r="AH28" s="659"/>
    </row>
    <row r="29" spans="1:34" ht="20.100000000000001" hidden="1" customHeight="1">
      <c r="A29" s="658"/>
      <c r="B29" s="1713" t="s">
        <v>186</v>
      </c>
      <c r="C29" s="1714"/>
      <c r="D29" s="1711" t="s">
        <v>9</v>
      </c>
      <c r="E29" s="1709" t="s">
        <v>10</v>
      </c>
      <c r="F29" s="1709" t="s">
        <v>11</v>
      </c>
      <c r="G29" s="1709" t="s">
        <v>12</v>
      </c>
      <c r="H29" s="1709" t="s">
        <v>246</v>
      </c>
      <c r="I29" s="1709" t="s">
        <v>13</v>
      </c>
      <c r="J29" s="1709" t="s">
        <v>14</v>
      </c>
      <c r="K29" s="1709" t="s">
        <v>524</v>
      </c>
      <c r="L29" s="1709" t="s">
        <v>525</v>
      </c>
      <c r="M29" s="1741" t="s">
        <v>92</v>
      </c>
      <c r="N29" s="253" t="s">
        <v>526</v>
      </c>
      <c r="O29" s="1709" t="s">
        <v>15</v>
      </c>
      <c r="P29" s="1709" t="s">
        <v>16</v>
      </c>
      <c r="Q29" s="1709" t="s">
        <v>17</v>
      </c>
      <c r="R29" s="1709" t="s">
        <v>175</v>
      </c>
      <c r="S29" s="1709" t="s">
        <v>116</v>
      </c>
      <c r="T29" s="1709" t="s">
        <v>117</v>
      </c>
      <c r="U29" s="1709" t="s">
        <v>573</v>
      </c>
      <c r="V29" s="816"/>
      <c r="W29" s="1751"/>
      <c r="X29" s="1751"/>
      <c r="Y29" s="843"/>
    </row>
    <row r="30" spans="1:34" ht="20.100000000000001" hidden="1" customHeight="1">
      <c r="A30" s="658"/>
      <c r="B30" s="1715"/>
      <c r="C30" s="1716"/>
      <c r="D30" s="1712"/>
      <c r="E30" s="1710"/>
      <c r="F30" s="1710"/>
      <c r="G30" s="1710"/>
      <c r="H30" s="1710"/>
      <c r="I30" s="1710"/>
      <c r="J30" s="1710"/>
      <c r="K30" s="1710"/>
      <c r="L30" s="1710"/>
      <c r="M30" s="1742"/>
      <c r="N30" s="254" t="str">
        <f>IF($AM$2=1,"",CONCATENATE("（乗除調整",TEXT(AM2,"##/100"),")"))</f>
        <v/>
      </c>
      <c r="O30" s="1750"/>
      <c r="P30" s="1710"/>
      <c r="Q30" s="1710"/>
      <c r="R30" s="1710"/>
      <c r="S30" s="1710"/>
      <c r="T30" s="1710"/>
      <c r="U30" s="1710"/>
      <c r="V30" s="816"/>
      <c r="W30" s="1751"/>
      <c r="X30" s="1751"/>
      <c r="Y30" s="843"/>
    </row>
    <row r="31" spans="1:34" ht="20.100000000000001" hidden="1" customHeight="1">
      <c r="A31" s="658"/>
      <c r="B31" s="1534" t="s">
        <v>6</v>
      </c>
      <c r="C31" s="1717"/>
      <c r="D31" s="817" t="e">
        <f>IF($D$21="あり",VLOOKUP($D$8,幼稚園1!$B$61:$BB$77,8,TRUE),0)</f>
        <v>#N/A</v>
      </c>
      <c r="E31" s="817">
        <f>IF($E$21="あり",VLOOKUP($D$8,幼稚園1!$B$43:$BB$59,14,TRUE),0)</f>
        <v>0</v>
      </c>
      <c r="F31" s="817">
        <f>IF($F$21="あり",VLOOKUP($D$8,幼稚園1!$B$61:$BB$77,17,TRUE),0)</f>
        <v>0</v>
      </c>
      <c r="G31" s="817">
        <f>IF(AND(OR($F$21="なし",$F$21=""),$G$21="あり"),VLOOKUP($D$8,幼稚園1!$B$61:$BB$77,21,TRUE),IF(AND($F$21="あり",$G$21="あり"),VLOOKUP($D$8,幼稚園1!$B$61:$BB$77,25,TRUE),0))</f>
        <v>0</v>
      </c>
      <c r="H31" s="817">
        <f>IF(OR($D$8&lt;=35,$D$8&gt;=121),IF($H$21="あり",VLOOKUP($D$8,幼稚園1!$B$43:$BB$59,29,TRUE),0),0)</f>
        <v>0</v>
      </c>
      <c r="I31" s="817">
        <f>IF(AND($I$21&lt;&gt;"なし",$I$21&lt;&gt;""),VLOOKUP($D$8,幼稚園1!$B$43:$BB$59,33,TRUE)*$I$21,0)</f>
        <v>0</v>
      </c>
      <c r="J31" s="817">
        <f>IF(K$21="あり",VLOOKUP($D$8,幼稚園1!$B$43:$BB$59,37,TRUE),0)</f>
        <v>0</v>
      </c>
      <c r="K31" s="817" t="e">
        <f>IF($L$21&lt;&gt;"なし",VLOOKUP($D$8,幼稚園1!$B$43:$BB$59,41,TRUE)*$L$21,0)</f>
        <v>#N/A</v>
      </c>
      <c r="L31" s="817" t="e">
        <f>IF(AND($M$21&lt;&gt;"なし",$N$18&lt;=1),VLOOKUP($D$8,幼稚園1!$B$43:$BB$59,45,TRUE)*$M$21,0)</f>
        <v>#N/A</v>
      </c>
      <c r="M31" s="818" t="e">
        <f>-IF($D$25&lt;&gt;"なし",VLOOKUP($D$8,幼稚園1!$B$43:$BB$59,51,TRUE)*$D$25,0)</f>
        <v>#N/A</v>
      </c>
      <c r="N31" s="819" t="e">
        <f>IF($AM$2=1,SUM(D31:M31),IF(ROUNDDOWN(SUM(D31:M31)*$AM$2,-1)&lt;10,ROUNDDOWN(SUM(D31:M31)*$AM$2,0),(ROUNDDOWN(SUM(D31:M31)*$AM$2,-1))))</f>
        <v>#N/A</v>
      </c>
      <c r="O31" s="820">
        <f>IF($F$25="あり",IF(ROUNDDOWN(幼稚園2!$K$4/$K$41,-1)&lt;10,ROUNDDOWN(幼稚園2!$K$4/$K$41,0),ROUNDDOWN(幼稚園2!$K$4/$K$41,-1)),0)</f>
        <v>0</v>
      </c>
      <c r="P31" s="817">
        <f>IF($G$25="あり",IF(ROUNDDOWN(幼稚園2!$K$8/$K$41,-1)&lt;10,ROUNDDOWN(幼稚園2!$K$8/$K$41,0),ROUNDDOWN(幼稚園2!$K$8/$K$41,-1)),0)</f>
        <v>0</v>
      </c>
      <c r="Q31" s="817">
        <f>IF($H$25="特児",IF(ROUNDDOWN(幼稚園2!$K$12/$K$41,-1)&lt;10,ROUNDDOWN(幼稚園2!$K$12/$K$41,0),ROUNDDOWN(幼稚園2!$K$12/$K$41,-1)),IF($H$25="その他",IF(ROUNDDOWN(幼稚園2!$K$15/$K$41,-1)&lt;10,ROUNDDOWN(幼稚園2!$K$15/$K$41,0),ROUNDDOWN(幼稚園2!$K$15/$K$41,-1)),0))</f>
        <v>0</v>
      </c>
      <c r="R31" s="817">
        <f>IF($D$8&gt;=91,IF($I$25="あり",IF(ROUNDDOWN(幼稚園2!$K$19/$K$41,-1)&lt;10,ROUNDDOWN(幼稚園2!$K$19/$K$41,0),ROUNDDOWN(幼稚園2!$K$19/$K$41,-1)),0),0)</f>
        <v>0</v>
      </c>
      <c r="S31" s="817">
        <f>IF($D$8&gt;=271,IF($J$25="あり",IF(ROUNDDOWN(幼稚園2!$K$23/$K$41,-1)&lt;10,ROUNDDOWN(幼稚園2!$K$23/$K$41,0),ROUNDDOWN(幼稚園2!$K$23/$K$41,-1)),0),0)</f>
        <v>0</v>
      </c>
      <c r="T31" s="817">
        <f>IF($D$8&gt;=271,IF($K$25="あり",IF(ROUNDDOWN(幼稚園2!$K$27/$K$41,-1)&lt;10,ROUNDDOWN(幼稚園2!$K$27/$K$41,0),ROUNDDOWN(幼稚園2!$K$27/$K$41,-1)),0),0)</f>
        <v>0</v>
      </c>
      <c r="U31" s="817">
        <f>IF(L$25="配置",IF(ROUNDDOWN(幼稚園2!$K$62/$K$41,-1)&lt;10,ROUNDDOWN(幼稚園2!$K$62/$K$41,0),ROUNDDOWN(幼稚園2!$K$62/$K$41,-1)),IF(L$25="兼務",IF(ROUNDDOWN(幼稚園2!$K$65/$K$41,-1)&lt;10,ROUNDDOWN(幼稚園2!$K$65/$K$41,0),ROUNDDOWN(幼稚園2!$K$65/$K$41,-1)),0))</f>
        <v>0</v>
      </c>
      <c r="V31" s="178"/>
    </row>
    <row r="32" spans="1:34" ht="20.100000000000001" hidden="1" customHeight="1">
      <c r="A32" s="658"/>
      <c r="B32" s="1534" t="s">
        <v>7</v>
      </c>
      <c r="C32" s="1717"/>
      <c r="D32" s="817" t="e">
        <f>D31</f>
        <v>#N/A</v>
      </c>
      <c r="E32" s="817">
        <f>E31</f>
        <v>0</v>
      </c>
      <c r="F32" s="817">
        <f>F31</f>
        <v>0</v>
      </c>
      <c r="G32" s="821"/>
      <c r="H32" s="817">
        <f t="shared" ref="H32:L33" si="1">H31</f>
        <v>0</v>
      </c>
      <c r="I32" s="817">
        <f>I31</f>
        <v>0</v>
      </c>
      <c r="J32" s="817">
        <f t="shared" si="1"/>
        <v>0</v>
      </c>
      <c r="K32" s="817" t="e">
        <f t="shared" si="1"/>
        <v>#N/A</v>
      </c>
      <c r="L32" s="817" t="e">
        <f t="shared" si="1"/>
        <v>#N/A</v>
      </c>
      <c r="M32" s="818" t="e">
        <f>-IF($D$25&lt;&gt;"なし",VLOOKUP($D$8,幼稚園1!$B$43:$BB$59,51,TRUE)*$D$25,0)</f>
        <v>#N/A</v>
      </c>
      <c r="N32" s="819" t="e">
        <f>IF($AM$2=1,SUM(D32:M32),IF(ROUNDDOWN(SUM(D32:M32)*$AM$2,-1)&lt;10,ROUNDDOWN(SUM(D32:M32)*$AM$2,0),(ROUNDDOWN(SUM(D32:M32)*$AM$2,-1))))</f>
        <v>#N/A</v>
      </c>
      <c r="O32" s="820">
        <f t="shared" ref="O32:U33" si="2">O31</f>
        <v>0</v>
      </c>
      <c r="P32" s="817">
        <f t="shared" si="2"/>
        <v>0</v>
      </c>
      <c r="Q32" s="817">
        <f t="shared" si="2"/>
        <v>0</v>
      </c>
      <c r="R32" s="817">
        <f t="shared" si="2"/>
        <v>0</v>
      </c>
      <c r="S32" s="817">
        <f t="shared" si="2"/>
        <v>0</v>
      </c>
      <c r="T32" s="817">
        <f>T31</f>
        <v>0</v>
      </c>
      <c r="U32" s="817">
        <f>U31</f>
        <v>0</v>
      </c>
      <c r="V32" s="822"/>
      <c r="W32" s="822"/>
    </row>
    <row r="33" spans="1:24" hidden="1">
      <c r="A33" s="658"/>
      <c r="B33" s="1534" t="s">
        <v>8</v>
      </c>
      <c r="C33" s="1717"/>
      <c r="D33" s="817" t="e">
        <f>IF($D$21="あり",VLOOKUP($D$8,幼稚園1!$B$43:$BB$59,8,TRUE),0)</f>
        <v>#N/A</v>
      </c>
      <c r="E33" s="817">
        <f>E32</f>
        <v>0</v>
      </c>
      <c r="F33" s="821"/>
      <c r="G33" s="821"/>
      <c r="H33" s="817">
        <f t="shared" si="1"/>
        <v>0</v>
      </c>
      <c r="I33" s="817">
        <f>I32</f>
        <v>0</v>
      </c>
      <c r="J33" s="817">
        <f t="shared" si="1"/>
        <v>0</v>
      </c>
      <c r="K33" s="817" t="e">
        <f t="shared" si="1"/>
        <v>#N/A</v>
      </c>
      <c r="L33" s="817" t="e">
        <f t="shared" si="1"/>
        <v>#N/A</v>
      </c>
      <c r="M33" s="818" t="e">
        <f>-IF($D$25&lt;&gt;"なし",VLOOKUP($D$8,幼稚園1!$B$43:$BB$59,51,TRUE)*$D$25,0)</f>
        <v>#N/A</v>
      </c>
      <c r="N33" s="819" t="e">
        <f>IF($AM$2=1,SUM(D33:M33),IF(ROUNDDOWN(SUM(D33:M33)*$AM$2,-1)&lt;10,ROUNDDOWN(SUM(D33:M33)*$AM$2,0),(ROUNDDOWN(SUM(D33:M33)*$AM$2,-1))))</f>
        <v>#N/A</v>
      </c>
      <c r="O33" s="820">
        <f t="shared" si="2"/>
        <v>0</v>
      </c>
      <c r="P33" s="817">
        <f t="shared" si="2"/>
        <v>0</v>
      </c>
      <c r="Q33" s="817">
        <f t="shared" si="2"/>
        <v>0</v>
      </c>
      <c r="R33" s="817">
        <f t="shared" si="2"/>
        <v>0</v>
      </c>
      <c r="S33" s="817">
        <f t="shared" si="2"/>
        <v>0</v>
      </c>
      <c r="T33" s="817">
        <f>T32</f>
        <v>0</v>
      </c>
      <c r="U33" s="817">
        <f t="shared" si="2"/>
        <v>0</v>
      </c>
      <c r="V33" s="822"/>
      <c r="W33" s="1743"/>
      <c r="X33" s="1743"/>
    </row>
    <row r="34" spans="1:24" ht="20.100000000000001" hidden="1" customHeight="1">
      <c r="A34" s="658"/>
      <c r="B34" s="658"/>
      <c r="C34" s="658"/>
      <c r="D34" s="658"/>
      <c r="E34" s="658"/>
      <c r="F34" s="658"/>
      <c r="G34" s="658"/>
      <c r="H34" s="658"/>
      <c r="I34" s="658"/>
      <c r="J34" s="658"/>
      <c r="K34" s="658"/>
      <c r="L34" s="724"/>
      <c r="M34" s="814"/>
      <c r="N34" s="814"/>
      <c r="O34" s="814"/>
      <c r="P34" s="814"/>
      <c r="Q34" s="814"/>
      <c r="R34" s="814"/>
      <c r="S34" s="822"/>
      <c r="T34" s="822"/>
      <c r="U34" s="822"/>
      <c r="V34" s="822"/>
      <c r="W34" s="823"/>
      <c r="X34" s="823"/>
    </row>
    <row r="35" spans="1:24" ht="20.100000000000001" hidden="1" customHeight="1" thickBot="1">
      <c r="A35" s="658"/>
      <c r="B35" s="658"/>
      <c r="C35" s="658"/>
      <c r="D35" s="658"/>
      <c r="E35" s="822"/>
      <c r="F35" s="822"/>
      <c r="G35" s="822"/>
      <c r="H35" s="658"/>
      <c r="I35" s="822"/>
      <c r="K35" s="658"/>
      <c r="L35" s="822"/>
      <c r="M35" s="822"/>
      <c r="N35" s="822"/>
      <c r="O35" s="822"/>
      <c r="P35" s="822"/>
      <c r="Q35" s="724"/>
      <c r="R35" s="724"/>
      <c r="S35" s="822"/>
      <c r="T35" s="822"/>
      <c r="U35" s="822"/>
      <c r="V35" s="822"/>
      <c r="W35" s="823"/>
      <c r="X35" s="823"/>
    </row>
    <row r="36" spans="1:24" ht="54.75" hidden="1" customHeight="1" thickBot="1">
      <c r="A36" s="658"/>
      <c r="B36" s="824" t="s">
        <v>128</v>
      </c>
      <c r="C36" s="658"/>
      <c r="D36" s="658"/>
      <c r="E36" s="658"/>
      <c r="F36" s="658"/>
      <c r="G36" s="658"/>
      <c r="H36" s="658"/>
      <c r="I36" s="822"/>
      <c r="J36" s="824" t="s">
        <v>818</v>
      </c>
      <c r="K36" s="928"/>
      <c r="L36" s="665" t="s">
        <v>529</v>
      </c>
      <c r="M36" s="1574" t="s">
        <v>816</v>
      </c>
      <c r="N36" s="1575"/>
      <c r="O36" s="1576" t="s">
        <v>817</v>
      </c>
      <c r="P36" s="1577"/>
      <c r="Q36" s="1578" t="s">
        <v>867</v>
      </c>
      <c r="R36" s="1579"/>
      <c r="S36" s="1578" t="s">
        <v>868</v>
      </c>
      <c r="T36" s="1579"/>
      <c r="U36" s="178"/>
      <c r="V36" s="822"/>
      <c r="W36" s="823"/>
      <c r="X36" s="823"/>
    </row>
    <row r="37" spans="1:24" ht="63.75" hidden="1" customHeight="1">
      <c r="A37" s="658"/>
      <c r="B37" s="658"/>
      <c r="C37" s="658"/>
      <c r="D37" s="658"/>
      <c r="E37" s="658"/>
      <c r="F37" s="658"/>
      <c r="G37" s="658"/>
      <c r="H37" s="658"/>
      <c r="I37" s="182"/>
      <c r="J37" s="940" t="s">
        <v>186</v>
      </c>
      <c r="K37" s="944" t="s">
        <v>892</v>
      </c>
      <c r="L37" s="259" t="s">
        <v>126</v>
      </c>
      <c r="M37" s="179" t="str">
        <f>"A×賃金改善率（"&amp;$I$6&amp;"％）"</f>
        <v>A×賃金改善率（％）</v>
      </c>
      <c r="N37" s="180" t="str">
        <f>CONCATENATE("×利用児童数×",$AB$2,"月")</f>
        <v>×利用児童数×12月</v>
      </c>
      <c r="O37" s="179" t="str">
        <f>"A×加算Ⅰ新規事由に係る率（"&amp;$I$7&amp;"％）"</f>
        <v>A×加算Ⅰ新規事由に係る率（％）</v>
      </c>
      <c r="P37" s="181" t="str">
        <f>CONCATENATE("×利用児童数×",$AB$2,"月")</f>
        <v>×利用児童数×12月</v>
      </c>
      <c r="Q37" s="179" t="str">
        <f>"A×人勧影響率（"&amp;$I$9&amp;"％）"</f>
        <v>A×人勧影響率（％）</v>
      </c>
      <c r="R37" s="181" t="str">
        <f>CONCATENATE("×利用児童数×",$AB$2,"月")</f>
        <v>×利用児童数×12月</v>
      </c>
      <c r="S37" s="179" t="str">
        <f>"A×人勧影響率（"&amp;$I$11&amp;"％）"</f>
        <v>A×人勧影響率（％）</v>
      </c>
      <c r="T37" s="181" t="str">
        <f>CONCATENATE("×利用児童数×",$AB$2,"月")</f>
        <v>×利用児童数×12月</v>
      </c>
      <c r="U37" s="822"/>
      <c r="V37" s="822"/>
      <c r="X37" s="825"/>
    </row>
    <row r="38" spans="1:24" ht="20.100000000000001" hidden="1" customHeight="1">
      <c r="A38" s="658"/>
      <c r="B38" s="1725" t="s">
        <v>915</v>
      </c>
      <c r="C38" s="1725"/>
      <c r="D38" s="1725"/>
      <c r="E38" s="1723">
        <f>$N$41</f>
        <v>0</v>
      </c>
      <c r="F38" s="1724"/>
      <c r="H38" s="658"/>
      <c r="I38" s="822"/>
      <c r="J38" s="941" t="s">
        <v>6</v>
      </c>
      <c r="K38" s="957">
        <f>'入力（児童数-本園)'!W3</f>
        <v>0</v>
      </c>
      <c r="L38" s="826">
        <f>IF(ISERROR(SUM($N31:$U31)),0,SUM($N31:$U31))</f>
        <v>0</v>
      </c>
      <c r="M38" s="827">
        <f>$L38*$I$6</f>
        <v>0</v>
      </c>
      <c r="N38" s="828">
        <f>M38*$K38*$AB$2</f>
        <v>0</v>
      </c>
      <c r="O38" s="827">
        <f>ROUNDDOWN($L38*$I$7,0)</f>
        <v>0</v>
      </c>
      <c r="P38" s="828">
        <f>O38*$K38*$AB$2</f>
        <v>0</v>
      </c>
      <c r="Q38" s="847">
        <f>ROUNDDOWN($L38*$I$9,0)</f>
        <v>0</v>
      </c>
      <c r="R38" s="848">
        <f>Q38*$K38*$AB$2</f>
        <v>0</v>
      </c>
      <c r="S38" s="827">
        <f>ROUNDDOWN($L38*$I$11,0)</f>
        <v>0</v>
      </c>
      <c r="T38" s="828">
        <f>S38*$K38*$AB$2</f>
        <v>0</v>
      </c>
      <c r="U38" s="822"/>
      <c r="V38" s="822"/>
    </row>
    <row r="39" spans="1:24" ht="20.100000000000001" hidden="1" customHeight="1">
      <c r="A39" s="658"/>
      <c r="B39" s="1716" t="str">
        <f>CONCATENATE("（賃金改善要件（",I6,"％）分）")</f>
        <v>（賃金改善要件（％）分）</v>
      </c>
      <c r="C39" s="1716"/>
      <c r="D39" s="1716"/>
      <c r="E39" s="829"/>
      <c r="F39" s="829"/>
      <c r="G39" s="658"/>
      <c r="H39" s="658"/>
      <c r="I39" s="822"/>
      <c r="J39" s="941" t="s">
        <v>7</v>
      </c>
      <c r="K39" s="957">
        <f>'入力（児童数-本園)'!W4</f>
        <v>0</v>
      </c>
      <c r="L39" s="826">
        <f>IF(ISERROR(SUM($N32:$U32)),0,SUM($N32:$U32))</f>
        <v>0</v>
      </c>
      <c r="M39" s="827">
        <f>$L39*$I$6</f>
        <v>0</v>
      </c>
      <c r="N39" s="828">
        <f>M39*$K39*$AB$2</f>
        <v>0</v>
      </c>
      <c r="O39" s="827">
        <f>ROUNDDOWN($L39*$I$7,0)</f>
        <v>0</v>
      </c>
      <c r="P39" s="828">
        <f>O39*$K39*$AB$2</f>
        <v>0</v>
      </c>
      <c r="Q39" s="847">
        <f>ROUNDDOWN($L39*$I$9,0)</f>
        <v>0</v>
      </c>
      <c r="R39" s="848">
        <f>Q39*$K39*$AB$2</f>
        <v>0</v>
      </c>
      <c r="S39" s="827">
        <f>ROUNDDOWN($L39*$I$11,0)</f>
        <v>0</v>
      </c>
      <c r="T39" s="828">
        <f>S39*$K39*$AB$2</f>
        <v>0</v>
      </c>
      <c r="U39" s="822"/>
      <c r="V39" s="178"/>
      <c r="W39" s="663">
        <v>2015</v>
      </c>
      <c r="X39" s="663">
        <v>6.1</v>
      </c>
    </row>
    <row r="40" spans="1:24" ht="20.100000000000001" hidden="1" customHeight="1" thickBot="1">
      <c r="A40" s="658"/>
      <c r="B40" s="658"/>
      <c r="C40" s="1755" t="s">
        <v>964</v>
      </c>
      <c r="D40" s="1755"/>
      <c r="E40" s="1755"/>
      <c r="F40" s="1755"/>
      <c r="G40" s="1755"/>
      <c r="H40" s="1755"/>
      <c r="I40" s="822"/>
      <c r="J40" s="942" t="s">
        <v>8</v>
      </c>
      <c r="K40" s="960">
        <f>'入力（児童数-本園)'!W5</f>
        <v>0</v>
      </c>
      <c r="L40" s="830">
        <f>IF(ISERROR(SUM($N33:$U33)),0,SUM($N33:$U33))</f>
        <v>0</v>
      </c>
      <c r="M40" s="827">
        <f>$L40*$I$6</f>
        <v>0</v>
      </c>
      <c r="N40" s="828">
        <f>M40*$K40*$AB$2</f>
        <v>0</v>
      </c>
      <c r="O40" s="827">
        <f>ROUNDDOWN($L40*$I$7,0)</f>
        <v>0</v>
      </c>
      <c r="P40" s="828">
        <f>O40*$K40*$AB$2</f>
        <v>0</v>
      </c>
      <c r="Q40" s="847">
        <f>ROUNDDOWN($L40*$I$9,0)</f>
        <v>0</v>
      </c>
      <c r="R40" s="848">
        <f>Q40*$K40*$AB$2</f>
        <v>0</v>
      </c>
      <c r="S40" s="827">
        <f>ROUNDDOWN($L40*$I$11,0)</f>
        <v>0</v>
      </c>
      <c r="T40" s="828">
        <f>S40*$K40*$AB$2</f>
        <v>0</v>
      </c>
      <c r="U40" s="403"/>
      <c r="V40" s="822"/>
      <c r="W40" s="663">
        <v>2016</v>
      </c>
      <c r="X40" s="663">
        <v>4.2</v>
      </c>
    </row>
    <row r="41" spans="1:24" ht="20.100000000000001" hidden="1" customHeight="1" thickTop="1" thickBot="1">
      <c r="A41" s="658"/>
      <c r="B41" s="829"/>
      <c r="C41" s="829"/>
      <c r="D41" s="829"/>
      <c r="E41" s="829"/>
      <c r="F41" s="829"/>
      <c r="G41" s="822"/>
      <c r="H41" s="658"/>
      <c r="I41" s="375"/>
      <c r="J41" s="943" t="s">
        <v>0</v>
      </c>
      <c r="K41" s="868">
        <f>SUM(K38:K40)</f>
        <v>0</v>
      </c>
      <c r="L41" s="831"/>
      <c r="M41" s="832" t="s">
        <v>148</v>
      </c>
      <c r="N41" s="833">
        <f>ROUNDDOWN(SUM(N38:N40),-3)</f>
        <v>0</v>
      </c>
      <c r="O41" s="834" t="s">
        <v>148</v>
      </c>
      <c r="P41" s="833">
        <f>ROUNDDOWN(SUM(P38:P40),-3)</f>
        <v>0</v>
      </c>
      <c r="Q41" s="834" t="s">
        <v>0</v>
      </c>
      <c r="R41" s="849">
        <f>ROUNDDOWN(SUM(R38:R40),-3)</f>
        <v>0</v>
      </c>
      <c r="S41" s="834" t="s">
        <v>0</v>
      </c>
      <c r="T41" s="833">
        <f>ROUNDDOWN(SUM(T38:T40),-3)</f>
        <v>0</v>
      </c>
      <c r="U41" s="658"/>
      <c r="V41" s="822"/>
      <c r="W41" s="663">
        <v>2017</v>
      </c>
      <c r="X41" s="663">
        <v>2.9</v>
      </c>
    </row>
    <row r="42" spans="1:24" ht="20.100000000000001" hidden="1" customHeight="1">
      <c r="A42" s="658"/>
      <c r="B42" s="835"/>
      <c r="C42" s="835"/>
      <c r="D42" s="835"/>
      <c r="E42" s="835"/>
      <c r="F42" s="835"/>
      <c r="G42" s="822"/>
      <c r="H42" s="658"/>
      <c r="I42" s="375"/>
      <c r="J42" s="375"/>
      <c r="K42" s="375"/>
      <c r="L42" s="836"/>
      <c r="M42" s="658"/>
      <c r="N42" s="658"/>
      <c r="O42" s="658"/>
      <c r="P42" s="658"/>
      <c r="Q42" s="658"/>
      <c r="R42" s="658"/>
      <c r="S42" s="658"/>
      <c r="T42" s="658"/>
      <c r="U42" s="658"/>
      <c r="V42" s="822"/>
      <c r="W42" s="663">
        <v>2018</v>
      </c>
      <c r="X42" s="663">
        <v>1.8</v>
      </c>
    </row>
    <row r="43" spans="1:24" ht="20.100000000000001" hidden="1" customHeight="1">
      <c r="A43" s="658"/>
      <c r="B43" s="1725" t="s">
        <v>814</v>
      </c>
      <c r="C43" s="1725"/>
      <c r="D43" s="1725"/>
      <c r="E43" s="1756">
        <f>$P$41</f>
        <v>0</v>
      </c>
      <c r="F43" s="1757"/>
      <c r="H43" s="658"/>
      <c r="I43" s="658"/>
      <c r="J43" s="658"/>
      <c r="K43" s="837"/>
      <c r="L43" s="794"/>
      <c r="M43" s="838"/>
      <c r="N43" s="375"/>
      <c r="O43" s="658"/>
      <c r="P43" s="658"/>
      <c r="Q43" s="658"/>
      <c r="R43" s="658"/>
      <c r="S43" s="658"/>
      <c r="T43" s="658"/>
      <c r="U43" s="658"/>
      <c r="V43" s="839"/>
      <c r="W43" s="663">
        <v>2019</v>
      </c>
      <c r="X43" s="663">
        <v>1</v>
      </c>
    </row>
    <row r="44" spans="1:24" ht="17.25" hidden="1" customHeight="1">
      <c r="A44" s="658"/>
      <c r="B44" s="1716" t="str">
        <f>CONCATENATE("（加算Ⅰ新規事由に係る加算率（",I7,"％）分）")</f>
        <v>（加算Ⅰ新規事由に係る加算率（％）分）</v>
      </c>
      <c r="C44" s="1716"/>
      <c r="D44" s="1716"/>
      <c r="E44" s="829"/>
      <c r="F44" s="829"/>
      <c r="G44" s="658"/>
      <c r="H44" s="658"/>
      <c r="I44" s="658"/>
      <c r="J44" s="658"/>
      <c r="K44" s="658"/>
      <c r="L44" s="658"/>
      <c r="M44" s="658"/>
      <c r="N44" s="658"/>
      <c r="O44" s="658"/>
      <c r="P44" s="658"/>
      <c r="Q44" s="658"/>
      <c r="R44" s="658"/>
      <c r="S44" s="658"/>
      <c r="T44" s="658"/>
      <c r="U44" s="658"/>
    </row>
    <row r="45" spans="1:24" ht="18.75" hidden="1">
      <c r="A45" s="658"/>
      <c r="B45" s="1716"/>
      <c r="C45" s="1716"/>
      <c r="D45" s="1716"/>
      <c r="E45" s="829"/>
      <c r="F45" s="829"/>
      <c r="G45" s="822"/>
      <c r="H45" s="658"/>
      <c r="I45" s="658"/>
      <c r="J45" s="658"/>
      <c r="K45" s="658"/>
      <c r="L45" s="658"/>
      <c r="M45" s="658"/>
      <c r="N45" s="658"/>
      <c r="O45" s="658"/>
      <c r="P45" s="658"/>
      <c r="Q45" s="658"/>
      <c r="R45" s="658"/>
      <c r="S45" s="658"/>
      <c r="T45" s="658"/>
      <c r="U45" s="658"/>
      <c r="V45" s="658"/>
      <c r="X45" s="840"/>
    </row>
    <row r="46" spans="1:24" ht="24" hidden="1" customHeight="1">
      <c r="A46" s="658"/>
      <c r="B46" s="1753" t="s">
        <v>813</v>
      </c>
      <c r="C46" s="1753"/>
      <c r="D46" s="1753"/>
      <c r="E46" s="183"/>
      <c r="F46" s="658"/>
      <c r="G46" s="658"/>
      <c r="H46" s="658"/>
      <c r="I46" s="658"/>
      <c r="J46" s="658"/>
      <c r="K46" s="658"/>
      <c r="L46" s="658"/>
      <c r="M46" s="658"/>
      <c r="N46" s="658"/>
      <c r="O46" s="658"/>
      <c r="P46" s="658"/>
      <c r="Q46" s="658"/>
      <c r="R46" s="658"/>
      <c r="S46" s="658"/>
      <c r="T46" s="658"/>
      <c r="U46" s="658"/>
      <c r="V46" s="658"/>
    </row>
    <row r="47" spans="1:24" ht="20.25" hidden="1" customHeight="1">
      <c r="A47" s="658"/>
      <c r="B47" s="1753"/>
      <c r="C47" s="1753"/>
      <c r="D47" s="1753"/>
      <c r="E47" s="1754">
        <f>$R$41</f>
        <v>0</v>
      </c>
      <c r="F47" s="1754"/>
      <c r="G47" s="658"/>
      <c r="H47" s="658"/>
      <c r="I47" s="658"/>
      <c r="J47" s="658"/>
      <c r="K47" s="658"/>
      <c r="L47" s="658"/>
      <c r="M47" s="658"/>
      <c r="N47" s="658"/>
      <c r="O47" s="658"/>
      <c r="P47" s="658"/>
      <c r="Q47" s="658"/>
      <c r="R47" s="658"/>
      <c r="S47" s="658"/>
      <c r="T47" s="658"/>
      <c r="U47" s="658"/>
      <c r="V47" s="658"/>
    </row>
    <row r="48" spans="1:24" ht="17.25" hidden="1" customHeight="1">
      <c r="A48" s="658"/>
      <c r="B48" s="1716" t="str">
        <f>CONCATENATE("（処遇Ⅰの基準年度の翌年～当年度まで（",I9,"％）分）")</f>
        <v>（処遇Ⅰの基準年度の翌年～当年度まで（％）分）</v>
      </c>
      <c r="C48" s="1716"/>
      <c r="D48" s="1716"/>
      <c r="E48" s="829"/>
      <c r="F48" s="829"/>
      <c r="G48" s="658"/>
      <c r="H48" s="658"/>
      <c r="I48" s="658"/>
      <c r="J48" s="658"/>
      <c r="K48" s="658"/>
      <c r="L48" s="658"/>
      <c r="M48" s="658"/>
      <c r="N48" s="658"/>
      <c r="O48" s="658"/>
      <c r="P48" s="658"/>
      <c r="Q48" s="658"/>
      <c r="R48" s="658"/>
      <c r="S48" s="658"/>
      <c r="T48" s="658"/>
      <c r="U48" s="658"/>
      <c r="V48" s="658"/>
    </row>
    <row r="49" spans="1:22" ht="18.75" hidden="1">
      <c r="A49" s="658"/>
      <c r="B49" s="1716"/>
      <c r="C49" s="1716"/>
      <c r="D49" s="1716"/>
      <c r="E49" s="829"/>
      <c r="F49" s="829"/>
      <c r="G49" s="658"/>
      <c r="H49" s="841"/>
      <c r="I49" s="658"/>
      <c r="J49" s="658"/>
      <c r="K49" s="658"/>
      <c r="L49" s="658"/>
      <c r="M49" s="658"/>
      <c r="N49" s="658"/>
      <c r="O49" s="658"/>
      <c r="P49" s="658"/>
      <c r="Q49" s="658"/>
      <c r="R49" s="658"/>
      <c r="S49" s="658"/>
      <c r="T49" s="658"/>
      <c r="U49" s="658"/>
      <c r="V49" s="658"/>
    </row>
    <row r="50" spans="1:22" hidden="1">
      <c r="A50" s="658"/>
      <c r="B50" s="1753" t="s">
        <v>813</v>
      </c>
      <c r="C50" s="1753"/>
      <c r="D50" s="1753"/>
      <c r="E50" s="183"/>
      <c r="F50" s="658"/>
      <c r="G50" s="658"/>
      <c r="H50" s="842"/>
      <c r="I50" s="658"/>
      <c r="J50" s="658"/>
      <c r="K50" s="658"/>
      <c r="L50" s="658"/>
      <c r="M50" s="658"/>
      <c r="N50" s="658"/>
      <c r="O50" s="658"/>
      <c r="P50" s="658"/>
      <c r="Q50" s="658"/>
      <c r="R50" s="658"/>
      <c r="S50" s="658"/>
      <c r="T50" s="658"/>
      <c r="U50" s="658"/>
      <c r="V50" s="658"/>
    </row>
    <row r="51" spans="1:22" ht="18.75" hidden="1" customHeight="1">
      <c r="A51" s="658"/>
      <c r="B51" s="1753"/>
      <c r="C51" s="1753"/>
      <c r="D51" s="1753"/>
      <c r="E51" s="1754">
        <f>$T$41</f>
        <v>0</v>
      </c>
      <c r="F51" s="1754"/>
      <c r="G51" s="658"/>
      <c r="H51" s="658"/>
      <c r="I51" s="658"/>
      <c r="J51" s="658"/>
      <c r="K51" s="658"/>
      <c r="L51" s="658"/>
      <c r="M51" s="658"/>
      <c r="N51" s="658"/>
      <c r="O51" s="658"/>
      <c r="P51" s="658"/>
      <c r="Q51" s="658"/>
      <c r="R51" s="658"/>
      <c r="S51" s="658"/>
      <c r="T51" s="658"/>
      <c r="U51" s="658"/>
      <c r="V51" s="658"/>
    </row>
    <row r="52" spans="1:22" ht="18.75" hidden="1">
      <c r="A52" s="658"/>
      <c r="B52" s="1716" t="str">
        <f>CONCATENATE("（処遇Ⅱの基準年度の翌年～当年度まで（",I11,"％）分）")</f>
        <v>（処遇Ⅱの基準年度の翌年～当年度まで（％）分）</v>
      </c>
      <c r="C52" s="1716"/>
      <c r="D52" s="1716"/>
      <c r="E52" s="829"/>
      <c r="F52" s="829"/>
      <c r="G52" s="658"/>
      <c r="H52" s="658"/>
      <c r="I52" s="658"/>
      <c r="J52" s="658"/>
      <c r="K52" s="658"/>
      <c r="L52" s="658"/>
      <c r="M52" s="658"/>
      <c r="N52" s="658"/>
      <c r="O52" s="658"/>
      <c r="P52" s="658"/>
      <c r="Q52" s="658"/>
      <c r="R52" s="658"/>
      <c r="S52" s="658"/>
      <c r="T52" s="658"/>
      <c r="U52" s="658"/>
    </row>
    <row r="53" spans="1:22" ht="18.75" hidden="1">
      <c r="A53" s="658"/>
      <c r="B53" s="1716"/>
      <c r="C53" s="1716"/>
      <c r="D53" s="1716"/>
      <c r="E53" s="829"/>
      <c r="F53" s="829"/>
      <c r="G53" s="658"/>
      <c r="H53" s="658"/>
      <c r="I53" s="658"/>
      <c r="J53" s="658"/>
      <c r="K53" s="658"/>
      <c r="L53" s="658"/>
      <c r="M53" s="658"/>
      <c r="N53" s="658"/>
      <c r="O53" s="658"/>
      <c r="P53" s="658"/>
      <c r="Q53" s="658"/>
      <c r="R53" s="658"/>
      <c r="S53" s="658"/>
      <c r="T53" s="658"/>
      <c r="U53" s="658"/>
    </row>
    <row r="54" spans="1:22" hidden="1">
      <c r="A54" s="658"/>
      <c r="B54" s="658"/>
      <c r="C54" s="658"/>
      <c r="D54" s="658"/>
      <c r="E54" s="658"/>
      <c r="F54" s="658"/>
      <c r="G54" s="658"/>
      <c r="H54" s="658"/>
      <c r="I54" s="658"/>
      <c r="J54" s="658"/>
      <c r="K54" s="658"/>
      <c r="L54" s="658"/>
      <c r="M54" s="658"/>
      <c r="N54" s="658"/>
      <c r="O54" s="658"/>
      <c r="P54" s="658"/>
      <c r="Q54" s="658"/>
      <c r="R54" s="658"/>
      <c r="S54" s="658"/>
      <c r="T54" s="658"/>
      <c r="U54" s="658"/>
    </row>
    <row r="56" spans="1:22">
      <c r="C56" s="843"/>
      <c r="D56" s="844"/>
      <c r="E56" s="845"/>
      <c r="H56" s="846"/>
    </row>
    <row r="57" spans="1:22">
      <c r="C57" s="843"/>
      <c r="D57" s="195"/>
      <c r="E57" s="845"/>
    </row>
    <row r="58" spans="1:22">
      <c r="C58" s="843"/>
      <c r="D58" s="195"/>
    </row>
  </sheetData>
  <sheetProtection algorithmName="SHA-512" hashValue="ooG7W6Z701zK0540TfIyQZ3ZxkFT7kb/trq39O0TROLtEiS/zE0F8aoHCMqYf+XB2RqBViMsrA7M7QvKlvJ7qg==" saltValue="nnlpUZunGfU1VEsQHElezA==" spinCount="100000" sheet="1" objects="1" scenarios="1"/>
  <customSheetViews>
    <customSheetView guid="{2E52E5FF-9846-4DC5-A671-268FE925398C}" scale="70" showPageBreaks="1" fitToPage="1" printArea="1" view="pageBreakPreview">
      <selection activeCell="E16" sqref="E16"/>
      <pageMargins left="0.70866141732283472" right="0.70866141732283472" top="0.74803149606299213" bottom="0.74803149606299213" header="0.31496062992125984" footer="0.31496062992125984"/>
      <pageSetup paperSize="9" scale="41" orientation="landscape" r:id="rId1"/>
    </customSheetView>
    <customSheetView guid="{BADA99B3-B36A-4925-87A7-F72FC97D3DBA}" scale="70" showPageBreaks="1" fitToPage="1" printArea="1" view="pageBreakPreview" topLeftCell="A16">
      <selection activeCell="X36" sqref="X36"/>
      <pageMargins left="0.70866141732283472" right="0.70866141732283472" top="0.74803149606299213" bottom="0.74803149606299213" header="0.31496062992125984" footer="0.31496062992125984"/>
      <pageSetup paperSize="9" scale="41" orientation="landscape" r:id="rId2"/>
    </customSheetView>
  </customSheetViews>
  <mergeCells count="81">
    <mergeCell ref="B50:D51"/>
    <mergeCell ref="E51:F51"/>
    <mergeCell ref="B52:D53"/>
    <mergeCell ref="B46:D47"/>
    <mergeCell ref="B39:D39"/>
    <mergeCell ref="B44:D45"/>
    <mergeCell ref="B48:D49"/>
    <mergeCell ref="E47:F47"/>
    <mergeCell ref="C40:H40"/>
    <mergeCell ref="E43:F43"/>
    <mergeCell ref="B43:D43"/>
    <mergeCell ref="Q29:Q30"/>
    <mergeCell ref="R29:R30"/>
    <mergeCell ref="J23:J24"/>
    <mergeCell ref="T29:T30"/>
    <mergeCell ref="U29:U30"/>
    <mergeCell ref="W33:X33"/>
    <mergeCell ref="K23:K24"/>
    <mergeCell ref="L23:L24"/>
    <mergeCell ref="R1:U1"/>
    <mergeCell ref="B2:T3"/>
    <mergeCell ref="B17:C17"/>
    <mergeCell ref="B9:C9"/>
    <mergeCell ref="B18:C25"/>
    <mergeCell ref="B32:C32"/>
    <mergeCell ref="O29:O30"/>
    <mergeCell ref="I23:I24"/>
    <mergeCell ref="W30:X30"/>
    <mergeCell ref="W26:X26"/>
    <mergeCell ref="W27:X27"/>
    <mergeCell ref="W28:X28"/>
    <mergeCell ref="W29:X29"/>
    <mergeCell ref="S36:T36"/>
    <mergeCell ref="S29:S30"/>
    <mergeCell ref="H19:H20"/>
    <mergeCell ref="K29:K30"/>
    <mergeCell ref="J29:J30"/>
    <mergeCell ref="I29:I30"/>
    <mergeCell ref="Q36:R36"/>
    <mergeCell ref="I19:I20"/>
    <mergeCell ref="D28:U28"/>
    <mergeCell ref="M29:M30"/>
    <mergeCell ref="E29:E30"/>
    <mergeCell ref="F29:F30"/>
    <mergeCell ref="P29:P30"/>
    <mergeCell ref="L29:L30"/>
    <mergeCell ref="H23:H24"/>
    <mergeCell ref="D19:D20"/>
    <mergeCell ref="D10:E10"/>
    <mergeCell ref="B5:D5"/>
    <mergeCell ref="B10:C10"/>
    <mergeCell ref="B6:C6"/>
    <mergeCell ref="AG1:AH1"/>
    <mergeCell ref="B7:C7"/>
    <mergeCell ref="AK1:AL1"/>
    <mergeCell ref="D6:E6"/>
    <mergeCell ref="D7:E7"/>
    <mergeCell ref="D8:E8"/>
    <mergeCell ref="D9:E9"/>
    <mergeCell ref="B27:C27"/>
    <mergeCell ref="L19:L20"/>
    <mergeCell ref="M19:M20"/>
    <mergeCell ref="E38:F38"/>
    <mergeCell ref="B38:D38"/>
    <mergeCell ref="B33:C33"/>
    <mergeCell ref="E19:E20"/>
    <mergeCell ref="F19:F20"/>
    <mergeCell ref="G19:G20"/>
    <mergeCell ref="D23:D24"/>
    <mergeCell ref="E23:E24"/>
    <mergeCell ref="F23:F24"/>
    <mergeCell ref="G23:G24"/>
    <mergeCell ref="J19:J20"/>
    <mergeCell ref="K19:K20"/>
    <mergeCell ref="O36:P36"/>
    <mergeCell ref="G29:G30"/>
    <mergeCell ref="H29:H30"/>
    <mergeCell ref="D29:D30"/>
    <mergeCell ref="B29:C30"/>
    <mergeCell ref="B31:C31"/>
    <mergeCell ref="M36:N36"/>
  </mergeCells>
  <phoneticPr fontId="4"/>
  <dataValidations count="5">
    <dataValidation type="list" errorStyle="warning" showInputMessage="1" showErrorMessage="1" sqref="H25" xr:uid="{00000000-0002-0000-0B00-000000000000}">
      <formula1>$AF$2:$AF$5</formula1>
    </dataValidation>
    <dataValidation type="list" allowBlank="1" showInputMessage="1" showErrorMessage="1" sqref="I25:K25 K21 D21:H21 E25:G25" xr:uid="{00000000-0002-0000-0B00-000001000000}">
      <formula1>$AC$2:$AC$4</formula1>
    </dataValidation>
    <dataValidation type="list" allowBlank="1" showInputMessage="1" showErrorMessage="1" sqref="L25" xr:uid="{00000000-0002-0000-0B00-000002000000}">
      <formula1>$AI$2:$AI$5</formula1>
    </dataValidation>
    <dataValidation type="list" errorStyle="warning" showInputMessage="1" sqref="D25 L21:M21" xr:uid="{00000000-0002-0000-0B00-000003000000}">
      <formula1>$AJ$2:$AJ$7</formula1>
    </dataValidation>
    <dataValidation type="list" errorStyle="warning" allowBlank="1" showInputMessage="1" showErrorMessage="1" sqref="I21" xr:uid="{00000000-0002-0000-0B00-000004000000}">
      <formula1>$AG$2:$AG$16</formula1>
    </dataValidation>
  </dataValidations>
  <printOptions horizontalCentered="1"/>
  <pageMargins left="0.70866141732283472" right="0.70866141732283472" top="0.74803149606299213" bottom="0.74803149606299213" header="0.31496062992125984" footer="0.31496062992125984"/>
  <pageSetup paperSize="9" scale="41" orientation="landscap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tabColor rgb="FFFFC000"/>
  </sheetPr>
  <dimension ref="A1:V118"/>
  <sheetViews>
    <sheetView view="pageBreakPreview" zoomScale="85" zoomScaleNormal="100" zoomScaleSheetLayoutView="85" workbookViewId="0">
      <selection activeCell="F32" sqref="F32"/>
    </sheetView>
  </sheetViews>
  <sheetFormatPr defaultRowHeight="13.5" outlineLevelCol="1"/>
  <cols>
    <col min="1" max="1" width="2.875" style="260" customWidth="1"/>
    <col min="2" max="2" width="3" style="260" customWidth="1"/>
    <col min="3" max="3" width="29.75" style="260" customWidth="1"/>
    <col min="4" max="4" width="12" style="260" customWidth="1"/>
    <col min="5" max="5" width="10.25" style="260" customWidth="1"/>
    <col min="6" max="6" width="15.5" style="507" customWidth="1"/>
    <col min="7" max="7" width="10.875" style="507" customWidth="1"/>
    <col min="8" max="8" width="15.5" style="507" customWidth="1"/>
    <col min="9" max="9" width="16.25" style="507" customWidth="1"/>
    <col min="10" max="10" width="12.125" style="507" hidden="1" customWidth="1" outlineLevel="1"/>
    <col min="11" max="14" width="9" style="260" hidden="1" customWidth="1" outlineLevel="1"/>
    <col min="15" max="15" width="9" style="508" hidden="1" customWidth="1" outlineLevel="1"/>
    <col min="16" max="21" width="9" style="260" hidden="1" customWidth="1" outlineLevel="1"/>
    <col min="22" max="22" width="9" style="260" collapsed="1"/>
    <col min="23" max="261" width="9" style="260"/>
    <col min="262" max="262" width="2.875" style="260" customWidth="1"/>
    <col min="263" max="263" width="3" style="260" customWidth="1"/>
    <col min="264" max="264" width="46.25" style="260" customWidth="1"/>
    <col min="265" max="265" width="12" style="260" customWidth="1"/>
    <col min="266" max="266" width="10.25" style="260" customWidth="1"/>
    <col min="267" max="267" width="15.5" style="260" customWidth="1"/>
    <col min="268" max="268" width="14.25" style="260" customWidth="1"/>
    <col min="269" max="269" width="12.125" style="260" customWidth="1"/>
    <col min="270" max="270" width="29" style="260" customWidth="1"/>
    <col min="271" max="517" width="9" style="260"/>
    <col min="518" max="518" width="2.875" style="260" customWidth="1"/>
    <col min="519" max="519" width="3" style="260" customWidth="1"/>
    <col min="520" max="520" width="46.25" style="260" customWidth="1"/>
    <col min="521" max="521" width="12" style="260" customWidth="1"/>
    <col min="522" max="522" width="10.25" style="260" customWidth="1"/>
    <col min="523" max="523" width="15.5" style="260" customWidth="1"/>
    <col min="524" max="524" width="14.25" style="260" customWidth="1"/>
    <col min="525" max="525" width="12.125" style="260" customWidth="1"/>
    <col min="526" max="526" width="29" style="260" customWidth="1"/>
    <col min="527" max="773" width="9" style="260"/>
    <col min="774" max="774" width="2.875" style="260" customWidth="1"/>
    <col min="775" max="775" width="3" style="260" customWidth="1"/>
    <col min="776" max="776" width="46.25" style="260" customWidth="1"/>
    <col min="777" max="777" width="12" style="260" customWidth="1"/>
    <col min="778" max="778" width="10.25" style="260" customWidth="1"/>
    <col min="779" max="779" width="15.5" style="260" customWidth="1"/>
    <col min="780" max="780" width="14.25" style="260" customWidth="1"/>
    <col min="781" max="781" width="12.125" style="260" customWidth="1"/>
    <col min="782" max="782" width="29" style="260" customWidth="1"/>
    <col min="783" max="1029" width="9" style="260"/>
    <col min="1030" max="1030" width="2.875" style="260" customWidth="1"/>
    <col min="1031" max="1031" width="3" style="260" customWidth="1"/>
    <col min="1032" max="1032" width="46.25" style="260" customWidth="1"/>
    <col min="1033" max="1033" width="12" style="260" customWidth="1"/>
    <col min="1034" max="1034" width="10.25" style="260" customWidth="1"/>
    <col min="1035" max="1035" width="15.5" style="260" customWidth="1"/>
    <col min="1036" max="1036" width="14.25" style="260" customWidth="1"/>
    <col min="1037" max="1037" width="12.125" style="260" customWidth="1"/>
    <col min="1038" max="1038" width="29" style="260" customWidth="1"/>
    <col min="1039" max="1285" width="9" style="260"/>
    <col min="1286" max="1286" width="2.875" style="260" customWidth="1"/>
    <col min="1287" max="1287" width="3" style="260" customWidth="1"/>
    <col min="1288" max="1288" width="46.25" style="260" customWidth="1"/>
    <col min="1289" max="1289" width="12" style="260" customWidth="1"/>
    <col min="1290" max="1290" width="10.25" style="260" customWidth="1"/>
    <col min="1291" max="1291" width="15.5" style="260" customWidth="1"/>
    <col min="1292" max="1292" width="14.25" style="260" customWidth="1"/>
    <col min="1293" max="1293" width="12.125" style="260" customWidth="1"/>
    <col min="1294" max="1294" width="29" style="260" customWidth="1"/>
    <col min="1295" max="1541" width="9" style="260"/>
    <col min="1542" max="1542" width="2.875" style="260" customWidth="1"/>
    <col min="1543" max="1543" width="3" style="260" customWidth="1"/>
    <col min="1544" max="1544" width="46.25" style="260" customWidth="1"/>
    <col min="1545" max="1545" width="12" style="260" customWidth="1"/>
    <col min="1546" max="1546" width="10.25" style="260" customWidth="1"/>
    <col min="1547" max="1547" width="15.5" style="260" customWidth="1"/>
    <col min="1548" max="1548" width="14.25" style="260" customWidth="1"/>
    <col min="1549" max="1549" width="12.125" style="260" customWidth="1"/>
    <col min="1550" max="1550" width="29" style="260" customWidth="1"/>
    <col min="1551" max="1797" width="9" style="260"/>
    <col min="1798" max="1798" width="2.875" style="260" customWidth="1"/>
    <col min="1799" max="1799" width="3" style="260" customWidth="1"/>
    <col min="1800" max="1800" width="46.25" style="260" customWidth="1"/>
    <col min="1801" max="1801" width="12" style="260" customWidth="1"/>
    <col min="1802" max="1802" width="10.25" style="260" customWidth="1"/>
    <col min="1803" max="1803" width="15.5" style="260" customWidth="1"/>
    <col min="1804" max="1804" width="14.25" style="260" customWidth="1"/>
    <col min="1805" max="1805" width="12.125" style="260" customWidth="1"/>
    <col min="1806" max="1806" width="29" style="260" customWidth="1"/>
    <col min="1807" max="2053" width="9" style="260"/>
    <col min="2054" max="2054" width="2.875" style="260" customWidth="1"/>
    <col min="2055" max="2055" width="3" style="260" customWidth="1"/>
    <col min="2056" max="2056" width="46.25" style="260" customWidth="1"/>
    <col min="2057" max="2057" width="12" style="260" customWidth="1"/>
    <col min="2058" max="2058" width="10.25" style="260" customWidth="1"/>
    <col min="2059" max="2059" width="15.5" style="260" customWidth="1"/>
    <col min="2060" max="2060" width="14.25" style="260" customWidth="1"/>
    <col min="2061" max="2061" width="12.125" style="260" customWidth="1"/>
    <col min="2062" max="2062" width="29" style="260" customWidth="1"/>
    <col min="2063" max="2309" width="9" style="260"/>
    <col min="2310" max="2310" width="2.875" style="260" customWidth="1"/>
    <col min="2311" max="2311" width="3" style="260" customWidth="1"/>
    <col min="2312" max="2312" width="46.25" style="260" customWidth="1"/>
    <col min="2313" max="2313" width="12" style="260" customWidth="1"/>
    <col min="2314" max="2314" width="10.25" style="260" customWidth="1"/>
    <col min="2315" max="2315" width="15.5" style="260" customWidth="1"/>
    <col min="2316" max="2316" width="14.25" style="260" customWidth="1"/>
    <col min="2317" max="2317" width="12.125" style="260" customWidth="1"/>
    <col min="2318" max="2318" width="29" style="260" customWidth="1"/>
    <col min="2319" max="2565" width="9" style="260"/>
    <col min="2566" max="2566" width="2.875" style="260" customWidth="1"/>
    <col min="2567" max="2567" width="3" style="260" customWidth="1"/>
    <col min="2568" max="2568" width="46.25" style="260" customWidth="1"/>
    <col min="2569" max="2569" width="12" style="260" customWidth="1"/>
    <col min="2570" max="2570" width="10.25" style="260" customWidth="1"/>
    <col min="2571" max="2571" width="15.5" style="260" customWidth="1"/>
    <col min="2572" max="2572" width="14.25" style="260" customWidth="1"/>
    <col min="2573" max="2573" width="12.125" style="260" customWidth="1"/>
    <col min="2574" max="2574" width="29" style="260" customWidth="1"/>
    <col min="2575" max="2821" width="9" style="260"/>
    <col min="2822" max="2822" width="2.875" style="260" customWidth="1"/>
    <col min="2823" max="2823" width="3" style="260" customWidth="1"/>
    <col min="2824" max="2824" width="46.25" style="260" customWidth="1"/>
    <col min="2825" max="2825" width="12" style="260" customWidth="1"/>
    <col min="2826" max="2826" width="10.25" style="260" customWidth="1"/>
    <col min="2827" max="2827" width="15.5" style="260" customWidth="1"/>
    <col min="2828" max="2828" width="14.25" style="260" customWidth="1"/>
    <col min="2829" max="2829" width="12.125" style="260" customWidth="1"/>
    <col min="2830" max="2830" width="29" style="260" customWidth="1"/>
    <col min="2831" max="3077" width="9" style="260"/>
    <col min="3078" max="3078" width="2.875" style="260" customWidth="1"/>
    <col min="3079" max="3079" width="3" style="260" customWidth="1"/>
    <col min="3080" max="3080" width="46.25" style="260" customWidth="1"/>
    <col min="3081" max="3081" width="12" style="260" customWidth="1"/>
    <col min="3082" max="3082" width="10.25" style="260" customWidth="1"/>
    <col min="3083" max="3083" width="15.5" style="260" customWidth="1"/>
    <col min="3084" max="3084" width="14.25" style="260" customWidth="1"/>
    <col min="3085" max="3085" width="12.125" style="260" customWidth="1"/>
    <col min="3086" max="3086" width="29" style="260" customWidth="1"/>
    <col min="3087" max="3333" width="9" style="260"/>
    <col min="3334" max="3334" width="2.875" style="260" customWidth="1"/>
    <col min="3335" max="3335" width="3" style="260" customWidth="1"/>
    <col min="3336" max="3336" width="46.25" style="260" customWidth="1"/>
    <col min="3337" max="3337" width="12" style="260" customWidth="1"/>
    <col min="3338" max="3338" width="10.25" style="260" customWidth="1"/>
    <col min="3339" max="3339" width="15.5" style="260" customWidth="1"/>
    <col min="3340" max="3340" width="14.25" style="260" customWidth="1"/>
    <col min="3341" max="3341" width="12.125" style="260" customWidth="1"/>
    <col min="3342" max="3342" width="29" style="260" customWidth="1"/>
    <col min="3343" max="3589" width="9" style="260"/>
    <col min="3590" max="3590" width="2.875" style="260" customWidth="1"/>
    <col min="3591" max="3591" width="3" style="260" customWidth="1"/>
    <col min="3592" max="3592" width="46.25" style="260" customWidth="1"/>
    <col min="3593" max="3593" width="12" style="260" customWidth="1"/>
    <col min="3594" max="3594" width="10.25" style="260" customWidth="1"/>
    <col min="3595" max="3595" width="15.5" style="260" customWidth="1"/>
    <col min="3596" max="3596" width="14.25" style="260" customWidth="1"/>
    <col min="3597" max="3597" width="12.125" style="260" customWidth="1"/>
    <col min="3598" max="3598" width="29" style="260" customWidth="1"/>
    <col min="3599" max="3845" width="9" style="260"/>
    <col min="3846" max="3846" width="2.875" style="260" customWidth="1"/>
    <col min="3847" max="3847" width="3" style="260" customWidth="1"/>
    <col min="3848" max="3848" width="46.25" style="260" customWidth="1"/>
    <col min="3849" max="3849" width="12" style="260" customWidth="1"/>
    <col min="3850" max="3850" width="10.25" style="260" customWidth="1"/>
    <col min="3851" max="3851" width="15.5" style="260" customWidth="1"/>
    <col min="3852" max="3852" width="14.25" style="260" customWidth="1"/>
    <col min="3853" max="3853" width="12.125" style="260" customWidth="1"/>
    <col min="3854" max="3854" width="29" style="260" customWidth="1"/>
    <col min="3855" max="4101" width="9" style="260"/>
    <col min="4102" max="4102" width="2.875" style="260" customWidth="1"/>
    <col min="4103" max="4103" width="3" style="260" customWidth="1"/>
    <col min="4104" max="4104" width="46.25" style="260" customWidth="1"/>
    <col min="4105" max="4105" width="12" style="260" customWidth="1"/>
    <col min="4106" max="4106" width="10.25" style="260" customWidth="1"/>
    <col min="4107" max="4107" width="15.5" style="260" customWidth="1"/>
    <col min="4108" max="4108" width="14.25" style="260" customWidth="1"/>
    <col min="4109" max="4109" width="12.125" style="260" customWidth="1"/>
    <col min="4110" max="4110" width="29" style="260" customWidth="1"/>
    <col min="4111" max="4357" width="9" style="260"/>
    <col min="4358" max="4358" width="2.875" style="260" customWidth="1"/>
    <col min="4359" max="4359" width="3" style="260" customWidth="1"/>
    <col min="4360" max="4360" width="46.25" style="260" customWidth="1"/>
    <col min="4361" max="4361" width="12" style="260" customWidth="1"/>
    <col min="4362" max="4362" width="10.25" style="260" customWidth="1"/>
    <col min="4363" max="4363" width="15.5" style="260" customWidth="1"/>
    <col min="4364" max="4364" width="14.25" style="260" customWidth="1"/>
    <col min="4365" max="4365" width="12.125" style="260" customWidth="1"/>
    <col min="4366" max="4366" width="29" style="260" customWidth="1"/>
    <col min="4367" max="4613" width="9" style="260"/>
    <col min="4614" max="4614" width="2.875" style="260" customWidth="1"/>
    <col min="4615" max="4615" width="3" style="260" customWidth="1"/>
    <col min="4616" max="4616" width="46.25" style="260" customWidth="1"/>
    <col min="4617" max="4617" width="12" style="260" customWidth="1"/>
    <col min="4618" max="4618" width="10.25" style="260" customWidth="1"/>
    <col min="4619" max="4619" width="15.5" style="260" customWidth="1"/>
    <col min="4620" max="4620" width="14.25" style="260" customWidth="1"/>
    <col min="4621" max="4621" width="12.125" style="260" customWidth="1"/>
    <col min="4622" max="4622" width="29" style="260" customWidth="1"/>
    <col min="4623" max="4869" width="9" style="260"/>
    <col min="4870" max="4870" width="2.875" style="260" customWidth="1"/>
    <col min="4871" max="4871" width="3" style="260" customWidth="1"/>
    <col min="4872" max="4872" width="46.25" style="260" customWidth="1"/>
    <col min="4873" max="4873" width="12" style="260" customWidth="1"/>
    <col min="4874" max="4874" width="10.25" style="260" customWidth="1"/>
    <col min="4875" max="4875" width="15.5" style="260" customWidth="1"/>
    <col min="4876" max="4876" width="14.25" style="260" customWidth="1"/>
    <col min="4877" max="4877" width="12.125" style="260" customWidth="1"/>
    <col min="4878" max="4878" width="29" style="260" customWidth="1"/>
    <col min="4879" max="5125" width="9" style="260"/>
    <col min="5126" max="5126" width="2.875" style="260" customWidth="1"/>
    <col min="5127" max="5127" width="3" style="260" customWidth="1"/>
    <col min="5128" max="5128" width="46.25" style="260" customWidth="1"/>
    <col min="5129" max="5129" width="12" style="260" customWidth="1"/>
    <col min="5130" max="5130" width="10.25" style="260" customWidth="1"/>
    <col min="5131" max="5131" width="15.5" style="260" customWidth="1"/>
    <col min="5132" max="5132" width="14.25" style="260" customWidth="1"/>
    <col min="5133" max="5133" width="12.125" style="260" customWidth="1"/>
    <col min="5134" max="5134" width="29" style="260" customWidth="1"/>
    <col min="5135" max="5381" width="9" style="260"/>
    <col min="5382" max="5382" width="2.875" style="260" customWidth="1"/>
    <col min="5383" max="5383" width="3" style="260" customWidth="1"/>
    <col min="5384" max="5384" width="46.25" style="260" customWidth="1"/>
    <col min="5385" max="5385" width="12" style="260" customWidth="1"/>
    <col min="5386" max="5386" width="10.25" style="260" customWidth="1"/>
    <col min="5387" max="5387" width="15.5" style="260" customWidth="1"/>
    <col min="5388" max="5388" width="14.25" style="260" customWidth="1"/>
    <col min="5389" max="5389" width="12.125" style="260" customWidth="1"/>
    <col min="5390" max="5390" width="29" style="260" customWidth="1"/>
    <col min="5391" max="5637" width="9" style="260"/>
    <col min="5638" max="5638" width="2.875" style="260" customWidth="1"/>
    <col min="5639" max="5639" width="3" style="260" customWidth="1"/>
    <col min="5640" max="5640" width="46.25" style="260" customWidth="1"/>
    <col min="5641" max="5641" width="12" style="260" customWidth="1"/>
    <col min="5642" max="5642" width="10.25" style="260" customWidth="1"/>
    <col min="5643" max="5643" width="15.5" style="260" customWidth="1"/>
    <col min="5644" max="5644" width="14.25" style="260" customWidth="1"/>
    <col min="5645" max="5645" width="12.125" style="260" customWidth="1"/>
    <col min="5646" max="5646" width="29" style="260" customWidth="1"/>
    <col min="5647" max="5893" width="9" style="260"/>
    <col min="5894" max="5894" width="2.875" style="260" customWidth="1"/>
    <col min="5895" max="5895" width="3" style="260" customWidth="1"/>
    <col min="5896" max="5896" width="46.25" style="260" customWidth="1"/>
    <col min="5897" max="5897" width="12" style="260" customWidth="1"/>
    <col min="5898" max="5898" width="10.25" style="260" customWidth="1"/>
    <col min="5899" max="5899" width="15.5" style="260" customWidth="1"/>
    <col min="5900" max="5900" width="14.25" style="260" customWidth="1"/>
    <col min="5901" max="5901" width="12.125" style="260" customWidth="1"/>
    <col min="5902" max="5902" width="29" style="260" customWidth="1"/>
    <col min="5903" max="6149" width="9" style="260"/>
    <col min="6150" max="6150" width="2.875" style="260" customWidth="1"/>
    <col min="6151" max="6151" width="3" style="260" customWidth="1"/>
    <col min="6152" max="6152" width="46.25" style="260" customWidth="1"/>
    <col min="6153" max="6153" width="12" style="260" customWidth="1"/>
    <col min="6154" max="6154" width="10.25" style="260" customWidth="1"/>
    <col min="6155" max="6155" width="15.5" style="260" customWidth="1"/>
    <col min="6156" max="6156" width="14.25" style="260" customWidth="1"/>
    <col min="6157" max="6157" width="12.125" style="260" customWidth="1"/>
    <col min="6158" max="6158" width="29" style="260" customWidth="1"/>
    <col min="6159" max="6405" width="9" style="260"/>
    <col min="6406" max="6406" width="2.875" style="260" customWidth="1"/>
    <col min="6407" max="6407" width="3" style="260" customWidth="1"/>
    <col min="6408" max="6408" width="46.25" style="260" customWidth="1"/>
    <col min="6409" max="6409" width="12" style="260" customWidth="1"/>
    <col min="6410" max="6410" width="10.25" style="260" customWidth="1"/>
    <col min="6411" max="6411" width="15.5" style="260" customWidth="1"/>
    <col min="6412" max="6412" width="14.25" style="260" customWidth="1"/>
    <col min="6413" max="6413" width="12.125" style="260" customWidth="1"/>
    <col min="6414" max="6414" width="29" style="260" customWidth="1"/>
    <col min="6415" max="6661" width="9" style="260"/>
    <col min="6662" max="6662" width="2.875" style="260" customWidth="1"/>
    <col min="6663" max="6663" width="3" style="260" customWidth="1"/>
    <col min="6664" max="6664" width="46.25" style="260" customWidth="1"/>
    <col min="6665" max="6665" width="12" style="260" customWidth="1"/>
    <col min="6666" max="6666" width="10.25" style="260" customWidth="1"/>
    <col min="6667" max="6667" width="15.5" style="260" customWidth="1"/>
    <col min="6668" max="6668" width="14.25" style="260" customWidth="1"/>
    <col min="6669" max="6669" width="12.125" style="260" customWidth="1"/>
    <col min="6670" max="6670" width="29" style="260" customWidth="1"/>
    <col min="6671" max="6917" width="9" style="260"/>
    <col min="6918" max="6918" width="2.875" style="260" customWidth="1"/>
    <col min="6919" max="6919" width="3" style="260" customWidth="1"/>
    <col min="6920" max="6920" width="46.25" style="260" customWidth="1"/>
    <col min="6921" max="6921" width="12" style="260" customWidth="1"/>
    <col min="6922" max="6922" width="10.25" style="260" customWidth="1"/>
    <col min="6923" max="6923" width="15.5" style="260" customWidth="1"/>
    <col min="6924" max="6924" width="14.25" style="260" customWidth="1"/>
    <col min="6925" max="6925" width="12.125" style="260" customWidth="1"/>
    <col min="6926" max="6926" width="29" style="260" customWidth="1"/>
    <col min="6927" max="7173" width="9" style="260"/>
    <col min="7174" max="7174" width="2.875" style="260" customWidth="1"/>
    <col min="7175" max="7175" width="3" style="260" customWidth="1"/>
    <col min="7176" max="7176" width="46.25" style="260" customWidth="1"/>
    <col min="7177" max="7177" width="12" style="260" customWidth="1"/>
    <col min="7178" max="7178" width="10.25" style="260" customWidth="1"/>
    <col min="7179" max="7179" width="15.5" style="260" customWidth="1"/>
    <col min="7180" max="7180" width="14.25" style="260" customWidth="1"/>
    <col min="7181" max="7181" width="12.125" style="260" customWidth="1"/>
    <col min="7182" max="7182" width="29" style="260" customWidth="1"/>
    <col min="7183" max="7429" width="9" style="260"/>
    <col min="7430" max="7430" width="2.875" style="260" customWidth="1"/>
    <col min="7431" max="7431" width="3" style="260" customWidth="1"/>
    <col min="7432" max="7432" width="46.25" style="260" customWidth="1"/>
    <col min="7433" max="7433" width="12" style="260" customWidth="1"/>
    <col min="7434" max="7434" width="10.25" style="260" customWidth="1"/>
    <col min="7435" max="7435" width="15.5" style="260" customWidth="1"/>
    <col min="7436" max="7436" width="14.25" style="260" customWidth="1"/>
    <col min="7437" max="7437" width="12.125" style="260" customWidth="1"/>
    <col min="7438" max="7438" width="29" style="260" customWidth="1"/>
    <col min="7439" max="7685" width="9" style="260"/>
    <col min="7686" max="7686" width="2.875" style="260" customWidth="1"/>
    <col min="7687" max="7687" width="3" style="260" customWidth="1"/>
    <col min="7688" max="7688" width="46.25" style="260" customWidth="1"/>
    <col min="7689" max="7689" width="12" style="260" customWidth="1"/>
    <col min="7690" max="7690" width="10.25" style="260" customWidth="1"/>
    <col min="7691" max="7691" width="15.5" style="260" customWidth="1"/>
    <col min="7692" max="7692" width="14.25" style="260" customWidth="1"/>
    <col min="7693" max="7693" width="12.125" style="260" customWidth="1"/>
    <col min="7694" max="7694" width="29" style="260" customWidth="1"/>
    <col min="7695" max="7941" width="9" style="260"/>
    <col min="7942" max="7942" width="2.875" style="260" customWidth="1"/>
    <col min="7943" max="7943" width="3" style="260" customWidth="1"/>
    <col min="7944" max="7944" width="46.25" style="260" customWidth="1"/>
    <col min="7945" max="7945" width="12" style="260" customWidth="1"/>
    <col min="7946" max="7946" width="10.25" style="260" customWidth="1"/>
    <col min="7947" max="7947" width="15.5" style="260" customWidth="1"/>
    <col min="7948" max="7948" width="14.25" style="260" customWidth="1"/>
    <col min="7949" max="7949" width="12.125" style="260" customWidth="1"/>
    <col min="7950" max="7950" width="29" style="260" customWidth="1"/>
    <col min="7951" max="8197" width="9" style="260"/>
    <col min="8198" max="8198" width="2.875" style="260" customWidth="1"/>
    <col min="8199" max="8199" width="3" style="260" customWidth="1"/>
    <col min="8200" max="8200" width="46.25" style="260" customWidth="1"/>
    <col min="8201" max="8201" width="12" style="260" customWidth="1"/>
    <col min="8202" max="8202" width="10.25" style="260" customWidth="1"/>
    <col min="8203" max="8203" width="15.5" style="260" customWidth="1"/>
    <col min="8204" max="8204" width="14.25" style="260" customWidth="1"/>
    <col min="8205" max="8205" width="12.125" style="260" customWidth="1"/>
    <col min="8206" max="8206" width="29" style="260" customWidth="1"/>
    <col min="8207" max="8453" width="9" style="260"/>
    <col min="8454" max="8454" width="2.875" style="260" customWidth="1"/>
    <col min="8455" max="8455" width="3" style="260" customWidth="1"/>
    <col min="8456" max="8456" width="46.25" style="260" customWidth="1"/>
    <col min="8457" max="8457" width="12" style="260" customWidth="1"/>
    <col min="8458" max="8458" width="10.25" style="260" customWidth="1"/>
    <col min="8459" max="8459" width="15.5" style="260" customWidth="1"/>
    <col min="8460" max="8460" width="14.25" style="260" customWidth="1"/>
    <col min="8461" max="8461" width="12.125" style="260" customWidth="1"/>
    <col min="8462" max="8462" width="29" style="260" customWidth="1"/>
    <col min="8463" max="8709" width="9" style="260"/>
    <col min="8710" max="8710" width="2.875" style="260" customWidth="1"/>
    <col min="8711" max="8711" width="3" style="260" customWidth="1"/>
    <col min="8712" max="8712" width="46.25" style="260" customWidth="1"/>
    <col min="8713" max="8713" width="12" style="260" customWidth="1"/>
    <col min="8714" max="8714" width="10.25" style="260" customWidth="1"/>
    <col min="8715" max="8715" width="15.5" style="260" customWidth="1"/>
    <col min="8716" max="8716" width="14.25" style="260" customWidth="1"/>
    <col min="8717" max="8717" width="12.125" style="260" customWidth="1"/>
    <col min="8718" max="8718" width="29" style="260" customWidth="1"/>
    <col min="8719" max="8965" width="9" style="260"/>
    <col min="8966" max="8966" width="2.875" style="260" customWidth="1"/>
    <col min="8967" max="8967" width="3" style="260" customWidth="1"/>
    <col min="8968" max="8968" width="46.25" style="260" customWidth="1"/>
    <col min="8969" max="8969" width="12" style="260" customWidth="1"/>
    <col min="8970" max="8970" width="10.25" style="260" customWidth="1"/>
    <col min="8971" max="8971" width="15.5" style="260" customWidth="1"/>
    <col min="8972" max="8972" width="14.25" style="260" customWidth="1"/>
    <col min="8973" max="8973" width="12.125" style="260" customWidth="1"/>
    <col min="8974" max="8974" width="29" style="260" customWidth="1"/>
    <col min="8975" max="9221" width="9" style="260"/>
    <col min="9222" max="9222" width="2.875" style="260" customWidth="1"/>
    <col min="9223" max="9223" width="3" style="260" customWidth="1"/>
    <col min="9224" max="9224" width="46.25" style="260" customWidth="1"/>
    <col min="9225" max="9225" width="12" style="260" customWidth="1"/>
    <col min="9226" max="9226" width="10.25" style="260" customWidth="1"/>
    <col min="9227" max="9227" width="15.5" style="260" customWidth="1"/>
    <col min="9228" max="9228" width="14.25" style="260" customWidth="1"/>
    <col min="9229" max="9229" width="12.125" style="260" customWidth="1"/>
    <col min="9230" max="9230" width="29" style="260" customWidth="1"/>
    <col min="9231" max="9477" width="9" style="260"/>
    <col min="9478" max="9478" width="2.875" style="260" customWidth="1"/>
    <col min="9479" max="9479" width="3" style="260" customWidth="1"/>
    <col min="9480" max="9480" width="46.25" style="260" customWidth="1"/>
    <col min="9481" max="9481" width="12" style="260" customWidth="1"/>
    <col min="9482" max="9482" width="10.25" style="260" customWidth="1"/>
    <col min="9483" max="9483" width="15.5" style="260" customWidth="1"/>
    <col min="9484" max="9484" width="14.25" style="260" customWidth="1"/>
    <col min="9485" max="9485" width="12.125" style="260" customWidth="1"/>
    <col min="9486" max="9486" width="29" style="260" customWidth="1"/>
    <col min="9487" max="9733" width="9" style="260"/>
    <col min="9734" max="9734" width="2.875" style="260" customWidth="1"/>
    <col min="9735" max="9735" width="3" style="260" customWidth="1"/>
    <col min="9736" max="9736" width="46.25" style="260" customWidth="1"/>
    <col min="9737" max="9737" width="12" style="260" customWidth="1"/>
    <col min="9738" max="9738" width="10.25" style="260" customWidth="1"/>
    <col min="9739" max="9739" width="15.5" style="260" customWidth="1"/>
    <col min="9740" max="9740" width="14.25" style="260" customWidth="1"/>
    <col min="9741" max="9741" width="12.125" style="260" customWidth="1"/>
    <col min="9742" max="9742" width="29" style="260" customWidth="1"/>
    <col min="9743" max="9989" width="9" style="260"/>
    <col min="9990" max="9990" width="2.875" style="260" customWidth="1"/>
    <col min="9991" max="9991" width="3" style="260" customWidth="1"/>
    <col min="9992" max="9992" width="46.25" style="260" customWidth="1"/>
    <col min="9993" max="9993" width="12" style="260" customWidth="1"/>
    <col min="9994" max="9994" width="10.25" style="260" customWidth="1"/>
    <col min="9995" max="9995" width="15.5" style="260" customWidth="1"/>
    <col min="9996" max="9996" width="14.25" style="260" customWidth="1"/>
    <col min="9997" max="9997" width="12.125" style="260" customWidth="1"/>
    <col min="9998" max="9998" width="29" style="260" customWidth="1"/>
    <col min="9999" max="10245" width="9" style="260"/>
    <col min="10246" max="10246" width="2.875" style="260" customWidth="1"/>
    <col min="10247" max="10247" width="3" style="260" customWidth="1"/>
    <col min="10248" max="10248" width="46.25" style="260" customWidth="1"/>
    <col min="10249" max="10249" width="12" style="260" customWidth="1"/>
    <col min="10250" max="10250" width="10.25" style="260" customWidth="1"/>
    <col min="10251" max="10251" width="15.5" style="260" customWidth="1"/>
    <col min="10252" max="10252" width="14.25" style="260" customWidth="1"/>
    <col min="10253" max="10253" width="12.125" style="260" customWidth="1"/>
    <col min="10254" max="10254" width="29" style="260" customWidth="1"/>
    <col min="10255" max="10501" width="9" style="260"/>
    <col min="10502" max="10502" width="2.875" style="260" customWidth="1"/>
    <col min="10503" max="10503" width="3" style="260" customWidth="1"/>
    <col min="10504" max="10504" width="46.25" style="260" customWidth="1"/>
    <col min="10505" max="10505" width="12" style="260" customWidth="1"/>
    <col min="10506" max="10506" width="10.25" style="260" customWidth="1"/>
    <col min="10507" max="10507" width="15.5" style="260" customWidth="1"/>
    <col min="10508" max="10508" width="14.25" style="260" customWidth="1"/>
    <col min="10509" max="10509" width="12.125" style="260" customWidth="1"/>
    <col min="10510" max="10510" width="29" style="260" customWidth="1"/>
    <col min="10511" max="10757" width="9" style="260"/>
    <col min="10758" max="10758" width="2.875" style="260" customWidth="1"/>
    <col min="10759" max="10759" width="3" style="260" customWidth="1"/>
    <col min="10760" max="10760" width="46.25" style="260" customWidth="1"/>
    <col min="10761" max="10761" width="12" style="260" customWidth="1"/>
    <col min="10762" max="10762" width="10.25" style="260" customWidth="1"/>
    <col min="10763" max="10763" width="15.5" style="260" customWidth="1"/>
    <col min="10764" max="10764" width="14.25" style="260" customWidth="1"/>
    <col min="10765" max="10765" width="12.125" style="260" customWidth="1"/>
    <col min="10766" max="10766" width="29" style="260" customWidth="1"/>
    <col min="10767" max="11013" width="9" style="260"/>
    <col min="11014" max="11014" width="2.875" style="260" customWidth="1"/>
    <col min="11015" max="11015" width="3" style="260" customWidth="1"/>
    <col min="11016" max="11016" width="46.25" style="260" customWidth="1"/>
    <col min="11017" max="11017" width="12" style="260" customWidth="1"/>
    <col min="11018" max="11018" width="10.25" style="260" customWidth="1"/>
    <col min="11019" max="11019" width="15.5" style="260" customWidth="1"/>
    <col min="11020" max="11020" width="14.25" style="260" customWidth="1"/>
    <col min="11021" max="11021" width="12.125" style="260" customWidth="1"/>
    <col min="11022" max="11022" width="29" style="260" customWidth="1"/>
    <col min="11023" max="11269" width="9" style="260"/>
    <col min="11270" max="11270" width="2.875" style="260" customWidth="1"/>
    <col min="11271" max="11271" width="3" style="260" customWidth="1"/>
    <col min="11272" max="11272" width="46.25" style="260" customWidth="1"/>
    <col min="11273" max="11273" width="12" style="260" customWidth="1"/>
    <col min="11274" max="11274" width="10.25" style="260" customWidth="1"/>
    <col min="11275" max="11275" width="15.5" style="260" customWidth="1"/>
    <col min="11276" max="11276" width="14.25" style="260" customWidth="1"/>
    <col min="11277" max="11277" width="12.125" style="260" customWidth="1"/>
    <col min="11278" max="11278" width="29" style="260" customWidth="1"/>
    <col min="11279" max="11525" width="9" style="260"/>
    <col min="11526" max="11526" width="2.875" style="260" customWidth="1"/>
    <col min="11527" max="11527" width="3" style="260" customWidth="1"/>
    <col min="11528" max="11528" width="46.25" style="260" customWidth="1"/>
    <col min="11529" max="11529" width="12" style="260" customWidth="1"/>
    <col min="11530" max="11530" width="10.25" style="260" customWidth="1"/>
    <col min="11531" max="11531" width="15.5" style="260" customWidth="1"/>
    <col min="11532" max="11532" width="14.25" style="260" customWidth="1"/>
    <col min="11533" max="11533" width="12.125" style="260" customWidth="1"/>
    <col min="11534" max="11534" width="29" style="260" customWidth="1"/>
    <col min="11535" max="11781" width="9" style="260"/>
    <col min="11782" max="11782" width="2.875" style="260" customWidth="1"/>
    <col min="11783" max="11783" width="3" style="260" customWidth="1"/>
    <col min="11784" max="11784" width="46.25" style="260" customWidth="1"/>
    <col min="11785" max="11785" width="12" style="260" customWidth="1"/>
    <col min="11786" max="11786" width="10.25" style="260" customWidth="1"/>
    <col min="11787" max="11787" width="15.5" style="260" customWidth="1"/>
    <col min="11788" max="11788" width="14.25" style="260" customWidth="1"/>
    <col min="11789" max="11789" width="12.125" style="260" customWidth="1"/>
    <col min="11790" max="11790" width="29" style="260" customWidth="1"/>
    <col min="11791" max="12037" width="9" style="260"/>
    <col min="12038" max="12038" width="2.875" style="260" customWidth="1"/>
    <col min="12039" max="12039" width="3" style="260" customWidth="1"/>
    <col min="12040" max="12040" width="46.25" style="260" customWidth="1"/>
    <col min="12041" max="12041" width="12" style="260" customWidth="1"/>
    <col min="12042" max="12042" width="10.25" style="260" customWidth="1"/>
    <col min="12043" max="12043" width="15.5" style="260" customWidth="1"/>
    <col min="12044" max="12044" width="14.25" style="260" customWidth="1"/>
    <col min="12045" max="12045" width="12.125" style="260" customWidth="1"/>
    <col min="12046" max="12046" width="29" style="260" customWidth="1"/>
    <col min="12047" max="12293" width="9" style="260"/>
    <col min="12294" max="12294" width="2.875" style="260" customWidth="1"/>
    <col min="12295" max="12295" width="3" style="260" customWidth="1"/>
    <col min="12296" max="12296" width="46.25" style="260" customWidth="1"/>
    <col min="12297" max="12297" width="12" style="260" customWidth="1"/>
    <col min="12298" max="12298" width="10.25" style="260" customWidth="1"/>
    <col min="12299" max="12299" width="15.5" style="260" customWidth="1"/>
    <col min="12300" max="12300" width="14.25" style="260" customWidth="1"/>
    <col min="12301" max="12301" width="12.125" style="260" customWidth="1"/>
    <col min="12302" max="12302" width="29" style="260" customWidth="1"/>
    <col min="12303" max="12549" width="9" style="260"/>
    <col min="12550" max="12550" width="2.875" style="260" customWidth="1"/>
    <col min="12551" max="12551" width="3" style="260" customWidth="1"/>
    <col min="12552" max="12552" width="46.25" style="260" customWidth="1"/>
    <col min="12553" max="12553" width="12" style="260" customWidth="1"/>
    <col min="12554" max="12554" width="10.25" style="260" customWidth="1"/>
    <col min="12555" max="12555" width="15.5" style="260" customWidth="1"/>
    <col min="12556" max="12556" width="14.25" style="260" customWidth="1"/>
    <col min="12557" max="12557" width="12.125" style="260" customWidth="1"/>
    <col min="12558" max="12558" width="29" style="260" customWidth="1"/>
    <col min="12559" max="12805" width="9" style="260"/>
    <col min="12806" max="12806" width="2.875" style="260" customWidth="1"/>
    <col min="12807" max="12807" width="3" style="260" customWidth="1"/>
    <col min="12808" max="12808" width="46.25" style="260" customWidth="1"/>
    <col min="12809" max="12809" width="12" style="260" customWidth="1"/>
    <col min="12810" max="12810" width="10.25" style="260" customWidth="1"/>
    <col min="12811" max="12811" width="15.5" style="260" customWidth="1"/>
    <col min="12812" max="12812" width="14.25" style="260" customWidth="1"/>
    <col min="12813" max="12813" width="12.125" style="260" customWidth="1"/>
    <col min="12814" max="12814" width="29" style="260" customWidth="1"/>
    <col min="12815" max="13061" width="9" style="260"/>
    <col min="13062" max="13062" width="2.875" style="260" customWidth="1"/>
    <col min="13063" max="13063" width="3" style="260" customWidth="1"/>
    <col min="13064" max="13064" width="46.25" style="260" customWidth="1"/>
    <col min="13065" max="13065" width="12" style="260" customWidth="1"/>
    <col min="13066" max="13066" width="10.25" style="260" customWidth="1"/>
    <col min="13067" max="13067" width="15.5" style="260" customWidth="1"/>
    <col min="13068" max="13068" width="14.25" style="260" customWidth="1"/>
    <col min="13069" max="13069" width="12.125" style="260" customWidth="1"/>
    <col min="13070" max="13070" width="29" style="260" customWidth="1"/>
    <col min="13071" max="13317" width="9" style="260"/>
    <col min="13318" max="13318" width="2.875" style="260" customWidth="1"/>
    <col min="13319" max="13319" width="3" style="260" customWidth="1"/>
    <col min="13320" max="13320" width="46.25" style="260" customWidth="1"/>
    <col min="13321" max="13321" width="12" style="260" customWidth="1"/>
    <col min="13322" max="13322" width="10.25" style="260" customWidth="1"/>
    <col min="13323" max="13323" width="15.5" style="260" customWidth="1"/>
    <col min="13324" max="13324" width="14.25" style="260" customWidth="1"/>
    <col min="13325" max="13325" width="12.125" style="260" customWidth="1"/>
    <col min="13326" max="13326" width="29" style="260" customWidth="1"/>
    <col min="13327" max="13573" width="9" style="260"/>
    <col min="13574" max="13574" width="2.875" style="260" customWidth="1"/>
    <col min="13575" max="13575" width="3" style="260" customWidth="1"/>
    <col min="13576" max="13576" width="46.25" style="260" customWidth="1"/>
    <col min="13577" max="13577" width="12" style="260" customWidth="1"/>
    <col min="13578" max="13578" width="10.25" style="260" customWidth="1"/>
    <col min="13579" max="13579" width="15.5" style="260" customWidth="1"/>
    <col min="13580" max="13580" width="14.25" style="260" customWidth="1"/>
    <col min="13581" max="13581" width="12.125" style="260" customWidth="1"/>
    <col min="13582" max="13582" width="29" style="260" customWidth="1"/>
    <col min="13583" max="13829" width="9" style="260"/>
    <col min="13830" max="13830" width="2.875" style="260" customWidth="1"/>
    <col min="13831" max="13831" width="3" style="260" customWidth="1"/>
    <col min="13832" max="13832" width="46.25" style="260" customWidth="1"/>
    <col min="13833" max="13833" width="12" style="260" customWidth="1"/>
    <col min="13834" max="13834" width="10.25" style="260" customWidth="1"/>
    <col min="13835" max="13835" width="15.5" style="260" customWidth="1"/>
    <col min="13836" max="13836" width="14.25" style="260" customWidth="1"/>
    <col min="13837" max="13837" width="12.125" style="260" customWidth="1"/>
    <col min="13838" max="13838" width="29" style="260" customWidth="1"/>
    <col min="13839" max="14085" width="9" style="260"/>
    <col min="14086" max="14086" width="2.875" style="260" customWidth="1"/>
    <col min="14087" max="14087" width="3" style="260" customWidth="1"/>
    <col min="14088" max="14088" width="46.25" style="260" customWidth="1"/>
    <col min="14089" max="14089" width="12" style="260" customWidth="1"/>
    <col min="14090" max="14090" width="10.25" style="260" customWidth="1"/>
    <col min="14091" max="14091" width="15.5" style="260" customWidth="1"/>
    <col min="14092" max="14092" width="14.25" style="260" customWidth="1"/>
    <col min="14093" max="14093" width="12.125" style="260" customWidth="1"/>
    <col min="14094" max="14094" width="29" style="260" customWidth="1"/>
    <col min="14095" max="14341" width="9" style="260"/>
    <col min="14342" max="14342" width="2.875" style="260" customWidth="1"/>
    <col min="14343" max="14343" width="3" style="260" customWidth="1"/>
    <col min="14344" max="14344" width="46.25" style="260" customWidth="1"/>
    <col min="14345" max="14345" width="12" style="260" customWidth="1"/>
    <col min="14346" max="14346" width="10.25" style="260" customWidth="1"/>
    <col min="14347" max="14347" width="15.5" style="260" customWidth="1"/>
    <col min="14348" max="14348" width="14.25" style="260" customWidth="1"/>
    <col min="14349" max="14349" width="12.125" style="260" customWidth="1"/>
    <col min="14350" max="14350" width="29" style="260" customWidth="1"/>
    <col min="14351" max="14597" width="9" style="260"/>
    <col min="14598" max="14598" width="2.875" style="260" customWidth="1"/>
    <col min="14599" max="14599" width="3" style="260" customWidth="1"/>
    <col min="14600" max="14600" width="46.25" style="260" customWidth="1"/>
    <col min="14601" max="14601" width="12" style="260" customWidth="1"/>
    <col min="14602" max="14602" width="10.25" style="260" customWidth="1"/>
    <col min="14603" max="14603" width="15.5" style="260" customWidth="1"/>
    <col min="14604" max="14604" width="14.25" style="260" customWidth="1"/>
    <col min="14605" max="14605" width="12.125" style="260" customWidth="1"/>
    <col min="14606" max="14606" width="29" style="260" customWidth="1"/>
    <col min="14607" max="14853" width="9" style="260"/>
    <col min="14854" max="14854" width="2.875" style="260" customWidth="1"/>
    <col min="14855" max="14855" width="3" style="260" customWidth="1"/>
    <col min="14856" max="14856" width="46.25" style="260" customWidth="1"/>
    <col min="14857" max="14857" width="12" style="260" customWidth="1"/>
    <col min="14858" max="14858" width="10.25" style="260" customWidth="1"/>
    <col min="14859" max="14859" width="15.5" style="260" customWidth="1"/>
    <col min="14860" max="14860" width="14.25" style="260" customWidth="1"/>
    <col min="14861" max="14861" width="12.125" style="260" customWidth="1"/>
    <col min="14862" max="14862" width="29" style="260" customWidth="1"/>
    <col min="14863" max="15109" width="9" style="260"/>
    <col min="15110" max="15110" width="2.875" style="260" customWidth="1"/>
    <col min="15111" max="15111" width="3" style="260" customWidth="1"/>
    <col min="15112" max="15112" width="46.25" style="260" customWidth="1"/>
    <col min="15113" max="15113" width="12" style="260" customWidth="1"/>
    <col min="15114" max="15114" width="10.25" style="260" customWidth="1"/>
    <col min="15115" max="15115" width="15.5" style="260" customWidth="1"/>
    <col min="15116" max="15116" width="14.25" style="260" customWidth="1"/>
    <col min="15117" max="15117" width="12.125" style="260" customWidth="1"/>
    <col min="15118" max="15118" width="29" style="260" customWidth="1"/>
    <col min="15119" max="15365" width="9" style="260"/>
    <col min="15366" max="15366" width="2.875" style="260" customWidth="1"/>
    <col min="15367" max="15367" width="3" style="260" customWidth="1"/>
    <col min="15368" max="15368" width="46.25" style="260" customWidth="1"/>
    <col min="15369" max="15369" width="12" style="260" customWidth="1"/>
    <col min="15370" max="15370" width="10.25" style="260" customWidth="1"/>
    <col min="15371" max="15371" width="15.5" style="260" customWidth="1"/>
    <col min="15372" max="15372" width="14.25" style="260" customWidth="1"/>
    <col min="15373" max="15373" width="12.125" style="260" customWidth="1"/>
    <col min="15374" max="15374" width="29" style="260" customWidth="1"/>
    <col min="15375" max="15621" width="9" style="260"/>
    <col min="15622" max="15622" width="2.875" style="260" customWidth="1"/>
    <col min="15623" max="15623" width="3" style="260" customWidth="1"/>
    <col min="15624" max="15624" width="46.25" style="260" customWidth="1"/>
    <col min="15625" max="15625" width="12" style="260" customWidth="1"/>
    <col min="15626" max="15626" width="10.25" style="260" customWidth="1"/>
    <col min="15627" max="15627" width="15.5" style="260" customWidth="1"/>
    <col min="15628" max="15628" width="14.25" style="260" customWidth="1"/>
    <col min="15629" max="15629" width="12.125" style="260" customWidth="1"/>
    <col min="15630" max="15630" width="29" style="260" customWidth="1"/>
    <col min="15631" max="15877" width="9" style="260"/>
    <col min="15878" max="15878" width="2.875" style="260" customWidth="1"/>
    <col min="15879" max="15879" width="3" style="260" customWidth="1"/>
    <col min="15880" max="15880" width="46.25" style="260" customWidth="1"/>
    <col min="15881" max="15881" width="12" style="260" customWidth="1"/>
    <col min="15882" max="15882" width="10.25" style="260" customWidth="1"/>
    <col min="15883" max="15883" width="15.5" style="260" customWidth="1"/>
    <col min="15884" max="15884" width="14.25" style="260" customWidth="1"/>
    <col min="15885" max="15885" width="12.125" style="260" customWidth="1"/>
    <col min="15886" max="15886" width="29" style="260" customWidth="1"/>
    <col min="15887" max="16133" width="9" style="260"/>
    <col min="16134" max="16134" width="2.875" style="260" customWidth="1"/>
    <col min="16135" max="16135" width="3" style="260" customWidth="1"/>
    <col min="16136" max="16136" width="46.25" style="260" customWidth="1"/>
    <col min="16137" max="16137" width="12" style="260" customWidth="1"/>
    <col min="16138" max="16138" width="10.25" style="260" customWidth="1"/>
    <col min="16139" max="16139" width="15.5" style="260" customWidth="1"/>
    <col min="16140" max="16140" width="14.25" style="260" customWidth="1"/>
    <col min="16141" max="16141" width="12.125" style="260" customWidth="1"/>
    <col min="16142" max="16142" width="29" style="260" customWidth="1"/>
    <col min="16143" max="16384" width="9" style="260"/>
  </cols>
  <sheetData>
    <row r="1" spans="1:21" ht="23.25" customHeight="1">
      <c r="A1" s="1768" t="s">
        <v>798</v>
      </c>
      <c r="B1" s="1768"/>
      <c r="C1" s="1768"/>
      <c r="D1" s="262"/>
      <c r="E1" s="262"/>
      <c r="F1" s="262"/>
      <c r="G1" s="1760" t="str">
        <f>CONCATENATE('入力（基本)'!G11)</f>
        <v/>
      </c>
      <c r="H1" s="1760"/>
      <c r="I1" s="1760"/>
    </row>
    <row r="2" spans="1:21" s="294" customFormat="1" ht="31.5" customHeight="1">
      <c r="A2" s="1769" t="s">
        <v>1300</v>
      </c>
      <c r="B2" s="1769"/>
      <c r="C2" s="1769"/>
      <c r="D2" s="1769"/>
      <c r="E2" s="1769"/>
      <c r="F2" s="1769"/>
      <c r="G2" s="1769"/>
      <c r="H2" s="1769"/>
      <c r="I2" s="1769"/>
      <c r="J2" s="509"/>
      <c r="K2" s="1758" t="s">
        <v>582</v>
      </c>
      <c r="L2" s="1759"/>
      <c r="M2" s="290" t="s">
        <v>179</v>
      </c>
      <c r="N2" s="291">
        <f>IFERROR(VLOOKUP(E7,K4:L10,2,TRUE),0)</f>
        <v>0</v>
      </c>
      <c r="O2" s="261" t="s">
        <v>627</v>
      </c>
      <c r="P2" s="290" t="s">
        <v>182</v>
      </c>
      <c r="Q2" s="291" t="s">
        <v>583</v>
      </c>
      <c r="R2" s="291" t="s">
        <v>584</v>
      </c>
      <c r="S2" s="291" t="s">
        <v>585</v>
      </c>
      <c r="T2" s="292" t="s">
        <v>586</v>
      </c>
      <c r="U2" s="293" t="s">
        <v>586</v>
      </c>
    </row>
    <row r="3" spans="1:21" s="294" customFormat="1" ht="19.5" customHeight="1">
      <c r="A3" s="428"/>
      <c r="B3" s="428"/>
      <c r="C3" s="428"/>
      <c r="D3" s="428"/>
      <c r="E3" s="428"/>
      <c r="F3" s="428"/>
      <c r="G3" s="428"/>
      <c r="H3" s="428"/>
      <c r="I3" s="428"/>
      <c r="J3" s="509"/>
      <c r="K3" s="431"/>
      <c r="L3" s="432"/>
      <c r="M3" s="290"/>
      <c r="N3" s="291"/>
      <c r="O3" s="261"/>
      <c r="P3" s="290"/>
      <c r="Q3" s="291"/>
      <c r="R3" s="291"/>
      <c r="S3" s="291"/>
      <c r="T3" s="292"/>
      <c r="U3" s="293"/>
    </row>
    <row r="4" spans="1:21" ht="19.5" customHeight="1">
      <c r="A4" s="262"/>
      <c r="B4" s="262"/>
      <c r="C4" s="510"/>
      <c r="D4" s="265"/>
      <c r="E4" s="265"/>
      <c r="F4" s="265"/>
      <c r="G4" s="1666" t="s">
        <v>786</v>
      </c>
      <c r="H4" s="1668"/>
      <c r="I4" s="1669"/>
      <c r="J4" s="1670"/>
      <c r="K4" s="295">
        <v>1</v>
      </c>
      <c r="L4" s="295">
        <v>1</v>
      </c>
      <c r="M4" s="290"/>
      <c r="N4" s="290"/>
      <c r="O4" s="261">
        <v>51030</v>
      </c>
      <c r="P4" s="261"/>
      <c r="Q4" s="296"/>
      <c r="R4" s="296"/>
      <c r="S4" s="296"/>
      <c r="T4" s="297"/>
      <c r="U4" s="261"/>
    </row>
    <row r="5" spans="1:21" ht="19.5" customHeight="1" thickBot="1">
      <c r="A5" s="444" t="s">
        <v>591</v>
      </c>
      <c r="B5" s="262"/>
      <c r="C5" s="510"/>
      <c r="D5" s="265"/>
      <c r="E5" s="265"/>
      <c r="F5" s="265"/>
      <c r="G5" s="1667"/>
      <c r="H5" s="1671"/>
      <c r="I5" s="1672"/>
      <c r="J5" s="1673"/>
      <c r="K5" s="295">
        <v>46</v>
      </c>
      <c r="L5" s="295">
        <v>2</v>
      </c>
      <c r="M5" s="290">
        <v>1</v>
      </c>
      <c r="N5" s="290">
        <v>1</v>
      </c>
      <c r="O5" s="261">
        <v>6380</v>
      </c>
      <c r="P5" s="261" t="s">
        <v>587</v>
      </c>
      <c r="Q5" s="296" t="str">
        <f>IF(OR($E$7&lt;=35,$E$7&gt;=121),"あり","")</f>
        <v>あり</v>
      </c>
      <c r="R5" s="296" t="str">
        <f>IF(E7&gt;=91,"あり","")</f>
        <v/>
      </c>
      <c r="S5" s="296" t="str">
        <f>IF($E$7&gt;=271,"あり","")</f>
        <v/>
      </c>
      <c r="T5" s="297" t="s">
        <v>588</v>
      </c>
      <c r="U5" s="261">
        <v>1</v>
      </c>
    </row>
    <row r="6" spans="1:21" ht="19.5" customHeight="1">
      <c r="A6" s="445"/>
      <c r="B6" s="1699"/>
      <c r="C6" s="1700"/>
      <c r="D6" s="1700"/>
      <c r="E6" s="511" t="s">
        <v>592</v>
      </c>
      <c r="F6" s="265"/>
      <c r="G6" s="989"/>
      <c r="H6" s="989"/>
      <c r="I6" s="989"/>
      <c r="J6" s="989"/>
      <c r="K6" s="298">
        <v>151</v>
      </c>
      <c r="L6" s="512">
        <v>3</v>
      </c>
      <c r="M6" s="290" t="str">
        <f>IF($N$2&gt;=N6,N6,"")</f>
        <v/>
      </c>
      <c r="N6" s="290">
        <v>2</v>
      </c>
      <c r="P6" s="261" t="s">
        <v>589</v>
      </c>
      <c r="Q6" s="296" t="s">
        <v>589</v>
      </c>
      <c r="R6" s="296" t="s">
        <v>589</v>
      </c>
      <c r="S6" s="296" t="s">
        <v>589</v>
      </c>
      <c r="T6" s="297" t="s">
        <v>590</v>
      </c>
      <c r="U6" s="261">
        <v>2</v>
      </c>
    </row>
    <row r="7" spans="1:21" ht="19.5" customHeight="1">
      <c r="A7" s="444"/>
      <c r="B7" s="1661" t="s">
        <v>593</v>
      </c>
      <c r="C7" s="1662"/>
      <c r="D7" s="1662"/>
      <c r="E7" s="513" cm="1">
        <f t="array" ref="E7:F7">'入力（加算）幼'!D8:E8</f>
        <v>0</v>
      </c>
      <c r="F7" s="265">
        <v>0</v>
      </c>
      <c r="G7" s="989"/>
      <c r="H7" s="989"/>
      <c r="I7" s="989"/>
      <c r="J7" s="989"/>
      <c r="K7" s="298">
        <v>241</v>
      </c>
      <c r="L7" s="298">
        <v>3.5</v>
      </c>
      <c r="M7" s="290" t="str">
        <f t="shared" ref="M7:M17" si="0">IF($N$2&gt;=N7,N7,"")</f>
        <v/>
      </c>
      <c r="N7" s="290">
        <v>3</v>
      </c>
      <c r="U7" s="261">
        <v>3</v>
      </c>
    </row>
    <row r="8" spans="1:21" ht="19.5" customHeight="1">
      <c r="A8" s="444"/>
      <c r="B8" s="1764" t="s">
        <v>594</v>
      </c>
      <c r="C8" s="1765"/>
      <c r="D8" s="1765"/>
      <c r="E8" s="514">
        <f>E9+E10</f>
        <v>0</v>
      </c>
      <c r="F8" s="1766" t="str">
        <f>IF($E$8&gt;ROUND(E7*1.2,0),"←警告：定員の120％を超過しています。","")</f>
        <v/>
      </c>
      <c r="G8" s="1767"/>
      <c r="H8" s="1767"/>
      <c r="I8" s="1767"/>
      <c r="J8" s="342"/>
      <c r="K8" s="295">
        <v>271</v>
      </c>
      <c r="L8" s="295">
        <v>5</v>
      </c>
      <c r="M8" s="290" t="str">
        <f t="shared" si="0"/>
        <v/>
      </c>
      <c r="N8" s="290">
        <v>3.5</v>
      </c>
      <c r="U8" s="261">
        <v>4</v>
      </c>
    </row>
    <row r="9" spans="1:21" ht="19.5" customHeight="1">
      <c r="A9" s="444"/>
      <c r="B9" s="450"/>
      <c r="C9" s="1683" t="s">
        <v>595</v>
      </c>
      <c r="D9" s="1684"/>
      <c r="E9" s="515">
        <f>'入力（児童数-本園)'!AB3</f>
        <v>0</v>
      </c>
      <c r="F9" s="1766"/>
      <c r="G9" s="1767"/>
      <c r="H9" s="1767"/>
      <c r="I9" s="1767"/>
      <c r="J9" s="342"/>
      <c r="K9" s="295">
        <v>301</v>
      </c>
      <c r="L9" s="295">
        <v>6</v>
      </c>
      <c r="M9" s="290" t="str">
        <f t="shared" si="0"/>
        <v/>
      </c>
      <c r="N9" s="290">
        <v>4</v>
      </c>
      <c r="U9" s="261">
        <v>5</v>
      </c>
    </row>
    <row r="10" spans="1:21" ht="19.5" customHeight="1">
      <c r="A10" s="444"/>
      <c r="B10" s="450"/>
      <c r="C10" s="1683" t="s">
        <v>596</v>
      </c>
      <c r="D10" s="1684"/>
      <c r="E10" s="515">
        <f>'入力（児童数-本園)'!AB4</f>
        <v>0</v>
      </c>
      <c r="F10" s="1766"/>
      <c r="G10" s="1767"/>
      <c r="H10" s="1767"/>
      <c r="I10" s="1767"/>
      <c r="J10" s="342"/>
      <c r="K10" s="295">
        <v>451</v>
      </c>
      <c r="L10" s="295">
        <v>8</v>
      </c>
      <c r="M10" s="290" t="str">
        <f t="shared" si="0"/>
        <v/>
      </c>
      <c r="N10" s="290">
        <v>4.5</v>
      </c>
      <c r="U10" s="261">
        <v>6</v>
      </c>
    </row>
    <row r="11" spans="1:21" ht="19.5" customHeight="1" thickBot="1">
      <c r="A11" s="444"/>
      <c r="B11" s="516"/>
      <c r="C11" s="1688" t="s">
        <v>597</v>
      </c>
      <c r="D11" s="1689"/>
      <c r="E11" s="517">
        <f>'入力（児童数-本園)'!AB5</f>
        <v>0</v>
      </c>
      <c r="F11" s="1766"/>
      <c r="G11" s="1767"/>
      <c r="H11" s="1767"/>
      <c r="I11" s="1767"/>
      <c r="J11" s="342"/>
      <c r="M11" s="290" t="str">
        <f t="shared" si="0"/>
        <v/>
      </c>
      <c r="N11" s="290">
        <v>5</v>
      </c>
      <c r="U11" s="261">
        <v>7</v>
      </c>
    </row>
    <row r="12" spans="1:21" ht="19.5" customHeight="1">
      <c r="A12" s="444"/>
      <c r="B12" s="1763" t="s">
        <v>787</v>
      </c>
      <c r="C12" s="1763"/>
      <c r="D12" s="1763"/>
      <c r="E12" s="1763"/>
      <c r="F12" s="1763"/>
      <c r="G12" s="1763"/>
      <c r="H12" s="1763"/>
      <c r="I12" s="1763"/>
      <c r="J12" s="342"/>
      <c r="M12" s="290" t="str">
        <f t="shared" si="0"/>
        <v/>
      </c>
      <c r="N12" s="290">
        <v>5.5</v>
      </c>
      <c r="U12" s="261">
        <v>8</v>
      </c>
    </row>
    <row r="13" spans="1:21" ht="19.5" customHeight="1">
      <c r="A13" s="262"/>
      <c r="B13" s="1763"/>
      <c r="C13" s="1763"/>
      <c r="D13" s="1763"/>
      <c r="E13" s="1763"/>
      <c r="F13" s="1763"/>
      <c r="G13" s="1763"/>
      <c r="H13" s="1763"/>
      <c r="I13" s="1763"/>
      <c r="J13" s="342"/>
      <c r="M13" s="290" t="str">
        <f t="shared" si="0"/>
        <v/>
      </c>
      <c r="N13" s="290">
        <v>6</v>
      </c>
      <c r="U13" s="261">
        <v>9</v>
      </c>
    </row>
    <row r="14" spans="1:21" ht="19.5" customHeight="1">
      <c r="A14" s="262"/>
      <c r="B14" s="460"/>
      <c r="C14" s="518"/>
      <c r="D14" s="518"/>
      <c r="E14" s="518"/>
      <c r="F14" s="518"/>
      <c r="G14" s="518"/>
      <c r="H14" s="462" t="s">
        <v>789</v>
      </c>
      <c r="I14" s="463">
        <v>12</v>
      </c>
      <c r="J14" s="342"/>
      <c r="M14" s="290"/>
      <c r="N14" s="290">
        <v>6.5</v>
      </c>
      <c r="U14" s="261">
        <v>10</v>
      </c>
    </row>
    <row r="15" spans="1:21" ht="19.5" customHeight="1" thickBot="1">
      <c r="A15" s="444" t="s">
        <v>599</v>
      </c>
      <c r="B15" s="262"/>
      <c r="C15" s="262"/>
      <c r="D15" s="262"/>
      <c r="E15" s="443"/>
      <c r="F15" s="443"/>
      <c r="G15" s="443"/>
      <c r="H15" s="443"/>
      <c r="I15" s="443"/>
      <c r="J15" s="342"/>
      <c r="M15" s="290"/>
      <c r="N15" s="290">
        <v>7</v>
      </c>
    </row>
    <row r="16" spans="1:21" ht="34.5" customHeight="1">
      <c r="A16" s="262"/>
      <c r="B16" s="519"/>
      <c r="C16" s="520"/>
      <c r="D16" s="521" t="s">
        <v>600</v>
      </c>
      <c r="E16" s="522" t="s">
        <v>601</v>
      </c>
      <c r="F16" s="523" t="s">
        <v>602</v>
      </c>
      <c r="G16" s="524"/>
      <c r="H16" s="524"/>
      <c r="I16" s="262"/>
      <c r="J16" s="342"/>
      <c r="M16" s="290" t="str">
        <f t="shared" si="0"/>
        <v/>
      </c>
      <c r="N16" s="290">
        <v>7.5</v>
      </c>
    </row>
    <row r="17" spans="1:14" ht="35.25" customHeight="1">
      <c r="A17" s="273"/>
      <c r="B17" s="579" t="s">
        <v>603</v>
      </c>
      <c r="C17" s="525" t="s">
        <v>1371</v>
      </c>
      <c r="D17" s="526"/>
      <c r="E17" s="527"/>
      <c r="F17" s="528">
        <f>ROUND(SUM($F$18:$F$20),0)*1.1</f>
        <v>0</v>
      </c>
      <c r="G17" s="529"/>
      <c r="H17" s="529"/>
      <c r="I17" s="262"/>
      <c r="M17" s="290" t="str">
        <f t="shared" si="0"/>
        <v/>
      </c>
      <c r="N17" s="290">
        <v>8</v>
      </c>
    </row>
    <row r="18" spans="1:14" ht="29.25" customHeight="1">
      <c r="A18" s="273"/>
      <c r="B18" s="530"/>
      <c r="C18" s="531" t="s">
        <v>604</v>
      </c>
      <c r="D18" s="532"/>
      <c r="E18" s="533"/>
      <c r="F18" s="534">
        <f>ROUNDDOWN($E$9*1/30,1)</f>
        <v>0</v>
      </c>
      <c r="G18" s="535"/>
      <c r="H18" s="535"/>
      <c r="I18" s="262"/>
    </row>
    <row r="19" spans="1:14" ht="34.5" customHeight="1">
      <c r="A19" s="273"/>
      <c r="B19" s="530"/>
      <c r="C19" s="536" t="s">
        <v>605</v>
      </c>
      <c r="D19" s="537" t="str">
        <f>CONCATENATE('入力（加算）幼'!F21)</f>
        <v/>
      </c>
      <c r="E19" s="538"/>
      <c r="F19" s="1761">
        <f>IF($D$19="あり",IF($D$20="あり",ROUNDDOWN(($E$10-$E$11)*1/15,1)+ROUNDDOWN($E$11*1/6,1),ROUNDDOWN($E$10*1/15,1)),IF($D$20="あり",ROUNDDOWN(($E$10-$E$11)*1/20,1)+ROUNDDOWN($E$11*1/6,1),ROUNDDOWN($E$10*1/20,1)))</f>
        <v>0</v>
      </c>
      <c r="G19" s="539"/>
      <c r="H19" s="539"/>
      <c r="I19" s="540"/>
    </row>
    <row r="20" spans="1:14" ht="33.75" customHeight="1">
      <c r="A20" s="273"/>
      <c r="B20" s="530"/>
      <c r="C20" s="541" t="s">
        <v>606</v>
      </c>
      <c r="D20" s="542" t="str">
        <f>CONCATENATE('入力（加算）幼'!G21)</f>
        <v/>
      </c>
      <c r="E20" s="543"/>
      <c r="F20" s="1762"/>
      <c r="G20" s="539"/>
      <c r="H20" s="539"/>
      <c r="I20" s="540"/>
      <c r="J20" s="260"/>
    </row>
    <row r="21" spans="1:14" ht="24" customHeight="1">
      <c r="A21" s="273"/>
      <c r="B21" s="577" t="s">
        <v>607</v>
      </c>
      <c r="C21" s="544" t="s">
        <v>608</v>
      </c>
      <c r="D21" s="545" t="str">
        <f>CONCATENATE('入力（加算）幼'!H21)</f>
        <v/>
      </c>
      <c r="E21" s="546"/>
      <c r="F21" s="547">
        <f>IF(OR($E$7&lt;=35,$E$7&gt;=121),IF(D21="あり",0.7,0),0)</f>
        <v>0</v>
      </c>
      <c r="G21" s="502"/>
      <c r="H21" s="502"/>
      <c r="I21" s="540"/>
      <c r="J21" s="260"/>
    </row>
    <row r="22" spans="1:14" ht="24" customHeight="1">
      <c r="A22" s="273"/>
      <c r="B22" s="578" t="s">
        <v>609</v>
      </c>
      <c r="C22" s="548" t="s">
        <v>610</v>
      </c>
      <c r="D22" s="537" t="str">
        <f>IF(AND('入力（加算）幼'!I21&lt;&gt;"",'入力（加算）幼'!I21&lt;&gt;"なし"),"あり","なし")</f>
        <v>なし</v>
      </c>
      <c r="E22" s="549">
        <f>IF(D22="あり",'入力（加算）幼'!I21,0)</f>
        <v>0</v>
      </c>
      <c r="F22" s="547">
        <f>IF(D22="あり",E22*1.1,0)</f>
        <v>0</v>
      </c>
      <c r="G22" s="502"/>
      <c r="H22" s="502"/>
      <c r="I22" s="262"/>
      <c r="J22" s="260"/>
    </row>
    <row r="23" spans="1:14" ht="24" customHeight="1">
      <c r="A23" s="273"/>
      <c r="B23" s="578" t="s">
        <v>611</v>
      </c>
      <c r="C23" s="550" t="s">
        <v>612</v>
      </c>
      <c r="D23" s="551" t="str">
        <f>CONCATENATE('入力（加算）幼'!K21)</f>
        <v/>
      </c>
      <c r="E23" s="552"/>
      <c r="F23" s="547">
        <f>IF(D23="あり",IF(E7&gt;=151,1.3,0.7),0)</f>
        <v>0</v>
      </c>
      <c r="G23" s="502"/>
      <c r="H23" s="502"/>
      <c r="I23" s="262"/>
      <c r="J23" s="260"/>
    </row>
    <row r="24" spans="1:14" ht="24" customHeight="1">
      <c r="A24" s="273"/>
      <c r="B24" s="578" t="s">
        <v>613</v>
      </c>
      <c r="C24" s="550" t="str">
        <f>IF('入力（加算）幼'!N18=0,"給食実施加算",IF('入力（加算）幼'!N18&gt;1,"給食実施加算　【注意！】重複エラー",IF(AND('入力（加算）幼'!L21&gt;0,'入力（加算）幼'!L21&lt;&gt;"なし"),"給食実施加算（調理）",IF(AND('入力（加算）幼'!M21&gt;0,'入力（加算）幼'!M21&lt;&gt;"なし"),"給食実施加算（搬入）",""))))</f>
        <v>給食実施加算</v>
      </c>
      <c r="D24" s="551" t="str">
        <f>IF(OR(AND('入力（加算）幼'!L21&gt;0,'入力（加算）幼'!L21&lt;&gt;"なし"),AND('入力（加算）幼'!M21&gt;0,'入力（加算）幼'!M21&lt;&gt;"なし")),"あり","なし")</f>
        <v>なし</v>
      </c>
      <c r="E24" s="552"/>
      <c r="F24" s="547">
        <f>IF('入力（加算）幼'!N18&gt;1,0,IF(COUNT('入力（加算）幼'!L21)&gt;0,IF(E7&lt;=150,1.8,2.7),IF(COUNT('入力（加算）幼'!M21)&gt;0,IF(E7&lt;=150,0.3,0.5),0)))</f>
        <v>0</v>
      </c>
      <c r="G24" s="502"/>
      <c r="H24" s="502"/>
      <c r="I24" s="262"/>
      <c r="J24" s="260"/>
    </row>
    <row r="25" spans="1:14" ht="24" customHeight="1">
      <c r="A25" s="273"/>
      <c r="B25" s="553" t="s">
        <v>614</v>
      </c>
      <c r="C25" s="550" t="s">
        <v>615</v>
      </c>
      <c r="D25" s="551" t="str">
        <f>CONCATENATE('入力（加算）幼'!F25)</f>
        <v/>
      </c>
      <c r="E25" s="552"/>
      <c r="F25" s="547">
        <f>IF(D25="あり",0.8,0)</f>
        <v>0</v>
      </c>
      <c r="G25" s="502"/>
      <c r="H25" s="502"/>
      <c r="I25" s="262"/>
      <c r="J25" s="260"/>
    </row>
    <row r="26" spans="1:14" ht="24" customHeight="1">
      <c r="A26" s="273"/>
      <c r="B26" s="553" t="s">
        <v>616</v>
      </c>
      <c r="C26" s="1415" t="s">
        <v>1290</v>
      </c>
      <c r="D26" s="551" t="str">
        <f>IF(OR('入力（加算）幼'!H25="特児",'入力（加算）幼'!H25="その他"),"あり","なし")</f>
        <v>なし</v>
      </c>
      <c r="E26" s="552"/>
      <c r="F26" s="547">
        <f>IF('入力（加算）幼'!H25="特児",0.3,IF('入力（加算）幼'!H25="その他",0.2,0))</f>
        <v>0</v>
      </c>
      <c r="G26" s="502"/>
      <c r="H26" s="502"/>
      <c r="I26" s="262"/>
      <c r="J26" s="260"/>
    </row>
    <row r="27" spans="1:14" ht="24" customHeight="1">
      <c r="A27" s="273"/>
      <c r="B27" s="553" t="s">
        <v>618</v>
      </c>
      <c r="C27" s="1415" t="s">
        <v>617</v>
      </c>
      <c r="D27" s="551" t="str">
        <f>CONCATENATE('入力（加算）幼'!I25)</f>
        <v/>
      </c>
      <c r="E27" s="552"/>
      <c r="F27" s="547">
        <f>IF($E$7&gt;=91,IF(D27="あり",0.7,0),0)</f>
        <v>0</v>
      </c>
      <c r="G27" s="502"/>
      <c r="H27" s="502"/>
      <c r="I27" s="262"/>
      <c r="J27" s="260"/>
    </row>
    <row r="28" spans="1:14" ht="24" customHeight="1">
      <c r="A28" s="273"/>
      <c r="B28" s="553" t="s">
        <v>620</v>
      </c>
      <c r="C28" s="1415" t="s">
        <v>619</v>
      </c>
      <c r="D28" s="551" t="str">
        <f>CONCATENATE('入力（加算）幼'!J25)</f>
        <v/>
      </c>
      <c r="E28" s="552"/>
      <c r="F28" s="547">
        <f>IF($E$7&gt;=271,IF(D28="あり",0.6,0),0)</f>
        <v>0</v>
      </c>
      <c r="G28" s="502"/>
      <c r="H28" s="502"/>
      <c r="I28" s="262"/>
      <c r="J28" s="260"/>
    </row>
    <row r="29" spans="1:14" ht="24" customHeight="1">
      <c r="A29" s="273"/>
      <c r="B29" s="553" t="s">
        <v>621</v>
      </c>
      <c r="C29" s="1091" t="s">
        <v>117</v>
      </c>
      <c r="D29" s="551" t="str">
        <f>CONCATENATE('入力（加算）幼'!K25)</f>
        <v/>
      </c>
      <c r="E29" s="552"/>
      <c r="F29" s="1418">
        <f>IF(E7&gt;=271,IF(D29="あり",0.6,0),0)</f>
        <v>0</v>
      </c>
      <c r="G29" s="502"/>
      <c r="H29" s="502"/>
      <c r="I29" s="262"/>
      <c r="J29" s="260"/>
    </row>
    <row r="30" spans="1:14" ht="24" customHeight="1">
      <c r="A30" s="273"/>
      <c r="B30" s="1416" t="s">
        <v>623</v>
      </c>
      <c r="C30" s="1415" t="s">
        <v>1291</v>
      </c>
      <c r="D30" s="551" t="str">
        <f>IF('入力（加算）幼'!L25="配置","あり","なし")</f>
        <v>なし</v>
      </c>
      <c r="E30" s="552"/>
      <c r="F30" s="554">
        <f>IF(D30="あり",0.5,0)</f>
        <v>0</v>
      </c>
      <c r="G30" s="555"/>
      <c r="H30" s="555"/>
      <c r="I30" s="262"/>
      <c r="J30" s="260"/>
    </row>
    <row r="31" spans="1:14" ht="24" customHeight="1">
      <c r="A31" s="273"/>
      <c r="B31" s="1417" t="s">
        <v>1292</v>
      </c>
      <c r="C31" s="1422" t="s">
        <v>1293</v>
      </c>
      <c r="D31" s="556" t="str">
        <f>IF(AND('入力（加算）幼'!D25&lt;&gt;"",'入力（加算）幼'!D25&gt;0),"満たさない","満たす")</f>
        <v>満たす</v>
      </c>
      <c r="E31" s="557" t="str">
        <f>IF(D31="満たさない",'入力（加算）幼'!D25,"0")</f>
        <v>0</v>
      </c>
      <c r="F31" s="558">
        <f>IF(D31="満たさない",-E31*1.1,0)</f>
        <v>0</v>
      </c>
      <c r="G31" s="555"/>
      <c r="H31" s="555"/>
      <c r="I31" s="262"/>
      <c r="J31" s="299"/>
    </row>
    <row r="32" spans="1:14" ht="24" customHeight="1" thickBot="1">
      <c r="A32" s="273"/>
      <c r="B32" s="559" t="s">
        <v>624</v>
      </c>
      <c r="C32" s="560"/>
      <c r="D32" s="561"/>
      <c r="E32" s="561"/>
      <c r="F32" s="562">
        <f>IF(OR(E7&lt;=35,E7&gt;=301),2.4,3.5)</f>
        <v>2.4</v>
      </c>
      <c r="G32" s="502"/>
      <c r="H32" s="502"/>
      <c r="I32" s="262"/>
      <c r="J32" s="299"/>
    </row>
    <row r="33" spans="1:15" ht="24" customHeight="1" thickTop="1" thickBot="1">
      <c r="A33" s="273"/>
      <c r="B33" s="563" t="s">
        <v>625</v>
      </c>
      <c r="C33" s="564"/>
      <c r="D33" s="564"/>
      <c r="E33" s="565"/>
      <c r="F33" s="566">
        <f>SUM(F17,F21:F32)</f>
        <v>2.4</v>
      </c>
      <c r="G33" s="529"/>
      <c r="H33" s="529"/>
      <c r="I33" s="262"/>
      <c r="J33" s="299"/>
      <c r="N33" s="261" t="s">
        <v>790</v>
      </c>
      <c r="O33" s="389">
        <v>40000</v>
      </c>
    </row>
    <row r="34" spans="1:15" ht="24" customHeight="1" thickBot="1">
      <c r="A34" s="273"/>
      <c r="B34" s="567" t="s">
        <v>1298</v>
      </c>
      <c r="C34" s="499"/>
      <c r="D34" s="499"/>
      <c r="E34" s="568"/>
      <c r="F34" s="569" t="str">
        <f>IF(E7=0,"定員未入力",ROUND(F33,0))</f>
        <v>定員未入力</v>
      </c>
      <c r="G34" s="570"/>
      <c r="H34" s="570"/>
      <c r="I34" s="500"/>
      <c r="J34" s="260"/>
      <c r="N34" s="261" t="s">
        <v>791</v>
      </c>
      <c r="O34" s="389">
        <v>5000</v>
      </c>
    </row>
    <row r="35" spans="1:15" ht="24" customHeight="1">
      <c r="A35" s="273"/>
      <c r="B35" s="571" t="s">
        <v>626</v>
      </c>
      <c r="C35" s="572"/>
      <c r="D35" s="573"/>
      <c r="E35" s="574"/>
      <c r="F35" s="575"/>
      <c r="G35" s="575"/>
      <c r="H35" s="575"/>
      <c r="I35" s="574"/>
      <c r="J35" s="260"/>
      <c r="N35" s="261" t="s">
        <v>960</v>
      </c>
      <c r="O35" s="389">
        <f>幼稚園2!$M$31</f>
        <v>51380</v>
      </c>
    </row>
    <row r="36" spans="1:15" ht="24" customHeight="1">
      <c r="A36" s="273"/>
      <c r="B36" s="279"/>
      <c r="C36" s="273"/>
      <c r="D36" s="273"/>
      <c r="E36" s="500"/>
      <c r="F36" s="1048"/>
      <c r="G36" s="575"/>
      <c r="H36" s="575"/>
      <c r="I36" s="574"/>
      <c r="J36" s="260"/>
      <c r="N36" s="261" t="s">
        <v>961</v>
      </c>
      <c r="O36" s="389">
        <f>幼稚園2!$M$32</f>
        <v>6420</v>
      </c>
    </row>
    <row r="37" spans="1:15" ht="24" customHeight="1" thickBot="1">
      <c r="A37" s="445" t="s">
        <v>1294</v>
      </c>
      <c r="B37" s="273"/>
      <c r="C37" s="273"/>
      <c r="D37" s="273"/>
      <c r="E37" s="503"/>
      <c r="F37" s="501"/>
      <c r="G37" s="575"/>
      <c r="H37" s="575"/>
      <c r="I37" s="574"/>
      <c r="J37" s="260"/>
    </row>
    <row r="38" spans="1:15" ht="24" customHeight="1" thickBot="1">
      <c r="A38" s="273"/>
      <c r="B38" s="445"/>
      <c r="C38" s="1419"/>
      <c r="D38" s="1701" t="s">
        <v>1296</v>
      </c>
      <c r="E38" s="1702"/>
      <c r="F38" s="1703" t="s">
        <v>1297</v>
      </c>
      <c r="G38" s="1704"/>
      <c r="H38" s="575"/>
      <c r="I38" s="574"/>
      <c r="J38" s="260"/>
    </row>
    <row r="39" spans="1:15" ht="24" customHeight="1" thickBot="1">
      <c r="A39" s="273"/>
      <c r="B39" s="504"/>
      <c r="C39" s="1420">
        <v>11560</v>
      </c>
      <c r="D39" s="1705" t="e">
        <f>C39*F34</f>
        <v>#VALUE!</v>
      </c>
      <c r="E39" s="1706"/>
      <c r="F39" s="1705" t="e">
        <f>D39*I14</f>
        <v>#VALUE!</v>
      </c>
      <c r="G39" s="1706"/>
      <c r="H39" s="575"/>
      <c r="I39" s="574"/>
      <c r="J39" s="260"/>
    </row>
    <row r="40" spans="1:15" ht="24" customHeight="1">
      <c r="A40" s="273"/>
      <c r="B40" s="273"/>
      <c r="C40" s="273"/>
      <c r="D40" s="273"/>
      <c r="E40" s="500"/>
      <c r="G40" s="575"/>
      <c r="H40" s="575"/>
      <c r="I40" s="574"/>
      <c r="J40" s="260"/>
    </row>
    <row r="41" spans="1:15" ht="21" customHeight="1">
      <c r="F41" s="260"/>
      <c r="G41" s="260"/>
      <c r="H41" s="260"/>
      <c r="I41" s="260"/>
      <c r="J41" s="262"/>
      <c r="K41" s="262"/>
      <c r="L41" s="262"/>
    </row>
    <row r="42" spans="1:15" ht="21" customHeight="1">
      <c r="F42" s="260"/>
      <c r="G42" s="260"/>
      <c r="H42" s="260"/>
      <c r="I42" s="260"/>
      <c r="J42" s="260"/>
    </row>
    <row r="43" spans="1:15" ht="21" customHeight="1">
      <c r="F43" s="260"/>
      <c r="G43" s="260"/>
      <c r="H43" s="260"/>
      <c r="I43" s="260"/>
      <c r="J43" s="506"/>
    </row>
    <row r="44" spans="1:15" ht="33.75" customHeight="1">
      <c r="F44" s="260"/>
      <c r="G44" s="260"/>
      <c r="H44" s="260"/>
      <c r="I44" s="260"/>
      <c r="J44" s="506"/>
    </row>
    <row r="45" spans="1:15" ht="33.75" customHeight="1">
      <c r="F45" s="260"/>
      <c r="G45" s="260"/>
      <c r="H45" s="260"/>
      <c r="I45" s="260"/>
      <c r="J45" s="506"/>
    </row>
    <row r="46" spans="1:15" ht="33.75" customHeight="1">
      <c r="F46" s="260"/>
      <c r="G46" s="260"/>
      <c r="H46" s="260"/>
      <c r="I46" s="260"/>
      <c r="J46" s="506"/>
    </row>
    <row r="47" spans="1:15" ht="33.75" customHeight="1">
      <c r="F47" s="260"/>
      <c r="G47" s="260"/>
      <c r="H47" s="260"/>
      <c r="I47" s="260"/>
    </row>
    <row r="48" spans="1:15" ht="33.75" customHeight="1">
      <c r="F48" s="260"/>
      <c r="G48" s="260"/>
      <c r="H48" s="260"/>
      <c r="I48" s="260"/>
    </row>
    <row r="49" spans="6:10" ht="33.75" customHeight="1">
      <c r="F49" s="260"/>
      <c r="G49" s="260"/>
      <c r="H49" s="260"/>
      <c r="I49" s="260"/>
    </row>
    <row r="50" spans="6:10" ht="33.75" customHeight="1">
      <c r="F50" s="260"/>
      <c r="G50" s="260"/>
      <c r="H50" s="260"/>
      <c r="I50" s="260"/>
    </row>
    <row r="51" spans="6:10" ht="33.75" customHeight="1">
      <c r="F51" s="260"/>
      <c r="G51" s="260"/>
      <c r="H51" s="260"/>
      <c r="I51" s="260"/>
      <c r="J51" s="260"/>
    </row>
    <row r="52" spans="6:10" ht="33.75" customHeight="1">
      <c r="F52" s="260"/>
      <c r="G52" s="260"/>
      <c r="H52" s="260"/>
      <c r="I52" s="260"/>
      <c r="J52" s="260"/>
    </row>
    <row r="53" spans="6:10" ht="33.75" customHeight="1">
      <c r="F53" s="260"/>
      <c r="G53" s="260"/>
      <c r="H53" s="260"/>
      <c r="I53" s="260"/>
      <c r="J53" s="260"/>
    </row>
    <row r="54" spans="6:10" ht="33.75" customHeight="1">
      <c r="F54" s="260"/>
      <c r="G54" s="260"/>
      <c r="H54" s="260"/>
      <c r="I54" s="260"/>
      <c r="J54" s="260"/>
    </row>
    <row r="55" spans="6:10" ht="33.75" customHeight="1">
      <c r="F55" s="260"/>
      <c r="G55" s="260"/>
      <c r="H55" s="260"/>
      <c r="I55" s="260"/>
      <c r="J55" s="260"/>
    </row>
    <row r="56" spans="6:10" ht="33.75" customHeight="1">
      <c r="F56" s="260"/>
      <c r="G56" s="260"/>
      <c r="H56" s="260"/>
      <c r="I56" s="260"/>
      <c r="J56" s="260"/>
    </row>
    <row r="57" spans="6:10" ht="33.75" customHeight="1">
      <c r="F57" s="260"/>
      <c r="G57" s="260"/>
      <c r="H57" s="260"/>
      <c r="I57" s="260"/>
      <c r="J57" s="260"/>
    </row>
    <row r="58" spans="6:10" ht="20.25" customHeight="1">
      <c r="F58" s="260"/>
      <c r="G58" s="260"/>
      <c r="H58" s="260"/>
      <c r="I58" s="260"/>
      <c r="J58" s="260"/>
    </row>
    <row r="59" spans="6:10" ht="20.25" customHeight="1">
      <c r="F59" s="260"/>
      <c r="G59" s="260"/>
      <c r="H59" s="260"/>
      <c r="I59" s="260"/>
      <c r="J59" s="260"/>
    </row>
    <row r="60" spans="6:10" ht="20.25" customHeight="1">
      <c r="F60" s="260"/>
      <c r="G60" s="260"/>
      <c r="H60" s="260"/>
      <c r="I60" s="260"/>
      <c r="J60" s="260"/>
    </row>
    <row r="61" spans="6:10" ht="20.25" customHeight="1">
      <c r="F61" s="260"/>
      <c r="G61" s="260"/>
      <c r="H61" s="260"/>
      <c r="I61" s="260"/>
      <c r="J61" s="260"/>
    </row>
    <row r="62" spans="6:10" ht="20.25" customHeight="1">
      <c r="F62" s="260"/>
      <c r="G62" s="260"/>
      <c r="H62" s="260"/>
      <c r="I62" s="260"/>
      <c r="J62" s="260"/>
    </row>
    <row r="63" spans="6:10" ht="20.25" customHeight="1">
      <c r="F63" s="260"/>
      <c r="G63" s="260"/>
      <c r="H63" s="260"/>
      <c r="I63" s="260"/>
      <c r="J63" s="260"/>
    </row>
    <row r="64" spans="6:10" ht="20.25" customHeight="1">
      <c r="F64" s="260"/>
      <c r="G64" s="260"/>
      <c r="H64" s="260"/>
      <c r="I64" s="260"/>
      <c r="J64" s="260"/>
    </row>
    <row r="65" spans="6:10" ht="20.25" customHeight="1">
      <c r="F65" s="260"/>
      <c r="G65" s="260"/>
      <c r="H65" s="260"/>
      <c r="I65" s="260"/>
      <c r="J65" s="260"/>
    </row>
    <row r="66" spans="6:10" ht="20.25" customHeight="1">
      <c r="F66" s="260"/>
      <c r="G66" s="260"/>
      <c r="H66" s="260"/>
      <c r="I66" s="260"/>
      <c r="J66" s="260"/>
    </row>
    <row r="67" spans="6:10" ht="20.25" customHeight="1">
      <c r="F67" s="260"/>
      <c r="G67" s="260"/>
      <c r="H67" s="260"/>
      <c r="I67" s="260"/>
      <c r="J67" s="260"/>
    </row>
    <row r="68" spans="6:10" ht="20.25" customHeight="1">
      <c r="F68" s="260"/>
      <c r="G68" s="260"/>
      <c r="H68" s="260"/>
      <c r="I68" s="260"/>
      <c r="J68" s="260"/>
    </row>
    <row r="69" spans="6:10" ht="20.25" customHeight="1">
      <c r="F69" s="260"/>
      <c r="G69" s="260"/>
      <c r="H69" s="260"/>
      <c r="I69" s="260"/>
      <c r="J69" s="260"/>
    </row>
    <row r="70" spans="6:10" ht="20.25" customHeight="1">
      <c r="F70" s="260"/>
      <c r="G70" s="260"/>
      <c r="H70" s="260"/>
      <c r="I70" s="260"/>
      <c r="J70" s="260"/>
    </row>
    <row r="71" spans="6:10" ht="20.25" customHeight="1">
      <c r="F71" s="260"/>
      <c r="G71" s="260"/>
      <c r="H71" s="260"/>
      <c r="I71" s="260"/>
      <c r="J71" s="260"/>
    </row>
    <row r="72" spans="6:10" ht="20.25" customHeight="1">
      <c r="F72" s="260"/>
      <c r="G72" s="260"/>
      <c r="H72" s="260"/>
      <c r="I72" s="260"/>
      <c r="J72" s="260"/>
    </row>
    <row r="73" spans="6:10" ht="20.25" customHeight="1">
      <c r="F73" s="260"/>
      <c r="G73" s="260"/>
      <c r="H73" s="260"/>
      <c r="I73" s="260"/>
      <c r="J73" s="260"/>
    </row>
    <row r="74" spans="6:10" ht="20.25" customHeight="1">
      <c r="F74" s="260"/>
      <c r="G74" s="260"/>
      <c r="H74" s="260"/>
      <c r="I74" s="260"/>
      <c r="J74" s="260"/>
    </row>
    <row r="75" spans="6:10" ht="20.25" customHeight="1">
      <c r="F75" s="260"/>
      <c r="G75" s="260"/>
      <c r="H75" s="260"/>
      <c r="I75" s="260"/>
      <c r="J75" s="260"/>
    </row>
    <row r="76" spans="6:10" ht="20.25" customHeight="1">
      <c r="F76" s="260"/>
      <c r="G76" s="260"/>
      <c r="H76" s="260"/>
      <c r="I76" s="260"/>
      <c r="J76" s="260"/>
    </row>
    <row r="77" spans="6:10" ht="20.25" customHeight="1">
      <c r="F77" s="260"/>
      <c r="G77" s="260"/>
      <c r="H77" s="260"/>
      <c r="I77" s="260"/>
      <c r="J77" s="260"/>
    </row>
    <row r="78" spans="6:10" ht="20.25" customHeight="1">
      <c r="F78" s="260"/>
      <c r="G78" s="260"/>
      <c r="H78" s="260"/>
      <c r="I78" s="260"/>
      <c r="J78" s="260"/>
    </row>
    <row r="79" spans="6:10" ht="20.25" customHeight="1">
      <c r="F79" s="260"/>
      <c r="G79" s="260"/>
      <c r="H79" s="260"/>
      <c r="I79" s="260"/>
      <c r="J79" s="260"/>
    </row>
    <row r="80" spans="6:10" ht="20.25" customHeight="1">
      <c r="F80" s="260"/>
      <c r="G80" s="260"/>
      <c r="H80" s="260"/>
      <c r="I80" s="260"/>
      <c r="J80" s="260"/>
    </row>
    <row r="81" spans="6:10" ht="20.25" customHeight="1">
      <c r="F81" s="260"/>
      <c r="G81" s="260"/>
      <c r="H81" s="260"/>
      <c r="I81" s="260"/>
      <c r="J81" s="260"/>
    </row>
    <row r="82" spans="6:10" ht="20.25" customHeight="1">
      <c r="F82" s="260"/>
      <c r="G82" s="260"/>
      <c r="H82" s="260"/>
      <c r="I82" s="260"/>
      <c r="J82" s="260"/>
    </row>
    <row r="83" spans="6:10" ht="20.25" customHeight="1">
      <c r="F83" s="260"/>
      <c r="G83" s="260"/>
      <c r="H83" s="260"/>
      <c r="I83" s="260"/>
      <c r="J83" s="260"/>
    </row>
    <row r="84" spans="6:10" ht="20.25" customHeight="1">
      <c r="F84" s="260"/>
      <c r="G84" s="260"/>
      <c r="H84" s="260"/>
      <c r="I84" s="260"/>
      <c r="J84" s="260"/>
    </row>
    <row r="85" spans="6:10" ht="20.25" customHeight="1">
      <c r="F85" s="260"/>
      <c r="G85" s="260"/>
      <c r="H85" s="260"/>
      <c r="I85" s="260"/>
      <c r="J85" s="260"/>
    </row>
    <row r="86" spans="6:10" ht="20.25" customHeight="1">
      <c r="F86" s="260"/>
      <c r="G86" s="260"/>
      <c r="H86" s="260"/>
      <c r="I86" s="260"/>
      <c r="J86" s="260"/>
    </row>
    <row r="87" spans="6:10" ht="20.25" customHeight="1">
      <c r="F87" s="260"/>
      <c r="G87" s="260"/>
      <c r="H87" s="260"/>
      <c r="I87" s="260"/>
      <c r="J87" s="260"/>
    </row>
    <row r="88" spans="6:10" ht="20.25" customHeight="1">
      <c r="F88" s="260"/>
      <c r="G88" s="260"/>
      <c r="H88" s="260"/>
      <c r="I88" s="260"/>
      <c r="J88" s="260"/>
    </row>
    <row r="89" spans="6:10" ht="20.25" customHeight="1">
      <c r="F89" s="260"/>
      <c r="G89" s="260"/>
      <c r="H89" s="260"/>
      <c r="I89" s="260"/>
      <c r="J89" s="260"/>
    </row>
    <row r="90" spans="6:10" ht="20.25" customHeight="1">
      <c r="F90" s="260"/>
      <c r="G90" s="260"/>
      <c r="H90" s="260"/>
      <c r="I90" s="260"/>
      <c r="J90" s="260"/>
    </row>
    <row r="91" spans="6:10" ht="20.25" customHeight="1">
      <c r="F91" s="260"/>
      <c r="G91" s="260"/>
      <c r="H91" s="260"/>
      <c r="I91" s="260"/>
      <c r="J91" s="260"/>
    </row>
    <row r="92" spans="6:10" ht="20.25" customHeight="1">
      <c r="F92" s="260"/>
      <c r="G92" s="260"/>
      <c r="H92" s="260"/>
      <c r="I92" s="260"/>
      <c r="J92" s="260"/>
    </row>
    <row r="93" spans="6:10" ht="20.25" customHeight="1">
      <c r="F93" s="260"/>
      <c r="G93" s="260"/>
      <c r="H93" s="260"/>
      <c r="I93" s="260"/>
      <c r="J93" s="260"/>
    </row>
    <row r="94" spans="6:10" ht="20.25" customHeight="1">
      <c r="F94" s="260"/>
      <c r="G94" s="260"/>
      <c r="H94" s="260"/>
      <c r="I94" s="260"/>
      <c r="J94" s="260"/>
    </row>
    <row r="95" spans="6:10" ht="20.25" customHeight="1">
      <c r="F95" s="260"/>
      <c r="G95" s="260"/>
      <c r="H95" s="260"/>
      <c r="I95" s="260"/>
      <c r="J95" s="260"/>
    </row>
    <row r="96" spans="6:10" ht="20.25" customHeight="1">
      <c r="F96" s="260"/>
      <c r="G96" s="260"/>
      <c r="H96" s="260"/>
      <c r="I96" s="260"/>
      <c r="J96" s="260"/>
    </row>
    <row r="97" spans="6:10" ht="20.25" customHeight="1">
      <c r="F97" s="260"/>
      <c r="G97" s="260"/>
      <c r="H97" s="260"/>
      <c r="I97" s="260"/>
      <c r="J97" s="260"/>
    </row>
    <row r="98" spans="6:10" ht="20.25" customHeight="1">
      <c r="F98" s="260"/>
      <c r="G98" s="260"/>
      <c r="H98" s="260"/>
      <c r="I98" s="260"/>
      <c r="J98" s="260"/>
    </row>
    <row r="99" spans="6:10" ht="20.25" customHeight="1">
      <c r="F99" s="260"/>
      <c r="G99" s="260"/>
      <c r="H99" s="260"/>
      <c r="I99" s="260"/>
      <c r="J99" s="260"/>
    </row>
    <row r="100" spans="6:10" ht="20.25" customHeight="1">
      <c r="F100" s="260"/>
      <c r="G100" s="260"/>
      <c r="H100" s="260"/>
      <c r="I100" s="260"/>
      <c r="J100" s="260"/>
    </row>
    <row r="101" spans="6:10" ht="20.25" customHeight="1">
      <c r="F101" s="260"/>
      <c r="G101" s="260"/>
      <c r="H101" s="260"/>
      <c r="I101" s="260"/>
      <c r="J101" s="260"/>
    </row>
    <row r="102" spans="6:10" ht="20.25" customHeight="1">
      <c r="F102" s="260"/>
      <c r="G102" s="260"/>
      <c r="H102" s="260"/>
      <c r="I102" s="260"/>
      <c r="J102" s="260"/>
    </row>
    <row r="103" spans="6:10" ht="20.25" customHeight="1">
      <c r="F103" s="260"/>
      <c r="G103" s="260"/>
      <c r="H103" s="260"/>
      <c r="I103" s="260"/>
      <c r="J103" s="260"/>
    </row>
    <row r="104" spans="6:10" ht="20.25" customHeight="1">
      <c r="F104" s="260"/>
      <c r="G104" s="260"/>
      <c r="H104" s="260"/>
      <c r="I104" s="260"/>
      <c r="J104" s="260"/>
    </row>
    <row r="105" spans="6:10" ht="20.25" customHeight="1">
      <c r="F105" s="260"/>
      <c r="G105" s="260"/>
      <c r="H105" s="260"/>
      <c r="I105" s="260"/>
      <c r="J105" s="260"/>
    </row>
    <row r="106" spans="6:10" ht="20.25" customHeight="1">
      <c r="F106" s="260"/>
      <c r="G106" s="260"/>
      <c r="H106" s="260"/>
      <c r="I106" s="260"/>
      <c r="J106" s="260"/>
    </row>
    <row r="107" spans="6:10" ht="20.25" customHeight="1">
      <c r="F107" s="260"/>
      <c r="G107" s="260"/>
      <c r="H107" s="260"/>
      <c r="I107" s="260"/>
      <c r="J107" s="260"/>
    </row>
    <row r="108" spans="6:10" ht="20.25" customHeight="1">
      <c r="F108" s="260"/>
      <c r="G108" s="260"/>
      <c r="H108" s="260"/>
      <c r="I108" s="260"/>
      <c r="J108" s="260"/>
    </row>
    <row r="109" spans="6:10" ht="20.25" customHeight="1">
      <c r="J109" s="260"/>
    </row>
    <row r="110" spans="6:10" ht="20.25" customHeight="1">
      <c r="J110" s="260"/>
    </row>
    <row r="111" spans="6:10" ht="20.25" customHeight="1">
      <c r="J111" s="260"/>
    </row>
    <row r="112" spans="6:10" ht="20.25" customHeight="1">
      <c r="J112" s="260"/>
    </row>
    <row r="113" spans="10:10" ht="20.25" customHeight="1">
      <c r="J113" s="260"/>
    </row>
    <row r="114" spans="10:10" ht="20.25" customHeight="1">
      <c r="J114" s="260"/>
    </row>
    <row r="115" spans="10:10" ht="20.25" customHeight="1">
      <c r="J115" s="260"/>
    </row>
    <row r="116" spans="10:10" ht="20.25" customHeight="1">
      <c r="J116" s="260"/>
    </row>
    <row r="117" spans="10:10" ht="20.25" customHeight="1">
      <c r="J117" s="260"/>
    </row>
    <row r="118" spans="10:10" ht="20.25" customHeight="1">
      <c r="J118" s="260"/>
    </row>
  </sheetData>
  <sheetProtection algorithmName="SHA-512" hashValue="tWm7d9zBrS/Y+BY/oK0AaD+jXXZZpi/QLJmGb39LwNnaJqtI9Wv8AYWlbXioTEVb23+my/t7MHldDg/Fvapzxg==" saltValue="kQcs3t9RZXh8tCLY27Ahog==" spinCount="100000" sheet="1" objects="1" scenarios="1"/>
  <customSheetViews>
    <customSheetView guid="{2E52E5FF-9846-4DC5-A671-268FE925398C}" scale="85" showPageBreaks="1" printArea="1" view="pageBreakPreview">
      <selection activeCell="H41" sqref="H41:I41"/>
      <pageMargins left="0.7" right="0.7" top="0.75" bottom="0.75" header="0.3" footer="0.3"/>
      <pageSetup paperSize="9" scale="71" orientation="portrait" r:id="rId1"/>
    </customSheetView>
    <customSheetView guid="{BADA99B3-B36A-4925-87A7-F72FC97D3DBA}" scale="85" showPageBreaks="1" printArea="1" view="pageBreakPreview" topLeftCell="A19">
      <selection activeCell="F39" sqref="F39"/>
      <pageMargins left="0.7" right="0.7" top="0.75" bottom="0.75" header="0.3" footer="0.3"/>
      <pageSetup paperSize="9" scale="71" orientation="portrait" r:id="rId2"/>
    </customSheetView>
  </customSheetViews>
  <mergeCells count="19">
    <mergeCell ref="D38:E38"/>
    <mergeCell ref="F38:G38"/>
    <mergeCell ref="D39:E39"/>
    <mergeCell ref="F39:G39"/>
    <mergeCell ref="A1:C1"/>
    <mergeCell ref="A2:I2"/>
    <mergeCell ref="K2:L2"/>
    <mergeCell ref="G1:I1"/>
    <mergeCell ref="G4:G5"/>
    <mergeCell ref="H4:J5"/>
    <mergeCell ref="F19:F20"/>
    <mergeCell ref="B12:I13"/>
    <mergeCell ref="B6:D6"/>
    <mergeCell ref="B7:D7"/>
    <mergeCell ref="B8:D8"/>
    <mergeCell ref="F8:I11"/>
    <mergeCell ref="C9:D9"/>
    <mergeCell ref="C10:D10"/>
    <mergeCell ref="C11:D11"/>
  </mergeCells>
  <phoneticPr fontId="4"/>
  <dataValidations count="7">
    <dataValidation type="list" errorStyle="warning" showInputMessage="1" showErrorMessage="1" sqref="D21" xr:uid="{00000000-0002-0000-2900-000000000000}">
      <formula1>$Q$4:$Q$6</formula1>
    </dataValidation>
    <dataValidation type="list" errorStyle="warning" showInputMessage="1" showErrorMessage="1" sqref="D31" xr:uid="{00000000-0002-0000-2900-000001000000}">
      <formula1>$T$4:$T$6</formula1>
    </dataValidation>
    <dataValidation type="list" errorStyle="warning" showInputMessage="1" showErrorMessage="1" sqref="D19:D20 D22:D30" xr:uid="{00000000-0002-0000-2900-000002000000}">
      <formula1>$P$4:$P$6</formula1>
    </dataValidation>
    <dataValidation type="list" allowBlank="1" showInputMessage="1" showErrorMessage="1" sqref="WVQ983069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D65555 JE65565 TA65565 ACW65565 AMS65565 AWO65565 BGK65565 BQG65565 CAC65565 CJY65565 CTU65565 DDQ65565 DNM65565 DXI65565 EHE65565 ERA65565 FAW65565 FKS65565 FUO65565 GEK65565 GOG65565 GYC65565 HHY65565 HRU65565 IBQ65565 ILM65565 IVI65565 JFE65565 JPA65565 JYW65565 KIS65565 KSO65565 LCK65565 LMG65565 LWC65565 MFY65565 MPU65565 MZQ65565 NJM65565 NTI65565 ODE65565 ONA65565 OWW65565 PGS65565 PQO65565 QAK65565 QKG65565 QUC65565 RDY65565 RNU65565 RXQ65565 SHM65565 SRI65565 TBE65565 TLA65565 TUW65565 UES65565 UOO65565 UYK65565 VIG65565 VSC65565 WBY65565 WLU65565 WVQ65565 D131091 JE131101 TA131101 ACW131101 AMS131101 AWO131101 BGK131101 BQG131101 CAC131101 CJY131101 CTU131101 DDQ131101 DNM131101 DXI131101 EHE131101 ERA131101 FAW131101 FKS131101 FUO131101 GEK131101 GOG131101 GYC131101 HHY131101 HRU131101 IBQ131101 ILM131101 IVI131101 JFE131101 JPA131101 JYW131101 KIS131101 KSO131101 LCK131101 LMG131101 LWC131101 MFY131101 MPU131101 MZQ131101 NJM131101 NTI131101 ODE131101 ONA131101 OWW131101 PGS131101 PQO131101 QAK131101 QKG131101 QUC131101 RDY131101 RNU131101 RXQ131101 SHM131101 SRI131101 TBE131101 TLA131101 TUW131101 UES131101 UOO131101 UYK131101 VIG131101 VSC131101 WBY131101 WLU131101 WVQ131101 D196627 JE196637 TA196637 ACW196637 AMS196637 AWO196637 BGK196637 BQG196637 CAC196637 CJY196637 CTU196637 DDQ196637 DNM196637 DXI196637 EHE196637 ERA196637 FAW196637 FKS196637 FUO196637 GEK196637 GOG196637 GYC196637 HHY196637 HRU196637 IBQ196637 ILM196637 IVI196637 JFE196637 JPA196637 JYW196637 KIS196637 KSO196637 LCK196637 LMG196637 LWC196637 MFY196637 MPU196637 MZQ196637 NJM196637 NTI196637 ODE196637 ONA196637 OWW196637 PGS196637 PQO196637 QAK196637 QKG196637 QUC196637 RDY196637 RNU196637 RXQ196637 SHM196637 SRI196637 TBE196637 TLA196637 TUW196637 UES196637 UOO196637 UYK196637 VIG196637 VSC196637 WBY196637 WLU196637 WVQ196637 D262163 JE262173 TA262173 ACW262173 AMS262173 AWO262173 BGK262173 BQG262173 CAC262173 CJY262173 CTU262173 DDQ262173 DNM262173 DXI262173 EHE262173 ERA262173 FAW262173 FKS262173 FUO262173 GEK262173 GOG262173 GYC262173 HHY262173 HRU262173 IBQ262173 ILM262173 IVI262173 JFE262173 JPA262173 JYW262173 KIS262173 KSO262173 LCK262173 LMG262173 LWC262173 MFY262173 MPU262173 MZQ262173 NJM262173 NTI262173 ODE262173 ONA262173 OWW262173 PGS262173 PQO262173 QAK262173 QKG262173 QUC262173 RDY262173 RNU262173 RXQ262173 SHM262173 SRI262173 TBE262173 TLA262173 TUW262173 UES262173 UOO262173 UYK262173 VIG262173 VSC262173 WBY262173 WLU262173 WVQ262173 D327699 JE327709 TA327709 ACW327709 AMS327709 AWO327709 BGK327709 BQG327709 CAC327709 CJY327709 CTU327709 DDQ327709 DNM327709 DXI327709 EHE327709 ERA327709 FAW327709 FKS327709 FUO327709 GEK327709 GOG327709 GYC327709 HHY327709 HRU327709 IBQ327709 ILM327709 IVI327709 JFE327709 JPA327709 JYW327709 KIS327709 KSO327709 LCK327709 LMG327709 LWC327709 MFY327709 MPU327709 MZQ327709 NJM327709 NTI327709 ODE327709 ONA327709 OWW327709 PGS327709 PQO327709 QAK327709 QKG327709 QUC327709 RDY327709 RNU327709 RXQ327709 SHM327709 SRI327709 TBE327709 TLA327709 TUW327709 UES327709 UOO327709 UYK327709 VIG327709 VSC327709 WBY327709 WLU327709 WVQ327709 D393235 JE393245 TA393245 ACW393245 AMS393245 AWO393245 BGK393245 BQG393245 CAC393245 CJY393245 CTU393245 DDQ393245 DNM393245 DXI393245 EHE393245 ERA393245 FAW393245 FKS393245 FUO393245 GEK393245 GOG393245 GYC393245 HHY393245 HRU393245 IBQ393245 ILM393245 IVI393245 JFE393245 JPA393245 JYW393245 KIS393245 KSO393245 LCK393245 LMG393245 LWC393245 MFY393245 MPU393245 MZQ393245 NJM393245 NTI393245 ODE393245 ONA393245 OWW393245 PGS393245 PQO393245 QAK393245 QKG393245 QUC393245 RDY393245 RNU393245 RXQ393245 SHM393245 SRI393245 TBE393245 TLA393245 TUW393245 UES393245 UOO393245 UYK393245 VIG393245 VSC393245 WBY393245 WLU393245 WVQ393245 D458771 JE458781 TA458781 ACW458781 AMS458781 AWO458781 BGK458781 BQG458781 CAC458781 CJY458781 CTU458781 DDQ458781 DNM458781 DXI458781 EHE458781 ERA458781 FAW458781 FKS458781 FUO458781 GEK458781 GOG458781 GYC458781 HHY458781 HRU458781 IBQ458781 ILM458781 IVI458781 JFE458781 JPA458781 JYW458781 KIS458781 KSO458781 LCK458781 LMG458781 LWC458781 MFY458781 MPU458781 MZQ458781 NJM458781 NTI458781 ODE458781 ONA458781 OWW458781 PGS458781 PQO458781 QAK458781 QKG458781 QUC458781 RDY458781 RNU458781 RXQ458781 SHM458781 SRI458781 TBE458781 TLA458781 TUW458781 UES458781 UOO458781 UYK458781 VIG458781 VSC458781 WBY458781 WLU458781 WVQ458781 D524307 JE524317 TA524317 ACW524317 AMS524317 AWO524317 BGK524317 BQG524317 CAC524317 CJY524317 CTU524317 DDQ524317 DNM524317 DXI524317 EHE524317 ERA524317 FAW524317 FKS524317 FUO524317 GEK524317 GOG524317 GYC524317 HHY524317 HRU524317 IBQ524317 ILM524317 IVI524317 JFE524317 JPA524317 JYW524317 KIS524317 KSO524317 LCK524317 LMG524317 LWC524317 MFY524317 MPU524317 MZQ524317 NJM524317 NTI524317 ODE524317 ONA524317 OWW524317 PGS524317 PQO524317 QAK524317 QKG524317 QUC524317 RDY524317 RNU524317 RXQ524317 SHM524317 SRI524317 TBE524317 TLA524317 TUW524317 UES524317 UOO524317 UYK524317 VIG524317 VSC524317 WBY524317 WLU524317 WVQ524317 D589843 JE589853 TA589853 ACW589853 AMS589853 AWO589853 BGK589853 BQG589853 CAC589853 CJY589853 CTU589853 DDQ589853 DNM589853 DXI589853 EHE589853 ERA589853 FAW589853 FKS589853 FUO589853 GEK589853 GOG589853 GYC589853 HHY589853 HRU589853 IBQ589853 ILM589853 IVI589853 JFE589853 JPA589853 JYW589853 KIS589853 KSO589853 LCK589853 LMG589853 LWC589853 MFY589853 MPU589853 MZQ589853 NJM589853 NTI589853 ODE589853 ONA589853 OWW589853 PGS589853 PQO589853 QAK589853 QKG589853 QUC589853 RDY589853 RNU589853 RXQ589853 SHM589853 SRI589853 TBE589853 TLA589853 TUW589853 UES589853 UOO589853 UYK589853 VIG589853 VSC589853 WBY589853 WLU589853 WVQ589853 D655379 JE655389 TA655389 ACW655389 AMS655389 AWO655389 BGK655389 BQG655389 CAC655389 CJY655389 CTU655389 DDQ655389 DNM655389 DXI655389 EHE655389 ERA655389 FAW655389 FKS655389 FUO655389 GEK655389 GOG655389 GYC655389 HHY655389 HRU655389 IBQ655389 ILM655389 IVI655389 JFE655389 JPA655389 JYW655389 KIS655389 KSO655389 LCK655389 LMG655389 LWC655389 MFY655389 MPU655389 MZQ655389 NJM655389 NTI655389 ODE655389 ONA655389 OWW655389 PGS655389 PQO655389 QAK655389 QKG655389 QUC655389 RDY655389 RNU655389 RXQ655389 SHM655389 SRI655389 TBE655389 TLA655389 TUW655389 UES655389 UOO655389 UYK655389 VIG655389 VSC655389 WBY655389 WLU655389 WVQ655389 D720915 JE720925 TA720925 ACW720925 AMS720925 AWO720925 BGK720925 BQG720925 CAC720925 CJY720925 CTU720925 DDQ720925 DNM720925 DXI720925 EHE720925 ERA720925 FAW720925 FKS720925 FUO720925 GEK720925 GOG720925 GYC720925 HHY720925 HRU720925 IBQ720925 ILM720925 IVI720925 JFE720925 JPA720925 JYW720925 KIS720925 KSO720925 LCK720925 LMG720925 LWC720925 MFY720925 MPU720925 MZQ720925 NJM720925 NTI720925 ODE720925 ONA720925 OWW720925 PGS720925 PQO720925 QAK720925 QKG720925 QUC720925 RDY720925 RNU720925 RXQ720925 SHM720925 SRI720925 TBE720925 TLA720925 TUW720925 UES720925 UOO720925 UYK720925 VIG720925 VSC720925 WBY720925 WLU720925 WVQ720925 D786451 JE786461 TA786461 ACW786461 AMS786461 AWO786461 BGK786461 BQG786461 CAC786461 CJY786461 CTU786461 DDQ786461 DNM786461 DXI786461 EHE786461 ERA786461 FAW786461 FKS786461 FUO786461 GEK786461 GOG786461 GYC786461 HHY786461 HRU786461 IBQ786461 ILM786461 IVI786461 JFE786461 JPA786461 JYW786461 KIS786461 KSO786461 LCK786461 LMG786461 LWC786461 MFY786461 MPU786461 MZQ786461 NJM786461 NTI786461 ODE786461 ONA786461 OWW786461 PGS786461 PQO786461 QAK786461 QKG786461 QUC786461 RDY786461 RNU786461 RXQ786461 SHM786461 SRI786461 TBE786461 TLA786461 TUW786461 UES786461 UOO786461 UYK786461 VIG786461 VSC786461 WBY786461 WLU786461 WVQ786461 D851987 JE851997 TA851997 ACW851997 AMS851997 AWO851997 BGK851997 BQG851997 CAC851997 CJY851997 CTU851997 DDQ851997 DNM851997 DXI851997 EHE851997 ERA851997 FAW851997 FKS851997 FUO851997 GEK851997 GOG851997 GYC851997 HHY851997 HRU851997 IBQ851997 ILM851997 IVI851997 JFE851997 JPA851997 JYW851997 KIS851997 KSO851997 LCK851997 LMG851997 LWC851997 MFY851997 MPU851997 MZQ851997 NJM851997 NTI851997 ODE851997 ONA851997 OWW851997 PGS851997 PQO851997 QAK851997 QKG851997 QUC851997 RDY851997 RNU851997 RXQ851997 SHM851997 SRI851997 TBE851997 TLA851997 TUW851997 UES851997 UOO851997 UYK851997 VIG851997 VSC851997 WBY851997 WLU851997 WVQ851997 D917523 JE917533 TA917533 ACW917533 AMS917533 AWO917533 BGK917533 BQG917533 CAC917533 CJY917533 CTU917533 DDQ917533 DNM917533 DXI917533 EHE917533 ERA917533 FAW917533 FKS917533 FUO917533 GEK917533 GOG917533 GYC917533 HHY917533 HRU917533 IBQ917533 ILM917533 IVI917533 JFE917533 JPA917533 JYW917533 KIS917533 KSO917533 LCK917533 LMG917533 LWC917533 MFY917533 MPU917533 MZQ917533 NJM917533 NTI917533 ODE917533 ONA917533 OWW917533 PGS917533 PQO917533 QAK917533 QKG917533 QUC917533 RDY917533 RNU917533 RXQ917533 SHM917533 SRI917533 TBE917533 TLA917533 TUW917533 UES917533 UOO917533 UYK917533 VIG917533 VSC917533 WBY917533 WLU917533 WVQ917533 D983059 JE983069 TA983069 ACW983069 AMS983069 AWO983069 BGK983069 BQG983069 CAC983069 CJY983069 CTU983069 DDQ983069 DNM983069 DXI983069 EHE983069 ERA983069 FAW983069 FKS983069 FUO983069 GEK983069 GOG983069 GYC983069 HHY983069 HRU983069 IBQ983069 ILM983069 IVI983069 JFE983069 JPA983069 JYW983069 KIS983069 KSO983069 LCK983069 LMG983069 LWC983069 MFY983069 MPU983069 MZQ983069 NJM983069 NTI983069 ODE983069 ONA983069 OWW983069 PGS983069 PQO983069 QAK983069 QKG983069 QUC983069 RDY983069 RNU983069 RXQ983069 SHM983069 SRI983069 TBE983069 TLA983069 TUW983069 UES983069 UOO983069 UYK983069 VIG983069 VSC983069 WBY983069 WLU983069" xr:uid="{00000000-0002-0000-2900-000003000000}">
      <formula1>"　,満たす,満たさない"</formula1>
    </dataValidation>
    <dataValidation type="list" allowBlank="1" showInputMessage="1" showErrorMessage="1" sqref="WVQ983060:WVQ983068 D65546:D65554 JE65556:JE65564 TA65556:TA65564 ACW65556:ACW65564 AMS65556:AMS65564 AWO65556:AWO65564 BGK65556:BGK65564 BQG65556:BQG65564 CAC65556:CAC65564 CJY65556:CJY65564 CTU65556:CTU65564 DDQ65556:DDQ65564 DNM65556:DNM65564 DXI65556:DXI65564 EHE65556:EHE65564 ERA65556:ERA65564 FAW65556:FAW65564 FKS65556:FKS65564 FUO65556:FUO65564 GEK65556:GEK65564 GOG65556:GOG65564 GYC65556:GYC65564 HHY65556:HHY65564 HRU65556:HRU65564 IBQ65556:IBQ65564 ILM65556:ILM65564 IVI65556:IVI65564 JFE65556:JFE65564 JPA65556:JPA65564 JYW65556:JYW65564 KIS65556:KIS65564 KSO65556:KSO65564 LCK65556:LCK65564 LMG65556:LMG65564 LWC65556:LWC65564 MFY65556:MFY65564 MPU65556:MPU65564 MZQ65556:MZQ65564 NJM65556:NJM65564 NTI65556:NTI65564 ODE65556:ODE65564 ONA65556:ONA65564 OWW65556:OWW65564 PGS65556:PGS65564 PQO65556:PQO65564 QAK65556:QAK65564 QKG65556:QKG65564 QUC65556:QUC65564 RDY65556:RDY65564 RNU65556:RNU65564 RXQ65556:RXQ65564 SHM65556:SHM65564 SRI65556:SRI65564 TBE65556:TBE65564 TLA65556:TLA65564 TUW65556:TUW65564 UES65556:UES65564 UOO65556:UOO65564 UYK65556:UYK65564 VIG65556:VIG65564 VSC65556:VSC65564 WBY65556:WBY65564 WLU65556:WLU65564 WVQ65556:WVQ65564 D131082:D131090 JE131092:JE131100 TA131092:TA131100 ACW131092:ACW131100 AMS131092:AMS131100 AWO131092:AWO131100 BGK131092:BGK131100 BQG131092:BQG131100 CAC131092:CAC131100 CJY131092:CJY131100 CTU131092:CTU131100 DDQ131092:DDQ131100 DNM131092:DNM131100 DXI131092:DXI131100 EHE131092:EHE131100 ERA131092:ERA131100 FAW131092:FAW131100 FKS131092:FKS131100 FUO131092:FUO131100 GEK131092:GEK131100 GOG131092:GOG131100 GYC131092:GYC131100 HHY131092:HHY131100 HRU131092:HRU131100 IBQ131092:IBQ131100 ILM131092:ILM131100 IVI131092:IVI131100 JFE131092:JFE131100 JPA131092:JPA131100 JYW131092:JYW131100 KIS131092:KIS131100 KSO131092:KSO131100 LCK131092:LCK131100 LMG131092:LMG131100 LWC131092:LWC131100 MFY131092:MFY131100 MPU131092:MPU131100 MZQ131092:MZQ131100 NJM131092:NJM131100 NTI131092:NTI131100 ODE131092:ODE131100 ONA131092:ONA131100 OWW131092:OWW131100 PGS131092:PGS131100 PQO131092:PQO131100 QAK131092:QAK131100 QKG131092:QKG131100 QUC131092:QUC131100 RDY131092:RDY131100 RNU131092:RNU131100 RXQ131092:RXQ131100 SHM131092:SHM131100 SRI131092:SRI131100 TBE131092:TBE131100 TLA131092:TLA131100 TUW131092:TUW131100 UES131092:UES131100 UOO131092:UOO131100 UYK131092:UYK131100 VIG131092:VIG131100 VSC131092:VSC131100 WBY131092:WBY131100 WLU131092:WLU131100 WVQ131092:WVQ131100 D196618:D196626 JE196628:JE196636 TA196628:TA196636 ACW196628:ACW196636 AMS196628:AMS196636 AWO196628:AWO196636 BGK196628:BGK196636 BQG196628:BQG196636 CAC196628:CAC196636 CJY196628:CJY196636 CTU196628:CTU196636 DDQ196628:DDQ196636 DNM196628:DNM196636 DXI196628:DXI196636 EHE196628:EHE196636 ERA196628:ERA196636 FAW196628:FAW196636 FKS196628:FKS196636 FUO196628:FUO196636 GEK196628:GEK196636 GOG196628:GOG196636 GYC196628:GYC196636 HHY196628:HHY196636 HRU196628:HRU196636 IBQ196628:IBQ196636 ILM196628:ILM196636 IVI196628:IVI196636 JFE196628:JFE196636 JPA196628:JPA196636 JYW196628:JYW196636 KIS196628:KIS196636 KSO196628:KSO196636 LCK196628:LCK196636 LMG196628:LMG196636 LWC196628:LWC196636 MFY196628:MFY196636 MPU196628:MPU196636 MZQ196628:MZQ196636 NJM196628:NJM196636 NTI196628:NTI196636 ODE196628:ODE196636 ONA196628:ONA196636 OWW196628:OWW196636 PGS196628:PGS196636 PQO196628:PQO196636 QAK196628:QAK196636 QKG196628:QKG196636 QUC196628:QUC196636 RDY196628:RDY196636 RNU196628:RNU196636 RXQ196628:RXQ196636 SHM196628:SHM196636 SRI196628:SRI196636 TBE196628:TBE196636 TLA196628:TLA196636 TUW196628:TUW196636 UES196628:UES196636 UOO196628:UOO196636 UYK196628:UYK196636 VIG196628:VIG196636 VSC196628:VSC196636 WBY196628:WBY196636 WLU196628:WLU196636 WVQ196628:WVQ196636 D262154:D262162 JE262164:JE262172 TA262164:TA262172 ACW262164:ACW262172 AMS262164:AMS262172 AWO262164:AWO262172 BGK262164:BGK262172 BQG262164:BQG262172 CAC262164:CAC262172 CJY262164:CJY262172 CTU262164:CTU262172 DDQ262164:DDQ262172 DNM262164:DNM262172 DXI262164:DXI262172 EHE262164:EHE262172 ERA262164:ERA262172 FAW262164:FAW262172 FKS262164:FKS262172 FUO262164:FUO262172 GEK262164:GEK262172 GOG262164:GOG262172 GYC262164:GYC262172 HHY262164:HHY262172 HRU262164:HRU262172 IBQ262164:IBQ262172 ILM262164:ILM262172 IVI262164:IVI262172 JFE262164:JFE262172 JPA262164:JPA262172 JYW262164:JYW262172 KIS262164:KIS262172 KSO262164:KSO262172 LCK262164:LCK262172 LMG262164:LMG262172 LWC262164:LWC262172 MFY262164:MFY262172 MPU262164:MPU262172 MZQ262164:MZQ262172 NJM262164:NJM262172 NTI262164:NTI262172 ODE262164:ODE262172 ONA262164:ONA262172 OWW262164:OWW262172 PGS262164:PGS262172 PQO262164:PQO262172 QAK262164:QAK262172 QKG262164:QKG262172 QUC262164:QUC262172 RDY262164:RDY262172 RNU262164:RNU262172 RXQ262164:RXQ262172 SHM262164:SHM262172 SRI262164:SRI262172 TBE262164:TBE262172 TLA262164:TLA262172 TUW262164:TUW262172 UES262164:UES262172 UOO262164:UOO262172 UYK262164:UYK262172 VIG262164:VIG262172 VSC262164:VSC262172 WBY262164:WBY262172 WLU262164:WLU262172 WVQ262164:WVQ262172 D327690:D327698 JE327700:JE327708 TA327700:TA327708 ACW327700:ACW327708 AMS327700:AMS327708 AWO327700:AWO327708 BGK327700:BGK327708 BQG327700:BQG327708 CAC327700:CAC327708 CJY327700:CJY327708 CTU327700:CTU327708 DDQ327700:DDQ327708 DNM327700:DNM327708 DXI327700:DXI327708 EHE327700:EHE327708 ERA327700:ERA327708 FAW327700:FAW327708 FKS327700:FKS327708 FUO327700:FUO327708 GEK327700:GEK327708 GOG327700:GOG327708 GYC327700:GYC327708 HHY327700:HHY327708 HRU327700:HRU327708 IBQ327700:IBQ327708 ILM327700:ILM327708 IVI327700:IVI327708 JFE327700:JFE327708 JPA327700:JPA327708 JYW327700:JYW327708 KIS327700:KIS327708 KSO327700:KSO327708 LCK327700:LCK327708 LMG327700:LMG327708 LWC327700:LWC327708 MFY327700:MFY327708 MPU327700:MPU327708 MZQ327700:MZQ327708 NJM327700:NJM327708 NTI327700:NTI327708 ODE327700:ODE327708 ONA327700:ONA327708 OWW327700:OWW327708 PGS327700:PGS327708 PQO327700:PQO327708 QAK327700:QAK327708 QKG327700:QKG327708 QUC327700:QUC327708 RDY327700:RDY327708 RNU327700:RNU327708 RXQ327700:RXQ327708 SHM327700:SHM327708 SRI327700:SRI327708 TBE327700:TBE327708 TLA327700:TLA327708 TUW327700:TUW327708 UES327700:UES327708 UOO327700:UOO327708 UYK327700:UYK327708 VIG327700:VIG327708 VSC327700:VSC327708 WBY327700:WBY327708 WLU327700:WLU327708 WVQ327700:WVQ327708 D393226:D393234 JE393236:JE393244 TA393236:TA393244 ACW393236:ACW393244 AMS393236:AMS393244 AWO393236:AWO393244 BGK393236:BGK393244 BQG393236:BQG393244 CAC393236:CAC393244 CJY393236:CJY393244 CTU393236:CTU393244 DDQ393236:DDQ393244 DNM393236:DNM393244 DXI393236:DXI393244 EHE393236:EHE393244 ERA393236:ERA393244 FAW393236:FAW393244 FKS393236:FKS393244 FUO393236:FUO393244 GEK393236:GEK393244 GOG393236:GOG393244 GYC393236:GYC393244 HHY393236:HHY393244 HRU393236:HRU393244 IBQ393236:IBQ393244 ILM393236:ILM393244 IVI393236:IVI393244 JFE393236:JFE393244 JPA393236:JPA393244 JYW393236:JYW393244 KIS393236:KIS393244 KSO393236:KSO393244 LCK393236:LCK393244 LMG393236:LMG393244 LWC393236:LWC393244 MFY393236:MFY393244 MPU393236:MPU393244 MZQ393236:MZQ393244 NJM393236:NJM393244 NTI393236:NTI393244 ODE393236:ODE393244 ONA393236:ONA393244 OWW393236:OWW393244 PGS393236:PGS393244 PQO393236:PQO393244 QAK393236:QAK393244 QKG393236:QKG393244 QUC393236:QUC393244 RDY393236:RDY393244 RNU393236:RNU393244 RXQ393236:RXQ393244 SHM393236:SHM393244 SRI393236:SRI393244 TBE393236:TBE393244 TLA393236:TLA393244 TUW393236:TUW393244 UES393236:UES393244 UOO393236:UOO393244 UYK393236:UYK393244 VIG393236:VIG393244 VSC393236:VSC393244 WBY393236:WBY393244 WLU393236:WLU393244 WVQ393236:WVQ393244 D458762:D458770 JE458772:JE458780 TA458772:TA458780 ACW458772:ACW458780 AMS458772:AMS458780 AWO458772:AWO458780 BGK458772:BGK458780 BQG458772:BQG458780 CAC458772:CAC458780 CJY458772:CJY458780 CTU458772:CTU458780 DDQ458772:DDQ458780 DNM458772:DNM458780 DXI458772:DXI458780 EHE458772:EHE458780 ERA458772:ERA458780 FAW458772:FAW458780 FKS458772:FKS458780 FUO458772:FUO458780 GEK458772:GEK458780 GOG458772:GOG458780 GYC458772:GYC458780 HHY458772:HHY458780 HRU458772:HRU458780 IBQ458772:IBQ458780 ILM458772:ILM458780 IVI458772:IVI458780 JFE458772:JFE458780 JPA458772:JPA458780 JYW458772:JYW458780 KIS458772:KIS458780 KSO458772:KSO458780 LCK458772:LCK458780 LMG458772:LMG458780 LWC458772:LWC458780 MFY458772:MFY458780 MPU458772:MPU458780 MZQ458772:MZQ458780 NJM458772:NJM458780 NTI458772:NTI458780 ODE458772:ODE458780 ONA458772:ONA458780 OWW458772:OWW458780 PGS458772:PGS458780 PQO458772:PQO458780 QAK458772:QAK458780 QKG458772:QKG458780 QUC458772:QUC458780 RDY458772:RDY458780 RNU458772:RNU458780 RXQ458772:RXQ458780 SHM458772:SHM458780 SRI458772:SRI458780 TBE458772:TBE458780 TLA458772:TLA458780 TUW458772:TUW458780 UES458772:UES458780 UOO458772:UOO458780 UYK458772:UYK458780 VIG458772:VIG458780 VSC458772:VSC458780 WBY458772:WBY458780 WLU458772:WLU458780 WVQ458772:WVQ458780 D524298:D524306 JE524308:JE524316 TA524308:TA524316 ACW524308:ACW524316 AMS524308:AMS524316 AWO524308:AWO524316 BGK524308:BGK524316 BQG524308:BQG524316 CAC524308:CAC524316 CJY524308:CJY524316 CTU524308:CTU524316 DDQ524308:DDQ524316 DNM524308:DNM524316 DXI524308:DXI524316 EHE524308:EHE524316 ERA524308:ERA524316 FAW524308:FAW524316 FKS524308:FKS524316 FUO524308:FUO524316 GEK524308:GEK524316 GOG524308:GOG524316 GYC524308:GYC524316 HHY524308:HHY524316 HRU524308:HRU524316 IBQ524308:IBQ524316 ILM524308:ILM524316 IVI524308:IVI524316 JFE524308:JFE524316 JPA524308:JPA524316 JYW524308:JYW524316 KIS524308:KIS524316 KSO524308:KSO524316 LCK524308:LCK524316 LMG524308:LMG524316 LWC524308:LWC524316 MFY524308:MFY524316 MPU524308:MPU524316 MZQ524308:MZQ524316 NJM524308:NJM524316 NTI524308:NTI524316 ODE524308:ODE524316 ONA524308:ONA524316 OWW524308:OWW524316 PGS524308:PGS524316 PQO524308:PQO524316 QAK524308:QAK524316 QKG524308:QKG524316 QUC524308:QUC524316 RDY524308:RDY524316 RNU524308:RNU524316 RXQ524308:RXQ524316 SHM524308:SHM524316 SRI524308:SRI524316 TBE524308:TBE524316 TLA524308:TLA524316 TUW524308:TUW524316 UES524308:UES524316 UOO524308:UOO524316 UYK524308:UYK524316 VIG524308:VIG524316 VSC524308:VSC524316 WBY524308:WBY524316 WLU524308:WLU524316 WVQ524308:WVQ524316 D589834:D589842 JE589844:JE589852 TA589844:TA589852 ACW589844:ACW589852 AMS589844:AMS589852 AWO589844:AWO589852 BGK589844:BGK589852 BQG589844:BQG589852 CAC589844:CAC589852 CJY589844:CJY589852 CTU589844:CTU589852 DDQ589844:DDQ589852 DNM589844:DNM589852 DXI589844:DXI589852 EHE589844:EHE589852 ERA589844:ERA589852 FAW589844:FAW589852 FKS589844:FKS589852 FUO589844:FUO589852 GEK589844:GEK589852 GOG589844:GOG589852 GYC589844:GYC589852 HHY589844:HHY589852 HRU589844:HRU589852 IBQ589844:IBQ589852 ILM589844:ILM589852 IVI589844:IVI589852 JFE589844:JFE589852 JPA589844:JPA589852 JYW589844:JYW589852 KIS589844:KIS589852 KSO589844:KSO589852 LCK589844:LCK589852 LMG589844:LMG589852 LWC589844:LWC589852 MFY589844:MFY589852 MPU589844:MPU589852 MZQ589844:MZQ589852 NJM589844:NJM589852 NTI589844:NTI589852 ODE589844:ODE589852 ONA589844:ONA589852 OWW589844:OWW589852 PGS589844:PGS589852 PQO589844:PQO589852 QAK589844:QAK589852 QKG589844:QKG589852 QUC589844:QUC589852 RDY589844:RDY589852 RNU589844:RNU589852 RXQ589844:RXQ589852 SHM589844:SHM589852 SRI589844:SRI589852 TBE589844:TBE589852 TLA589844:TLA589852 TUW589844:TUW589852 UES589844:UES589852 UOO589844:UOO589852 UYK589844:UYK589852 VIG589844:VIG589852 VSC589844:VSC589852 WBY589844:WBY589852 WLU589844:WLU589852 WVQ589844:WVQ589852 D655370:D655378 JE655380:JE655388 TA655380:TA655388 ACW655380:ACW655388 AMS655380:AMS655388 AWO655380:AWO655388 BGK655380:BGK655388 BQG655380:BQG655388 CAC655380:CAC655388 CJY655380:CJY655388 CTU655380:CTU655388 DDQ655380:DDQ655388 DNM655380:DNM655388 DXI655380:DXI655388 EHE655380:EHE655388 ERA655380:ERA655388 FAW655380:FAW655388 FKS655380:FKS655388 FUO655380:FUO655388 GEK655380:GEK655388 GOG655380:GOG655388 GYC655380:GYC655388 HHY655380:HHY655388 HRU655380:HRU655388 IBQ655380:IBQ655388 ILM655380:ILM655388 IVI655380:IVI655388 JFE655380:JFE655388 JPA655380:JPA655388 JYW655380:JYW655388 KIS655380:KIS655388 KSO655380:KSO655388 LCK655380:LCK655388 LMG655380:LMG655388 LWC655380:LWC655388 MFY655380:MFY655388 MPU655380:MPU655388 MZQ655380:MZQ655388 NJM655380:NJM655388 NTI655380:NTI655388 ODE655380:ODE655388 ONA655380:ONA655388 OWW655380:OWW655388 PGS655380:PGS655388 PQO655380:PQO655388 QAK655380:QAK655388 QKG655380:QKG655388 QUC655380:QUC655388 RDY655380:RDY655388 RNU655380:RNU655388 RXQ655380:RXQ655388 SHM655380:SHM655388 SRI655380:SRI655388 TBE655380:TBE655388 TLA655380:TLA655388 TUW655380:TUW655388 UES655380:UES655388 UOO655380:UOO655388 UYK655380:UYK655388 VIG655380:VIG655388 VSC655380:VSC655388 WBY655380:WBY655388 WLU655380:WLU655388 WVQ655380:WVQ655388 D720906:D720914 JE720916:JE720924 TA720916:TA720924 ACW720916:ACW720924 AMS720916:AMS720924 AWO720916:AWO720924 BGK720916:BGK720924 BQG720916:BQG720924 CAC720916:CAC720924 CJY720916:CJY720924 CTU720916:CTU720924 DDQ720916:DDQ720924 DNM720916:DNM720924 DXI720916:DXI720924 EHE720916:EHE720924 ERA720916:ERA720924 FAW720916:FAW720924 FKS720916:FKS720924 FUO720916:FUO720924 GEK720916:GEK720924 GOG720916:GOG720924 GYC720916:GYC720924 HHY720916:HHY720924 HRU720916:HRU720924 IBQ720916:IBQ720924 ILM720916:ILM720924 IVI720916:IVI720924 JFE720916:JFE720924 JPA720916:JPA720924 JYW720916:JYW720924 KIS720916:KIS720924 KSO720916:KSO720924 LCK720916:LCK720924 LMG720916:LMG720924 LWC720916:LWC720924 MFY720916:MFY720924 MPU720916:MPU720924 MZQ720916:MZQ720924 NJM720916:NJM720924 NTI720916:NTI720924 ODE720916:ODE720924 ONA720916:ONA720924 OWW720916:OWW720924 PGS720916:PGS720924 PQO720916:PQO720924 QAK720916:QAK720924 QKG720916:QKG720924 QUC720916:QUC720924 RDY720916:RDY720924 RNU720916:RNU720924 RXQ720916:RXQ720924 SHM720916:SHM720924 SRI720916:SRI720924 TBE720916:TBE720924 TLA720916:TLA720924 TUW720916:TUW720924 UES720916:UES720924 UOO720916:UOO720924 UYK720916:UYK720924 VIG720916:VIG720924 VSC720916:VSC720924 WBY720916:WBY720924 WLU720916:WLU720924 WVQ720916:WVQ720924 D786442:D786450 JE786452:JE786460 TA786452:TA786460 ACW786452:ACW786460 AMS786452:AMS786460 AWO786452:AWO786460 BGK786452:BGK786460 BQG786452:BQG786460 CAC786452:CAC786460 CJY786452:CJY786460 CTU786452:CTU786460 DDQ786452:DDQ786460 DNM786452:DNM786460 DXI786452:DXI786460 EHE786452:EHE786460 ERA786452:ERA786460 FAW786452:FAW786460 FKS786452:FKS786460 FUO786452:FUO786460 GEK786452:GEK786460 GOG786452:GOG786460 GYC786452:GYC786460 HHY786452:HHY786460 HRU786452:HRU786460 IBQ786452:IBQ786460 ILM786452:ILM786460 IVI786452:IVI786460 JFE786452:JFE786460 JPA786452:JPA786460 JYW786452:JYW786460 KIS786452:KIS786460 KSO786452:KSO786460 LCK786452:LCK786460 LMG786452:LMG786460 LWC786452:LWC786460 MFY786452:MFY786460 MPU786452:MPU786460 MZQ786452:MZQ786460 NJM786452:NJM786460 NTI786452:NTI786460 ODE786452:ODE786460 ONA786452:ONA786460 OWW786452:OWW786460 PGS786452:PGS786460 PQO786452:PQO786460 QAK786452:QAK786460 QKG786452:QKG786460 QUC786452:QUC786460 RDY786452:RDY786460 RNU786452:RNU786460 RXQ786452:RXQ786460 SHM786452:SHM786460 SRI786452:SRI786460 TBE786452:TBE786460 TLA786452:TLA786460 TUW786452:TUW786460 UES786452:UES786460 UOO786452:UOO786460 UYK786452:UYK786460 VIG786452:VIG786460 VSC786452:VSC786460 WBY786452:WBY786460 WLU786452:WLU786460 WVQ786452:WVQ786460 D851978:D851986 JE851988:JE851996 TA851988:TA851996 ACW851988:ACW851996 AMS851988:AMS851996 AWO851988:AWO851996 BGK851988:BGK851996 BQG851988:BQG851996 CAC851988:CAC851996 CJY851988:CJY851996 CTU851988:CTU851996 DDQ851988:DDQ851996 DNM851988:DNM851996 DXI851988:DXI851996 EHE851988:EHE851996 ERA851988:ERA851996 FAW851988:FAW851996 FKS851988:FKS851996 FUO851988:FUO851996 GEK851988:GEK851996 GOG851988:GOG851996 GYC851988:GYC851996 HHY851988:HHY851996 HRU851988:HRU851996 IBQ851988:IBQ851996 ILM851988:ILM851996 IVI851988:IVI851996 JFE851988:JFE851996 JPA851988:JPA851996 JYW851988:JYW851996 KIS851988:KIS851996 KSO851988:KSO851996 LCK851988:LCK851996 LMG851988:LMG851996 LWC851988:LWC851996 MFY851988:MFY851996 MPU851988:MPU851996 MZQ851988:MZQ851996 NJM851988:NJM851996 NTI851988:NTI851996 ODE851988:ODE851996 ONA851988:ONA851996 OWW851988:OWW851996 PGS851988:PGS851996 PQO851988:PQO851996 QAK851988:QAK851996 QKG851988:QKG851996 QUC851988:QUC851996 RDY851988:RDY851996 RNU851988:RNU851996 RXQ851988:RXQ851996 SHM851988:SHM851996 SRI851988:SRI851996 TBE851988:TBE851996 TLA851988:TLA851996 TUW851988:TUW851996 UES851988:UES851996 UOO851988:UOO851996 UYK851988:UYK851996 VIG851988:VIG851996 VSC851988:VSC851996 WBY851988:WBY851996 WLU851988:WLU851996 WVQ851988:WVQ851996 D917514:D917522 JE917524:JE917532 TA917524:TA917532 ACW917524:ACW917532 AMS917524:AMS917532 AWO917524:AWO917532 BGK917524:BGK917532 BQG917524:BQG917532 CAC917524:CAC917532 CJY917524:CJY917532 CTU917524:CTU917532 DDQ917524:DDQ917532 DNM917524:DNM917532 DXI917524:DXI917532 EHE917524:EHE917532 ERA917524:ERA917532 FAW917524:FAW917532 FKS917524:FKS917532 FUO917524:FUO917532 GEK917524:GEK917532 GOG917524:GOG917532 GYC917524:GYC917532 HHY917524:HHY917532 HRU917524:HRU917532 IBQ917524:IBQ917532 ILM917524:ILM917532 IVI917524:IVI917532 JFE917524:JFE917532 JPA917524:JPA917532 JYW917524:JYW917532 KIS917524:KIS917532 KSO917524:KSO917532 LCK917524:LCK917532 LMG917524:LMG917532 LWC917524:LWC917532 MFY917524:MFY917532 MPU917524:MPU917532 MZQ917524:MZQ917532 NJM917524:NJM917532 NTI917524:NTI917532 ODE917524:ODE917532 ONA917524:ONA917532 OWW917524:OWW917532 PGS917524:PGS917532 PQO917524:PQO917532 QAK917524:QAK917532 QKG917524:QKG917532 QUC917524:QUC917532 RDY917524:RDY917532 RNU917524:RNU917532 RXQ917524:RXQ917532 SHM917524:SHM917532 SRI917524:SRI917532 TBE917524:TBE917532 TLA917524:TLA917532 TUW917524:TUW917532 UES917524:UES917532 UOO917524:UOO917532 UYK917524:UYK917532 VIG917524:VIG917532 VSC917524:VSC917532 WBY917524:WBY917532 WLU917524:WLU917532 WVQ917524:WVQ917532 D983050:D983058 JE983060:JE983068 TA983060:TA983068 ACW983060:ACW983068 AMS983060:AMS983068 AWO983060:AWO983068 BGK983060:BGK983068 BQG983060:BQG983068 CAC983060:CAC983068 CJY983060:CJY983068 CTU983060:CTU983068 DDQ983060:DDQ983068 DNM983060:DNM983068 DXI983060:DXI983068 EHE983060:EHE983068 ERA983060:ERA983068 FAW983060:FAW983068 FKS983060:FKS983068 FUO983060:FUO983068 GEK983060:GEK983068 GOG983060:GOG983068 GYC983060:GYC983068 HHY983060:HHY983068 HRU983060:HRU983068 IBQ983060:IBQ983068 ILM983060:ILM983068 IVI983060:IVI983068 JFE983060:JFE983068 JPA983060:JPA983068 JYW983060:JYW983068 KIS983060:KIS983068 KSO983060:KSO983068 LCK983060:LCK983068 LMG983060:LMG983068 LWC983060:LWC983068 MFY983060:MFY983068 MPU983060:MPU983068 MZQ983060:MZQ983068 NJM983060:NJM983068 NTI983060:NTI983068 ODE983060:ODE983068 ONA983060:ONA983068 OWW983060:OWW983068 PGS983060:PGS983068 PQO983060:PQO983068 QAK983060:QAK983068 QKG983060:QKG983068 QUC983060:QUC983068 RDY983060:RDY983068 RNU983060:RNU983068 RXQ983060:RXQ983068 SHM983060:SHM983068 SRI983060:SRI983068 TBE983060:TBE983068 TLA983060:TLA983068 TUW983060:TUW983068 UES983060:UES983068 UOO983060:UOO983068 UYK983060:UYK983068 VIG983060:VIG983068 VSC983060:VSC983068 WBY983060:WBY983068 WLU983060:WLU983068 WVQ23:WVQ34 WLU23:WLU34 WBY23:WBY34 VSC23:VSC34 VIG23:VIG34 UYK23:UYK34 UOO23:UOO34 UES23:UES34 TUW23:TUW34 TLA23:TLA34 TBE23:TBE34 SRI23:SRI34 SHM23:SHM34 RXQ23:RXQ34 RNU23:RNU34 RDY23:RDY34 QUC23:QUC34 QKG23:QKG34 QAK23:QAK34 PQO23:PQO34 PGS23:PGS34 OWW23:OWW34 ONA23:ONA34 ODE23:ODE34 NTI23:NTI34 NJM23:NJM34 MZQ23:MZQ34 MPU23:MPU34 MFY23:MFY34 LWC23:LWC34 LMG23:LMG34 LCK23:LCK34 KSO23:KSO34 KIS23:KIS34 JYW23:JYW34 JPA23:JPA34 JFE23:JFE34 IVI23:IVI34 ILM23:ILM34 IBQ23:IBQ34 HRU23:HRU34 HHY23:HHY34 GYC23:GYC34 GOG23:GOG34 GEK23:GEK34 FUO23:FUO34 FKS23:FKS34 FAW23:FAW34 ERA23:ERA34 EHE23:EHE34 DXI23:DXI34 DNM23:DNM34 DDQ23:DDQ34 CTU23:CTU34 CJY23:CJY34 CAC23:CAC34 BQG23:BQG34 BGK23:BGK34 AWO23:AWO34 AMS23:AMS34 ACW23:ACW34 TA23:TA34 JE23:JE34" xr:uid="{00000000-0002-0000-2900-000004000000}">
      <formula1>"　,あり,なし"</formula1>
    </dataValidation>
    <dataValidation type="list" errorStyle="warning" showInputMessage="1" showErrorMessage="1" sqref="E22" xr:uid="{00000000-0002-0000-2900-000005000000}">
      <formula1>$M$4:$M$17</formula1>
    </dataValidation>
    <dataValidation type="list" showInputMessage="1" showErrorMessage="1" sqref="E31" xr:uid="{00000000-0002-0000-2900-000006000000}">
      <formula1>$U$4:$U$14</formula1>
    </dataValidation>
  </dataValidations>
  <pageMargins left="0.7" right="0.7" top="0.75" bottom="0.75" header="0.3" footer="0.3"/>
  <pageSetup paperSize="9" scale="68"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3BEF4-59CA-47CA-A00C-01FFC7CB1ABF}">
  <sheetPr>
    <tabColor theme="1"/>
  </sheetPr>
  <dimension ref="A1"/>
  <sheetViews>
    <sheetView workbookViewId="0">
      <selection activeCell="R35" sqref="R35"/>
    </sheetView>
  </sheetViews>
  <sheetFormatPr defaultRowHeight="13.5"/>
  <sheetData/>
  <sheetProtection algorithmName="SHA-512" hashValue="Hs8MpQDTGxHX8miv/EnY4Q2ukJgEaDO8Gj9ZPb/MRfTH5js8gXFDDStxkiIX2C2stXCq+8GcbLYX1qNzML9Dew==" saltValue="i3gsNLn41LuWYFoi3fDWXw==" spinCount="100000" sheet="1" objects="1" scenarios="1"/>
  <phoneticPr fontId="6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6" tint="0.59999389629810485"/>
  </sheetPr>
  <dimension ref="A1:AS118"/>
  <sheetViews>
    <sheetView view="pageBreakPreview" zoomScale="70" zoomScaleNormal="70" zoomScaleSheetLayoutView="70" workbookViewId="0">
      <selection activeCell="V23" sqref="V23"/>
    </sheetView>
  </sheetViews>
  <sheetFormatPr defaultColWidth="8.875" defaultRowHeight="17.25" outlineLevelCol="1"/>
  <cols>
    <col min="1" max="1" width="8.875" style="659"/>
    <col min="2" max="3" width="11.875" style="659" customWidth="1"/>
    <col min="4" max="14" width="16.625" style="659" customWidth="1"/>
    <col min="15" max="15" width="18.375" style="659" customWidth="1"/>
    <col min="16" max="22" width="16.625" style="659" customWidth="1"/>
    <col min="23" max="25" width="15.625" style="659" hidden="1" customWidth="1" outlineLevel="1"/>
    <col min="26" max="26" width="10.125" style="659" hidden="1" customWidth="1" outlineLevel="1"/>
    <col min="27" max="44" width="8.875" style="659" hidden="1" customWidth="1" outlineLevel="1"/>
    <col min="45" max="45" width="8.875" style="659" collapsed="1"/>
    <col min="46" max="16384" width="8.875" style="659"/>
  </cols>
  <sheetData>
    <row r="1" spans="1:44" ht="20.100000000000001" customHeight="1" thickBot="1">
      <c r="A1" s="793" t="str">
        <f ca="1">RIGHT(CELL("filename",A3),LEN(CELL("filename",A3))-FIND("]",CELL("filename",A3)))</f>
        <v>入力（加算）認</v>
      </c>
      <c r="B1" s="658"/>
      <c r="C1" s="658"/>
      <c r="D1" s="658"/>
      <c r="E1" s="658"/>
      <c r="F1" s="658"/>
      <c r="G1" s="658"/>
      <c r="H1" s="658"/>
      <c r="I1" s="658"/>
      <c r="J1" s="658"/>
      <c r="K1" s="658"/>
      <c r="L1" s="658"/>
      <c r="M1" s="658"/>
      <c r="N1" s="658"/>
      <c r="O1" s="658"/>
      <c r="P1" s="658"/>
      <c r="Q1" s="658"/>
      <c r="R1" s="658"/>
      <c r="S1" s="1777" t="str">
        <f>CONCATENATE('入力（基本)'!G11)</f>
        <v/>
      </c>
      <c r="T1" s="1777"/>
      <c r="U1" s="1777"/>
      <c r="V1" s="1777"/>
      <c r="W1" s="658"/>
      <c r="AC1" s="663" t="s">
        <v>134</v>
      </c>
      <c r="AD1" s="795" t="s">
        <v>184</v>
      </c>
      <c r="AE1" s="662" t="s">
        <v>182</v>
      </c>
      <c r="AF1" s="663" t="s">
        <v>181</v>
      </c>
      <c r="AG1" s="662" t="s">
        <v>180</v>
      </c>
      <c r="AH1" s="662" t="s">
        <v>217</v>
      </c>
      <c r="AI1" s="663" t="s">
        <v>178</v>
      </c>
      <c r="AJ1" s="1736" t="s">
        <v>179</v>
      </c>
      <c r="AK1" s="1737"/>
      <c r="AL1" s="663" t="s">
        <v>218</v>
      </c>
      <c r="AM1" s="663" t="s">
        <v>219</v>
      </c>
      <c r="AN1" s="1729" t="s">
        <v>190</v>
      </c>
      <c r="AO1" s="1730"/>
      <c r="AP1" s="662" t="s">
        <v>505</v>
      </c>
      <c r="AQ1" s="663" t="s">
        <v>544</v>
      </c>
      <c r="AR1" s="663" t="s">
        <v>521</v>
      </c>
    </row>
    <row r="2" spans="1:44" ht="19.5" customHeight="1" thickBot="1">
      <c r="A2" s="793"/>
      <c r="B2" s="1745" t="s">
        <v>869</v>
      </c>
      <c r="C2" s="1745"/>
      <c r="D2" s="1745"/>
      <c r="E2" s="1745"/>
      <c r="F2" s="1745"/>
      <c r="G2" s="1745"/>
      <c r="H2" s="1745"/>
      <c r="I2" s="1745"/>
      <c r="J2" s="1745"/>
      <c r="K2" s="1745"/>
      <c r="L2" s="1745"/>
      <c r="M2" s="1745"/>
      <c r="N2" s="1745"/>
      <c r="O2" s="1745"/>
      <c r="P2" s="1745"/>
      <c r="Q2" s="1745"/>
      <c r="R2" s="1745"/>
      <c r="S2" s="1745"/>
      <c r="T2" s="1745"/>
      <c r="U2" s="794"/>
      <c r="V2" s="794"/>
      <c r="W2" s="658"/>
      <c r="AC2" s="797"/>
      <c r="AD2" s="851">
        <f>IF(ISERROR(VLOOKUP($I$12,$AC$3:$AD$14,2,FALSE)+1-VLOOKUP($I$11,$AC$3:$AD$14,2,FALSE)),0,VLOOKUP($I$12,$AC$3:$AD$14,2,FALSE)+1-VLOOKUP($I$11,$AC$3:$AD$14,2,FALSE))</f>
        <v>0</v>
      </c>
      <c r="AE2" s="662"/>
      <c r="AF2" s="663"/>
      <c r="AG2" s="662"/>
      <c r="AH2" s="852">
        <f>SUM(D7,D8,D11)</f>
        <v>0</v>
      </c>
      <c r="AI2" s="663"/>
      <c r="AJ2" s="663"/>
      <c r="AK2" s="663"/>
      <c r="AL2" s="663"/>
      <c r="AM2" s="663"/>
      <c r="AN2" s="663">
        <v>1</v>
      </c>
      <c r="AO2" s="663">
        <v>1</v>
      </c>
      <c r="AP2" s="662"/>
      <c r="AQ2" s="663">
        <f>IF(G23="あり",VLOOKUP($D$7,認定こども園１号①!$B$45:$BJ$61,61,TRUE),1)</f>
        <v>1</v>
      </c>
      <c r="AR2" s="663"/>
    </row>
    <row r="3" spans="1:44" ht="33" customHeight="1">
      <c r="A3" s="658"/>
      <c r="B3" s="1745"/>
      <c r="C3" s="1745"/>
      <c r="D3" s="1745"/>
      <c r="E3" s="1745"/>
      <c r="F3" s="1745"/>
      <c r="G3" s="1745"/>
      <c r="H3" s="1745"/>
      <c r="I3" s="1745"/>
      <c r="J3" s="1745"/>
      <c r="K3" s="1745"/>
      <c r="L3" s="1745"/>
      <c r="M3" s="1745"/>
      <c r="N3" s="1745"/>
      <c r="O3" s="1745"/>
      <c r="P3" s="1745"/>
      <c r="Q3" s="1745"/>
      <c r="R3" s="1745"/>
      <c r="S3" s="1745"/>
      <c r="T3" s="1745"/>
      <c r="U3" s="658"/>
      <c r="V3" s="658"/>
      <c r="W3" s="658"/>
      <c r="AC3" s="660">
        <v>4</v>
      </c>
      <c r="AD3" s="661">
        <v>1</v>
      </c>
      <c r="AE3" s="662" t="s">
        <v>18</v>
      </c>
      <c r="AF3" s="172">
        <v>3</v>
      </c>
      <c r="AG3" s="173">
        <v>6.3</v>
      </c>
      <c r="AH3" s="191"/>
      <c r="AI3" s="663" t="s">
        <v>19</v>
      </c>
      <c r="AJ3" s="664" t="s">
        <v>189</v>
      </c>
      <c r="AK3" s="664"/>
      <c r="AL3" s="663" t="s">
        <v>19</v>
      </c>
      <c r="AM3" s="659" t="s">
        <v>221</v>
      </c>
      <c r="AN3" s="663">
        <v>46</v>
      </c>
      <c r="AO3" s="663">
        <v>2</v>
      </c>
      <c r="AP3" s="173" t="s">
        <v>189</v>
      </c>
      <c r="AQ3" s="663">
        <f>IF(P27="あり",VLOOKUP($D$7,認定こども園２・３号①!$B$81:$BR$98,69,TRUE),1)</f>
        <v>1</v>
      </c>
      <c r="AR3" s="663" t="s">
        <v>519</v>
      </c>
    </row>
    <row r="4" spans="1:44" ht="20.100000000000001" customHeight="1">
      <c r="A4" s="658"/>
      <c r="B4" s="1734" t="s">
        <v>830</v>
      </c>
      <c r="C4" s="1734"/>
      <c r="D4" s="1734"/>
      <c r="E4" s="658"/>
      <c r="F4" s="973"/>
      <c r="G4" s="973"/>
      <c r="H4" s="973"/>
      <c r="I4" s="973"/>
      <c r="J4" s="973"/>
      <c r="K4" s="973"/>
      <c r="L4" s="973"/>
      <c r="M4" s="973"/>
      <c r="N4" s="973"/>
      <c r="O4" s="973"/>
      <c r="P4" s="853" t="s">
        <v>122</v>
      </c>
      <c r="Q4" s="658"/>
      <c r="R4" s="658"/>
      <c r="S4" s="658"/>
      <c r="T4" s="658"/>
      <c r="U4" s="658"/>
      <c r="V4" s="658"/>
      <c r="AC4" s="660">
        <v>5</v>
      </c>
      <c r="AD4" s="661">
        <v>2</v>
      </c>
      <c r="AE4" s="662" t="s">
        <v>225</v>
      </c>
      <c r="AF4" s="172">
        <v>4</v>
      </c>
      <c r="AG4" s="173">
        <v>4.3</v>
      </c>
      <c r="AH4" s="192"/>
      <c r="AI4" s="663" t="s">
        <v>176</v>
      </c>
      <c r="AJ4" s="664">
        <v>1</v>
      </c>
      <c r="AK4" s="664">
        <v>1</v>
      </c>
      <c r="AL4" s="663">
        <v>1</v>
      </c>
      <c r="AM4" s="664">
        <v>0.5</v>
      </c>
      <c r="AN4" s="854">
        <v>151</v>
      </c>
      <c r="AO4" s="664">
        <v>3</v>
      </c>
      <c r="AP4" s="173" t="s">
        <v>507</v>
      </c>
      <c r="AR4" s="663" t="s">
        <v>522</v>
      </c>
    </row>
    <row r="5" spans="1:44" ht="31.5" customHeight="1">
      <c r="A5" s="658"/>
      <c r="B5" s="1786" t="s">
        <v>3</v>
      </c>
      <c r="C5" s="1786"/>
      <c r="D5" s="1800"/>
      <c r="E5" s="1801"/>
      <c r="F5" s="973"/>
      <c r="G5" s="973"/>
      <c r="H5" s="973"/>
      <c r="I5" s="973"/>
      <c r="J5" s="973"/>
      <c r="K5" s="973"/>
      <c r="L5" s="973"/>
      <c r="M5" s="973"/>
      <c r="N5" s="973"/>
      <c r="O5" s="973"/>
      <c r="P5" s="806" t="s">
        <v>123</v>
      </c>
      <c r="Q5" s="658" t="s">
        <v>120</v>
      </c>
      <c r="R5" s="658"/>
      <c r="S5" s="658"/>
      <c r="T5" s="658"/>
      <c r="U5" s="658"/>
      <c r="V5" s="658"/>
      <c r="AC5" s="660">
        <v>6</v>
      </c>
      <c r="AD5" s="661">
        <v>3</v>
      </c>
      <c r="AF5" s="174">
        <v>5</v>
      </c>
      <c r="AG5" s="175">
        <v>2.4</v>
      </c>
      <c r="AH5" s="193"/>
      <c r="AI5" s="663" t="s">
        <v>177</v>
      </c>
      <c r="AJ5" s="664" t="e">
        <f t="shared" ref="AJ5:AJ16" si="0">IF($K$19&gt;=AK5,AK5,"")</f>
        <v>#N/A</v>
      </c>
      <c r="AK5" s="664">
        <v>2</v>
      </c>
      <c r="AL5" s="663">
        <v>2</v>
      </c>
      <c r="AM5" s="664">
        <v>1</v>
      </c>
      <c r="AN5" s="854">
        <v>241</v>
      </c>
      <c r="AO5" s="854">
        <v>3.5</v>
      </c>
      <c r="AP5" s="175" t="s">
        <v>508</v>
      </c>
      <c r="AR5" s="663" t="s">
        <v>520</v>
      </c>
    </row>
    <row r="6" spans="1:44" ht="31.5" customHeight="1">
      <c r="A6" s="658"/>
      <c r="B6" s="1786" t="s">
        <v>4</v>
      </c>
      <c r="C6" s="1786"/>
      <c r="D6" s="1802" t="s">
        <v>87</v>
      </c>
      <c r="E6" s="1802"/>
      <c r="F6" s="973"/>
      <c r="G6" s="973"/>
      <c r="H6" s="973"/>
      <c r="I6" s="973"/>
      <c r="J6" s="973"/>
      <c r="K6" s="973"/>
      <c r="L6" s="973"/>
      <c r="M6" s="973"/>
      <c r="N6" s="973"/>
      <c r="O6" s="973"/>
      <c r="P6" s="807" t="s">
        <v>124</v>
      </c>
      <c r="Q6" s="796" t="s">
        <v>125</v>
      </c>
      <c r="R6" s="658"/>
      <c r="S6" s="658"/>
      <c r="T6" s="658"/>
      <c r="U6" s="658"/>
      <c r="V6" s="658"/>
      <c r="AC6" s="660">
        <v>7</v>
      </c>
      <c r="AD6" s="661">
        <v>4</v>
      </c>
      <c r="AF6" s="172">
        <v>6</v>
      </c>
      <c r="AG6" s="173">
        <v>1.1000000000000001</v>
      </c>
      <c r="AH6" s="192"/>
      <c r="AI6" s="663"/>
      <c r="AJ6" s="664" t="e">
        <f t="shared" si="0"/>
        <v>#N/A</v>
      </c>
      <c r="AK6" s="664">
        <v>3</v>
      </c>
      <c r="AL6" s="663">
        <v>3</v>
      </c>
      <c r="AM6" s="664">
        <v>1.5</v>
      </c>
      <c r="AN6" s="663">
        <v>271</v>
      </c>
      <c r="AO6" s="663">
        <v>5</v>
      </c>
      <c r="AP6" s="175" t="s">
        <v>509</v>
      </c>
    </row>
    <row r="7" spans="1:44" ht="31.5" customHeight="1">
      <c r="A7" s="658"/>
      <c r="B7" s="1779" t="s">
        <v>211</v>
      </c>
      <c r="C7" s="1371" t="s">
        <v>173</v>
      </c>
      <c r="D7" s="1803">
        <f>'入力（基本)'!G12</f>
        <v>0</v>
      </c>
      <c r="E7" s="1803"/>
      <c r="F7" s="973"/>
      <c r="G7" s="973"/>
      <c r="H7" s="973"/>
      <c r="I7" s="973"/>
      <c r="J7" s="973"/>
      <c r="K7" s="973"/>
      <c r="L7" s="973"/>
      <c r="M7" s="973"/>
      <c r="N7" s="973"/>
      <c r="O7" s="973"/>
      <c r="P7" s="658"/>
      <c r="Q7" s="658"/>
      <c r="R7" s="658"/>
      <c r="S7" s="658"/>
      <c r="T7" s="658"/>
      <c r="U7" s="658"/>
      <c r="V7" s="658"/>
      <c r="AC7" s="660">
        <v>8</v>
      </c>
      <c r="AD7" s="661">
        <v>5</v>
      </c>
      <c r="AI7" s="663"/>
      <c r="AJ7" s="664" t="e">
        <f t="shared" si="0"/>
        <v>#N/A</v>
      </c>
      <c r="AK7" s="664">
        <v>3.5</v>
      </c>
      <c r="AL7" s="663">
        <v>4</v>
      </c>
      <c r="AM7" s="664">
        <v>2</v>
      </c>
      <c r="AN7" s="663">
        <v>301</v>
      </c>
      <c r="AO7" s="663">
        <v>6</v>
      </c>
      <c r="AP7" s="175" t="s">
        <v>510</v>
      </c>
    </row>
    <row r="8" spans="1:44" ht="31.5" customHeight="1">
      <c r="A8" s="658"/>
      <c r="B8" s="1779"/>
      <c r="C8" s="1371" t="s">
        <v>200</v>
      </c>
      <c r="D8" s="1803">
        <f>'入力（基本)'!G13</f>
        <v>0</v>
      </c>
      <c r="E8" s="1803"/>
      <c r="F8" s="973"/>
      <c r="G8" s="973"/>
      <c r="H8" s="973"/>
      <c r="I8" s="973"/>
      <c r="J8" s="973"/>
      <c r="K8" s="973"/>
      <c r="L8" s="973"/>
      <c r="M8" s="973"/>
      <c r="N8" s="973"/>
      <c r="O8" s="973"/>
      <c r="P8" s="658"/>
      <c r="Q8" s="658"/>
      <c r="R8" s="658"/>
      <c r="S8" s="658"/>
      <c r="T8" s="658"/>
      <c r="U8" s="658"/>
      <c r="V8" s="658"/>
      <c r="AC8" s="660">
        <v>9</v>
      </c>
      <c r="AD8" s="661">
        <v>6</v>
      </c>
      <c r="AI8" s="663"/>
      <c r="AJ8" s="664" t="e">
        <f t="shared" si="0"/>
        <v>#N/A</v>
      </c>
      <c r="AK8" s="664">
        <v>4</v>
      </c>
      <c r="AL8" s="663">
        <v>5</v>
      </c>
      <c r="AM8" s="664">
        <v>2.5</v>
      </c>
      <c r="AN8" s="663">
        <v>451</v>
      </c>
      <c r="AO8" s="663">
        <v>8</v>
      </c>
    </row>
    <row r="9" spans="1:44" ht="31.5" customHeight="1">
      <c r="A9" s="658"/>
      <c r="B9" s="1779"/>
      <c r="C9" s="1371" t="s">
        <v>201</v>
      </c>
      <c r="D9" s="1803">
        <f>'入力（基本)'!G14</f>
        <v>0</v>
      </c>
      <c r="E9" s="1803"/>
      <c r="F9" s="973"/>
      <c r="G9" s="973"/>
      <c r="H9" s="973"/>
      <c r="I9" s="973"/>
      <c r="J9" s="973"/>
      <c r="K9" s="973"/>
      <c r="L9" s="973"/>
      <c r="M9" s="973"/>
      <c r="N9" s="973"/>
      <c r="O9" s="973"/>
      <c r="P9" s="658"/>
      <c r="Q9" s="658"/>
      <c r="R9" s="658"/>
      <c r="S9" s="658"/>
      <c r="T9" s="658"/>
      <c r="U9" s="658"/>
      <c r="V9" s="658"/>
      <c r="AC9" s="660">
        <v>10</v>
      </c>
      <c r="AD9" s="661">
        <v>7</v>
      </c>
      <c r="AI9" s="663"/>
      <c r="AJ9" s="664" t="e">
        <f t="shared" si="0"/>
        <v>#N/A</v>
      </c>
      <c r="AK9" s="664">
        <v>4.5</v>
      </c>
      <c r="AM9" s="664">
        <v>3</v>
      </c>
    </row>
    <row r="10" spans="1:44" ht="31.5" customHeight="1">
      <c r="A10" s="658"/>
      <c r="B10" s="1779"/>
      <c r="C10" s="1371" t="s">
        <v>209</v>
      </c>
      <c r="D10" s="1804">
        <f>SUM(D7:F9)</f>
        <v>0</v>
      </c>
      <c r="E10" s="1804"/>
      <c r="F10" s="973"/>
      <c r="G10" s="973"/>
      <c r="H10" s="973"/>
      <c r="I10" s="973"/>
      <c r="J10" s="973"/>
      <c r="K10" s="973"/>
      <c r="L10" s="973"/>
      <c r="M10" s="973"/>
      <c r="N10" s="973"/>
      <c r="O10" s="973"/>
      <c r="P10" s="658"/>
      <c r="Q10" s="658"/>
      <c r="R10" s="658"/>
      <c r="S10" s="658"/>
      <c r="T10" s="658"/>
      <c r="U10" s="658"/>
      <c r="V10" s="658"/>
      <c r="AC10" s="660">
        <v>11</v>
      </c>
      <c r="AD10" s="661">
        <v>8</v>
      </c>
      <c r="AI10" s="663"/>
      <c r="AJ10" s="664" t="e">
        <f t="shared" si="0"/>
        <v>#N/A</v>
      </c>
      <c r="AK10" s="664">
        <v>5</v>
      </c>
      <c r="AM10" s="664">
        <v>3.5</v>
      </c>
    </row>
    <row r="11" spans="1:44" ht="31.5" customHeight="1">
      <c r="A11" s="658"/>
      <c r="B11" s="1779" t="s">
        <v>212</v>
      </c>
      <c r="C11" s="1371" t="s">
        <v>200</v>
      </c>
      <c r="D11" s="1805"/>
      <c r="E11" s="1805"/>
      <c r="F11" s="973"/>
      <c r="G11" s="973"/>
      <c r="H11" s="973"/>
      <c r="I11" s="973"/>
      <c r="J11" s="973"/>
      <c r="K11" s="973"/>
      <c r="L11" s="973"/>
      <c r="M11" s="973"/>
      <c r="N11" s="973"/>
      <c r="O11" s="973"/>
      <c r="P11" s="658"/>
      <c r="Q11" s="658"/>
      <c r="R11" s="658"/>
      <c r="S11" s="658"/>
      <c r="T11" s="658"/>
      <c r="U11" s="658"/>
      <c r="V11" s="658"/>
      <c r="AC11" s="660">
        <v>12</v>
      </c>
      <c r="AD11" s="661">
        <v>9</v>
      </c>
      <c r="AJ11" s="664" t="e">
        <f t="shared" si="0"/>
        <v>#N/A</v>
      </c>
      <c r="AK11" s="664">
        <v>5.5</v>
      </c>
      <c r="AM11" s="664">
        <v>4</v>
      </c>
    </row>
    <row r="12" spans="1:44" ht="31.5" customHeight="1">
      <c r="A12" s="658"/>
      <c r="B12" s="1786"/>
      <c r="C12" s="1371" t="s">
        <v>201</v>
      </c>
      <c r="D12" s="1803">
        <f>'入力（基本)'!G16</f>
        <v>0</v>
      </c>
      <c r="E12" s="1803"/>
      <c r="F12" s="973"/>
      <c r="G12" s="973"/>
      <c r="H12" s="973"/>
      <c r="I12" s="973"/>
      <c r="J12" s="973"/>
      <c r="K12" s="973"/>
      <c r="L12" s="973"/>
      <c r="M12" s="973"/>
      <c r="N12" s="973"/>
      <c r="O12" s="973"/>
      <c r="P12" s="658"/>
      <c r="Q12" s="658"/>
      <c r="R12" s="658"/>
      <c r="S12" s="658"/>
      <c r="T12" s="658"/>
      <c r="U12" s="658"/>
      <c r="V12" s="658"/>
      <c r="AC12" s="660">
        <v>1</v>
      </c>
      <c r="AD12" s="661">
        <v>10</v>
      </c>
      <c r="AJ12" s="664" t="e">
        <f t="shared" si="0"/>
        <v>#N/A</v>
      </c>
      <c r="AK12" s="664">
        <v>6</v>
      </c>
      <c r="AM12" s="664">
        <v>4.5</v>
      </c>
    </row>
    <row r="13" spans="1:44" ht="31.5" customHeight="1">
      <c r="A13" s="658"/>
      <c r="B13" s="1786"/>
      <c r="C13" s="1371" t="s">
        <v>209</v>
      </c>
      <c r="D13" s="1804">
        <f>SUM(D11:E12)</f>
        <v>0</v>
      </c>
      <c r="E13" s="1804"/>
      <c r="F13" s="973"/>
      <c r="G13" s="973"/>
      <c r="H13" s="973"/>
      <c r="I13" s="973"/>
      <c r="J13" s="973"/>
      <c r="K13" s="973"/>
      <c r="L13" s="973"/>
      <c r="M13" s="973"/>
      <c r="N13" s="973"/>
      <c r="O13" s="973"/>
      <c r="P13" s="375"/>
      <c r="Q13" s="375"/>
      <c r="R13" s="658"/>
      <c r="S13" s="658"/>
      <c r="T13" s="658"/>
      <c r="U13" s="658"/>
      <c r="V13" s="658"/>
      <c r="AC13" s="660">
        <v>2</v>
      </c>
      <c r="AD13" s="661">
        <v>11</v>
      </c>
      <c r="AJ13" s="664" t="e">
        <f t="shared" si="0"/>
        <v>#N/A</v>
      </c>
      <c r="AK13" s="664">
        <v>6.5</v>
      </c>
      <c r="AM13" s="664">
        <v>5</v>
      </c>
    </row>
    <row r="14" spans="1:44" ht="31.5" customHeight="1">
      <c r="A14" s="658"/>
      <c r="B14" s="658"/>
      <c r="C14" s="658"/>
      <c r="D14" s="658"/>
      <c r="E14" s="658"/>
      <c r="F14" s="973"/>
      <c r="G14" s="973"/>
      <c r="H14" s="973"/>
      <c r="I14" s="973"/>
      <c r="J14" s="973"/>
      <c r="K14" s="973"/>
      <c r="L14" s="973"/>
      <c r="M14" s="973"/>
      <c r="N14" s="973"/>
      <c r="O14" s="973"/>
      <c r="P14" s="658"/>
      <c r="Q14" s="658"/>
      <c r="R14" s="658"/>
      <c r="S14" s="658"/>
      <c r="T14" s="658"/>
      <c r="U14" s="658"/>
      <c r="V14" s="658"/>
      <c r="AC14" s="660">
        <v>3</v>
      </c>
      <c r="AD14" s="661">
        <v>12</v>
      </c>
      <c r="AJ14" s="664" t="e">
        <f t="shared" si="0"/>
        <v>#N/A</v>
      </c>
      <c r="AK14" s="664">
        <v>7</v>
      </c>
      <c r="AM14" s="664">
        <v>5.5</v>
      </c>
    </row>
    <row r="15" spans="1:44" ht="20.100000000000001" customHeight="1">
      <c r="A15" s="403"/>
      <c r="B15" s="1734" t="s">
        <v>121</v>
      </c>
      <c r="C15" s="1734"/>
      <c r="D15" s="375"/>
      <c r="E15" s="375"/>
      <c r="F15" s="375"/>
      <c r="G15" s="375"/>
      <c r="H15" s="375"/>
      <c r="I15" s="375"/>
      <c r="J15" s="375"/>
      <c r="K15" s="375"/>
      <c r="L15" s="375"/>
      <c r="M15" s="375"/>
      <c r="N15" s="375"/>
      <c r="O15" s="375"/>
      <c r="P15" s="375"/>
      <c r="Q15" s="839"/>
      <c r="R15" s="839"/>
      <c r="S15" s="839"/>
      <c r="T15" s="839"/>
      <c r="U15" s="839"/>
      <c r="V15" s="839"/>
      <c r="AC15" s="855"/>
      <c r="AD15" s="856"/>
      <c r="AJ15" s="664" t="e">
        <f t="shared" si="0"/>
        <v>#N/A</v>
      </c>
      <c r="AK15" s="664">
        <v>7.5</v>
      </c>
      <c r="AM15" s="664">
        <v>6</v>
      </c>
    </row>
    <row r="16" spans="1:44" ht="20.100000000000001" customHeight="1">
      <c r="A16" s="658"/>
      <c r="B16" s="1746" t="s">
        <v>174</v>
      </c>
      <c r="C16" s="1517"/>
      <c r="D16" s="404" t="s">
        <v>231</v>
      </c>
      <c r="E16" s="405"/>
      <c r="F16" s="405"/>
      <c r="G16" s="405"/>
      <c r="H16" s="405"/>
      <c r="I16" s="405"/>
      <c r="J16" s="405"/>
      <c r="K16" s="405"/>
      <c r="L16" s="405"/>
      <c r="M16" s="404"/>
      <c r="N16" s="406"/>
      <c r="O16" s="811">
        <f>COUNT(M19:N19)</f>
        <v>0</v>
      </c>
      <c r="P16" s="658"/>
      <c r="Q16" s="658"/>
      <c r="R16" s="658"/>
      <c r="S16" s="658"/>
      <c r="T16" s="658"/>
      <c r="U16" s="658"/>
      <c r="V16" s="658"/>
      <c r="AC16" s="843"/>
      <c r="AD16" s="843"/>
      <c r="AJ16" s="664" t="e">
        <f t="shared" si="0"/>
        <v>#N/A</v>
      </c>
      <c r="AK16" s="664">
        <v>8</v>
      </c>
      <c r="AM16" s="664">
        <v>6.5</v>
      </c>
    </row>
    <row r="17" spans="1:37" ht="20.100000000000001" customHeight="1">
      <c r="A17" s="658"/>
      <c r="B17" s="1747"/>
      <c r="C17" s="1748"/>
      <c r="D17" s="1728" t="s">
        <v>9</v>
      </c>
      <c r="E17" s="1728" t="s">
        <v>10</v>
      </c>
      <c r="F17" s="1728" t="s">
        <v>767</v>
      </c>
      <c r="G17" s="1728" t="s">
        <v>11</v>
      </c>
      <c r="H17" s="1728" t="s">
        <v>12</v>
      </c>
      <c r="I17" s="1728" t="s">
        <v>247</v>
      </c>
      <c r="J17" s="1728" t="s">
        <v>13</v>
      </c>
      <c r="K17" s="1728" t="s">
        <v>191</v>
      </c>
      <c r="L17" s="1728" t="s">
        <v>14</v>
      </c>
      <c r="M17" s="1728" t="s">
        <v>524</v>
      </c>
      <c r="N17" s="1728" t="s">
        <v>525</v>
      </c>
      <c r="O17" s="812" t="str">
        <f>IF(O16&gt;1,"【注意】　給食実施加算は「調理・搬入」 のどちらか一方しか選択できません！","")</f>
        <v/>
      </c>
      <c r="P17" s="658"/>
      <c r="Q17" s="658"/>
      <c r="R17" s="658"/>
      <c r="S17" s="658"/>
      <c r="T17" s="658"/>
      <c r="U17" s="658"/>
      <c r="V17" s="658"/>
    </row>
    <row r="18" spans="1:37" ht="34.5" customHeight="1">
      <c r="A18" s="658"/>
      <c r="B18" s="1747"/>
      <c r="C18" s="1748"/>
      <c r="D18" s="1710"/>
      <c r="E18" s="1710"/>
      <c r="F18" s="1710"/>
      <c r="G18" s="1710"/>
      <c r="H18" s="1710"/>
      <c r="I18" s="1710"/>
      <c r="J18" s="1710"/>
      <c r="K18" s="1710"/>
      <c r="L18" s="1710"/>
      <c r="M18" s="1710"/>
      <c r="N18" s="1710"/>
      <c r="O18" s="812"/>
      <c r="P18" s="658"/>
      <c r="Q18" s="658"/>
      <c r="R18" s="658"/>
      <c r="S18" s="658"/>
      <c r="T18" s="658"/>
      <c r="U18" s="658"/>
      <c r="V18" s="658"/>
    </row>
    <row r="19" spans="1:37">
      <c r="A19" s="658"/>
      <c r="B19" s="1747"/>
      <c r="C19" s="1748"/>
      <c r="D19" s="715" t="s">
        <v>119</v>
      </c>
      <c r="E19" s="185"/>
      <c r="F19" s="185"/>
      <c r="G19" s="185"/>
      <c r="H19" s="185"/>
      <c r="I19" s="727"/>
      <c r="J19" s="727"/>
      <c r="K19" s="442" t="e">
        <f>VLOOKUP(SUM($D$7,$D$8,$D$11),$AN$2:$AO$8,2,TRUE)</f>
        <v>#N/A</v>
      </c>
      <c r="L19" s="185"/>
      <c r="M19" s="654"/>
      <c r="N19" s="728"/>
      <c r="O19" s="814"/>
      <c r="P19" s="814"/>
      <c r="Q19" s="814"/>
      <c r="R19" s="814"/>
      <c r="S19" s="814"/>
      <c r="T19" s="814"/>
      <c r="U19" s="814"/>
      <c r="V19" s="814"/>
    </row>
    <row r="20" spans="1:37" ht="20.100000000000001" customHeight="1">
      <c r="A20" s="658"/>
      <c r="B20" s="1747"/>
      <c r="C20" s="1748"/>
      <c r="D20" s="404" t="s">
        <v>228</v>
      </c>
      <c r="E20" s="405"/>
      <c r="F20" s="405"/>
      <c r="G20" s="719" t="s">
        <v>229</v>
      </c>
      <c r="H20" s="404" t="s">
        <v>230</v>
      </c>
      <c r="I20" s="405"/>
      <c r="J20" s="405"/>
      <c r="K20" s="406"/>
      <c r="L20" s="814"/>
      <c r="M20" s="814"/>
      <c r="N20" s="814"/>
      <c r="O20" s="814"/>
      <c r="P20" s="814"/>
      <c r="Q20" s="814"/>
      <c r="R20" s="814"/>
      <c r="S20" s="814"/>
      <c r="T20" s="814"/>
      <c r="U20" s="814"/>
      <c r="V20" s="814"/>
    </row>
    <row r="21" spans="1:37" ht="37.5" customHeight="1">
      <c r="A21" s="658"/>
      <c r="B21" s="1747"/>
      <c r="C21" s="1748"/>
      <c r="D21" s="1728" t="s">
        <v>771</v>
      </c>
      <c r="E21" s="1775" t="s">
        <v>220</v>
      </c>
      <c r="F21" s="1775" t="s">
        <v>768</v>
      </c>
      <c r="G21" s="1728" t="s">
        <v>222</v>
      </c>
      <c r="H21" s="1728" t="s">
        <v>17</v>
      </c>
      <c r="I21" s="1728" t="s">
        <v>175</v>
      </c>
      <c r="J21" s="1728" t="s">
        <v>116</v>
      </c>
      <c r="K21" s="1728" t="s">
        <v>117</v>
      </c>
      <c r="L21" s="814"/>
      <c r="M21" s="814"/>
      <c r="N21" s="814"/>
      <c r="O21" s="814"/>
      <c r="P21" s="814"/>
      <c r="Q21" s="814"/>
      <c r="R21" s="814"/>
      <c r="S21" s="814"/>
      <c r="T21" s="814"/>
      <c r="U21" s="814"/>
      <c r="V21" s="814"/>
    </row>
    <row r="22" spans="1:37" ht="37.5" customHeight="1">
      <c r="A22" s="658"/>
      <c r="B22" s="1747"/>
      <c r="C22" s="1748"/>
      <c r="D22" s="1710"/>
      <c r="E22" s="1776"/>
      <c r="F22" s="1776"/>
      <c r="G22" s="1710"/>
      <c r="H22" s="1710"/>
      <c r="I22" s="1710"/>
      <c r="J22" s="1710"/>
      <c r="K22" s="1710"/>
      <c r="L22" s="814"/>
      <c r="M22" s="814"/>
      <c r="N22" s="814"/>
      <c r="O22" s="814"/>
      <c r="P22" s="814"/>
      <c r="Q22" s="814"/>
      <c r="R22" s="814"/>
      <c r="S22" s="814"/>
      <c r="T22" s="814"/>
      <c r="U22" s="814"/>
      <c r="V22" s="814"/>
    </row>
    <row r="23" spans="1:37" s="196" customFormat="1">
      <c r="A23" s="658"/>
      <c r="B23" s="1747"/>
      <c r="C23" s="1748"/>
      <c r="D23" s="185"/>
      <c r="E23" s="185"/>
      <c r="F23" s="185"/>
      <c r="G23" s="185"/>
      <c r="H23" s="185"/>
      <c r="I23" s="185"/>
      <c r="J23" s="185"/>
      <c r="K23" s="185"/>
      <c r="L23" s="814"/>
      <c r="M23" s="814"/>
      <c r="N23" s="814"/>
      <c r="O23" s="814"/>
      <c r="P23" s="814"/>
      <c r="Q23" s="814"/>
      <c r="R23" s="814"/>
      <c r="S23" s="814"/>
      <c r="T23" s="814"/>
      <c r="U23" s="814"/>
      <c r="V23" s="814"/>
      <c r="AE23" s="659"/>
      <c r="AF23" s="659"/>
      <c r="AG23" s="659"/>
      <c r="AH23" s="659"/>
      <c r="AK23" s="659"/>
    </row>
    <row r="24" spans="1:37" s="196" customFormat="1" ht="19.5" customHeight="1">
      <c r="A24" s="814"/>
      <c r="B24" s="1534" t="s">
        <v>208</v>
      </c>
      <c r="C24" s="1534"/>
      <c r="D24" s="404" t="s">
        <v>231</v>
      </c>
      <c r="E24" s="405"/>
      <c r="F24" s="405"/>
      <c r="G24" s="405"/>
      <c r="H24" s="405"/>
      <c r="I24" s="405"/>
      <c r="J24" s="404" t="s">
        <v>228</v>
      </c>
      <c r="K24" s="405"/>
      <c r="L24" s="405"/>
      <c r="M24" s="405"/>
      <c r="N24" s="404"/>
      <c r="O24" s="405"/>
      <c r="P24" s="426" t="s">
        <v>229</v>
      </c>
      <c r="Q24" s="404" t="s">
        <v>230</v>
      </c>
      <c r="R24" s="406"/>
      <c r="S24" s="814"/>
      <c r="T24" s="814"/>
      <c r="U24" s="814"/>
      <c r="V24" s="814"/>
      <c r="AE24" s="659"/>
      <c r="AF24" s="659"/>
      <c r="AG24" s="659"/>
      <c r="AH24" s="659"/>
      <c r="AK24" s="659"/>
    </row>
    <row r="25" spans="1:37" ht="24.95" customHeight="1">
      <c r="A25" s="658"/>
      <c r="B25" s="1534"/>
      <c r="C25" s="1534"/>
      <c r="D25" s="1728" t="s">
        <v>9</v>
      </c>
      <c r="E25" s="1728" t="s">
        <v>91</v>
      </c>
      <c r="F25" s="1789" t="s">
        <v>93</v>
      </c>
      <c r="G25" s="1728" t="s">
        <v>94</v>
      </c>
      <c r="H25" s="1728" t="s">
        <v>13</v>
      </c>
      <c r="I25" s="1728" t="s">
        <v>191</v>
      </c>
      <c r="J25" s="1728" t="s">
        <v>772</v>
      </c>
      <c r="K25" s="1728" t="s">
        <v>95</v>
      </c>
      <c r="L25" s="1728" t="s">
        <v>433</v>
      </c>
      <c r="M25" s="1728" t="s">
        <v>771</v>
      </c>
      <c r="N25" s="1775" t="s">
        <v>220</v>
      </c>
      <c r="O25" s="1775" t="s">
        <v>769</v>
      </c>
      <c r="P25" s="1728" t="s">
        <v>770</v>
      </c>
      <c r="Q25" s="1728" t="s">
        <v>17</v>
      </c>
      <c r="R25" s="1728" t="s">
        <v>511</v>
      </c>
      <c r="S25" s="658"/>
      <c r="T25" s="658"/>
      <c r="U25" s="658"/>
      <c r="V25" s="658"/>
    </row>
    <row r="26" spans="1:37" ht="41.25" customHeight="1">
      <c r="A26" s="658"/>
      <c r="B26" s="1534"/>
      <c r="C26" s="1534"/>
      <c r="D26" s="1710"/>
      <c r="E26" s="1710"/>
      <c r="F26" s="1790"/>
      <c r="G26" s="1710"/>
      <c r="H26" s="1710"/>
      <c r="I26" s="1710"/>
      <c r="J26" s="1710"/>
      <c r="K26" s="1710"/>
      <c r="L26" s="1710"/>
      <c r="M26" s="1710"/>
      <c r="N26" s="1776"/>
      <c r="O26" s="1776"/>
      <c r="P26" s="1710"/>
      <c r="Q26" s="1710"/>
      <c r="R26" s="1710"/>
      <c r="S26" s="658"/>
      <c r="T26" s="658"/>
      <c r="U26" s="658"/>
      <c r="V26" s="658"/>
    </row>
    <row r="27" spans="1:37">
      <c r="A27" s="658"/>
      <c r="B27" s="1534"/>
      <c r="C27" s="1534"/>
      <c r="D27" s="715" t="s">
        <v>119</v>
      </c>
      <c r="E27" s="715" t="str">
        <f>G19&amp;""</f>
        <v/>
      </c>
      <c r="F27" s="655"/>
      <c r="G27" s="656"/>
      <c r="H27" s="653" t="str">
        <f>J19&amp;""</f>
        <v/>
      </c>
      <c r="I27" s="442" t="e">
        <f>K19</f>
        <v>#N/A</v>
      </c>
      <c r="J27" s="185"/>
      <c r="K27" s="185"/>
      <c r="L27" s="185"/>
      <c r="M27" s="185"/>
      <c r="N27" s="715" t="str">
        <f>E23&amp;""</f>
        <v/>
      </c>
      <c r="O27" s="715" t="str">
        <f>F23&amp;""</f>
        <v/>
      </c>
      <c r="P27" s="185"/>
      <c r="Q27" s="715">
        <f>H23</f>
        <v>0</v>
      </c>
      <c r="R27" s="185"/>
      <c r="S27" s="658"/>
      <c r="T27" s="658"/>
      <c r="U27" s="658"/>
      <c r="V27" s="658"/>
    </row>
    <row r="28" spans="1:37" ht="20.100000000000001" customHeight="1">
      <c r="A28" s="658"/>
      <c r="B28" s="403"/>
      <c r="C28" s="403"/>
      <c r="D28" s="403"/>
      <c r="E28" s="403"/>
      <c r="F28" s="403"/>
      <c r="G28" s="403"/>
      <c r="H28" s="403"/>
      <c r="I28" s="403"/>
      <c r="J28" s="403"/>
      <c r="K28" s="403"/>
      <c r="L28" s="403"/>
      <c r="M28" s="403"/>
      <c r="N28" s="403"/>
      <c r="O28" s="403"/>
      <c r="P28" s="658"/>
      <c r="Q28" s="658"/>
      <c r="R28" s="658"/>
      <c r="S28" s="658"/>
      <c r="T28" s="658"/>
      <c r="U28" s="658"/>
      <c r="V28" s="658"/>
    </row>
    <row r="29" spans="1:37" ht="20.100000000000001" hidden="1" customHeight="1" thickBot="1">
      <c r="A29" s="658"/>
      <c r="B29" s="403"/>
      <c r="C29" s="403"/>
      <c r="D29" s="403"/>
      <c r="E29" s="403"/>
      <c r="F29" s="403"/>
      <c r="G29" s="403"/>
      <c r="H29" s="403"/>
      <c r="I29" s="403"/>
      <c r="J29" s="403"/>
      <c r="K29" s="403"/>
      <c r="L29" s="403"/>
      <c r="M29" s="403"/>
      <c r="N29" s="403"/>
      <c r="O29" s="403"/>
      <c r="P29" s="658"/>
      <c r="Q29" s="658"/>
      <c r="R29" s="658"/>
      <c r="S29" s="658"/>
      <c r="T29" s="1751" t="e">
        <f>CONCATENATE(#REF!,"/",#REF!)</f>
        <v>#REF!</v>
      </c>
      <c r="U29" s="1751"/>
      <c r="V29" s="403"/>
    </row>
    <row r="30" spans="1:37" ht="21.75" hidden="1" thickBot="1">
      <c r="A30" s="658"/>
      <c r="B30" s="1718" t="s">
        <v>129</v>
      </c>
      <c r="C30" s="1718"/>
      <c r="D30" s="1738" t="s">
        <v>149</v>
      </c>
      <c r="E30" s="1739"/>
      <c r="F30" s="1739"/>
      <c r="G30" s="1739"/>
      <c r="H30" s="1739"/>
      <c r="I30" s="1739"/>
      <c r="J30" s="1739"/>
      <c r="K30" s="1739"/>
      <c r="L30" s="1739"/>
      <c r="M30" s="1739"/>
      <c r="N30" s="1739"/>
      <c r="O30" s="1739"/>
      <c r="P30" s="1739"/>
      <c r="Q30" s="1739"/>
      <c r="R30" s="1739"/>
      <c r="S30" s="1739"/>
      <c r="T30" s="1739"/>
      <c r="U30" s="1739"/>
      <c r="V30" s="1740"/>
    </row>
    <row r="31" spans="1:37" ht="33.75" hidden="1" customHeight="1">
      <c r="A31" s="1534" t="s">
        <v>112</v>
      </c>
      <c r="B31" s="1780" t="s">
        <v>186</v>
      </c>
      <c r="C31" s="1781"/>
      <c r="D31" s="1709" t="s">
        <v>9</v>
      </c>
      <c r="E31" s="1709" t="s">
        <v>10</v>
      </c>
      <c r="F31" s="1709" t="s">
        <v>541</v>
      </c>
      <c r="G31" s="1709" t="s">
        <v>11</v>
      </c>
      <c r="H31" s="1709" t="s">
        <v>12</v>
      </c>
      <c r="I31" s="1709" t="s">
        <v>247</v>
      </c>
      <c r="J31" s="1709" t="s">
        <v>13</v>
      </c>
      <c r="K31" s="1709" t="s">
        <v>14</v>
      </c>
      <c r="L31" s="1709" t="s">
        <v>539</v>
      </c>
      <c r="M31" s="1709" t="s">
        <v>540</v>
      </c>
      <c r="N31" s="1741" t="s">
        <v>542</v>
      </c>
      <c r="O31" s="1709" t="s">
        <v>92</v>
      </c>
      <c r="P31" s="1741" t="s">
        <v>543</v>
      </c>
      <c r="Q31" s="253" t="s">
        <v>526</v>
      </c>
      <c r="R31" s="1709" t="s">
        <v>17</v>
      </c>
      <c r="S31" s="1709" t="s">
        <v>175</v>
      </c>
      <c r="T31" s="1709" t="s">
        <v>116</v>
      </c>
      <c r="U31" s="1711" t="s">
        <v>117</v>
      </c>
      <c r="V31" s="1778" t="s">
        <v>126</v>
      </c>
    </row>
    <row r="32" spans="1:37" ht="33.75" hidden="1" customHeight="1">
      <c r="A32" s="1534"/>
      <c r="B32" s="1782"/>
      <c r="C32" s="1783"/>
      <c r="D32" s="1710"/>
      <c r="E32" s="1710"/>
      <c r="F32" s="1710"/>
      <c r="G32" s="1710"/>
      <c r="H32" s="1710"/>
      <c r="I32" s="1710"/>
      <c r="J32" s="1710"/>
      <c r="K32" s="1710"/>
      <c r="L32" s="1710"/>
      <c r="M32" s="1710"/>
      <c r="N32" s="1776"/>
      <c r="O32" s="1710"/>
      <c r="P32" s="1776"/>
      <c r="Q32" s="254" t="str">
        <f>IF($AQ$2=1,"（乗除調整なし）",CONCATENATE("（乗除調整",TEXT($AQ$2,"##/100"),")"))</f>
        <v>（乗除調整なし）</v>
      </c>
      <c r="R32" s="1710"/>
      <c r="S32" s="1710"/>
      <c r="T32" s="1710"/>
      <c r="U32" s="1712"/>
      <c r="V32" s="1771"/>
    </row>
    <row r="33" spans="1:28" hidden="1">
      <c r="A33" s="1534"/>
      <c r="B33" s="1534" t="s">
        <v>6</v>
      </c>
      <c r="C33" s="1717"/>
      <c r="D33" s="817" t="e">
        <f>IF(D$19="あり",VLOOKUP($D$7,認定こども園１号①!$B$64:$BJ$80,8,TRUE),0)</f>
        <v>#N/A</v>
      </c>
      <c r="E33" s="817">
        <f>IF(E$19="あり",VLOOKUP($D$7,認定こども園１号①!$B$45:$BJ$61,14,TRUE),0)</f>
        <v>0</v>
      </c>
      <c r="F33" s="817">
        <f>IF(AND($AH$2&lt;=300,$AH$2&gt;=36,F$19="あり"),VLOOKUP($D$7,認定こども園１号①!$B$45:$BJ$61,18,TRUE),0)</f>
        <v>0</v>
      </c>
      <c r="G33" s="817">
        <f>IF(G$19="あり",VLOOKUP($D$7,認定こども園１号①!$B$64:$BJ$80,21,TRUE),0)</f>
        <v>0</v>
      </c>
      <c r="H33" s="817">
        <f>IF(AND(OR($G$19="なし",$G$19=""),H$19="あり"),VLOOKUP($D$7,認定こども園１号①!$B$64:$BJ$80,25,TRUE),IF(AND($G$19="あり",H$19="あり"),VLOOKUP($D$7,認定こども園１号①!$B$64:$BJ$80,29,TRUE),0))</f>
        <v>0</v>
      </c>
      <c r="I33" s="817">
        <f>IF(I$19="あり",VLOOKUP($D$7,認定こども園１号①!$B$45:$BJ$61,33,TRUE),0)</f>
        <v>0</v>
      </c>
      <c r="J33" s="873">
        <f>IF(AND(J$19&lt;&gt;"なし",$J19&lt;&gt;""),VLOOKUP(認定こども園１号①!$B$100,認定こども園１号①!$B$83:$D$99,3,TRUE)*$J$19,0)</f>
        <v>0</v>
      </c>
      <c r="K33" s="817">
        <f>IF(L$19="あり",VLOOKUP($D$7,認定こども園１号①!$B$45:$BJ$61,41,TRUE),0)</f>
        <v>0</v>
      </c>
      <c r="L33" s="817" t="e">
        <f>IF($M$19&lt;&gt;"なし",VLOOKUP($D$7,認定こども園１号①!$B$45:$BJ$61,45,TRUE)*$M$19,0)</f>
        <v>#N/A</v>
      </c>
      <c r="M33" s="817" t="e">
        <f>IF(AND(ISNUMBER(M19),M19&gt;0),0,IF($N$19&lt;&gt;"なし",VLOOKUP($D$7,認定こども園１号①!$B$45:$BJ$61,49,TRUE)*$N$19,0))</f>
        <v>#N/A</v>
      </c>
      <c r="N33" s="817">
        <f>IF(D$23="あり",-VLOOKUP($D$7,認定こども園１号①!$B$45:$BJ$61,55,TRUE),0)</f>
        <v>0</v>
      </c>
      <c r="O33" s="817">
        <f>IF(AND($E$23&lt;&gt;"なし",$E$23&lt;&gt;""),-IF(ROUNDDOWN(VLOOKUP($D$7,認定こども園１号①!$B$45:$BJ$61,57,TRUE)*E$23,-1)&lt;10,ROUNDDOWN(VLOOKUP($D$7,認定こども園１号①!$B$45:$BJ$61,57,TRUE)*E$23,0),ROUNDDOWN(VLOOKUP($D$7,認定こども園１号①!$B$45:$BJ$61,57,TRUE)*E$23,-1)),0)</f>
        <v>0</v>
      </c>
      <c r="P33" s="817">
        <f>IF(AND($F$23&lt;&gt;"なし",$F$23&lt;&gt;""),-IF(ROUNDDOWN(VLOOKUP($D$7,認定こども園１号①!$B$45:$BJ$56,59,TRUE)*F$23,-1)&lt;10,ROUNDDOWN(VLOOKUP($D$7,認定こども園１号①!$B$45:$BJ$56,59,TRUE)*$F$23,0),ROUNDDOWN(VLOOKUP($D$7,認定こども園１号①!$B$45:$BJ$56,59,TRUE)*$F$23,-1)),0)</f>
        <v>0</v>
      </c>
      <c r="Q33" s="857" t="e">
        <f>IF($AQ$2=1,SUM($D33:$P33),IF(ROUNDDOWN(SUM(D33:P33)*$AQ$2,-1)&lt;10,ROUNDDOWN(SUM(D33:P33)*$AQ$2,0),(ROUNDDOWN(SUM(D33:P33)*$AQ$2,-1))))</f>
        <v>#N/A</v>
      </c>
      <c r="R33" s="817">
        <f>IF(H$23="特児",IF(ROUNDDOWN(認定こども園１号②!$K$8/$L$91,-1)&lt;10,ROUNDDOWN(認定こども園１号②!$K$8/$L$91,0),ROUNDDOWN(認定こども園１号②!$K$8/$L$91,-1)),IF(H$23="その他",IF(ROUNDDOWN(認定こども園１号②!$K$11/$L$91,-1)&lt;10,ROUNDDOWN(認定こども園１号②!$K$11/$L$91,0),ROUNDDOWN(認定こども園１号②!$K$11/$L$91,-1)),0))</f>
        <v>0</v>
      </c>
      <c r="S33" s="817">
        <f>IF(AND(SUM($D$10,$D$13)&gt;=91,I$23="あり"),IF(ROUNDDOWN(認定こども園１号②!$K$15/$L$91,-1)&lt;10,ROUNDDOWN(認定こども園１号②!$K$15/$L$91,0),ROUNDDOWN(認定こども園１号②!$K$15/$L$91,-1)),0)</f>
        <v>0</v>
      </c>
      <c r="T33" s="817">
        <f>IF(AND(SUM($D$7,$D$8,$D$11)&gt;=271,J$23="あり"),IF(ROUNDDOWN(認定こども園１号②!$K$19/$L$91,-1)&lt;10,ROUNDDOWN(認定こども園１号②!$K$19/$L$91,0),ROUNDDOWN(認定こども園１号②!$K$19/$L$91,-1)),0)</f>
        <v>0</v>
      </c>
      <c r="U33" s="818">
        <f>IF(AND(SUM($D$10,$D$13)&gt;=271,K$23="あり"),IF(ROUNDDOWN(認定こども園１号②!$K$23/$L$91,-1)&lt;10,ROUNDDOWN(認定こども園１号②!$K$23/$L$91,0),ROUNDDOWN(認定こども園１号②!$K$23/$L$91,-1)),0)</f>
        <v>0</v>
      </c>
      <c r="V33" s="826">
        <f>IF(ISERROR(SUM($Q$33:$U$33)),0,SUM($Q$33:$U$33))</f>
        <v>0</v>
      </c>
    </row>
    <row r="34" spans="1:28" ht="20.100000000000001" hidden="1" customHeight="1">
      <c r="A34" s="1534"/>
      <c r="B34" s="1534" t="s">
        <v>7</v>
      </c>
      <c r="C34" s="1717"/>
      <c r="D34" s="817" t="e">
        <f>D33</f>
        <v>#N/A</v>
      </c>
      <c r="E34" s="817">
        <f>E33</f>
        <v>0</v>
      </c>
      <c r="F34" s="817">
        <f>F33</f>
        <v>0</v>
      </c>
      <c r="G34" s="817">
        <f>G33</f>
        <v>0</v>
      </c>
      <c r="H34" s="821"/>
      <c r="I34" s="817">
        <f t="shared" ref="I34:P35" si="1">I33</f>
        <v>0</v>
      </c>
      <c r="J34" s="873">
        <f t="shared" si="1"/>
        <v>0</v>
      </c>
      <c r="K34" s="817">
        <f t="shared" si="1"/>
        <v>0</v>
      </c>
      <c r="L34" s="817" t="e">
        <f t="shared" si="1"/>
        <v>#N/A</v>
      </c>
      <c r="M34" s="817">
        <v>0</v>
      </c>
      <c r="N34" s="817">
        <f t="shared" si="1"/>
        <v>0</v>
      </c>
      <c r="O34" s="817">
        <f t="shared" si="1"/>
        <v>0</v>
      </c>
      <c r="P34" s="817">
        <f t="shared" si="1"/>
        <v>0</v>
      </c>
      <c r="Q34" s="857" t="e">
        <f>IF($AQ$2=1,SUM($D34:$P34),IF(ROUNDDOWN(SUM(D34:P34)*$AQ$2,-1)&lt;10,ROUNDDOWN(SUM(D34:P34)*$AQ$2,0),(ROUNDDOWN(SUM(D34:P34)*$AQ$2,-1))))</f>
        <v>#N/A</v>
      </c>
      <c r="R34" s="817">
        <f t="shared" ref="R34:U35" si="2">R33</f>
        <v>0</v>
      </c>
      <c r="S34" s="817">
        <f t="shared" si="2"/>
        <v>0</v>
      </c>
      <c r="T34" s="817">
        <f t="shared" si="2"/>
        <v>0</v>
      </c>
      <c r="U34" s="818">
        <f t="shared" si="2"/>
        <v>0</v>
      </c>
      <c r="V34" s="826">
        <f>IF(ISERROR(SUM($Q$34:$U$34)),0,SUM($Q$34:$U$34))</f>
        <v>0</v>
      </c>
      <c r="W34" s="658"/>
      <c r="X34" s="843"/>
      <c r="Y34" s="843"/>
      <c r="Z34" s="843"/>
      <c r="AA34" s="843"/>
      <c r="AB34" s="843"/>
    </row>
    <row r="35" spans="1:28" ht="20.100000000000001" hidden="1" customHeight="1">
      <c r="A35" s="1534"/>
      <c r="B35" s="1534" t="s">
        <v>8</v>
      </c>
      <c r="C35" s="1717"/>
      <c r="D35" s="817" t="e">
        <f>IF(D$19="あり",VLOOKUP($D$7,認定こども園１号①!$B$45:$BJ$61,8,TRUE),0)</f>
        <v>#N/A</v>
      </c>
      <c r="E35" s="817">
        <f>E34</f>
        <v>0</v>
      </c>
      <c r="F35" s="817">
        <f>F34</f>
        <v>0</v>
      </c>
      <c r="G35" s="821"/>
      <c r="H35" s="821"/>
      <c r="I35" s="817">
        <f t="shared" si="1"/>
        <v>0</v>
      </c>
      <c r="J35" s="873">
        <f t="shared" si="1"/>
        <v>0</v>
      </c>
      <c r="K35" s="817">
        <f t="shared" si="1"/>
        <v>0</v>
      </c>
      <c r="L35" s="817" t="e">
        <f t="shared" si="1"/>
        <v>#N/A</v>
      </c>
      <c r="M35" s="817">
        <v>0</v>
      </c>
      <c r="N35" s="817">
        <f t="shared" si="1"/>
        <v>0</v>
      </c>
      <c r="O35" s="817">
        <f t="shared" si="1"/>
        <v>0</v>
      </c>
      <c r="P35" s="817">
        <f t="shared" si="1"/>
        <v>0</v>
      </c>
      <c r="Q35" s="857" t="e">
        <f>IF($AQ$2=1,SUM($D35:$P35),IF(ROUNDDOWN(SUM(D35:P35)*$AQ$2,-1)&lt;10,ROUNDDOWN(SUM(D35:P35)*$AQ$2,0),(ROUNDDOWN(SUM(D35:P35)*$AQ$2,-1))))</f>
        <v>#N/A</v>
      </c>
      <c r="R35" s="817">
        <f t="shared" si="2"/>
        <v>0</v>
      </c>
      <c r="S35" s="817">
        <f t="shared" si="2"/>
        <v>0</v>
      </c>
      <c r="T35" s="817">
        <f t="shared" si="2"/>
        <v>0</v>
      </c>
      <c r="U35" s="818">
        <f t="shared" si="2"/>
        <v>0</v>
      </c>
      <c r="V35" s="826">
        <f>IF(ISERROR(SUM($Q$35:$U$35)),0,SUM($Q$35:$U$35))</f>
        <v>0</v>
      </c>
      <c r="W35" s="658"/>
      <c r="X35" s="843"/>
      <c r="Y35" s="843"/>
      <c r="Z35" s="843"/>
      <c r="AA35" s="843"/>
      <c r="AB35" s="843"/>
    </row>
    <row r="36" spans="1:28" ht="33.75" hidden="1" customHeight="1">
      <c r="A36" s="1534"/>
      <c r="B36" s="1780" t="s">
        <v>101</v>
      </c>
      <c r="C36" s="1781"/>
      <c r="D36" s="1728" t="s">
        <v>9</v>
      </c>
      <c r="E36" s="1728" t="s">
        <v>91</v>
      </c>
      <c r="F36" s="1728" t="s">
        <v>93</v>
      </c>
      <c r="G36" s="1728" t="s">
        <v>94</v>
      </c>
      <c r="H36" s="1709" t="s">
        <v>13</v>
      </c>
      <c r="I36" s="1775" t="s">
        <v>227</v>
      </c>
      <c r="J36" s="1728" t="s">
        <v>95</v>
      </c>
      <c r="K36" s="1728" t="s">
        <v>433</v>
      </c>
      <c r="L36" s="1775" t="s">
        <v>545</v>
      </c>
      <c r="M36" s="1728" t="s">
        <v>92</v>
      </c>
      <c r="N36" s="1775" t="s">
        <v>543</v>
      </c>
      <c r="O36" s="1787"/>
      <c r="P36" s="1791"/>
      <c r="Q36" s="253" t="s">
        <v>526</v>
      </c>
      <c r="R36" s="1728" t="s">
        <v>17</v>
      </c>
      <c r="S36" s="1711" t="s">
        <v>511</v>
      </c>
      <c r="T36" s="1787"/>
      <c r="U36" s="1793"/>
      <c r="V36" s="1770" t="s">
        <v>127</v>
      </c>
      <c r="W36" s="658"/>
      <c r="X36" s="375"/>
      <c r="Y36" s="815"/>
      <c r="Z36" s="815"/>
      <c r="AA36" s="928"/>
      <c r="AB36" s="928"/>
    </row>
    <row r="37" spans="1:28" ht="33.75" hidden="1" customHeight="1">
      <c r="A37" s="1534"/>
      <c r="B37" s="1782"/>
      <c r="C37" s="1783"/>
      <c r="D37" s="1710"/>
      <c r="E37" s="1710"/>
      <c r="F37" s="1710"/>
      <c r="G37" s="1710"/>
      <c r="H37" s="1710"/>
      <c r="I37" s="1776"/>
      <c r="J37" s="1710"/>
      <c r="K37" s="1710"/>
      <c r="L37" s="1776"/>
      <c r="M37" s="1710"/>
      <c r="N37" s="1776"/>
      <c r="O37" s="1788"/>
      <c r="P37" s="1792"/>
      <c r="Q37" s="254" t="str">
        <f>IF($AQ$3=1,"（乗除調整なし）",CONCATENATE("（乗除調整",TEXT($AQ$3,"##/100"),")"))</f>
        <v>（乗除調整なし）</v>
      </c>
      <c r="R37" s="1710"/>
      <c r="S37" s="1712"/>
      <c r="T37" s="1788"/>
      <c r="U37" s="1794"/>
      <c r="V37" s="1771"/>
      <c r="W37" s="658"/>
      <c r="X37" s="375"/>
      <c r="Y37" s="375"/>
      <c r="Z37" s="375"/>
      <c r="AA37" s="843"/>
      <c r="AB37" s="836"/>
    </row>
    <row r="38" spans="1:28" hidden="1">
      <c r="A38" s="1534"/>
      <c r="B38" s="1534" t="s">
        <v>203</v>
      </c>
      <c r="C38" s="1717"/>
      <c r="D38" s="817" t="e">
        <f>IF(D$27="あり",VLOOKUP(SUM($D$8:$F$9),認定こども園２・３号①!$B$141:$BR$158,10,TRUE),0)</f>
        <v>#N/A</v>
      </c>
      <c r="E38" s="821"/>
      <c r="F38" s="817">
        <f>IF(ISERROR(認定こども園２・３号①!$A$162),0,認定こども園２・３号①!$A$162)</f>
        <v>0</v>
      </c>
      <c r="G38" s="817">
        <f>IF(G$27="あり",VLOOKUP(SUM($D$8:$F$9,$D$11:$E$12),認定こども園２・３号①!$B$81:$BR$98,31,TRUE),0)</f>
        <v>0</v>
      </c>
      <c r="H38" s="821"/>
      <c r="I38" s="817">
        <f>IF(J$27="あり",VLOOKUP(SUM($D$8:$F$9,D11:E12),認定こども園２・３号①!$B$81:$BR$98,54,TRUE),0)</f>
        <v>0</v>
      </c>
      <c r="J38" s="821"/>
      <c r="K38" s="817">
        <f>IFERROR(-IF(ROUNDDOWN(SUM($D38,$E38,$G38)*VLOOKUP($L$27,認定こども園２・３号①!$B$176:$C$180,2,FALSE),-1)&lt;10,ROUNDDOWN(SUM($D38,$E38,$G38)*VLOOKUP($L$27,認定こども園２・３号①!$B$176:$C$180,2,FALSE),0),ROUNDDOWN(SUM($D38,$E38,$G38)*VLOOKUP($L$27,認定こども園２・３号①!$B$176:$C$180,2,FALSE),-1)),0)</f>
        <v>0</v>
      </c>
      <c r="L38" s="817">
        <f>IF(M$27="あり",-VLOOKUP(SUM($D$8:$F$9,D11:E12),認定こども園２・３号①!$B$81:$BR$98,63,TRUE),0)</f>
        <v>0</v>
      </c>
      <c r="M38" s="817">
        <f>IF(AND($N27&lt;&gt;"なし",$N27&lt;&gt;""),-IF(ROUNDDOWN(VLOOKUP(SUM($D$8:$F$9,$D$11:$E$12),認定こども園２・３号①!$B$81:$BR$98,65,TRUE)*N$27,-1)&lt;10,ROUNDDOWN(VLOOKUP(SUM($D$8:$F$9,$D$11:$E$12),認定こども園２・３号①!$B$81:$BR$98,65,TRUE)*N$27,0),ROUNDDOWN(VLOOKUP(SUM($D$8:$F$9,$D$11:$E$12),認定こども園２・３号①!$B$81:$BR$98,65,TRUE)*N$27,-1)),0)</f>
        <v>0</v>
      </c>
      <c r="N38" s="817">
        <f>IF(AND(O$27&lt;&gt;"なし",O$27&lt;&gt;""),-IF(ROUNDDOWN(VLOOKUP(SUM($D$8:$F$9,$D$11:$E$12),認定こども園２・３号①!$B$81:$BR$98,67,TRUE)*O$27,-1)&lt;10,ROUNDDOWN(VLOOKUP(SUM($D$8:$F$9,$D$11:$E$12),認定こども園２・３号①!$B$81:$BR$98,67,TRUE)*O$27,0),ROUNDDOWN(VLOOKUP(SUM($D$8:$F$9,$D$11:$E$12),認定こども園２・３号①!$B$81:$BR$98,67,TRUE)*O$27,-1)),0)</f>
        <v>0</v>
      </c>
      <c r="O38" s="817"/>
      <c r="P38" s="817"/>
      <c r="Q38" s="857" t="e">
        <f>IF($AQ$3=1,SUM($D38:$P38),IF(ROUNDDOWN(SUM(D38:P38)*$AQ$3,-1)&lt;10,ROUNDDOWN(SUM(D38:P38)*$AQ$3,0),(ROUNDDOWN(SUM(D38:P38)*$AQ$3,-1))))</f>
        <v>#N/A</v>
      </c>
      <c r="R38" s="817">
        <f>IF(Q$27="特児",IF(ROUNDDOWN(認定こども園２・３号②!$K$4/$L$92,-1)&lt;10,ROUNDDOWN(認定こども園２・３号②!$K$4/$L$92,0),ROUNDDOWN(認定こども園２・３号②!$K$4/$L$92,-1)),IF(Q$27="その他",IF(ROUNDDOWN(認定こども園２・３号②!$K$7/$L$92,-1)&lt;10,ROUNDDOWN(認定こども園２・３号②!$K$7/$L$92,0),ROUNDDOWN(認定こども園２・３号②!$K$7/$L$92,-1)),0))</f>
        <v>0</v>
      </c>
      <c r="S38" s="818">
        <f>IF(R$27="配置",IF(ROUNDDOWN(認定こども園２・３号②!$K$42/$L$92,-1)&lt;10,ROUNDDOWN(認定こども園２・３号②!$K$42/$L$92,0),ROUNDDOWN(認定こども園２・３号②!$K$42/$L$92,-1)),IF(R$27="兼務",IF(ROUNDDOWN(認定こども園２・３号②!$K$45/$L$92,-1)&lt;10,ROUNDDOWN(認定こども園２・３号②!$K$45/$L$92,0),ROUNDDOWN(認定こども園２・３号②!$K$45/$L$92,-1)),0))</f>
        <v>0</v>
      </c>
      <c r="T38" s="817"/>
      <c r="U38" s="818"/>
      <c r="V38" s="826">
        <f>IF(ISERROR(SUM($Q$38:$U$38)),0,SUM($Q$38:$U$38))</f>
        <v>0</v>
      </c>
      <c r="W38" s="658"/>
      <c r="X38" s="375"/>
      <c r="Y38" s="375"/>
      <c r="Z38" s="375"/>
      <c r="AA38" s="843"/>
      <c r="AB38" s="836"/>
    </row>
    <row r="39" spans="1:28" ht="20.100000000000001" hidden="1" customHeight="1">
      <c r="A39" s="1534"/>
      <c r="B39" s="1534" t="s">
        <v>153</v>
      </c>
      <c r="C39" s="1717"/>
      <c r="D39" s="817" t="e">
        <f>IF(D$27="あり",VLOOKUP(SUM($D$8:$F$9),認定こども園２・３号①!$B$121:$BR$138,10,TRUE),0)</f>
        <v>#N/A</v>
      </c>
      <c r="E39" s="821"/>
      <c r="F39" s="817">
        <f>F38</f>
        <v>0</v>
      </c>
      <c r="G39" s="817">
        <f>G38</f>
        <v>0</v>
      </c>
      <c r="H39" s="821"/>
      <c r="I39" s="817">
        <f>I38</f>
        <v>0</v>
      </c>
      <c r="J39" s="821"/>
      <c r="K39" s="817">
        <f>IFERROR(-IF(ROUNDDOWN(SUM($D39,$E39,$G39)*VLOOKUP($L$27,認定こども園２・３号①!$B$176:$C$180,2,FALSE),-1)&lt;10,ROUNDDOWN(SUM($D39,$E39,$G39)*VLOOKUP($L$27,認定こども園２・３号①!$B$176:$C$180,2,FALSE),0),ROUNDDOWN(SUM($D39,$E39,$G39)*VLOOKUP($L$27,認定こども園２・３号①!$B$176:$C$180,2,FALSE),-1)),0)</f>
        <v>0</v>
      </c>
      <c r="L39" s="817">
        <f t="shared" ref="L39:N41" si="3">L38</f>
        <v>0</v>
      </c>
      <c r="M39" s="817">
        <f t="shared" si="3"/>
        <v>0</v>
      </c>
      <c r="N39" s="817">
        <f t="shared" si="3"/>
        <v>0</v>
      </c>
      <c r="O39" s="817"/>
      <c r="P39" s="817"/>
      <c r="Q39" s="857" t="e">
        <f>IF($AQ$3=1,SUM($D39:$P39),IF(ROUNDDOWN(SUM(D39:P39)*$AQ$3,-1)&lt;10,ROUNDDOWN(SUM(D39:P39)*$AQ$3,0),(ROUNDDOWN(SUM(D39:P39)*$AQ$3,-1))))</f>
        <v>#N/A</v>
      </c>
      <c r="R39" s="817">
        <f t="shared" ref="R39:S41" si="4">R38</f>
        <v>0</v>
      </c>
      <c r="S39" s="818">
        <f t="shared" si="4"/>
        <v>0</v>
      </c>
      <c r="T39" s="817"/>
      <c r="U39" s="818"/>
      <c r="V39" s="826">
        <f>IF(ISERROR(SUM($Q$39:$U$39)),0,SUM($Q$39:$U$39))</f>
        <v>0</v>
      </c>
      <c r="W39" s="658"/>
      <c r="X39" s="375"/>
      <c r="Y39" s="375"/>
      <c r="Z39" s="375"/>
      <c r="AA39" s="843"/>
      <c r="AB39" s="836"/>
    </row>
    <row r="40" spans="1:28" ht="20.100000000000001" hidden="1" customHeight="1">
      <c r="A40" s="1534"/>
      <c r="B40" s="1534" t="s">
        <v>7</v>
      </c>
      <c r="C40" s="1717"/>
      <c r="D40" s="817" t="e">
        <f>IF(D$27="あり",VLOOKUP(SUM($D$8:$F$9),認定こども園２・３号①!$B$101:$BR$118,10,TRUE),0)</f>
        <v>#N/A</v>
      </c>
      <c r="E40" s="817">
        <f>IF(E$27="あり",VLOOKUP(SUM($D$8:$F$9),認定こども園２・３号①!$B$101:$BR$118,18,TRUE),0)</f>
        <v>0</v>
      </c>
      <c r="F40" s="817">
        <f t="shared" ref="F40:I41" si="5">F39</f>
        <v>0</v>
      </c>
      <c r="G40" s="817">
        <f t="shared" si="5"/>
        <v>0</v>
      </c>
      <c r="H40" s="873">
        <f>IF(AND($H$27&lt;&gt;"なし",$H$27&lt;&gt;""),VLOOKUP(認定こども園１号①!$B$100,認定こども園１号①!$B$83:$D$99,3,TRUE)*$H$27,0)</f>
        <v>0</v>
      </c>
      <c r="I40" s="817">
        <f t="shared" si="5"/>
        <v>0</v>
      </c>
      <c r="J40" s="821"/>
      <c r="K40" s="817">
        <f>IFERROR(-IF(ROUNDDOWN(SUM($D40,$E40,$G40)*VLOOKUP($L$27,認定こども園２・３号①!$B$176:$C$180,2,FALSE),-1)&lt;10,ROUNDDOWN(SUM($D40,$E40,$G40)*VLOOKUP($L$27,認定こども園２・３号①!$B$176:$C$180,2,FALSE),0),ROUNDDOWN(SUM($D40,$E40,$G40)*VLOOKUP($L$27,認定こども園２・３号①!$B$176:$C$180,2,FALSE),-1)),0)</f>
        <v>0</v>
      </c>
      <c r="L40" s="817">
        <f t="shared" si="3"/>
        <v>0</v>
      </c>
      <c r="M40" s="817">
        <f t="shared" si="3"/>
        <v>0</v>
      </c>
      <c r="N40" s="817">
        <f t="shared" si="3"/>
        <v>0</v>
      </c>
      <c r="O40" s="817"/>
      <c r="P40" s="817"/>
      <c r="Q40" s="857" t="e">
        <f>IF($AQ$3=1,SUM($D40:$P40),IF(ROUNDDOWN(SUM(D40:P40)*$AQ$3,-1)&lt;10,ROUNDDOWN(SUM(D40:P40)*$AQ$3,0),(ROUNDDOWN(SUM(D40:P40)*$AQ$3,-1))))</f>
        <v>#N/A</v>
      </c>
      <c r="R40" s="817">
        <f t="shared" si="4"/>
        <v>0</v>
      </c>
      <c r="S40" s="818">
        <f t="shared" si="4"/>
        <v>0</v>
      </c>
      <c r="T40" s="817"/>
      <c r="U40" s="818"/>
      <c r="V40" s="826">
        <f>IF(ISERROR(SUM($Q$40:$U$40)),0,SUM($Q$40:$U$40))</f>
        <v>0</v>
      </c>
      <c r="X40" s="375"/>
      <c r="Y40" s="375"/>
      <c r="Z40" s="375"/>
      <c r="AA40" s="843"/>
      <c r="AB40" s="836"/>
    </row>
    <row r="41" spans="1:28" ht="20.100000000000001" hidden="1" customHeight="1">
      <c r="A41" s="1534"/>
      <c r="B41" s="1534" t="s">
        <v>8</v>
      </c>
      <c r="C41" s="1717"/>
      <c r="D41" s="817" t="e">
        <f>IF(D$27="あり",VLOOKUP(SUM($D$8:$F$9),認定こども園２・３号①!$B$81:$BR$98,10,TRUE),0)</f>
        <v>#N/A</v>
      </c>
      <c r="E41" s="821"/>
      <c r="F41" s="817">
        <f t="shared" si="5"/>
        <v>0</v>
      </c>
      <c r="G41" s="817">
        <f t="shared" si="5"/>
        <v>0</v>
      </c>
      <c r="H41" s="873">
        <f>H40</f>
        <v>0</v>
      </c>
      <c r="I41" s="817">
        <f t="shared" si="5"/>
        <v>0</v>
      </c>
      <c r="J41" s="821"/>
      <c r="K41" s="817">
        <f>IFERROR(-IF(ROUNDDOWN(SUM($D41,$E41,$G41)*VLOOKUP($L$27,認定こども園２・３号①!$B$176:$C$180,2,FALSE),-1)&lt;10,ROUNDDOWN(SUM($D41,$E41,$G41)*VLOOKUP($L$27,認定こども園２・３号①!$B$176:$C$180,2,FALSE),0),ROUNDDOWN(SUM($D41,$E41,$G41)*VLOOKUP($L$27,認定こども園２・３号①!$B$176:$C$180,2,FALSE),-1)),0)</f>
        <v>0</v>
      </c>
      <c r="L41" s="817">
        <f t="shared" si="3"/>
        <v>0</v>
      </c>
      <c r="M41" s="817">
        <f t="shared" si="3"/>
        <v>0</v>
      </c>
      <c r="N41" s="817">
        <f t="shared" si="3"/>
        <v>0</v>
      </c>
      <c r="O41" s="817"/>
      <c r="P41" s="817"/>
      <c r="Q41" s="857" t="e">
        <f>IF($AQ$3=1,SUM($D41:$P41),IF(ROUNDDOWN(SUM(D41:P41)*$AQ$3,-1)&lt;10,ROUNDDOWN(SUM(D41:P41)*$AQ$3,0),(ROUNDDOWN(SUM(D41:P41)*$AQ$3,-1))))</f>
        <v>#N/A</v>
      </c>
      <c r="R41" s="817">
        <f t="shared" si="4"/>
        <v>0</v>
      </c>
      <c r="S41" s="818">
        <f t="shared" si="4"/>
        <v>0</v>
      </c>
      <c r="T41" s="817"/>
      <c r="U41" s="818"/>
      <c r="V41" s="826">
        <f>IF(ISERROR(SUM($Q$41:$U$41)),0,SUM($Q$41:$U$41))</f>
        <v>0</v>
      </c>
      <c r="X41" s="375"/>
      <c r="Y41" s="815"/>
      <c r="Z41" s="815"/>
      <c r="AA41" s="928"/>
      <c r="AB41" s="928"/>
    </row>
    <row r="42" spans="1:28" ht="33.75" hidden="1" customHeight="1">
      <c r="A42" s="1534"/>
      <c r="B42" s="1780" t="s">
        <v>205</v>
      </c>
      <c r="C42" s="1781"/>
      <c r="D42" s="1728" t="s">
        <v>9</v>
      </c>
      <c r="E42" s="1728" t="s">
        <v>91</v>
      </c>
      <c r="F42" s="1728" t="s">
        <v>93</v>
      </c>
      <c r="G42" s="1728" t="s">
        <v>94</v>
      </c>
      <c r="H42" s="1709" t="s">
        <v>13</v>
      </c>
      <c r="I42" s="1775" t="s">
        <v>227</v>
      </c>
      <c r="J42" s="1728" t="s">
        <v>95</v>
      </c>
      <c r="K42" s="1728" t="s">
        <v>433</v>
      </c>
      <c r="L42" s="1775" t="s">
        <v>542</v>
      </c>
      <c r="M42" s="1728" t="s">
        <v>92</v>
      </c>
      <c r="N42" s="1775" t="s">
        <v>543</v>
      </c>
      <c r="O42" s="1787"/>
      <c r="P42" s="1791"/>
      <c r="Q42" s="253" t="s">
        <v>526</v>
      </c>
      <c r="R42" s="1728" t="s">
        <v>17</v>
      </c>
      <c r="S42" s="1711" t="s">
        <v>511</v>
      </c>
      <c r="T42" s="1787"/>
      <c r="U42" s="1793"/>
      <c r="V42" s="1770" t="s">
        <v>206</v>
      </c>
      <c r="X42" s="375"/>
      <c r="Y42" s="375"/>
      <c r="Z42" s="375"/>
      <c r="AA42" s="843"/>
      <c r="AB42" s="836"/>
    </row>
    <row r="43" spans="1:28" ht="33.75" hidden="1" customHeight="1">
      <c r="A43" s="1534"/>
      <c r="B43" s="1782"/>
      <c r="C43" s="1783"/>
      <c r="D43" s="1710"/>
      <c r="E43" s="1710"/>
      <c r="F43" s="1710"/>
      <c r="G43" s="1710"/>
      <c r="H43" s="1710"/>
      <c r="I43" s="1776"/>
      <c r="J43" s="1710"/>
      <c r="K43" s="1710"/>
      <c r="L43" s="1776"/>
      <c r="M43" s="1710"/>
      <c r="N43" s="1776"/>
      <c r="O43" s="1788"/>
      <c r="P43" s="1792"/>
      <c r="Q43" s="254" t="str">
        <f>IF($AQ$3=1,"（乗除調整なし）",CONCATENATE("（乗除調整",TEXT($AQ$3,"##/100"),")"))</f>
        <v>（乗除調整なし）</v>
      </c>
      <c r="R43" s="1710"/>
      <c r="S43" s="1712"/>
      <c r="T43" s="1788"/>
      <c r="U43" s="1794"/>
      <c r="V43" s="1771"/>
      <c r="X43" s="375"/>
      <c r="Y43" s="375"/>
      <c r="Z43" s="375"/>
      <c r="AA43" s="843"/>
      <c r="AB43" s="836"/>
    </row>
    <row r="44" spans="1:28" hidden="1">
      <c r="A44" s="1534"/>
      <c r="B44" s="1534" t="s">
        <v>203</v>
      </c>
      <c r="C44" s="1717"/>
      <c r="D44" s="817" t="e">
        <f>IF(D$27="あり",VLOOKUP(SUM($D$8:$F$9),認定こども園２・３号①!$B$141:$BR$158,13,TRUE),0)</f>
        <v>#N/A</v>
      </c>
      <c r="E44" s="821"/>
      <c r="F44" s="817">
        <f>IF(ISERROR(認定こども園２・３号①!$A$162),0,認定こども園２・３号①!$A$162)</f>
        <v>0</v>
      </c>
      <c r="G44" s="817">
        <f>IF(G$27="あり",VLOOKUP(SUM(D8:F9,$D11:E$12),認定こども園２・３号①!$B$81:$BR$98,31,TRUE),0)</f>
        <v>0</v>
      </c>
      <c r="H44" s="821"/>
      <c r="I44" s="817">
        <f>IF(J$27="あり",VLOOKUP(SUM($D$8:$F$9,D11:E12),認定こども園２・３号①!$B$81:$BR$98,54,TRUE),0)</f>
        <v>0</v>
      </c>
      <c r="J44" s="821"/>
      <c r="K44" s="817">
        <f>IFERROR(-IF(ROUNDDOWN(SUM($D44,$E44,$G44)*VLOOKUP($L$27,認定こども園２・３号①!$B$176:$C$180,2,FALSE),-1)&lt;10,ROUNDDOWN(SUM($D44,$E44,$G44)*VLOOKUP($L$27,認定こども園２・３号①!$B$176:$C$180,2,FALSE),0),ROUNDDOWN(SUM($D44,$E44,$G44)*VLOOKUP($L$27,認定こども園２・３号①!$B$176:$C$180,2,FALSE),-1)),0)</f>
        <v>0</v>
      </c>
      <c r="L44" s="817">
        <f>IF(M$27="あり",-VLOOKUP(SUM($D$8:$F$9,D11:E12),認定こども園２・３号①!$B$81:$BR$98,63,TRUE),0)</f>
        <v>0</v>
      </c>
      <c r="M44" s="817">
        <f>IF(AND($N27&lt;&gt;"なし",$N27&lt;&gt;""),-IF(ROUNDDOWN(VLOOKUP(SUM($D$8:$F$9,$D$11:$E$12),認定こども園２・３号①!$B$81:$BR$98,65,TRUE)*N$27,-1)&lt;10,ROUNDDOWN(VLOOKUP(SUM($D$8:$F$9,$D$11:$E$12),認定こども園２・３号①!$B$81:$BR$98,65,TRUE)*N$27,0),ROUNDDOWN(VLOOKUP(SUM($D$8:$F$9,$D$11:$E$12),認定こども園２・３号①!$B$81:$BR$98,65,TRUE)*N$27,-1)),0)</f>
        <v>0</v>
      </c>
      <c r="N44" s="817">
        <f>IF(AND(O$27&lt;&gt;"なし",O$27&lt;&gt;""),-IF(ROUNDDOWN(VLOOKUP(SUM($D$8:$F$9,$D$11:$E$12),認定こども園２・３号①!$B$81:$BR$98,67,TRUE)*O$27,-1)&lt;10,ROUNDDOWN(VLOOKUP(SUM($D$8:$F$9,$D$11:$E$12),認定こども園２・３号①!$B$81:$BR$98,67,TRUE)*O$27,0),ROUNDDOWN(VLOOKUP(SUM($D$8:$F$9,$D$11:$E$12),認定こども園２・３号①!$B$81:$BR$98,67,TRUE)*O$27,-1)),0)</f>
        <v>0</v>
      </c>
      <c r="O44" s="817"/>
      <c r="P44" s="817"/>
      <c r="Q44" s="857" t="e">
        <f>IF($AQ$3=1,SUM($D44:$P44),IF(ROUNDDOWN(SUM(D44:P44)*$AQ$3,-1)&lt;10,ROUNDDOWN(SUM(D44:P44)*$AQ$3,0),(ROUNDDOWN(SUM(D44:P44)*$AQ$3,-1))))</f>
        <v>#N/A</v>
      </c>
      <c r="R44" s="817">
        <f>IF(Q$27="特児",IF(ROUNDDOWN(認定こども園２・３号②!$K$4/$L$92,-1)&lt;10,ROUNDDOWN(認定こども園２・３号②!$K$4/$L$92,0),ROUNDDOWN(認定こども園２・３号②!$K$4/$L$92,-1)),IF(Q$27="その他",IF(ROUNDDOWN(認定こども園２・３号②!$K$7/$L$92,-1)&lt;10,ROUNDDOWN(認定こども園２・３号②!$K$7/$L$92,0),ROUNDDOWN(認定こども園２・３号②!$K$7/$L$92,-1)),0))</f>
        <v>0</v>
      </c>
      <c r="S44" s="818">
        <f>IF(R$27="配置",IF(ROUNDDOWN(認定こども園２・３号②!$K$42/$L$92,-1)&lt;10,ROUNDDOWN(認定こども園２・３号②!$K$42/$L$92,0),ROUNDDOWN(認定こども園２・３号②!$K$42/$L$92,-1)),IF(R$27="兼務",IF(ROUNDDOWN(認定こども園２・３号②!$K$45/$L$92,-1)&lt;10,ROUNDDOWN(認定こども園２・３号②!$K$45/$L$92,0),ROUNDDOWN(認定こども園２・３号②!$K$45/$L$92,-1)),0))</f>
        <v>0</v>
      </c>
      <c r="T44" s="817"/>
      <c r="U44" s="818"/>
      <c r="V44" s="826">
        <f>IF(ISERROR(SUM($Q$44:$U$44)),0,SUM($Q$44:$U$44))</f>
        <v>0</v>
      </c>
      <c r="X44" s="375"/>
      <c r="Y44" s="375"/>
      <c r="Z44" s="375"/>
      <c r="AA44" s="843"/>
      <c r="AB44" s="836"/>
    </row>
    <row r="45" spans="1:28" ht="20.100000000000001" hidden="1" customHeight="1">
      <c r="A45" s="1534"/>
      <c r="B45" s="1534" t="s">
        <v>153</v>
      </c>
      <c r="C45" s="1717"/>
      <c r="D45" s="817" t="e">
        <f>IF(D$27="あり",VLOOKUP(SUM($D$8:$F$9),認定こども園２・３号①!$B$121:$BR$138,13,TRUE),0)</f>
        <v>#N/A</v>
      </c>
      <c r="E45" s="821"/>
      <c r="F45" s="817">
        <f t="shared" ref="F45:I47" si="6">F44</f>
        <v>0</v>
      </c>
      <c r="G45" s="817">
        <f t="shared" si="6"/>
        <v>0</v>
      </c>
      <c r="H45" s="821"/>
      <c r="I45" s="817">
        <f t="shared" si="6"/>
        <v>0</v>
      </c>
      <c r="J45" s="821"/>
      <c r="K45" s="817">
        <f>IFERROR(-IF(ROUNDDOWN(SUM($D45,$E45,$G45)*VLOOKUP($L$27,認定こども園２・３号①!$B$176:$C$180,2,FALSE),-1)&lt;10,ROUNDDOWN(SUM($D45,$E45,$G45)*VLOOKUP($L$27,認定こども園２・３号①!$B$176:$C$180,2,FALSE),0),ROUNDDOWN(SUM($D45,$E45,$G45)*VLOOKUP($L$27,認定こども園２・３号①!$B$176:$C$180,2,FALSE),-1)),0)</f>
        <v>0</v>
      </c>
      <c r="L45" s="817">
        <f>L44</f>
        <v>0</v>
      </c>
      <c r="M45" s="817">
        <f>M44</f>
        <v>0</v>
      </c>
      <c r="N45" s="817">
        <f>N44</f>
        <v>0</v>
      </c>
      <c r="O45" s="817"/>
      <c r="P45" s="817"/>
      <c r="Q45" s="857" t="e">
        <f>IF($AQ$3=1,SUM($D45:$P45),IF(ROUNDDOWN(SUM(D45:P45)*$AQ$3,-1)&lt;10,ROUNDDOWN(SUM(D45:P45)*$AQ$3,0),(ROUNDDOWN(SUM(D45:P45)*$AQ$3,-1))))</f>
        <v>#N/A</v>
      </c>
      <c r="R45" s="817">
        <f t="shared" ref="R45:S47" si="7">R44</f>
        <v>0</v>
      </c>
      <c r="S45" s="818">
        <f t="shared" si="7"/>
        <v>0</v>
      </c>
      <c r="T45" s="817"/>
      <c r="U45" s="818"/>
      <c r="V45" s="826">
        <f>IF(ISERROR(SUM($Q$45:$U$45)),0,SUM($Q$45:$U$45))</f>
        <v>0</v>
      </c>
      <c r="X45" s="375"/>
      <c r="Y45" s="375"/>
      <c r="Z45" s="375"/>
      <c r="AA45" s="843"/>
      <c r="AB45" s="836"/>
    </row>
    <row r="46" spans="1:28" ht="20.100000000000001" hidden="1" customHeight="1">
      <c r="A46" s="1534"/>
      <c r="B46" s="1534" t="s">
        <v>7</v>
      </c>
      <c r="C46" s="1717"/>
      <c r="D46" s="817" t="e">
        <f>IF(D$27="あり",VLOOKUP(SUM($D$8:$F$9),認定こども園２・３号①!$B$101:$BR$118,13,TRUE),0)</f>
        <v>#N/A</v>
      </c>
      <c r="E46" s="817">
        <f>IF(E$27="あり",VLOOKUP(SUM($D$8:$F$9),認定こども園２・３号①!$B$101:$BR$118,18,TRUE),0)</f>
        <v>0</v>
      </c>
      <c r="F46" s="817">
        <f t="shared" si="6"/>
        <v>0</v>
      </c>
      <c r="G46" s="817">
        <f t="shared" si="6"/>
        <v>0</v>
      </c>
      <c r="H46" s="873">
        <f>IF(AND($H$27&lt;&gt;"なし",$H$27&lt;&gt;""),VLOOKUP(認定こども園１号①!$B$100,認定こども園１号①!$B$83:$D$99,3,TRUE)*$H$27,0)</f>
        <v>0</v>
      </c>
      <c r="I46" s="817">
        <f t="shared" si="6"/>
        <v>0</v>
      </c>
      <c r="J46" s="821"/>
      <c r="K46" s="817">
        <f>IFERROR(-IF(ROUNDDOWN(SUM($D46,$E46,$G46)*VLOOKUP($L$27,認定こども園２・３号①!$B$176:$C$180,2,FALSE),-1)&lt;10,ROUNDDOWN(SUM($D46,$E46,$G46)*VLOOKUP($L$27,認定こども園２・３号①!$B$176:$C$180,2,FALSE),0),ROUNDDOWN(SUM($D46,$E46,$G46)*VLOOKUP($L$27,認定こども園２・３号①!$B$176:$C$180,2,FALSE),-1)),0)</f>
        <v>0</v>
      </c>
      <c r="L46" s="817">
        <f t="shared" ref="L46:N47" si="8">L45</f>
        <v>0</v>
      </c>
      <c r="M46" s="817">
        <f t="shared" si="8"/>
        <v>0</v>
      </c>
      <c r="N46" s="817">
        <f t="shared" si="8"/>
        <v>0</v>
      </c>
      <c r="O46" s="817"/>
      <c r="P46" s="817"/>
      <c r="Q46" s="857" t="e">
        <f>IF($AQ$3=1,SUM($D46:$P46),IF(ROUNDDOWN(SUM(D46:P46)*$AQ$3,-1)&lt;10,ROUNDDOWN(SUM(D46:P46)*$AQ$3,0),(ROUNDDOWN(SUM(D46:P46)*$AQ$3,-1))))</f>
        <v>#N/A</v>
      </c>
      <c r="R46" s="817">
        <f>R45</f>
        <v>0</v>
      </c>
      <c r="S46" s="818">
        <f t="shared" si="7"/>
        <v>0</v>
      </c>
      <c r="T46" s="817"/>
      <c r="U46" s="818"/>
      <c r="V46" s="826">
        <f>IF(ISERROR(SUM($Q$46:$U$46)),0,SUM($Q$46:$U$46))</f>
        <v>0</v>
      </c>
      <c r="X46" s="375"/>
      <c r="Y46" s="375"/>
      <c r="Z46" s="375"/>
      <c r="AA46" s="836"/>
      <c r="AB46" s="836"/>
    </row>
    <row r="47" spans="1:28" ht="20.100000000000001" hidden="1" customHeight="1">
      <c r="A47" s="1534"/>
      <c r="B47" s="1534" t="s">
        <v>8</v>
      </c>
      <c r="C47" s="1717"/>
      <c r="D47" s="817" t="e">
        <f>IF(D$27="あり",VLOOKUP(SUM($D$8:$F$9),認定こども園２・３号①!$B$81:$BR$98,13,TRUE),0)</f>
        <v>#N/A</v>
      </c>
      <c r="E47" s="821"/>
      <c r="F47" s="817">
        <f t="shared" si="6"/>
        <v>0</v>
      </c>
      <c r="G47" s="817">
        <f t="shared" si="6"/>
        <v>0</v>
      </c>
      <c r="H47" s="873">
        <f>H46</f>
        <v>0</v>
      </c>
      <c r="I47" s="817">
        <f t="shared" si="6"/>
        <v>0</v>
      </c>
      <c r="J47" s="821"/>
      <c r="K47" s="817">
        <f>IFERROR(-IF(ROUNDDOWN(SUM($D47,$E47,$G47)*VLOOKUP($L$27,認定こども園２・３号①!$B$176:$C$180,2,FALSE),-1)&lt;10,ROUNDDOWN(SUM($D47,$E47,$G47)*VLOOKUP($L$27,認定こども園２・３号①!$B$176:$C$180,2,FALSE),0),ROUNDDOWN(SUM($D47,$E47,$G47)*VLOOKUP($L$27,認定こども園２・３号①!$B$176:$C$180,2,FALSE),-1)),0)</f>
        <v>0</v>
      </c>
      <c r="L47" s="817">
        <f>L46</f>
        <v>0</v>
      </c>
      <c r="M47" s="817">
        <f>M46</f>
        <v>0</v>
      </c>
      <c r="N47" s="817">
        <f t="shared" si="8"/>
        <v>0</v>
      </c>
      <c r="O47" s="817"/>
      <c r="P47" s="817"/>
      <c r="Q47" s="857" t="e">
        <f>IF($AQ$3=1,SUM($D47:$P47),IF(ROUNDDOWN(SUM(D47:P47)*$AQ$3,-1)&lt;10,ROUNDDOWN(SUM(D47:P47)*$AQ$3,0),(ROUNDDOWN(SUM(D47:P47)*$AQ$3,-1))))</f>
        <v>#N/A</v>
      </c>
      <c r="R47" s="817">
        <f t="shared" si="7"/>
        <v>0</v>
      </c>
      <c r="S47" s="818">
        <f t="shared" si="7"/>
        <v>0</v>
      </c>
      <c r="T47" s="817"/>
      <c r="U47" s="818"/>
      <c r="V47" s="826">
        <f>IF(ISERROR(SUM($Q$47:$U$47)),0,SUM($Q$47:$U$47))</f>
        <v>0</v>
      </c>
      <c r="X47" s="375"/>
      <c r="Y47" s="815"/>
      <c r="Z47" s="815"/>
      <c r="AA47" s="928"/>
      <c r="AB47" s="928"/>
    </row>
    <row r="48" spans="1:28" ht="20.100000000000001" hidden="1" customHeight="1">
      <c r="A48" s="658"/>
      <c r="B48" s="858"/>
      <c r="C48" s="858"/>
      <c r="D48" s="859"/>
      <c r="E48" s="860"/>
      <c r="F48" s="860"/>
      <c r="G48" s="860"/>
      <c r="H48" s="860"/>
      <c r="I48" s="860"/>
      <c r="J48" s="860"/>
      <c r="K48" s="375"/>
      <c r="L48" s="375"/>
      <c r="M48" s="375"/>
      <c r="N48" s="375"/>
      <c r="O48" s="375"/>
      <c r="P48" s="375"/>
      <c r="Q48" s="375"/>
      <c r="R48" s="861"/>
      <c r="S48" s="375"/>
      <c r="T48" s="862"/>
      <c r="V48" s="863"/>
      <c r="X48" s="375"/>
      <c r="Y48" s="375"/>
      <c r="Z48" s="375"/>
      <c r="AA48" s="843"/>
      <c r="AB48" s="836"/>
    </row>
    <row r="49" spans="1:37" ht="33.75" hidden="1" customHeight="1">
      <c r="A49" s="1532" t="s">
        <v>113</v>
      </c>
      <c r="B49" s="1780" t="s">
        <v>101</v>
      </c>
      <c r="C49" s="1781"/>
      <c r="D49" s="1728" t="s">
        <v>9</v>
      </c>
      <c r="E49" s="1728" t="s">
        <v>91</v>
      </c>
      <c r="F49" s="1728" t="s">
        <v>93</v>
      </c>
      <c r="G49" s="1728" t="s">
        <v>94</v>
      </c>
      <c r="H49" s="1709" t="s">
        <v>13</v>
      </c>
      <c r="I49" s="1775" t="s">
        <v>227</v>
      </c>
      <c r="J49" s="1728" t="s">
        <v>95</v>
      </c>
      <c r="K49" s="1728" t="s">
        <v>433</v>
      </c>
      <c r="L49" s="1775" t="s">
        <v>542</v>
      </c>
      <c r="M49" s="1728" t="s">
        <v>92</v>
      </c>
      <c r="N49" s="1775" t="s">
        <v>546</v>
      </c>
      <c r="O49" s="1787"/>
      <c r="P49" s="1791"/>
      <c r="Q49" s="256" t="s">
        <v>526</v>
      </c>
      <c r="R49" s="1728" t="s">
        <v>17</v>
      </c>
      <c r="S49" s="1728" t="s">
        <v>511</v>
      </c>
      <c r="T49" s="1787"/>
      <c r="U49" s="1793"/>
      <c r="V49" s="1770" t="s">
        <v>207</v>
      </c>
      <c r="X49" s="375"/>
      <c r="Y49" s="375"/>
      <c r="Z49" s="375"/>
      <c r="AA49" s="843"/>
      <c r="AB49" s="836"/>
    </row>
    <row r="50" spans="1:37" ht="33.75" hidden="1" customHeight="1">
      <c r="A50" s="1784"/>
      <c r="B50" s="1782"/>
      <c r="C50" s="1783"/>
      <c r="D50" s="1710"/>
      <c r="E50" s="1710"/>
      <c r="F50" s="1710"/>
      <c r="G50" s="1710"/>
      <c r="H50" s="1710"/>
      <c r="I50" s="1776"/>
      <c r="J50" s="1710"/>
      <c r="K50" s="1710"/>
      <c r="L50" s="1776"/>
      <c r="M50" s="1710"/>
      <c r="N50" s="1776"/>
      <c r="O50" s="1788"/>
      <c r="P50" s="1792"/>
      <c r="Q50" s="254" t="str">
        <f>IF($AQ$3=1,"（乗除調整なし）",CONCATENATE("（乗除調整",TEXT($AQ$3,"##/100"),")"))</f>
        <v>（乗除調整なし）</v>
      </c>
      <c r="R50" s="1710"/>
      <c r="S50" s="1710"/>
      <c r="T50" s="1788"/>
      <c r="U50" s="1794"/>
      <c r="V50" s="1771"/>
      <c r="X50" s="375"/>
      <c r="Y50" s="375"/>
      <c r="Z50" s="375"/>
      <c r="AA50" s="843"/>
      <c r="AB50" s="836"/>
    </row>
    <row r="51" spans="1:37" hidden="1">
      <c r="A51" s="1784"/>
      <c r="B51" s="1534" t="s">
        <v>203</v>
      </c>
      <c r="C51" s="1717"/>
      <c r="D51" s="817">
        <f>IF($K$27="あり",IF($D$27="あり",VLOOKUP(SUM($D$11:$E$12),認定こども園２・３号①!$B$141:$BR$158,10,TRUE),0),)</f>
        <v>0</v>
      </c>
      <c r="E51" s="821"/>
      <c r="F51" s="817">
        <f>IF($K$27="あり",IF(ISERROR(認定こども園２・３号①!$A$162),0,認定こども園２・３号①!$A$162),0)</f>
        <v>0</v>
      </c>
      <c r="G51" s="817">
        <f>IF(G$27="あり",VLOOKUP(SUM(D8:F9,$D11:E$12),認定こども園２・３号①!$B$81:$BR$98,31,TRUE),0)</f>
        <v>0</v>
      </c>
      <c r="H51" s="817">
        <f>IF($K$27="あり",IF(AND($H$27&lt;&gt;"なし",$H$27&lt;&gt;""),VLOOKUP(認定こども園１号①!$B$100,認定こども園１号①!$B$83:$D$99,3,TRUE))*$H$27,0)</f>
        <v>0</v>
      </c>
      <c r="I51" s="873">
        <f>IF($K$27="あり",IF(J$27="あり",VLOOKUP(SUM(D8:E9,D11:E12),認定こども園２・３号①!$B$81:$BR$98,54,TRUE),0),0)</f>
        <v>0</v>
      </c>
      <c r="J51" s="817">
        <f>IF(K$27="あり",-IF(ROUNDDOWN(認定こども園２・３号①!$BE$43*'入力（加算）認'!$D51,-1)&lt;10,ROUNDDOWN(認定こども園２・３号①!$BE$43*'入力（加算）認'!$D51,0),ROUNDDOWN(認定こども園２・３号①!$BE$43*'入力（加算）認'!$D51,-1)),0)</f>
        <v>0</v>
      </c>
      <c r="K51" s="817">
        <f>IFERROR(-IF(ROUNDDOWN(SUM($D51,$E51,$G51)*VLOOKUP($L$27,認定こども園２・３号①!$B$176:$C$180,2,FALSE),-1)&lt;10,ROUNDDOWN(SUM($D51,$E51,$G51)*VLOOKUP($L$27,認定こども園２・３号①!$B$176:$C$180,2,FALSE),0),ROUNDDOWN(SUM($D51,$E51,$G51)*VLOOKUP($L$27,認定こども園２・３号①!$B$176:$C$180,2,FALSE),-1)),0)</f>
        <v>0</v>
      </c>
      <c r="L51" s="817">
        <f>IF(M$27="あり",-VLOOKUP(SUM($D$8:$F$9,D11:E12),認定こども園２・３号①!$B$81:$BR$98,63,TRUE),0)</f>
        <v>0</v>
      </c>
      <c r="M51" s="817">
        <f>IF(AND($N27&lt;&gt;"なし",$N27&lt;&gt;""),-IF(ROUNDDOWN(VLOOKUP(SUM($D$8:$F$9,$D$11:$E$12),認定こども園２・３号①!$B$81:$BR$98,65,TRUE)*N$27,-1)&lt;10,ROUNDDOWN(VLOOKUP(SUM($D$8:$F$9,$D$11:$E$12),認定こども園２・３号①!$B$81:$BR$98,65,TRUE)*N$27,0),ROUNDDOWN(VLOOKUP(SUM($D$8:$F$9,$D$11:$E$12),認定こども園２・３号①!$B$81:$BR$98,65,TRUE)*N$27,-1)),0)</f>
        <v>0</v>
      </c>
      <c r="N51" s="817">
        <f>IF(AND(O$27&lt;&gt;"なし",O$27&lt;&gt;""),-IF(ROUNDDOWN(VLOOKUP(SUM($D$8:$F$9,$D$11:$E$12),認定こども園２・３号①!$B$81:$BR$98,67,TRUE)*O$27,-1)&lt;10,ROUNDDOWN(VLOOKUP(SUM($D$8:$F$9,$D$11:$E$12),認定こども園２・３号①!$B$81:$BR$98,67,TRUE)*O$27,0),ROUNDDOWN(VLOOKUP(SUM($D$8:$F$9,$D$11:$E$12),認定こども園２・３号①!$B$81:$BR$98,67,TRUE)*O$27,-1)),0)</f>
        <v>0</v>
      </c>
      <c r="O51" s="817"/>
      <c r="P51" s="817"/>
      <c r="Q51" s="857">
        <f>IF($AQ$3=1,SUM($D51:$P51),IF(ROUNDDOWN(SUM(D51:P51)*$AQ$3,-1)&lt;10,ROUNDDOWN(SUM(D51:P51)*$AQ$3,0),(ROUNDDOWN(SUM(D51:P51)*$AQ$3,-1))))</f>
        <v>0</v>
      </c>
      <c r="R51" s="817">
        <f>IF(Q$27="特児",IF(ROUNDDOWN(認定こども園２・３号②!$K$4/$L$92,-1)&lt;10,ROUNDDOWN(認定こども園２・３号②!$K$4/$L$92,0),ROUNDDOWN(認定こども園２・３号②!$K$4/$L$92,-1)),IF(Q$27="その他",IF(ROUNDDOWN(認定こども園２・３号②!$K$7/$L$92,-1)&lt;10,ROUNDDOWN(認定こども園２・３号②!$K$7/$L$92,0),ROUNDDOWN(認定こども園２・３号②!$K$7/$L$92,-1)),0))</f>
        <v>0</v>
      </c>
      <c r="S51" s="818">
        <f>IF(R$27="配置",IF(ROUNDDOWN(認定こども園２・３号②!$K$42/$L$92,-1)&lt;10,ROUNDDOWN(認定こども園２・３号②!$K$42/$L$92,0),ROUNDDOWN(認定こども園２・３号②!$K$42/$L$92,-1)),IF(R$27="兼務",IF(ROUNDDOWN(認定こども園２・３号②!$K$45/$L$92,-1)&lt;10,ROUNDDOWN(認定こども園２・３号②!$K$45/$L$92,0),ROUNDDOWN(認定こども園２・３号②!$K$45/$L$92,-1)),0))</f>
        <v>0</v>
      </c>
      <c r="T51" s="817"/>
      <c r="U51" s="818"/>
      <c r="V51" s="826">
        <f>IF(ISERROR(SUM($Q$51:$U$51)),0,SUM($Q$51:$U$51))</f>
        <v>0</v>
      </c>
      <c r="X51" s="375"/>
      <c r="Y51" s="375"/>
      <c r="Z51" s="375"/>
      <c r="AA51" s="843"/>
      <c r="AB51" s="836"/>
    </row>
    <row r="52" spans="1:37" ht="20.100000000000001" hidden="1" customHeight="1">
      <c r="A52" s="1784"/>
      <c r="B52" s="1534" t="s">
        <v>153</v>
      </c>
      <c r="C52" s="1717"/>
      <c r="D52" s="817">
        <f>IF($K$27="あり",IF($D$27="あり",VLOOKUP(SUM($D$11:$E$12),認定こども園２・３号①!$B$121:$BR$138,10,TRUE),0),)</f>
        <v>0</v>
      </c>
      <c r="E52" s="821"/>
      <c r="F52" s="817">
        <f t="shared" ref="F52:I54" si="9">F51</f>
        <v>0</v>
      </c>
      <c r="G52" s="817">
        <f t="shared" si="9"/>
        <v>0</v>
      </c>
      <c r="H52" s="817">
        <f>H51</f>
        <v>0</v>
      </c>
      <c r="I52" s="873">
        <f t="shared" si="9"/>
        <v>0</v>
      </c>
      <c r="J52" s="817">
        <f>IF(K$27="あり",-IF(ROUNDDOWN(認定こども園２・３号①!$BE$43*'入力（加算）認'!$D52,-1)&lt;10,ROUNDDOWN(認定こども園２・３号①!$BE$43*'入力（加算）認'!$D52,0),ROUNDDOWN(認定こども園２・３号①!$BE$43*'入力（加算）認'!$D52,-1)),0)</f>
        <v>0</v>
      </c>
      <c r="K52" s="817">
        <f>IFERROR(-IF(ROUNDDOWN(SUM($D52,$E52,$G52)*VLOOKUP($L$27,認定こども園２・３号①!$B$176:$C$180,2,FALSE),-1)&lt;10,ROUNDDOWN(SUM($D52,$E52,$G52)*VLOOKUP($L$27,認定こども園２・３号①!$B$176:$C$180,2,FALSE),0),ROUNDDOWN(SUM($D52,$E52,$G52)*VLOOKUP($L$27,認定こども園２・３号①!$B$176:$C$180,2,FALSE),-1)),0)</f>
        <v>0</v>
      </c>
      <c r="L52" s="817">
        <f>L51</f>
        <v>0</v>
      </c>
      <c r="M52" s="817">
        <f>M51</f>
        <v>0</v>
      </c>
      <c r="N52" s="817">
        <f>N51</f>
        <v>0</v>
      </c>
      <c r="O52" s="817"/>
      <c r="P52" s="817"/>
      <c r="Q52" s="857">
        <f>IF($AQ$3=1,SUM($D52:$P52),IF(ROUNDDOWN(SUM(D52:P52)*$AQ$3,-1)&lt;10,ROUNDDOWN(SUM(D52:P52)*$AQ$3,0),(ROUNDDOWN(SUM(D52:P52)*$AQ$3,-1))))</f>
        <v>0</v>
      </c>
      <c r="R52" s="817">
        <f t="shared" ref="R52:S54" si="10">R51</f>
        <v>0</v>
      </c>
      <c r="S52" s="818">
        <f t="shared" si="10"/>
        <v>0</v>
      </c>
      <c r="T52" s="817"/>
      <c r="U52" s="818"/>
      <c r="V52" s="826">
        <f>IF(ISERROR(SUM($Q$52:$U$52)),0,SUM($Q$52:$U$52))</f>
        <v>0</v>
      </c>
      <c r="X52" s="375"/>
      <c r="Y52" s="375"/>
      <c r="Z52" s="375"/>
      <c r="AA52" s="836"/>
      <c r="AB52" s="836"/>
    </row>
    <row r="53" spans="1:37" ht="20.100000000000001" hidden="1" customHeight="1">
      <c r="A53" s="1784"/>
      <c r="B53" s="1534" t="s">
        <v>7</v>
      </c>
      <c r="C53" s="1717"/>
      <c r="D53" s="817">
        <f>IF($K$27="あり",IF($D$27="あり",VLOOKUP(SUM($D$11:$E$12),認定こども園２・３号①!$B$101:$BR$118,10,TRUE),0),0)</f>
        <v>0</v>
      </c>
      <c r="E53" s="817">
        <f>IFERROR(IF(E$27="あり",VLOOKUP(SUM($D$11:$E$12),認定こども園２・３号①!$B$101:$BR$118,18,TRUE),0),0)</f>
        <v>0</v>
      </c>
      <c r="F53" s="817">
        <f t="shared" si="9"/>
        <v>0</v>
      </c>
      <c r="G53" s="817">
        <f t="shared" si="9"/>
        <v>0</v>
      </c>
      <c r="H53" s="817">
        <f>H52</f>
        <v>0</v>
      </c>
      <c r="I53" s="873">
        <f t="shared" si="9"/>
        <v>0</v>
      </c>
      <c r="J53" s="817">
        <f>IF(K$27="あり",-IF(ROUNDDOWN(認定こども園２・３号①!$BE$43*'入力（加算）認'!$D53,-1)&lt;10,ROUNDDOWN(認定こども園２・３号①!$BE$43*'入力（加算）認'!$D53,0),ROUNDDOWN(認定こども園２・３号①!$BE$43*'入力（加算）認'!$D53,-1)),0)</f>
        <v>0</v>
      </c>
      <c r="K53" s="817">
        <f>IFERROR(-IF(ROUNDDOWN(SUM($D53,$E53,$G53)*VLOOKUP($L$27,認定こども園２・３号①!$B$176:$C$180,2,FALSE),-1)&lt;10,ROUNDDOWN(SUM($D53,$E53,$G53)*VLOOKUP($L$27,認定こども園２・３号①!$B$176:$C$180,2,FALSE),0),ROUNDDOWN(SUM($D53,$E53,$G53)*VLOOKUP($L$27,認定こども園２・３号①!$B$176:$C$180,2,FALSE),-1)),0)</f>
        <v>0</v>
      </c>
      <c r="L53" s="817">
        <f t="shared" ref="L53:N54" si="11">L52</f>
        <v>0</v>
      </c>
      <c r="M53" s="817">
        <f t="shared" si="11"/>
        <v>0</v>
      </c>
      <c r="N53" s="817">
        <f t="shared" si="11"/>
        <v>0</v>
      </c>
      <c r="O53" s="817"/>
      <c r="P53" s="817"/>
      <c r="Q53" s="857">
        <f>IF($AQ$3=1,SUM($D53:$P53),IF(ROUNDDOWN(SUM(D53:P53)*$AQ$3,-1)&lt;10,ROUNDDOWN(SUM(D53:P53)*$AQ$3,0),(ROUNDDOWN(SUM(D53:P53)*$AQ$3,-1))))</f>
        <v>0</v>
      </c>
      <c r="R53" s="817">
        <f t="shared" si="10"/>
        <v>0</v>
      </c>
      <c r="S53" s="818">
        <f t="shared" si="10"/>
        <v>0</v>
      </c>
      <c r="T53" s="817"/>
      <c r="U53" s="818"/>
      <c r="V53" s="826">
        <f>IF(ISERROR(SUM($Q$53:$U$53)),0,SUM($Q$53:$U$53))</f>
        <v>0</v>
      </c>
      <c r="X53" s="375"/>
      <c r="Y53" s="375"/>
      <c r="Z53" s="375"/>
      <c r="AA53" s="375"/>
      <c r="AB53" s="375"/>
    </row>
    <row r="54" spans="1:37" ht="20.100000000000001" hidden="1" customHeight="1">
      <c r="A54" s="1784"/>
      <c r="B54" s="1534" t="s">
        <v>8</v>
      </c>
      <c r="C54" s="1717"/>
      <c r="D54" s="817">
        <f>IF($K$27="あり",IF($D$27="あり",VLOOKUP(SUM($D$11:$E$12),認定こども園２・３号①!$B$81:$BR$98,10,TRUE),0),0)</f>
        <v>0</v>
      </c>
      <c r="E54" s="821"/>
      <c r="F54" s="817">
        <f t="shared" si="9"/>
        <v>0</v>
      </c>
      <c r="G54" s="817">
        <f t="shared" si="9"/>
        <v>0</v>
      </c>
      <c r="H54" s="817">
        <f>H53</f>
        <v>0</v>
      </c>
      <c r="I54" s="873">
        <f t="shared" si="9"/>
        <v>0</v>
      </c>
      <c r="J54" s="817">
        <f>IF(K$27="あり",-IF(ROUNDDOWN(認定こども園２・３号①!$BE$43*'入力（加算）認'!$D54,-1)&lt;10,ROUNDDOWN(認定こども園２・３号①!$BE$43*'入力（加算）認'!$D54,0),ROUNDDOWN(認定こども園２・３号①!$BE$43*'入力（加算）認'!$D54,-1)),0)</f>
        <v>0</v>
      </c>
      <c r="K54" s="817">
        <f>IFERROR(-IF(ROUNDDOWN(SUM($D54,$E54,$G54)*VLOOKUP($L$27,認定こども園２・３号①!$B$176:$C$180,2,FALSE),-1)&lt;10,ROUNDDOWN(SUM($D54,$E54,$G54)*VLOOKUP($L$27,認定こども園２・３号①!$B$176:$C$180,2,FALSE),0),ROUNDDOWN(SUM($D54,$E54,$G54)*VLOOKUP($L$27,認定こども園２・３号①!$B$176:$C$180,2,FALSE),-1)),0)</f>
        <v>0</v>
      </c>
      <c r="L54" s="817">
        <f>L53</f>
        <v>0</v>
      </c>
      <c r="M54" s="817">
        <f>M53</f>
        <v>0</v>
      </c>
      <c r="N54" s="817">
        <f t="shared" si="11"/>
        <v>0</v>
      </c>
      <c r="O54" s="721"/>
      <c r="P54" s="721"/>
      <c r="Q54" s="857">
        <f>IF($AQ$3=1,SUM($D54:$P54),IF(ROUNDDOWN(SUM(D54:P54)*$AQ$3,-1)&lt;10,ROUNDDOWN(SUM(D54:P54)*$AQ$3,0),(ROUNDDOWN(SUM(D54:P54)*$AQ$3,-1))))</f>
        <v>0</v>
      </c>
      <c r="R54" s="817">
        <f t="shared" si="10"/>
        <v>0</v>
      </c>
      <c r="S54" s="818">
        <f t="shared" si="10"/>
        <v>0</v>
      </c>
      <c r="T54" s="721"/>
      <c r="U54" s="720"/>
      <c r="V54" s="826">
        <f>IF(ISERROR(SUM($Q$54:$U$54)),0,SUM($Q$54:$U$54))</f>
        <v>0</v>
      </c>
      <c r="X54" s="375"/>
      <c r="Y54" s="815"/>
      <c r="Z54" s="815"/>
      <c r="AA54" s="928"/>
      <c r="AB54" s="928"/>
    </row>
    <row r="55" spans="1:37" ht="33.75" hidden="1" customHeight="1">
      <c r="A55" s="1784"/>
      <c r="B55" s="1780" t="s">
        <v>205</v>
      </c>
      <c r="C55" s="1781"/>
      <c r="D55" s="1728" t="s">
        <v>9</v>
      </c>
      <c r="E55" s="1728" t="s">
        <v>91</v>
      </c>
      <c r="F55" s="1728" t="s">
        <v>93</v>
      </c>
      <c r="G55" s="1728" t="s">
        <v>94</v>
      </c>
      <c r="H55" s="1709" t="s">
        <v>13</v>
      </c>
      <c r="I55" s="1775" t="s">
        <v>227</v>
      </c>
      <c r="J55" s="1728" t="s">
        <v>95</v>
      </c>
      <c r="K55" s="1728" t="s">
        <v>433</v>
      </c>
      <c r="L55" s="1775" t="s">
        <v>547</v>
      </c>
      <c r="M55" s="1728" t="s">
        <v>92</v>
      </c>
      <c r="N55" s="1775" t="s">
        <v>543</v>
      </c>
      <c r="O55" s="1787"/>
      <c r="P55" s="1791"/>
      <c r="Q55" s="253" t="s">
        <v>526</v>
      </c>
      <c r="R55" s="1728" t="s">
        <v>17</v>
      </c>
      <c r="S55" s="1711" t="s">
        <v>511</v>
      </c>
      <c r="T55" s="1787"/>
      <c r="U55" s="1793"/>
      <c r="V55" s="1770" t="s">
        <v>232</v>
      </c>
      <c r="X55" s="375"/>
      <c r="Y55" s="375"/>
      <c r="Z55" s="375"/>
      <c r="AA55" s="843"/>
      <c r="AB55" s="836"/>
    </row>
    <row r="56" spans="1:37" s="196" customFormat="1" ht="33.75" hidden="1" customHeight="1">
      <c r="A56" s="1784"/>
      <c r="B56" s="1782"/>
      <c r="C56" s="1783"/>
      <c r="D56" s="1710"/>
      <c r="E56" s="1710"/>
      <c r="F56" s="1710"/>
      <c r="G56" s="1710"/>
      <c r="H56" s="1710"/>
      <c r="I56" s="1776"/>
      <c r="J56" s="1710"/>
      <c r="K56" s="1710"/>
      <c r="L56" s="1776"/>
      <c r="M56" s="1710"/>
      <c r="N56" s="1776"/>
      <c r="O56" s="1788"/>
      <c r="P56" s="1792"/>
      <c r="Q56" s="254" t="str">
        <f>IF($AQ$3=1,"（乗除調整なし）",CONCATENATE("（乗除調整",TEXT($AQ$3,"##/100"),")"))</f>
        <v>（乗除調整なし）</v>
      </c>
      <c r="R56" s="1710"/>
      <c r="S56" s="1712"/>
      <c r="T56" s="1788"/>
      <c r="U56" s="1794"/>
      <c r="V56" s="1771"/>
      <c r="W56" s="659"/>
      <c r="X56" s="375"/>
      <c r="Y56" s="375"/>
      <c r="Z56" s="375"/>
      <c r="AA56" s="376"/>
      <c r="AB56" s="836"/>
      <c r="AC56" s="659"/>
      <c r="AK56" s="659"/>
    </row>
    <row r="57" spans="1:37" s="196" customFormat="1" hidden="1">
      <c r="A57" s="1784"/>
      <c r="B57" s="1534" t="s">
        <v>203</v>
      </c>
      <c r="C57" s="1717"/>
      <c r="D57" s="817">
        <f>IF($K$27="あり",IF($D$27="あり",VLOOKUP(SUM($D$11:$E$12),認定こども園２・３号①!$B$141:$BR$158,13,TRUE),0),0)</f>
        <v>0</v>
      </c>
      <c r="E57" s="821"/>
      <c r="F57" s="817">
        <f>IF($K$27="あり",IF(ISERROR(認定こども園２・３号①!$A$162),0,認定こども園２・３号①!$A$162),0)</f>
        <v>0</v>
      </c>
      <c r="G57" s="817">
        <f>IF(G$27="あり",VLOOKUP(SUM(D8:F9,$D11:E$12),認定こども園２・３号①!$B$81:$BR$98,31,TRUE),0)</f>
        <v>0</v>
      </c>
      <c r="H57" s="817">
        <f>IF($K$27="あり",IF(AND($H$27&lt;&gt;"なし",$H$27&lt;&gt;""),VLOOKUP(認定こども園１号①!$B$100,認定こども園１号①!$B$83:$D$99,3,TRUE))*$H$27,0)</f>
        <v>0</v>
      </c>
      <c r="I57" s="873">
        <f>IF($K$27="あり",IF(J$27="あり",VLOOKUP(SUM(D8:E9,D11:E12),認定こども園２・３号①!$B$81:$BR$98,54,TRUE),0),0)</f>
        <v>0</v>
      </c>
      <c r="J57" s="817">
        <f>IF(K$27="あり",-IF(ROUNDDOWN(認定こども園２・３号①!$BE$43*'入力（加算）認'!$D57,-1)&lt;10,ROUNDDOWN(認定こども園２・３号①!$BE$43*'入力（加算）認'!$D57,0),ROUNDDOWN(認定こども園２・３号①!$BE$43*'入力（加算）認'!$D57,-1)),0)</f>
        <v>0</v>
      </c>
      <c r="K57" s="817">
        <f>IFERROR(-IF(ROUNDDOWN(SUM($D57,$E57,$G57)*VLOOKUP($L$27,認定こども園２・３号①!$B$176:$C$180,2,FALSE),-1)&lt;10,ROUNDDOWN(SUM($D57,$E57,$G57)*VLOOKUP($L$27,認定こども園２・３号①!$B$176:$C$180,2,FALSE),0),ROUNDDOWN(SUM($D57,$E57,$G57)*VLOOKUP($L$27,認定こども園２・３号①!$B$176:$C$180,2,FALSE),-1)),0)</f>
        <v>0</v>
      </c>
      <c r="L57" s="817">
        <f>IF(M$27="あり",-VLOOKUP(SUM($D$8:$F$9,D11:E12),認定こども園２・３号①!$B$81:$BR$98,63,TRUE),0)</f>
        <v>0</v>
      </c>
      <c r="M57" s="817">
        <f>IF(AND($N27&lt;&gt;"なし",$N27&lt;&gt;""),-IF(ROUNDDOWN(VLOOKUP(SUM($D$8:$F$9,$D$11:$E$12),認定こども園２・３号①!$B$81:$BR$98,65,TRUE)*N$27,-1)&lt;10,ROUNDDOWN(VLOOKUP(SUM($D$8:$F$9,$D$11:$E$12),認定こども園２・３号①!$B$81:$BR$98,65,TRUE)*N$27,0),ROUNDDOWN(VLOOKUP(SUM($D$8:$F$9,$D$11:$E$12),認定こども園２・３号①!$B$81:$BR$98,65,TRUE)*N$27,-1)),0)</f>
        <v>0</v>
      </c>
      <c r="N57" s="817">
        <f>IF(AND(O$27&lt;&gt;"なし",O$27&lt;&gt;""),-IF(ROUNDDOWN(VLOOKUP(SUM($D$8:$F$9,$D$11:$E$12),認定こども園２・３号①!$B$81:$BR$98,67,TRUE)*O$27,-1)&lt;10,ROUNDDOWN(VLOOKUP(SUM($D$8:$F$9,$D$11:$E$12),認定こども園２・３号①!$B$81:$BR$98,67,TRUE)*O$27,0),ROUNDDOWN(VLOOKUP(SUM($D$8:$F$9,$D$11:$E$12),認定こども園２・３号①!$B$81:$BR$98,67,TRUE)*O$27,-1)),0)</f>
        <v>0</v>
      </c>
      <c r="O57" s="817"/>
      <c r="P57" s="817"/>
      <c r="Q57" s="857">
        <f>IF($AQ$3=1,SUM($D57:$P57),IF(ROUNDDOWN(SUM(D57:P57)*$AQ$3,-1)&lt;10,ROUNDDOWN(SUM(D57:P57)*$AQ$3,0),(ROUNDDOWN(SUM(D57:P57)*$AQ$3,-1))))</f>
        <v>0</v>
      </c>
      <c r="R57" s="817">
        <f>IF(Q$27="特児",IF(ROUNDDOWN(認定こども園２・３号②!$K$4/$L$92,-1)&lt;10,ROUNDDOWN(認定こども園２・３号②!$K$4/$L$92,0),ROUNDDOWN(認定こども園２・３号②!$K$4/$L$92,-1)),IF(Q$27="その他",IF(ROUNDDOWN(認定こども園２・３号②!$K$7/$L$92,-1)&lt;10,ROUNDDOWN(認定こども園２・３号②!$K$7/$L$92,0),ROUNDDOWN(認定こども園２・３号②!$K$7/$L$92,-1)),0))</f>
        <v>0</v>
      </c>
      <c r="S57" s="818">
        <f>IF(R$27="配置",IF(ROUNDDOWN(認定こども園２・３号②!$K$42/$L$92,-1)&lt;10,ROUNDDOWN(認定こども園２・３号②!$K$42/$L$92,0),ROUNDDOWN(認定こども園２・３号②!$K$42/$L$92,-1)),IF(R$27="兼務",IF(ROUNDDOWN(認定こども園２・３号②!$K$45/$L$92,-1)&lt;10,ROUNDDOWN(認定こども園２・３号②!$K$45/$L$92,0),ROUNDDOWN(認定こども園２・３号②!$K$45/$L$92,-1)),0))</f>
        <v>0</v>
      </c>
      <c r="T57" s="817"/>
      <c r="U57" s="818"/>
      <c r="V57" s="826">
        <f>IF(ISERROR(SUM($Q$57:$U$57)),0,SUM($Q$57:$U$57))</f>
        <v>0</v>
      </c>
      <c r="W57" s="659"/>
      <c r="X57" s="375"/>
      <c r="Y57" s="375"/>
      <c r="Z57" s="375"/>
      <c r="AA57" s="376"/>
      <c r="AB57" s="836"/>
      <c r="AC57" s="659"/>
      <c r="AJ57" s="659"/>
    </row>
    <row r="58" spans="1:37" s="196" customFormat="1" ht="20.100000000000001" hidden="1" customHeight="1">
      <c r="A58" s="1784"/>
      <c r="B58" s="1534" t="s">
        <v>153</v>
      </c>
      <c r="C58" s="1717"/>
      <c r="D58" s="817">
        <f>IF($K$27="あり",IF($D$27="あり",VLOOKUP(SUM($D$11:$E$12),認定こども園２・３号①!$B$121:$BR$138,13,TRUE),0),0)</f>
        <v>0</v>
      </c>
      <c r="E58" s="821"/>
      <c r="F58" s="817">
        <f t="shared" ref="F58:I60" si="12">F57</f>
        <v>0</v>
      </c>
      <c r="G58" s="817">
        <f t="shared" si="12"/>
        <v>0</v>
      </c>
      <c r="H58" s="817">
        <f>H57</f>
        <v>0</v>
      </c>
      <c r="I58" s="873">
        <f t="shared" si="12"/>
        <v>0</v>
      </c>
      <c r="J58" s="817">
        <f>IF(K$27="あり",-IF(ROUNDDOWN(認定こども園２・３号①!$BE$43*'入力（加算）認'!$D58,-1)&lt;10,ROUNDDOWN(認定こども園２・３号①!$BE$43*'入力（加算）認'!$D58,0),ROUNDDOWN(認定こども園２・３号①!$BE$43*'入力（加算）認'!$D58,-1)),0)</f>
        <v>0</v>
      </c>
      <c r="K58" s="817">
        <f>IFERROR(-IF(ROUNDDOWN(SUM($D58,$E58,$G58)*VLOOKUP($L$27,認定こども園２・３号①!$B$176:$C$180,2,FALSE),-1)&lt;10,ROUNDDOWN(SUM($D58,$E58,$G58)*VLOOKUP($L$27,認定こども園２・３号①!$B$176:$C$180,2,FALSE),0),ROUNDDOWN(SUM($D58,$E58,$G58)*VLOOKUP($L$27,認定こども園２・３号①!$B$176:$C$180,2,FALSE),-1)),0)</f>
        <v>0</v>
      </c>
      <c r="L58" s="817">
        <f t="shared" ref="L58:N60" si="13">L57</f>
        <v>0</v>
      </c>
      <c r="M58" s="817">
        <f t="shared" si="13"/>
        <v>0</v>
      </c>
      <c r="N58" s="817">
        <f t="shared" si="13"/>
        <v>0</v>
      </c>
      <c r="O58" s="817"/>
      <c r="P58" s="817"/>
      <c r="Q58" s="857">
        <f>IF($AQ$3=1,SUM($D58:$P58),IF(ROUNDDOWN(SUM(D58:P58)*$AQ$3,-1)&lt;10,ROUNDDOWN(SUM(D58:P58)*$AQ$3,0),(ROUNDDOWN(SUM(D58:P58)*$AQ$3,-1))))</f>
        <v>0</v>
      </c>
      <c r="R58" s="817">
        <f t="shared" ref="R58:S60" si="14">R57</f>
        <v>0</v>
      </c>
      <c r="S58" s="818">
        <f t="shared" si="14"/>
        <v>0</v>
      </c>
      <c r="T58" s="817"/>
      <c r="U58" s="818"/>
      <c r="V58" s="826">
        <f>IF(ISERROR(SUM($Q$58:$U$58)),0,SUM($Q$58:$U$58))</f>
        <v>0</v>
      </c>
      <c r="W58" s="659"/>
      <c r="X58" s="375"/>
      <c r="Y58" s="375"/>
      <c r="Z58" s="375"/>
      <c r="AA58" s="376"/>
      <c r="AB58" s="836"/>
      <c r="AC58" s="659"/>
      <c r="AJ58" s="659"/>
    </row>
    <row r="59" spans="1:37" s="196" customFormat="1" ht="20.100000000000001" hidden="1" customHeight="1">
      <c r="A59" s="1784"/>
      <c r="B59" s="1534" t="s">
        <v>7</v>
      </c>
      <c r="C59" s="1717"/>
      <c r="D59" s="817">
        <f>IF($K$27="あり",IF(D$27="あり",VLOOKUP(SUM($D$11:$E$12),認定こども園２・３号①!$B$101:$BR$118,13,TRUE),0),0)</f>
        <v>0</v>
      </c>
      <c r="E59" s="817">
        <f>IFERROR(IF(E$27="あり",VLOOKUP(SUM($D$11:$E$12),認定こども園２・３号①!$B$101:$BR$118,18,TRUE),0),0)</f>
        <v>0</v>
      </c>
      <c r="F59" s="817">
        <f t="shared" si="12"/>
        <v>0</v>
      </c>
      <c r="G59" s="817">
        <f t="shared" si="12"/>
        <v>0</v>
      </c>
      <c r="H59" s="817">
        <f>H58</f>
        <v>0</v>
      </c>
      <c r="I59" s="873">
        <f t="shared" si="12"/>
        <v>0</v>
      </c>
      <c r="J59" s="817">
        <f>IF(K$27="あり",-IF(ROUNDDOWN(認定こども園２・３号①!$BE$43*'入力（加算）認'!$D59,-1)&lt;10,ROUNDDOWN(認定こども園２・３号①!$BE$43*'入力（加算）認'!$D59,0),ROUNDDOWN(認定こども園２・３号①!$BE$43*'入力（加算）認'!$D59,-1)),0)</f>
        <v>0</v>
      </c>
      <c r="K59" s="817">
        <f>IFERROR(-IF(ROUNDDOWN(SUM($D59,$E59,$G59)*VLOOKUP($L$27,認定こども園２・３号①!$B$176:$C$180,2,FALSE),-1)&lt;10,ROUNDDOWN(SUM($D59,$E59,$G59)*VLOOKUP($L$27,認定こども園２・３号①!$B$176:$C$180,2,FALSE),0),ROUNDDOWN(SUM($D59,$E59,$G59)*VLOOKUP($L$27,認定こども園２・３号①!$B$176:$C$180,2,FALSE),-1)),0)</f>
        <v>0</v>
      </c>
      <c r="L59" s="817">
        <f t="shared" si="13"/>
        <v>0</v>
      </c>
      <c r="M59" s="817">
        <f t="shared" si="13"/>
        <v>0</v>
      </c>
      <c r="N59" s="817">
        <f t="shared" si="13"/>
        <v>0</v>
      </c>
      <c r="O59" s="817"/>
      <c r="P59" s="817"/>
      <c r="Q59" s="857">
        <f>IF($AQ$3=1,SUM($D59:$P59),IF(ROUNDDOWN(SUM(D59:P59)*$AQ$3,-1)&lt;10,ROUNDDOWN(SUM(D59:P59)*$AQ$3,0),(ROUNDDOWN(SUM(D59:P59)*$AQ$3,-1))))</f>
        <v>0</v>
      </c>
      <c r="R59" s="817">
        <f t="shared" si="14"/>
        <v>0</v>
      </c>
      <c r="S59" s="818">
        <f t="shared" si="14"/>
        <v>0</v>
      </c>
      <c r="T59" s="817"/>
      <c r="U59" s="818"/>
      <c r="V59" s="826">
        <f>IF(ISERROR(SUM($Q$59:$U$59)),0,SUM($Q$59:$U$59))</f>
        <v>0</v>
      </c>
      <c r="W59" s="659"/>
      <c r="X59" s="375"/>
      <c r="Y59" s="375"/>
      <c r="Z59" s="375"/>
      <c r="AA59" s="836"/>
      <c r="AB59" s="836"/>
      <c r="AC59" s="659"/>
      <c r="AJ59" s="659"/>
    </row>
    <row r="60" spans="1:37" ht="20.100000000000001" hidden="1" customHeight="1" thickBot="1">
      <c r="A60" s="1785"/>
      <c r="B60" s="1534" t="s">
        <v>8</v>
      </c>
      <c r="C60" s="1717"/>
      <c r="D60" s="817">
        <f>IF($K$27="あり",IF(D$27="あり",VLOOKUP(SUM($D$11:$E$12),認定こども園２・３号①!$B$81:$BR$98,13,TRUE),0),0)</f>
        <v>0</v>
      </c>
      <c r="E60" s="821"/>
      <c r="F60" s="817">
        <f t="shared" si="12"/>
        <v>0</v>
      </c>
      <c r="G60" s="817">
        <f t="shared" si="12"/>
        <v>0</v>
      </c>
      <c r="H60" s="817">
        <f>H59</f>
        <v>0</v>
      </c>
      <c r="I60" s="873">
        <f t="shared" si="12"/>
        <v>0</v>
      </c>
      <c r="J60" s="817">
        <f>IF(K$27="あり",-IF(ROUNDDOWN(認定こども園２・３号①!$BE$43*'入力（加算）認'!$D60,-1)&lt;10,ROUNDDOWN(認定こども園２・３号①!$BE$43*'入力（加算）認'!$D60,0),ROUNDDOWN(認定こども園２・３号①!$BE$43*'入力（加算）認'!$D60,-1)),0)</f>
        <v>0</v>
      </c>
      <c r="K60" s="817">
        <f>IFERROR(-IF(ROUNDDOWN(SUM($D60,$E60,$G60)*VLOOKUP($L$27,認定こども園２・３号①!$B$176:$C$180,2,FALSE),-1)&lt;10,ROUNDDOWN(SUM($D60,$E60,$G60)*VLOOKUP($L$27,認定こども園２・３号①!$B$176:$C$180,2,FALSE),0),ROUNDDOWN(SUM($D60,$E60,$G60)*VLOOKUP($L$27,認定こども園２・３号①!$B$176:$C$180,2,FALSE),-1)),0)</f>
        <v>0</v>
      </c>
      <c r="L60" s="817">
        <f t="shared" si="13"/>
        <v>0</v>
      </c>
      <c r="M60" s="817">
        <f t="shared" si="13"/>
        <v>0</v>
      </c>
      <c r="N60" s="817">
        <f t="shared" si="13"/>
        <v>0</v>
      </c>
      <c r="O60" s="721"/>
      <c r="P60" s="721"/>
      <c r="Q60" s="857">
        <f>IF($AQ$3=1,SUM($D60:$P60),IF(ROUNDDOWN(SUM(D60:P60)*$AQ$3,-1)&lt;10,ROUNDDOWN(SUM(D60:P60)*$AQ$3,0),(ROUNDDOWN(SUM(D60:P60)*$AQ$3,-1))))</f>
        <v>0</v>
      </c>
      <c r="R60" s="817">
        <f t="shared" si="14"/>
        <v>0</v>
      </c>
      <c r="S60" s="818">
        <f t="shared" si="14"/>
        <v>0</v>
      </c>
      <c r="T60" s="721"/>
      <c r="U60" s="720"/>
      <c r="V60" s="830">
        <f>IF(ISERROR(SUM($Q$60:$U$60)),0,SUM($Q$60:$U$60))</f>
        <v>0</v>
      </c>
      <c r="X60" s="375"/>
      <c r="Y60" s="815"/>
      <c r="Z60" s="815"/>
      <c r="AA60" s="928"/>
      <c r="AB60" s="928"/>
    </row>
    <row r="61" spans="1:37" ht="20.100000000000001" hidden="1" customHeight="1">
      <c r="A61" s="658"/>
      <c r="B61" s="403"/>
      <c r="C61" s="403"/>
      <c r="D61" s="822"/>
      <c r="E61" s="815"/>
      <c r="F61" s="815"/>
      <c r="G61" s="815"/>
      <c r="H61" s="815"/>
      <c r="I61" s="822"/>
      <c r="J61" s="822"/>
      <c r="K61" s="822"/>
      <c r="L61" s="822"/>
      <c r="M61" s="822"/>
      <c r="N61" s="822"/>
      <c r="O61" s="822"/>
      <c r="P61" s="658"/>
      <c r="Q61" s="658"/>
      <c r="R61" s="658"/>
      <c r="S61" s="658"/>
      <c r="T61" s="658"/>
      <c r="U61" s="658"/>
      <c r="V61" s="658"/>
      <c r="X61" s="375"/>
      <c r="Y61" s="375"/>
      <c r="Z61" s="375"/>
      <c r="AA61" s="843"/>
      <c r="AB61" s="836"/>
    </row>
    <row r="62" spans="1:37" ht="20.100000000000001" hidden="1" customHeight="1">
      <c r="A62" s="658"/>
      <c r="B62" s="658"/>
      <c r="C62" s="658"/>
      <c r="D62" s="658"/>
      <c r="E62" s="658"/>
      <c r="F62" s="658"/>
      <c r="G62" s="658"/>
      <c r="H62" s="658"/>
      <c r="I62" s="658"/>
      <c r="J62" s="822"/>
      <c r="K62" s="822"/>
      <c r="L62" s="658"/>
      <c r="M62" s="658"/>
      <c r="N62" s="658"/>
      <c r="O62" s="658"/>
      <c r="P62" s="658"/>
      <c r="Q62" s="658"/>
      <c r="R62" s="658"/>
      <c r="S62" s="658"/>
      <c r="T62" s="658"/>
      <c r="U62" s="658"/>
      <c r="V62" s="658"/>
      <c r="X62" s="375"/>
      <c r="Y62" s="375"/>
      <c r="Z62" s="375"/>
      <c r="AA62" s="843"/>
      <c r="AB62" s="836"/>
    </row>
    <row r="63" spans="1:37" ht="20.100000000000001" hidden="1" customHeight="1">
      <c r="A63" s="658"/>
      <c r="B63" s="658"/>
      <c r="C63" s="658"/>
      <c r="D63" s="658"/>
      <c r="E63" s="658"/>
      <c r="F63" s="658"/>
      <c r="G63" s="658"/>
      <c r="H63" s="658"/>
      <c r="I63" s="658"/>
      <c r="J63" s="822"/>
      <c r="K63" s="822"/>
      <c r="L63" s="658"/>
      <c r="M63" s="658"/>
      <c r="N63" s="658"/>
      <c r="O63" s="658"/>
      <c r="P63" s="658"/>
      <c r="Q63" s="658"/>
      <c r="R63" s="658"/>
      <c r="S63" s="658"/>
      <c r="T63" s="658"/>
      <c r="U63" s="658"/>
      <c r="V63" s="658"/>
      <c r="X63" s="375"/>
      <c r="Y63" s="375"/>
      <c r="Z63" s="375"/>
      <c r="AA63" s="843"/>
      <c r="AB63" s="836"/>
    </row>
    <row r="64" spans="1:37" ht="20.100000000000001" hidden="1" customHeight="1" thickBot="1">
      <c r="A64" s="658"/>
      <c r="B64" s="658"/>
      <c r="C64" s="658"/>
      <c r="D64" s="658"/>
      <c r="E64" s="658"/>
      <c r="F64" s="658"/>
      <c r="G64" s="658"/>
      <c r="H64" s="658"/>
      <c r="I64" s="658"/>
      <c r="J64" s="822"/>
      <c r="K64" s="822"/>
      <c r="L64" s="658"/>
      <c r="M64" s="658"/>
      <c r="N64" s="658"/>
      <c r="O64" s="658"/>
      <c r="P64" s="658"/>
      <c r="Q64" s="658"/>
      <c r="R64" s="658"/>
      <c r="S64" s="658"/>
      <c r="T64" s="658"/>
      <c r="U64" s="658"/>
      <c r="V64" s="658"/>
      <c r="X64" s="375"/>
      <c r="Y64" s="375"/>
      <c r="Z64" s="375"/>
      <c r="AA64" s="843"/>
      <c r="AB64" s="836"/>
    </row>
    <row r="65" spans="1:28" ht="19.5" hidden="1" customHeight="1" thickBot="1">
      <c r="A65" s="658"/>
      <c r="B65" s="658"/>
      <c r="C65" s="824" t="s">
        <v>128</v>
      </c>
      <c r="D65" s="658"/>
      <c r="E65" s="822"/>
      <c r="F65" s="822"/>
      <c r="G65" s="822"/>
      <c r="H65" s="658"/>
      <c r="I65" s="658"/>
      <c r="J65" s="824" t="s">
        <v>818</v>
      </c>
      <c r="K65" s="928"/>
      <c r="L65" s="658"/>
      <c r="M65" s="1796" t="s">
        <v>114</v>
      </c>
      <c r="N65" s="1797"/>
      <c r="O65" s="1576" t="s">
        <v>817</v>
      </c>
      <c r="P65" s="1577"/>
      <c r="Q65" s="1578" t="s">
        <v>867</v>
      </c>
      <c r="R65" s="1579"/>
      <c r="S65" s="1578" t="s">
        <v>868</v>
      </c>
      <c r="T65" s="1579"/>
      <c r="U65" s="658"/>
      <c r="V65" s="658"/>
      <c r="W65" s="658"/>
      <c r="X65" s="375"/>
      <c r="Y65" s="375"/>
      <c r="Z65" s="375"/>
      <c r="AA65" s="836"/>
      <c r="AB65" s="836"/>
    </row>
    <row r="66" spans="1:28" ht="54" hidden="1" customHeight="1">
      <c r="A66" s="658"/>
      <c r="B66" s="1773" t="s">
        <v>915</v>
      </c>
      <c r="C66" s="1773"/>
      <c r="D66" s="1773"/>
      <c r="E66" s="1773"/>
      <c r="F66" s="1773"/>
      <c r="G66" s="822"/>
      <c r="H66" s="658"/>
      <c r="I66" s="658"/>
      <c r="J66" s="1100"/>
      <c r="K66" s="940" t="s">
        <v>186</v>
      </c>
      <c r="L66" s="944" t="s">
        <v>892</v>
      </c>
      <c r="M66" s="179" t="str">
        <f>"A×賃金改善率（"&amp;$I$5&amp;"％）"</f>
        <v>A×賃金改善率（％）</v>
      </c>
      <c r="N66" s="180" t="str">
        <f>CONCATENATE("×利用児童数×",$AD$2,"月")</f>
        <v>×利用児童数×0月</v>
      </c>
      <c r="O66" s="189" t="str">
        <f>"A×加算Ⅰ新規事由に係る率（"&amp;$I$6&amp;"％）"</f>
        <v>A×加算Ⅰ新規事由に係る率（％）</v>
      </c>
      <c r="P66" s="181" t="str">
        <f>CONCATENATE("×利用児童数×",$AD$2,"月")</f>
        <v>×利用児童数×0月</v>
      </c>
      <c r="Q66" s="189" t="str">
        <f>"A×人勧影響率（"&amp;$I$8&amp;"％）"</f>
        <v>A×人勧影響率（％）</v>
      </c>
      <c r="R66" s="181" t="str">
        <f>CONCATENATE("×利用児童数×",$AD$2,"月")</f>
        <v>×利用児童数×0月</v>
      </c>
      <c r="S66" s="189" t="str">
        <f>"A×人勧影響率（"&amp;$I$10&amp;"％）"</f>
        <v>A×人勧影響率（％）</v>
      </c>
      <c r="T66" s="181" t="str">
        <f>CONCATENATE("×利用児童数×",$AD$2,"月")</f>
        <v>×利用児童数×0月</v>
      </c>
      <c r="U66" s="658"/>
      <c r="V66" s="658"/>
      <c r="W66" s="658"/>
      <c r="X66" s="375"/>
      <c r="Y66" s="375"/>
      <c r="Z66" s="375"/>
      <c r="AA66" s="843"/>
      <c r="AB66" s="839"/>
    </row>
    <row r="67" spans="1:28" ht="18.75" hidden="1" customHeight="1">
      <c r="A67" s="658"/>
      <c r="B67" s="1773"/>
      <c r="C67" s="1773"/>
      <c r="D67" s="1773"/>
      <c r="E67" s="1773"/>
      <c r="F67" s="1773"/>
      <c r="G67" s="1774">
        <f>$N$91</f>
        <v>0</v>
      </c>
      <c r="H67" s="1774"/>
      <c r="I67" s="658"/>
      <c r="J67" s="886"/>
      <c r="K67" s="865" t="s">
        <v>6</v>
      </c>
      <c r="L67" s="957">
        <f>'入力（児童数-本園)'!W3</f>
        <v>0</v>
      </c>
      <c r="M67" s="827">
        <f>$V33*$I$5</f>
        <v>0</v>
      </c>
      <c r="N67" s="818">
        <f>M67*$L67*$AD$2</f>
        <v>0</v>
      </c>
      <c r="O67" s="817">
        <f>ROUNDDOWN($V33*$I$6,0)</f>
        <v>0</v>
      </c>
      <c r="P67" s="828">
        <f>O67*$L67*$AD$2</f>
        <v>0</v>
      </c>
      <c r="Q67" s="870">
        <f>ROUNDDOWN($V33*$I$8,0)</f>
        <v>0</v>
      </c>
      <c r="R67" s="848">
        <f>Q67*$L67*$AD$2</f>
        <v>0</v>
      </c>
      <c r="S67" s="817">
        <f>ROUNDDOWN($V33*$I$10,0)</f>
        <v>0</v>
      </c>
      <c r="T67" s="828">
        <f>S67*$L67*$AD$2</f>
        <v>0</v>
      </c>
      <c r="U67" s="658"/>
      <c r="V67" s="658"/>
      <c r="W67" s="658"/>
    </row>
    <row r="68" spans="1:28" ht="20.100000000000001" hidden="1" customHeight="1">
      <c r="A68" s="658"/>
      <c r="B68" s="1772" t="str">
        <f>CONCATENATE("（賃金改善要件（",I5,"％）分）")</f>
        <v>（賃金改善要件（％）分）</v>
      </c>
      <c r="C68" s="1772"/>
      <c r="D68" s="1772"/>
      <c r="E68" s="1772"/>
      <c r="F68" s="1772"/>
      <c r="G68" s="658"/>
      <c r="H68" s="658"/>
      <c r="I68" s="658"/>
      <c r="J68" s="886"/>
      <c r="K68" s="865" t="s">
        <v>7</v>
      </c>
      <c r="L68" s="957">
        <f>'入力（児童数-本園)'!W4</f>
        <v>0</v>
      </c>
      <c r="M68" s="827">
        <f>$V34*$I$5</f>
        <v>0</v>
      </c>
      <c r="N68" s="818">
        <f>M68*$L68*$AD$2</f>
        <v>0</v>
      </c>
      <c r="O68" s="817">
        <f>ROUNDDOWN($V34*$I$6,0)</f>
        <v>0</v>
      </c>
      <c r="P68" s="828">
        <f>O68*$L68*$AD$2</f>
        <v>0</v>
      </c>
      <c r="Q68" s="870">
        <f>ROUNDDOWN($V34*$I$8,0)</f>
        <v>0</v>
      </c>
      <c r="R68" s="848">
        <f>Q68*$L68*$AD$2</f>
        <v>0</v>
      </c>
      <c r="S68" s="817">
        <f>ROUNDDOWN($V34*$I$10,0)</f>
        <v>0</v>
      </c>
      <c r="T68" s="828">
        <f>S68*$L68*$AD$2</f>
        <v>0</v>
      </c>
      <c r="U68" s="658"/>
      <c r="V68" s="658"/>
      <c r="W68" s="658"/>
      <c r="Y68" s="869"/>
      <c r="Z68" s="869"/>
    </row>
    <row r="69" spans="1:28" ht="20.100000000000001" hidden="1" customHeight="1">
      <c r="A69" s="658"/>
      <c r="B69" s="1772"/>
      <c r="C69" s="1772"/>
      <c r="D69" s="1772"/>
      <c r="E69" s="1772"/>
      <c r="F69" s="1772"/>
      <c r="G69" s="822"/>
      <c r="H69" s="658"/>
      <c r="I69" s="658"/>
      <c r="J69" s="886"/>
      <c r="K69" s="865" t="s">
        <v>8</v>
      </c>
      <c r="L69" s="960">
        <f>'入力（児童数-本園)'!W5</f>
        <v>0</v>
      </c>
      <c r="M69" s="827">
        <f>$V35*$I$5</f>
        <v>0</v>
      </c>
      <c r="N69" s="818">
        <f>M69*$L69*$AD$2</f>
        <v>0</v>
      </c>
      <c r="O69" s="817">
        <f>ROUNDDOWN($V35*$I$6,0)</f>
        <v>0</v>
      </c>
      <c r="P69" s="828">
        <f>O69*$L69*$AD$2</f>
        <v>0</v>
      </c>
      <c r="Q69" s="870">
        <f>ROUNDDOWN($V35*$I$8,0)</f>
        <v>0</v>
      </c>
      <c r="R69" s="848">
        <f>Q69*$L69*$AD$2</f>
        <v>0</v>
      </c>
      <c r="S69" s="817">
        <f>ROUNDDOWN($V35*$I$10,0)</f>
        <v>0</v>
      </c>
      <c r="T69" s="828">
        <f>S69*$L69*$AD$2</f>
        <v>0</v>
      </c>
      <c r="U69" s="658"/>
      <c r="V69" s="658"/>
      <c r="W69" s="658"/>
      <c r="Y69" s="869"/>
      <c r="Z69" s="869"/>
    </row>
    <row r="70" spans="1:28" ht="54" hidden="1" customHeight="1">
      <c r="A70" s="658"/>
      <c r="B70" s="658"/>
      <c r="C70" s="1798" t="s">
        <v>964</v>
      </c>
      <c r="D70" s="1798"/>
      <c r="E70" s="1798"/>
      <c r="F70" s="1798"/>
      <c r="G70" s="1798"/>
      <c r="H70" s="1798"/>
      <c r="I70" s="1799"/>
      <c r="J70" s="886"/>
      <c r="K70" s="949" t="s">
        <v>101</v>
      </c>
      <c r="L70" s="951" t="s">
        <v>892</v>
      </c>
      <c r="M70" s="179" t="str">
        <f>"B×賃金改善率（"&amp;$I$5&amp;"％）"</f>
        <v>B×賃金改善率（％）</v>
      </c>
      <c r="N70" s="180" t="str">
        <f>CONCATENATE("×利用児童数×",$AD$2,"月")</f>
        <v>×利用児童数×0月</v>
      </c>
      <c r="O70" s="189" t="str">
        <f>"B×加算Ⅰ新規事由に係る率（"&amp;$I$6&amp;"％）"</f>
        <v>B×加算Ⅰ新規事由に係る率（％）</v>
      </c>
      <c r="P70" s="181" t="str">
        <f>CONCATENATE("×利用児童数×",$AD$2,"月")</f>
        <v>×利用児童数×0月</v>
      </c>
      <c r="Q70" s="189" t="str">
        <f>"B×人勧影響率（"&amp;$I$8&amp;"％）"</f>
        <v>B×人勧影響率（％）</v>
      </c>
      <c r="R70" s="181" t="str">
        <f>CONCATENATE("×利用児童数×",$AD$2,"月")</f>
        <v>×利用児童数×0月</v>
      </c>
      <c r="S70" s="189" t="str">
        <f>"B×人勧影響率（"&amp;$I$10&amp;"％）"</f>
        <v>B×人勧影響率（％）</v>
      </c>
      <c r="T70" s="181" t="str">
        <f>CONCATENATE("×利用児童数×",$AD$2,"月")</f>
        <v>×利用児童数×0月</v>
      </c>
      <c r="U70" s="658"/>
      <c r="V70" s="658"/>
      <c r="W70" s="658"/>
      <c r="Y70" s="869"/>
      <c r="Z70" s="869"/>
    </row>
    <row r="71" spans="1:28" hidden="1">
      <c r="A71" s="658"/>
      <c r="B71" s="658"/>
      <c r="C71" s="658"/>
      <c r="D71" s="658"/>
      <c r="E71" s="658"/>
      <c r="F71" s="658"/>
      <c r="G71" s="658"/>
      <c r="H71" s="658"/>
      <c r="I71" s="658"/>
      <c r="J71" s="1099" t="s">
        <v>112</v>
      </c>
      <c r="K71" s="865" t="s">
        <v>203</v>
      </c>
      <c r="L71" s="957">
        <f>'入力（児童数-本園)'!Y3</f>
        <v>0</v>
      </c>
      <c r="M71" s="827">
        <f>$V38*$I$5</f>
        <v>0</v>
      </c>
      <c r="N71" s="864">
        <f>M71*$L71*$AD$2</f>
        <v>0</v>
      </c>
      <c r="O71" s="817">
        <f>ROUNDDOWN($V38*$I$6,0)</f>
        <v>0</v>
      </c>
      <c r="P71" s="848">
        <f>O71*$L71*$AD$2</f>
        <v>0</v>
      </c>
      <c r="Q71" s="870">
        <f>ROUNDDOWN($V38*$I$8,0)</f>
        <v>0</v>
      </c>
      <c r="R71" s="848">
        <f>Q71*$L71*$AD$2</f>
        <v>0</v>
      </c>
      <c r="S71" s="817">
        <f>ROUNDDOWN($V38*$I$10,0)</f>
        <v>0</v>
      </c>
      <c r="T71" s="848">
        <f>S71*$L71*$AD$2</f>
        <v>0</v>
      </c>
      <c r="U71" s="658"/>
      <c r="V71" s="658"/>
      <c r="W71" s="658"/>
      <c r="Y71" s="869"/>
      <c r="Z71" s="869"/>
    </row>
    <row r="72" spans="1:28" ht="20.100000000000001" hidden="1" customHeight="1">
      <c r="A72" s="658"/>
      <c r="B72" s="835"/>
      <c r="C72" s="835"/>
      <c r="D72" s="835"/>
      <c r="E72" s="835"/>
      <c r="F72" s="835"/>
      <c r="G72" s="822"/>
      <c r="H72" s="658"/>
      <c r="I72" s="658"/>
      <c r="J72" s="886"/>
      <c r="K72" s="865" t="s">
        <v>153</v>
      </c>
      <c r="L72" s="957">
        <f>'入力（児童数-本園)'!Y4</f>
        <v>0</v>
      </c>
      <c r="M72" s="827">
        <f>$V39*$I$5</f>
        <v>0</v>
      </c>
      <c r="N72" s="864">
        <f>M72*$L72*$AD$2</f>
        <v>0</v>
      </c>
      <c r="O72" s="817">
        <f>ROUNDDOWN($V39*$I$6,0)</f>
        <v>0</v>
      </c>
      <c r="P72" s="848">
        <f>O72*$L72*$AD$2</f>
        <v>0</v>
      </c>
      <c r="Q72" s="870">
        <f>ROUNDDOWN($V39*$I$8,0)</f>
        <v>0</v>
      </c>
      <c r="R72" s="848">
        <f>Q72*$L72*$AD$2</f>
        <v>0</v>
      </c>
      <c r="S72" s="817">
        <f>ROUNDDOWN($V39*$I$10,0)</f>
        <v>0</v>
      </c>
      <c r="T72" s="848">
        <f>S72*$L72*$AD$2</f>
        <v>0</v>
      </c>
      <c r="U72" s="658"/>
      <c r="V72" s="658"/>
      <c r="W72" s="658"/>
      <c r="Y72" s="869"/>
      <c r="Z72" s="869"/>
    </row>
    <row r="73" spans="1:28" ht="20.100000000000001" hidden="1" customHeight="1">
      <c r="A73" s="658"/>
      <c r="B73" s="1725" t="s">
        <v>814</v>
      </c>
      <c r="C73" s="1725"/>
      <c r="D73" s="1725"/>
      <c r="E73" s="1725"/>
      <c r="F73" s="1725"/>
      <c r="G73" s="1756">
        <f>$P$91</f>
        <v>0</v>
      </c>
      <c r="H73" s="1756"/>
      <c r="I73" s="658"/>
      <c r="J73" s="886"/>
      <c r="K73" s="865" t="s">
        <v>7</v>
      </c>
      <c r="L73" s="957">
        <f>'入力（児童数-本園)'!Y5</f>
        <v>0</v>
      </c>
      <c r="M73" s="827">
        <f>$V40*$I$5</f>
        <v>0</v>
      </c>
      <c r="N73" s="864">
        <f>M73*$L73*$AD$2</f>
        <v>0</v>
      </c>
      <c r="O73" s="817">
        <f>ROUNDDOWN($V40*$I$6,0)</f>
        <v>0</v>
      </c>
      <c r="P73" s="848">
        <f>O73*$L73*$AD$2</f>
        <v>0</v>
      </c>
      <c r="Q73" s="870">
        <f>ROUNDDOWN($V40*$I$8,0)</f>
        <v>0</v>
      </c>
      <c r="R73" s="848">
        <f>Q73*$L73*$AD$2</f>
        <v>0</v>
      </c>
      <c r="S73" s="817">
        <f>ROUNDDOWN($V40*$I$10,0)</f>
        <v>0</v>
      </c>
      <c r="T73" s="848">
        <f>S73*$L73*$AD$2</f>
        <v>0</v>
      </c>
      <c r="U73" s="658"/>
      <c r="V73" s="658"/>
      <c r="W73" s="658"/>
      <c r="Y73" s="869"/>
      <c r="Z73" s="869"/>
    </row>
    <row r="74" spans="1:28" ht="20.100000000000001" hidden="1" customHeight="1">
      <c r="A74" s="658"/>
      <c r="B74" s="1772" t="str">
        <f>CONCATENATE("（加算Ⅰ新規事由に係る加算率（",I6,"％）分）")</f>
        <v>（加算Ⅰ新規事由に係る加算率（％）分）</v>
      </c>
      <c r="C74" s="1772"/>
      <c r="D74" s="1772"/>
      <c r="E74" s="1772"/>
      <c r="F74" s="1772"/>
      <c r="G74" s="658"/>
      <c r="H74" s="658"/>
      <c r="I74" s="658"/>
      <c r="J74" s="886"/>
      <c r="K74" s="865" t="s">
        <v>8</v>
      </c>
      <c r="L74" s="957">
        <f>'入力（児童数-本園)'!Y6</f>
        <v>0</v>
      </c>
      <c r="M74" s="827">
        <f>$V41*$I$5</f>
        <v>0</v>
      </c>
      <c r="N74" s="864">
        <f>M74*$L74*$AD$2</f>
        <v>0</v>
      </c>
      <c r="O74" s="817">
        <f>ROUNDDOWN($V41*$I$6,0)</f>
        <v>0</v>
      </c>
      <c r="P74" s="848">
        <f>O74*$L74*$AD$2</f>
        <v>0</v>
      </c>
      <c r="Q74" s="870">
        <f>ROUNDDOWN($V41*$I$8,0)</f>
        <v>0</v>
      </c>
      <c r="R74" s="848">
        <f>Q74*$L74*$AD$2</f>
        <v>0</v>
      </c>
      <c r="S74" s="817">
        <f>ROUNDDOWN($V41*$I$10,0)</f>
        <v>0</v>
      </c>
      <c r="T74" s="848">
        <f>S74*$L74*$AD$2</f>
        <v>0</v>
      </c>
      <c r="U74" s="658"/>
      <c r="V74" s="658"/>
      <c r="W74" s="658"/>
      <c r="Y74" s="869"/>
      <c r="Z74" s="869"/>
    </row>
    <row r="75" spans="1:28" ht="54" hidden="1" customHeight="1">
      <c r="A75" s="658"/>
      <c r="B75" s="1772"/>
      <c r="C75" s="1772"/>
      <c r="D75" s="1772"/>
      <c r="E75" s="1772"/>
      <c r="F75" s="1772"/>
      <c r="G75" s="822"/>
      <c r="H75" s="658"/>
      <c r="I75" s="658"/>
      <c r="J75" s="886"/>
      <c r="K75" s="949" t="s">
        <v>205</v>
      </c>
      <c r="L75" s="951" t="s">
        <v>892</v>
      </c>
      <c r="M75" s="179" t="str">
        <f>"C×賃金改善率（"&amp;$I$5&amp;"％）"</f>
        <v>C×賃金改善率（％）</v>
      </c>
      <c r="N75" s="180" t="str">
        <f>CONCATENATE("×利用児童数×",$AD$2,"月")</f>
        <v>×利用児童数×0月</v>
      </c>
      <c r="O75" s="189" t="str">
        <f>"C×加算Ⅰ新規事由に係る率（"&amp;$I$6&amp;"％）"</f>
        <v>C×加算Ⅰ新規事由に係る率（％）</v>
      </c>
      <c r="P75" s="181" t="str">
        <f>CONCATENATE("×利用児童数×",$AD$2,"月")</f>
        <v>×利用児童数×0月</v>
      </c>
      <c r="Q75" s="189" t="str">
        <f>"C×人勧影響率（"&amp;$I$8&amp;"％）"</f>
        <v>C×人勧影響率（％）</v>
      </c>
      <c r="R75" s="181" t="str">
        <f>CONCATENATE("×利用児童数×",$AD$2,"月")</f>
        <v>×利用児童数×0月</v>
      </c>
      <c r="S75" s="189" t="str">
        <f>"C×人勧影響率（"&amp;$I$10&amp;"％）"</f>
        <v>C×人勧影響率（％）</v>
      </c>
      <c r="T75" s="181" t="str">
        <f>CONCATENATE("×利用児童数×",$AD$2,"月")</f>
        <v>×利用児童数×0月</v>
      </c>
      <c r="U75" s="658"/>
      <c r="V75" s="658"/>
      <c r="W75" s="658"/>
      <c r="Y75" s="869"/>
      <c r="Z75" s="869"/>
    </row>
    <row r="76" spans="1:28" hidden="1">
      <c r="A76" s="658"/>
      <c r="B76" s="1725" t="s">
        <v>813</v>
      </c>
      <c r="C76" s="1725"/>
      <c r="D76" s="1725"/>
      <c r="E76" s="1725"/>
      <c r="F76" s="1725"/>
      <c r="G76" s="658"/>
      <c r="H76" s="658"/>
      <c r="I76" s="658"/>
      <c r="J76" s="886"/>
      <c r="K76" s="865" t="s">
        <v>203</v>
      </c>
      <c r="L76" s="957">
        <f>'入力（児童数-本園)'!Z3</f>
        <v>0</v>
      </c>
      <c r="M76" s="827">
        <f>$V44*$I$5</f>
        <v>0</v>
      </c>
      <c r="N76" s="864">
        <f>M76*$L76*$AD$2</f>
        <v>0</v>
      </c>
      <c r="O76" s="817">
        <f>ROUNDDOWN($V44*$I$6,0)</f>
        <v>0</v>
      </c>
      <c r="P76" s="848">
        <f>O76*$L76*$AD$2</f>
        <v>0</v>
      </c>
      <c r="Q76" s="870">
        <f>ROUNDDOWN($V44*$I$8,0)</f>
        <v>0</v>
      </c>
      <c r="R76" s="848">
        <f>Q76*$L76*$AD$2</f>
        <v>0</v>
      </c>
      <c r="S76" s="817">
        <f>ROUNDDOWN($V44*$I$10,0)</f>
        <v>0</v>
      </c>
      <c r="T76" s="848">
        <f>S76*$L76*$AD$2</f>
        <v>0</v>
      </c>
      <c r="U76" s="658"/>
      <c r="V76" s="658"/>
      <c r="W76" s="658"/>
      <c r="Y76" s="869"/>
      <c r="Z76" s="869"/>
    </row>
    <row r="77" spans="1:28" ht="19.5" hidden="1" customHeight="1">
      <c r="A77" s="658"/>
      <c r="B77" s="1725"/>
      <c r="C77" s="1725"/>
      <c r="D77" s="1725"/>
      <c r="E77" s="1725"/>
      <c r="F77" s="1725"/>
      <c r="G77" s="1795">
        <f>$R$91</f>
        <v>0</v>
      </c>
      <c r="H77" s="1795"/>
      <c r="I77" s="658"/>
      <c r="J77" s="886"/>
      <c r="K77" s="865" t="s">
        <v>153</v>
      </c>
      <c r="L77" s="957">
        <f>'入力（児童数-本園)'!Z4</f>
        <v>0</v>
      </c>
      <c r="M77" s="827">
        <f>$V45*$I$5</f>
        <v>0</v>
      </c>
      <c r="N77" s="864">
        <f>M77*$L77*$AD$2</f>
        <v>0</v>
      </c>
      <c r="O77" s="817">
        <f>ROUNDDOWN($V45*$I$6,0)</f>
        <v>0</v>
      </c>
      <c r="P77" s="848">
        <f>O77*$L77*$AD$2</f>
        <v>0</v>
      </c>
      <c r="Q77" s="870">
        <f>ROUNDDOWN($V45*$I$8,0)</f>
        <v>0</v>
      </c>
      <c r="R77" s="848">
        <f>Q77*$L77*$AD$2</f>
        <v>0</v>
      </c>
      <c r="S77" s="817">
        <f>ROUNDDOWN($V45*$I$10,0)</f>
        <v>0</v>
      </c>
      <c r="T77" s="848">
        <f>S77*$L77*$AD$2</f>
        <v>0</v>
      </c>
      <c r="U77" s="658"/>
      <c r="V77" s="658"/>
      <c r="W77" s="658"/>
      <c r="Y77" s="869"/>
      <c r="Z77" s="869"/>
    </row>
    <row r="78" spans="1:28" ht="20.100000000000001" hidden="1" customHeight="1">
      <c r="A78" s="658"/>
      <c r="B78" s="1772" t="str">
        <f>CONCATENATE("（処遇Ⅰの基準年度の翌年～当年度まで（",I8,"％）分）")</f>
        <v>（処遇Ⅰの基準年度の翌年～当年度まで（％）分）</v>
      </c>
      <c r="C78" s="1772"/>
      <c r="D78" s="1772"/>
      <c r="E78" s="1772"/>
      <c r="F78" s="1772"/>
      <c r="G78" s="658"/>
      <c r="H78" s="658"/>
      <c r="I78" s="658"/>
      <c r="J78" s="886"/>
      <c r="K78" s="865" t="s">
        <v>7</v>
      </c>
      <c r="L78" s="957">
        <f>'入力（児童数-本園)'!Z5</f>
        <v>0</v>
      </c>
      <c r="M78" s="827">
        <f>$V46*$I$5</f>
        <v>0</v>
      </c>
      <c r="N78" s="864">
        <f>M78*$L78*$AD$2</f>
        <v>0</v>
      </c>
      <c r="O78" s="817">
        <f>ROUNDDOWN($V46*$I$6,0)</f>
        <v>0</v>
      </c>
      <c r="P78" s="848">
        <f>O78*$L78*$AD$2</f>
        <v>0</v>
      </c>
      <c r="Q78" s="870">
        <f>ROUNDDOWN($V46*$I$8,0)</f>
        <v>0</v>
      </c>
      <c r="R78" s="848">
        <f>Q78*$L78*$AD$2</f>
        <v>0</v>
      </c>
      <c r="S78" s="817">
        <f>ROUNDDOWN($V46*$I$10,0)</f>
        <v>0</v>
      </c>
      <c r="T78" s="848">
        <f>S78*$L78*$AD$2</f>
        <v>0</v>
      </c>
      <c r="U78" s="658"/>
      <c r="V78" s="658"/>
      <c r="W78" s="658"/>
      <c r="Y78" s="869"/>
      <c r="Z78" s="869"/>
    </row>
    <row r="79" spans="1:28" ht="20.100000000000001" hidden="1" customHeight="1">
      <c r="A79" s="658"/>
      <c r="B79" s="1772"/>
      <c r="C79" s="1772"/>
      <c r="D79" s="1772"/>
      <c r="E79" s="1772"/>
      <c r="F79" s="1772"/>
      <c r="G79" s="658"/>
      <c r="H79" s="658"/>
      <c r="I79" s="658"/>
      <c r="J79" s="1101"/>
      <c r="K79" s="865" t="s">
        <v>8</v>
      </c>
      <c r="L79" s="957">
        <f>'入力（児童数-本園)'!Z6</f>
        <v>0</v>
      </c>
      <c r="M79" s="827">
        <f>$V47*$I$5</f>
        <v>0</v>
      </c>
      <c r="N79" s="864">
        <f>M79*$L79*$AD$2</f>
        <v>0</v>
      </c>
      <c r="O79" s="817">
        <f>ROUNDDOWN($V47*$I$6,0)</f>
        <v>0</v>
      </c>
      <c r="P79" s="848">
        <f>O79*$L79*$AD$2</f>
        <v>0</v>
      </c>
      <c r="Q79" s="870">
        <f>ROUNDDOWN($V47*$I$8,0)</f>
        <v>0</v>
      </c>
      <c r="R79" s="848">
        <f>Q79*$L79*$AD$2</f>
        <v>0</v>
      </c>
      <c r="S79" s="817">
        <f>ROUNDDOWN($V47*$I$10,0)</f>
        <v>0</v>
      </c>
      <c r="T79" s="848">
        <f>S79*$L79*$AD$2</f>
        <v>0</v>
      </c>
      <c r="U79" s="658"/>
      <c r="V79" s="658"/>
      <c r="W79" s="658"/>
      <c r="Y79" s="869"/>
      <c r="Z79" s="869"/>
    </row>
    <row r="80" spans="1:28" ht="20.100000000000001" hidden="1" customHeight="1">
      <c r="A80" s="658"/>
      <c r="B80" s="658"/>
      <c r="C80" s="658"/>
      <c r="D80" s="658"/>
      <c r="E80" s="658"/>
      <c r="F80" s="658"/>
      <c r="G80" s="658"/>
      <c r="H80" s="658"/>
      <c r="I80" s="658"/>
      <c r="J80" s="658"/>
      <c r="K80" s="926"/>
      <c r="L80" s="948"/>
      <c r="M80" s="865"/>
      <c r="N80" s="861"/>
      <c r="O80" s="861"/>
      <c r="P80" s="866"/>
      <c r="Q80" s="861"/>
      <c r="R80" s="866"/>
      <c r="S80" s="861"/>
      <c r="T80" s="866"/>
      <c r="U80" s="658"/>
      <c r="V80" s="658"/>
      <c r="W80" s="658"/>
      <c r="Y80" s="869"/>
      <c r="Z80" s="869"/>
    </row>
    <row r="81" spans="1:26" ht="54" hidden="1" customHeight="1">
      <c r="A81" s="658"/>
      <c r="B81" s="1725" t="s">
        <v>889</v>
      </c>
      <c r="C81" s="1725"/>
      <c r="D81" s="1725"/>
      <c r="E81" s="1725"/>
      <c r="F81" s="1725"/>
      <c r="G81" s="658"/>
      <c r="H81" s="658"/>
      <c r="I81" s="658"/>
      <c r="J81" s="1746" t="s">
        <v>113</v>
      </c>
      <c r="K81" s="949" t="s">
        <v>101</v>
      </c>
      <c r="L81" s="951" t="s">
        <v>892</v>
      </c>
      <c r="M81" s="179" t="str">
        <f>"D×賃金改善率（"&amp;$I$5&amp;"％）"</f>
        <v>D×賃金改善率（％）</v>
      </c>
      <c r="N81" s="189" t="str">
        <f>CONCATENATE("×利用児童数×",$AD$2,"月")</f>
        <v>×利用児童数×0月</v>
      </c>
      <c r="O81" s="189" t="str">
        <f>"D×加算Ⅰ新規事由に係る率（"&amp;$I$6&amp;"％）"</f>
        <v>D×加算Ⅰ新規事由に係る率（％）</v>
      </c>
      <c r="P81" s="181" t="str">
        <f>CONCATENATE("×利用児童数×",$AD$2,"月")</f>
        <v>×利用児童数×0月</v>
      </c>
      <c r="Q81" s="189" t="str">
        <f>"D×人勧影響率（"&amp;$I$8&amp;"％）"</f>
        <v>D×人勧影響率（％）</v>
      </c>
      <c r="R81" s="181" t="str">
        <f>CONCATENATE("×利用児童数×",$AD$2,"月")</f>
        <v>×利用児童数×0月</v>
      </c>
      <c r="S81" s="189" t="str">
        <f>"D×人勧影響率（"&amp;$I$10&amp;"％）"</f>
        <v>D×人勧影響率（％）</v>
      </c>
      <c r="T81" s="181" t="str">
        <f>CONCATENATE("×利用児童数×",$AD$2,"月")</f>
        <v>×利用児童数×0月</v>
      </c>
      <c r="U81" s="658"/>
      <c r="V81" s="658"/>
      <c r="W81" s="658"/>
      <c r="Y81" s="869"/>
      <c r="Z81" s="869"/>
    </row>
    <row r="82" spans="1:26" ht="18.75" hidden="1" customHeight="1">
      <c r="A82" s="658"/>
      <c r="B82" s="1725"/>
      <c r="C82" s="1725"/>
      <c r="D82" s="1725"/>
      <c r="E82" s="1725"/>
      <c r="F82" s="1725"/>
      <c r="G82" s="1795">
        <f>$T$91</f>
        <v>0</v>
      </c>
      <c r="H82" s="1795"/>
      <c r="I82" s="658"/>
      <c r="J82" s="1747"/>
      <c r="K82" s="865" t="s">
        <v>203</v>
      </c>
      <c r="L82" s="957">
        <f>'入力（児童数-分園)'!W3</f>
        <v>0</v>
      </c>
      <c r="M82" s="827">
        <f>$V51*$I$5</f>
        <v>0</v>
      </c>
      <c r="N82" s="864">
        <f>M82*$L82*$AD$2</f>
        <v>0</v>
      </c>
      <c r="O82" s="817">
        <f>ROUNDDOWN($V51*$I$6,0)</f>
        <v>0</v>
      </c>
      <c r="P82" s="848">
        <f>O82*$L82*$AD$2</f>
        <v>0</v>
      </c>
      <c r="Q82" s="870">
        <f>ROUNDDOWN($V51*$I$8,0)</f>
        <v>0</v>
      </c>
      <c r="R82" s="848">
        <f>Q82*$L82*$AD$2</f>
        <v>0</v>
      </c>
      <c r="S82" s="817">
        <f>ROUNDDOWN($V51*$I$10,0)</f>
        <v>0</v>
      </c>
      <c r="T82" s="848">
        <f>S82*$L82*$AD$2</f>
        <v>0</v>
      </c>
      <c r="U82" s="658"/>
      <c r="V82" s="658"/>
      <c r="W82" s="658"/>
      <c r="Y82" s="869"/>
      <c r="Z82" s="869"/>
    </row>
    <row r="83" spans="1:26" ht="20.100000000000001" hidden="1" customHeight="1">
      <c r="A83" s="658"/>
      <c r="B83" s="1772" t="str">
        <f>CONCATENATE("（処遇Ⅱの基準年度の翌年～当年度まで（",I10,"％）分）")</f>
        <v>（処遇Ⅱの基準年度の翌年～当年度まで（％）分）</v>
      </c>
      <c r="C83" s="1772"/>
      <c r="D83" s="1772"/>
      <c r="E83" s="1772"/>
      <c r="F83" s="1772"/>
      <c r="G83" s="658"/>
      <c r="H83" s="658"/>
      <c r="I83" s="658"/>
      <c r="J83" s="1747"/>
      <c r="K83" s="865" t="s">
        <v>153</v>
      </c>
      <c r="L83" s="957">
        <f>'入力（児童数-分園)'!W4</f>
        <v>0</v>
      </c>
      <c r="M83" s="827">
        <f>$V52*$I$5</f>
        <v>0</v>
      </c>
      <c r="N83" s="864">
        <f>M83*$L83*$AD$2</f>
        <v>0</v>
      </c>
      <c r="O83" s="817">
        <f>ROUNDDOWN($V52*$I$6,0)</f>
        <v>0</v>
      </c>
      <c r="P83" s="848">
        <f>O83*$L83*$AD$2</f>
        <v>0</v>
      </c>
      <c r="Q83" s="870">
        <f>ROUNDDOWN($V52*$I$8,0)</f>
        <v>0</v>
      </c>
      <c r="R83" s="848">
        <f>Q83*$L83*$AD$2</f>
        <v>0</v>
      </c>
      <c r="S83" s="817">
        <f>ROUNDDOWN($V52*$I$10,0)</f>
        <v>0</v>
      </c>
      <c r="T83" s="848">
        <f>S83*$L83*$AD$2</f>
        <v>0</v>
      </c>
      <c r="U83" s="658"/>
      <c r="V83" s="658"/>
      <c r="W83" s="658"/>
      <c r="Y83" s="869"/>
      <c r="Z83" s="869"/>
    </row>
    <row r="84" spans="1:26" ht="20.100000000000001" hidden="1" customHeight="1">
      <c r="A84" s="658"/>
      <c r="B84" s="829"/>
      <c r="C84" s="829"/>
      <c r="D84" s="829"/>
      <c r="E84" s="829"/>
      <c r="F84" s="829"/>
      <c r="G84" s="658"/>
      <c r="H84" s="658"/>
      <c r="I84" s="658"/>
      <c r="J84" s="1747"/>
      <c r="K84" s="865" t="s">
        <v>7</v>
      </c>
      <c r="L84" s="957">
        <f>'入力（児童数-分園)'!W5</f>
        <v>0</v>
      </c>
      <c r="M84" s="827">
        <f>$V53*$I$5</f>
        <v>0</v>
      </c>
      <c r="N84" s="864">
        <f>M84*$L84*$AD$2</f>
        <v>0</v>
      </c>
      <c r="O84" s="817">
        <f>ROUNDDOWN($V53*$I$6,0)</f>
        <v>0</v>
      </c>
      <c r="P84" s="848">
        <f>O84*$L84*$AD$2</f>
        <v>0</v>
      </c>
      <c r="Q84" s="870">
        <f>ROUNDDOWN($V53*$I$8,0)</f>
        <v>0</v>
      </c>
      <c r="R84" s="848">
        <f>Q84*$L84*$AD$2</f>
        <v>0</v>
      </c>
      <c r="S84" s="817">
        <f>ROUNDDOWN($V53*$I$10,0)</f>
        <v>0</v>
      </c>
      <c r="T84" s="848">
        <f>S84*$L84*$AD$2</f>
        <v>0</v>
      </c>
      <c r="U84" s="658"/>
      <c r="V84" s="658"/>
      <c r="W84" s="658"/>
      <c r="Y84" s="869"/>
      <c r="Z84" s="869"/>
    </row>
    <row r="85" spans="1:26" ht="20.100000000000001" hidden="1" customHeight="1">
      <c r="A85" s="658"/>
      <c r="B85" s="658"/>
      <c r="C85" s="658"/>
      <c r="D85" s="658"/>
      <c r="E85" s="658"/>
      <c r="F85" s="658"/>
      <c r="G85" s="658"/>
      <c r="H85" s="658"/>
      <c r="I85" s="658"/>
      <c r="J85" s="1747"/>
      <c r="K85" s="865" t="s">
        <v>8</v>
      </c>
      <c r="L85" s="957">
        <f>'入力（児童数-分園)'!W6</f>
        <v>0</v>
      </c>
      <c r="M85" s="827">
        <f>$V54*$I$5</f>
        <v>0</v>
      </c>
      <c r="N85" s="864">
        <f>M85*$L85*$AD$2</f>
        <v>0</v>
      </c>
      <c r="O85" s="817">
        <f>ROUNDDOWN($V54*$I$6,0)</f>
        <v>0</v>
      </c>
      <c r="P85" s="848">
        <f>O85*$L85*$AD$2</f>
        <v>0</v>
      </c>
      <c r="Q85" s="870">
        <f>ROUNDDOWN($V54*$I$8,0)</f>
        <v>0</v>
      </c>
      <c r="R85" s="848">
        <f>Q85*$L85*$AD$2</f>
        <v>0</v>
      </c>
      <c r="S85" s="817">
        <f>ROUNDDOWN($V54*$I$10,0)</f>
        <v>0</v>
      </c>
      <c r="T85" s="848">
        <f>S85*$L85*$AD$2</f>
        <v>0</v>
      </c>
      <c r="U85" s="658"/>
      <c r="V85" s="658"/>
      <c r="W85" s="658"/>
      <c r="Y85" s="869"/>
      <c r="Z85" s="869"/>
    </row>
    <row r="86" spans="1:26" ht="51.75" hidden="1">
      <c r="A86" s="658"/>
      <c r="B86" s="658"/>
      <c r="C86" s="658"/>
      <c r="D86" s="658"/>
      <c r="E86" s="658"/>
      <c r="F86" s="658"/>
      <c r="G86" s="658"/>
      <c r="H86" s="658"/>
      <c r="I86" s="658"/>
      <c r="J86" s="1747"/>
      <c r="K86" s="949" t="s">
        <v>205</v>
      </c>
      <c r="L86" s="951" t="s">
        <v>892</v>
      </c>
      <c r="M86" s="179" t="str">
        <f>"E×賃金改善率（"&amp;$I$5&amp;"％）"</f>
        <v>E×賃金改善率（％）</v>
      </c>
      <c r="N86" s="180" t="str">
        <f>CONCATENATE("×利用児童数×",$AD$2,"月")</f>
        <v>×利用児童数×0月</v>
      </c>
      <c r="O86" s="189" t="str">
        <f>"E×加算Ⅰ新規事由に係る率（"&amp;$I$6&amp;"％）"</f>
        <v>E×加算Ⅰ新規事由に係る率（％）</v>
      </c>
      <c r="P86" s="181" t="str">
        <f>CONCATENATE("×利用児童数×",$AD$2,"月")</f>
        <v>×利用児童数×0月</v>
      </c>
      <c r="Q86" s="189" t="str">
        <f>"E×人勧影響率（"&amp;$I$8&amp;"％）"</f>
        <v>E×人勧影響率（％）</v>
      </c>
      <c r="R86" s="181" t="str">
        <f>CONCATENATE("×利用児童数×",$AD$2,"月")</f>
        <v>×利用児童数×0月</v>
      </c>
      <c r="S86" s="189" t="str">
        <f>"E×人勧影響率（"&amp;$I$10&amp;"％）"</f>
        <v>E×人勧影響率（％）</v>
      </c>
      <c r="T86" s="181" t="str">
        <f>CONCATENATE("×利用児童数×",$AD$2,"月")</f>
        <v>×利用児童数×0月</v>
      </c>
      <c r="U86" s="658"/>
      <c r="V86" s="658"/>
      <c r="W86" s="658"/>
      <c r="Y86" s="869"/>
      <c r="Z86" s="869"/>
    </row>
    <row r="87" spans="1:26" hidden="1">
      <c r="A87" s="658"/>
      <c r="B87" s="658"/>
      <c r="C87" s="658"/>
      <c r="D87" s="658"/>
      <c r="E87" s="658"/>
      <c r="F87" s="658"/>
      <c r="G87" s="658"/>
      <c r="H87" s="658"/>
      <c r="I87" s="658"/>
      <c r="J87" s="1747"/>
      <c r="K87" s="865" t="s">
        <v>203</v>
      </c>
      <c r="L87" s="957">
        <f>'入力（児童数-分園)'!X3</f>
        <v>0</v>
      </c>
      <c r="M87" s="827">
        <f>$V57*$I$5</f>
        <v>0</v>
      </c>
      <c r="N87" s="190">
        <f>M87*$L87*$AD$2</f>
        <v>0</v>
      </c>
      <c r="O87" s="817">
        <f>ROUNDDOWN($V57*$I$6,0)</f>
        <v>0</v>
      </c>
      <c r="P87" s="828">
        <f>O87*$L87*$AD$2</f>
        <v>0</v>
      </c>
      <c r="Q87" s="870">
        <f>ROUNDDOWN($V57*$I$8,0)</f>
        <v>0</v>
      </c>
      <c r="R87" s="848">
        <f>Q87*$L87*$AD$2</f>
        <v>0</v>
      </c>
      <c r="S87" s="817">
        <f>ROUNDDOWN($V57*$I$10,0)</f>
        <v>0</v>
      </c>
      <c r="T87" s="828">
        <f>S87*$L87*$AD$2</f>
        <v>0</v>
      </c>
      <c r="U87" s="658"/>
      <c r="V87" s="658"/>
      <c r="W87" s="658"/>
      <c r="Y87" s="869"/>
      <c r="Z87" s="869"/>
    </row>
    <row r="88" spans="1:26" ht="20.100000000000001" hidden="1" customHeight="1">
      <c r="A88" s="658"/>
      <c r="B88" s="658"/>
      <c r="C88" s="658"/>
      <c r="D88" s="658"/>
      <c r="E88" s="658"/>
      <c r="F88" s="658"/>
      <c r="G88" s="658"/>
      <c r="H88" s="658"/>
      <c r="I88" s="658"/>
      <c r="J88" s="1747"/>
      <c r="K88" s="865" t="s">
        <v>153</v>
      </c>
      <c r="L88" s="957">
        <f>'入力（児童数-分園)'!X4</f>
        <v>0</v>
      </c>
      <c r="M88" s="827">
        <f>$V58*$I$5</f>
        <v>0</v>
      </c>
      <c r="N88" s="818">
        <f>M88*$L88*$AD$2</f>
        <v>0</v>
      </c>
      <c r="O88" s="817">
        <f>ROUNDDOWN($V58*$I$6,0)</f>
        <v>0</v>
      </c>
      <c r="P88" s="828">
        <f>O88*$L88*$AD$2</f>
        <v>0</v>
      </c>
      <c r="Q88" s="870">
        <f>ROUNDDOWN($V58*$I$8,0)</f>
        <v>0</v>
      </c>
      <c r="R88" s="848">
        <f>Q88*$L88*$AD$2</f>
        <v>0</v>
      </c>
      <c r="S88" s="817">
        <f>ROUNDDOWN($V58*$I$10,0)</f>
        <v>0</v>
      </c>
      <c r="T88" s="828">
        <f>S88*$L88*$AD$2</f>
        <v>0</v>
      </c>
      <c r="U88" s="658"/>
      <c r="V88" s="658"/>
      <c r="W88" s="658"/>
      <c r="Y88" s="869"/>
      <c r="Z88" s="869"/>
    </row>
    <row r="89" spans="1:26" ht="20.100000000000001" hidden="1" customHeight="1">
      <c r="A89" s="658"/>
      <c r="B89" s="658"/>
      <c r="C89" s="658"/>
      <c r="D89" s="658"/>
      <c r="E89" s="658"/>
      <c r="F89" s="658"/>
      <c r="G89" s="658"/>
      <c r="H89" s="658"/>
      <c r="I89" s="658"/>
      <c r="J89" s="1747"/>
      <c r="K89" s="865" t="s">
        <v>7</v>
      </c>
      <c r="L89" s="957">
        <f>'入力（児童数-分園)'!X5</f>
        <v>0</v>
      </c>
      <c r="M89" s="827">
        <f>$V59*$I$5</f>
        <v>0</v>
      </c>
      <c r="N89" s="818">
        <f>M89*$L89*$AD$2</f>
        <v>0</v>
      </c>
      <c r="O89" s="817">
        <f>ROUNDDOWN($V59*$I$6,0)</f>
        <v>0</v>
      </c>
      <c r="P89" s="828">
        <f>O89*$L89*$AD$2</f>
        <v>0</v>
      </c>
      <c r="Q89" s="870">
        <f>ROUNDDOWN($V59*$I$8,0)</f>
        <v>0</v>
      </c>
      <c r="R89" s="848">
        <f>Q89*$L89*$AD$2</f>
        <v>0</v>
      </c>
      <c r="S89" s="817">
        <f>ROUNDDOWN($V59*$I$10,0)</f>
        <v>0</v>
      </c>
      <c r="T89" s="828">
        <f>S89*$L89*$AD$2</f>
        <v>0</v>
      </c>
      <c r="U89" s="658"/>
      <c r="V89" s="658"/>
      <c r="W89" s="658"/>
      <c r="Y89" s="869"/>
      <c r="Z89" s="869"/>
    </row>
    <row r="90" spans="1:26" ht="20.100000000000001" hidden="1" customHeight="1" thickBot="1">
      <c r="A90" s="658"/>
      <c r="B90" s="658"/>
      <c r="C90" s="375"/>
      <c r="D90" s="658"/>
      <c r="E90" s="658"/>
      <c r="F90" s="658"/>
      <c r="G90" s="658"/>
      <c r="H90" s="658"/>
      <c r="I90" s="658"/>
      <c r="J90" s="1749"/>
      <c r="K90" s="865" t="s">
        <v>8</v>
      </c>
      <c r="L90" s="959">
        <f>'入力（児童数-分園)'!X6</f>
        <v>0</v>
      </c>
      <c r="M90" s="827">
        <f>$V60*$I$5</f>
        <v>0</v>
      </c>
      <c r="N90" s="818">
        <f>M90*$L90*$AD$2</f>
        <v>0</v>
      </c>
      <c r="O90" s="817">
        <f>ROUNDDOWN($V60*$I$6,0)</f>
        <v>0</v>
      </c>
      <c r="P90" s="867">
        <f>O90*$L90*$AD$2</f>
        <v>0</v>
      </c>
      <c r="Q90" s="870">
        <f>ROUNDDOWN($V60*$I$8,0)</f>
        <v>0</v>
      </c>
      <c r="R90" s="871">
        <f>Q90*$L90*$AD$2</f>
        <v>0</v>
      </c>
      <c r="S90" s="817">
        <f>ROUNDDOWN($V60*$I$10,0)</f>
        <v>0</v>
      </c>
      <c r="T90" s="867">
        <f>S90*$L90*$AD$2</f>
        <v>0</v>
      </c>
      <c r="U90" s="658"/>
      <c r="V90" s="658"/>
      <c r="W90" s="658"/>
      <c r="Y90" s="869"/>
      <c r="Z90" s="869"/>
    </row>
    <row r="91" spans="1:26" ht="20.100000000000001" hidden="1" customHeight="1" thickTop="1" thickBot="1">
      <c r="A91" s="658"/>
      <c r="B91" s="658"/>
      <c r="C91" s="375"/>
      <c r="D91" s="658"/>
      <c r="E91" s="658"/>
      <c r="F91" s="658"/>
      <c r="G91" s="658"/>
      <c r="H91" s="658"/>
      <c r="I91" s="658"/>
      <c r="J91" s="658"/>
      <c r="K91" s="946" t="s">
        <v>894</v>
      </c>
      <c r="L91" s="868">
        <f>SUM(L67:L69)</f>
        <v>0</v>
      </c>
      <c r="M91" s="834" t="s">
        <v>0</v>
      </c>
      <c r="N91" s="868">
        <f>ROUNDDOWN(SUM(N67:N69,N71:N74,N76:N79,N82:N85,N87:N90),-3)</f>
        <v>0</v>
      </c>
      <c r="O91" s="834" t="s">
        <v>0</v>
      </c>
      <c r="P91" s="868">
        <f>ROUNDDOWN(SUM(P67:P69,P71:P74,P76:P79,P82:P85,P87:P90),-3)</f>
        <v>0</v>
      </c>
      <c r="Q91" s="834" t="s">
        <v>0</v>
      </c>
      <c r="R91" s="872">
        <f>ROUNDDOWN(SUM(R67:R69,R71:R74,R76:R79,R82:R85,R87:R90),-3)</f>
        <v>0</v>
      </c>
      <c r="S91" s="834" t="s">
        <v>0</v>
      </c>
      <c r="T91" s="868">
        <f>ROUNDDOWN(SUM(T67:T69,T71:T74,T76:T79,T82:T85,T87:T90),-3)</f>
        <v>0</v>
      </c>
      <c r="U91" s="658"/>
      <c r="V91" s="658"/>
      <c r="W91" s="658"/>
      <c r="Y91" s="869"/>
      <c r="Z91" s="869"/>
    </row>
    <row r="92" spans="1:26" ht="20.100000000000001" hidden="1" customHeight="1" thickTop="1" thickBot="1">
      <c r="A92" s="658"/>
      <c r="B92" s="658"/>
      <c r="C92" s="375"/>
      <c r="D92" s="658"/>
      <c r="E92" s="658"/>
      <c r="F92" s="658"/>
      <c r="G92" s="658"/>
      <c r="H92" s="658"/>
      <c r="I92" s="658"/>
      <c r="J92" s="658"/>
      <c r="K92" s="947" t="s">
        <v>893</v>
      </c>
      <c r="L92" s="833">
        <f>SUM(L71:L74,L76:L79,L82:L85,L87:L90)</f>
        <v>0</v>
      </c>
      <c r="M92" s="658"/>
      <c r="N92" s="658"/>
      <c r="O92" s="658"/>
      <c r="P92" s="658"/>
      <c r="Q92" s="658"/>
      <c r="R92" s="658"/>
      <c r="S92" s="658"/>
      <c r="T92" s="658"/>
      <c r="U92" s="658"/>
      <c r="V92" s="658"/>
      <c r="W92" s="658"/>
      <c r="Z92" s="825"/>
    </row>
    <row r="97" spans="25:26">
      <c r="Y97" s="715">
        <v>2015</v>
      </c>
      <c r="Z97" s="175">
        <v>6.1</v>
      </c>
    </row>
    <row r="98" spans="25:26" ht="51.75" customHeight="1">
      <c r="Y98" s="715">
        <v>2016</v>
      </c>
      <c r="Z98" s="173">
        <v>4.2</v>
      </c>
    </row>
    <row r="99" spans="25:26">
      <c r="Y99" s="715">
        <v>2017</v>
      </c>
      <c r="Z99" s="173">
        <v>2.9</v>
      </c>
    </row>
    <row r="100" spans="25:26">
      <c r="Y100" s="715">
        <v>2018</v>
      </c>
      <c r="Z100" s="173">
        <v>1.8</v>
      </c>
    </row>
    <row r="101" spans="25:26">
      <c r="Y101" s="715">
        <v>2019</v>
      </c>
      <c r="Z101" s="173">
        <v>1</v>
      </c>
    </row>
    <row r="102" spans="25:26" ht="34.5" customHeight="1"/>
    <row r="103" spans="25:26">
      <c r="Z103" s="840"/>
    </row>
    <row r="107" spans="25:26" ht="34.5" customHeight="1"/>
    <row r="113" ht="34.5" customHeight="1"/>
    <row r="118" ht="34.5" customHeight="1"/>
  </sheetData>
  <sheetProtection algorithmName="SHA-512" hashValue="8CWmoRYR5A5yUpG5qwrg/1a2+F+AZ7geTHzqdYa9Qkywc3HZ9yboD/kCtLLdBiCB9/GoyQSMllYymANQwJecuw==" saltValue="qBZD5rnsP3yBK5sSr8j+sg==" spinCount="100000" sheet="1" objects="1" scenarios="1"/>
  <customSheetViews>
    <customSheetView guid="{2E52E5FF-9846-4DC5-A671-268FE925398C}" scale="70" showPageBreaks="1" printArea="1" hiddenColumns="1" view="pageBreakPreview" topLeftCell="B1">
      <selection activeCell="I34" sqref="I34"/>
      <rowBreaks count="1" manualBreakCount="1">
        <brk id="32" max="20" man="1"/>
      </rowBreaks>
      <colBreaks count="1" manualBreakCount="1">
        <brk id="21" max="119" man="1"/>
      </colBreaks>
      <pageMargins left="0.70866141732283472" right="0.70866141732283472" top="0.74803149606299213" bottom="0.74803149606299213" header="0.31496062992125984" footer="0.31496062992125984"/>
      <pageSetup paperSize="9" scale="38" fitToHeight="2" orientation="landscape" r:id="rId1"/>
    </customSheetView>
    <customSheetView guid="{BADA99B3-B36A-4925-87A7-F72FC97D3DBA}" scale="70" showPageBreaks="1" printArea="1" view="pageBreakPreview" topLeftCell="H67">
      <selection activeCell="Z39" sqref="Z39"/>
      <rowBreaks count="1" manualBreakCount="1">
        <brk id="32" max="20" man="1"/>
      </rowBreaks>
      <colBreaks count="1" manualBreakCount="1">
        <brk id="21" max="119" man="1"/>
      </colBreaks>
      <pageMargins left="0.70866141732283472" right="0.70866141732283472" top="0.74803149606299213" bottom="0.74803149606299213" header="0.31496062992125984" footer="0.31496062992125984"/>
      <pageSetup paperSize="9" scale="38" fitToHeight="2" orientation="landscape" r:id="rId2"/>
    </customSheetView>
  </customSheetViews>
  <mergeCells count="192">
    <mergeCell ref="C70:I70"/>
    <mergeCell ref="D5:E5"/>
    <mergeCell ref="D6:E6"/>
    <mergeCell ref="D7:E7"/>
    <mergeCell ref="D8:E8"/>
    <mergeCell ref="D9:E9"/>
    <mergeCell ref="D10:E10"/>
    <mergeCell ref="D11:E11"/>
    <mergeCell ref="D12:E12"/>
    <mergeCell ref="D13:E13"/>
    <mergeCell ref="D49:D50"/>
    <mergeCell ref="E49:E50"/>
    <mergeCell ref="D42:D43"/>
    <mergeCell ref="E42:E43"/>
    <mergeCell ref="I42:I43"/>
    <mergeCell ref="G77:H77"/>
    <mergeCell ref="J55:J56"/>
    <mergeCell ref="K55:K56"/>
    <mergeCell ref="H55:H56"/>
    <mergeCell ref="O55:O56"/>
    <mergeCell ref="P55:P56"/>
    <mergeCell ref="S49:S50"/>
    <mergeCell ref="F17:F18"/>
    <mergeCell ref="M17:M18"/>
    <mergeCell ref="M31:M32"/>
    <mergeCell ref="N31:N32"/>
    <mergeCell ref="O31:O32"/>
    <mergeCell ref="P31:P32"/>
    <mergeCell ref="H25:H26"/>
    <mergeCell ref="I25:I26"/>
    <mergeCell ref="J25:J26"/>
    <mergeCell ref="K25:K26"/>
    <mergeCell ref="N25:N26"/>
    <mergeCell ref="O25:O26"/>
    <mergeCell ref="P25:P26"/>
    <mergeCell ref="Q25:Q26"/>
    <mergeCell ref="R25:R26"/>
    <mergeCell ref="I49:I50"/>
    <mergeCell ref="K42:K43"/>
    <mergeCell ref="U36:U37"/>
    <mergeCell ref="O36:O37"/>
    <mergeCell ref="P36:P37"/>
    <mergeCell ref="S65:T65"/>
    <mergeCell ref="O49:O50"/>
    <mergeCell ref="O42:O43"/>
    <mergeCell ref="P42:P43"/>
    <mergeCell ref="S42:S43"/>
    <mergeCell ref="G82:H82"/>
    <mergeCell ref="M65:N65"/>
    <mergeCell ref="T49:T50"/>
    <mergeCell ref="M55:M56"/>
    <mergeCell ref="R36:R37"/>
    <mergeCell ref="R42:R43"/>
    <mergeCell ref="R49:R50"/>
    <mergeCell ref="U42:U43"/>
    <mergeCell ref="L55:L56"/>
    <mergeCell ref="N55:N56"/>
    <mergeCell ref="U49:U50"/>
    <mergeCell ref="S55:S56"/>
    <mergeCell ref="T55:T56"/>
    <mergeCell ref="U55:U56"/>
    <mergeCell ref="T42:T43"/>
    <mergeCell ref="G73:H73"/>
    <mergeCell ref="L42:L43"/>
    <mergeCell ref="F49:F50"/>
    <mergeCell ref="G49:G50"/>
    <mergeCell ref="J31:J32"/>
    <mergeCell ref="K31:K32"/>
    <mergeCell ref="L31:L32"/>
    <mergeCell ref="D31:D32"/>
    <mergeCell ref="R55:R56"/>
    <mergeCell ref="P49:P50"/>
    <mergeCell ref="M42:M43"/>
    <mergeCell ref="J49:J50"/>
    <mergeCell ref="K49:K50"/>
    <mergeCell ref="L49:L50"/>
    <mergeCell ref="H49:H50"/>
    <mergeCell ref="H42:H43"/>
    <mergeCell ref="F42:F43"/>
    <mergeCell ref="G42:G43"/>
    <mergeCell ref="B11:B13"/>
    <mergeCell ref="N17:N18"/>
    <mergeCell ref="D21:D22"/>
    <mergeCell ref="E21:E22"/>
    <mergeCell ref="F21:F22"/>
    <mergeCell ref="G21:G22"/>
    <mergeCell ref="H21:H22"/>
    <mergeCell ref="I21:I22"/>
    <mergeCell ref="M25:M26"/>
    <mergeCell ref="B24:C27"/>
    <mergeCell ref="J17:J18"/>
    <mergeCell ref="K17:K18"/>
    <mergeCell ref="L17:L18"/>
    <mergeCell ref="E25:E26"/>
    <mergeCell ref="F25:F26"/>
    <mergeCell ref="G25:G26"/>
    <mergeCell ref="AN1:AO1"/>
    <mergeCell ref="B5:C5"/>
    <mergeCell ref="AJ1:AK1"/>
    <mergeCell ref="B6:C6"/>
    <mergeCell ref="B35:C35"/>
    <mergeCell ref="D36:D37"/>
    <mergeCell ref="E36:E37"/>
    <mergeCell ref="E31:E32"/>
    <mergeCell ref="F31:F32"/>
    <mergeCell ref="G31:G32"/>
    <mergeCell ref="B16:C23"/>
    <mergeCell ref="S36:S37"/>
    <mergeCell ref="T36:T37"/>
    <mergeCell ref="B36:C37"/>
    <mergeCell ref="D17:D18"/>
    <mergeCell ref="E17:E18"/>
    <mergeCell ref="N36:N37"/>
    <mergeCell ref="G17:G18"/>
    <mergeCell ref="H17:H18"/>
    <mergeCell ref="I17:I18"/>
    <mergeCell ref="R31:R32"/>
    <mergeCell ref="J21:J22"/>
    <mergeCell ref="K21:K22"/>
    <mergeCell ref="D25:D26"/>
    <mergeCell ref="A31:A47"/>
    <mergeCell ref="B38:C38"/>
    <mergeCell ref="B39:C39"/>
    <mergeCell ref="B40:C40"/>
    <mergeCell ref="B31:C32"/>
    <mergeCell ref="B42:C43"/>
    <mergeCell ref="B55:C56"/>
    <mergeCell ref="A49:A60"/>
    <mergeCell ref="B51:C51"/>
    <mergeCell ref="B52:C52"/>
    <mergeCell ref="B53:C53"/>
    <mergeCell ref="B54:C54"/>
    <mergeCell ref="B58:C58"/>
    <mergeCell ref="B59:C59"/>
    <mergeCell ref="B60:C60"/>
    <mergeCell ref="B49:C50"/>
    <mergeCell ref="B44:C44"/>
    <mergeCell ref="B45:C45"/>
    <mergeCell ref="B46:C46"/>
    <mergeCell ref="B34:C34"/>
    <mergeCell ref="B47:C47"/>
    <mergeCell ref="B57:C57"/>
    <mergeCell ref="B41:C41"/>
    <mergeCell ref="B33:C33"/>
    <mergeCell ref="S1:V1"/>
    <mergeCell ref="V31:V32"/>
    <mergeCell ref="V36:V37"/>
    <mergeCell ref="B2:T3"/>
    <mergeCell ref="B4:D4"/>
    <mergeCell ref="L25:L26"/>
    <mergeCell ref="G36:G37"/>
    <mergeCell ref="I36:I37"/>
    <mergeCell ref="J36:J37"/>
    <mergeCell ref="K36:K37"/>
    <mergeCell ref="L36:L37"/>
    <mergeCell ref="M36:M37"/>
    <mergeCell ref="H36:H37"/>
    <mergeCell ref="S31:S32"/>
    <mergeCell ref="T31:T32"/>
    <mergeCell ref="F36:F37"/>
    <mergeCell ref="B7:B10"/>
    <mergeCell ref="B15:C15"/>
    <mergeCell ref="B30:C30"/>
    <mergeCell ref="D30:V30"/>
    <mergeCell ref="H31:H32"/>
    <mergeCell ref="I31:I32"/>
    <mergeCell ref="T29:U29"/>
    <mergeCell ref="U31:U32"/>
    <mergeCell ref="V42:V43"/>
    <mergeCell ref="V49:V50"/>
    <mergeCell ref="V55:V56"/>
    <mergeCell ref="B83:F83"/>
    <mergeCell ref="B76:F77"/>
    <mergeCell ref="B81:F82"/>
    <mergeCell ref="B66:F67"/>
    <mergeCell ref="B78:F79"/>
    <mergeCell ref="B74:F75"/>
    <mergeCell ref="B73:F73"/>
    <mergeCell ref="B68:F69"/>
    <mergeCell ref="O65:P65"/>
    <mergeCell ref="Q65:R65"/>
    <mergeCell ref="J81:J90"/>
    <mergeCell ref="G67:H67"/>
    <mergeCell ref="N42:N43"/>
    <mergeCell ref="M49:M50"/>
    <mergeCell ref="N49:N50"/>
    <mergeCell ref="D55:D56"/>
    <mergeCell ref="E55:E56"/>
    <mergeCell ref="F55:F56"/>
    <mergeCell ref="G55:G56"/>
    <mergeCell ref="I55:I56"/>
    <mergeCell ref="J42:J43"/>
  </mergeCells>
  <phoneticPr fontId="4"/>
  <dataValidations count="9">
    <dataValidation type="list" errorStyle="warning" showInputMessage="1" showErrorMessage="1" sqref="H23 Q27" xr:uid="{00000000-0002-0000-0C00-000000000000}">
      <formula1>$AI$2:$AI$5</formula1>
    </dataValidation>
    <dataValidation type="list" allowBlank="1" showInputMessage="1" showErrorMessage="1" sqref="D27 J27:K27 G27 P27 G23 I23:K23 D23 D19:I19 L19 M27" xr:uid="{00000000-0002-0000-0C00-000001000000}">
      <formula1>$AE$3:$AE$4</formula1>
    </dataValidation>
    <dataValidation type="list" errorStyle="warning" showInputMessage="1" sqref="N27:O27 E23:F23" xr:uid="{00000000-0002-0000-0C00-000002000000}">
      <formula1>$AM$2:$AM$16</formula1>
    </dataValidation>
    <dataValidation type="list" errorStyle="warning" allowBlank="1" showInputMessage="1" showErrorMessage="1" sqref="J19" xr:uid="{00000000-0002-0000-0C00-000003000000}">
      <formula1>$AJ$2:$AJ$16</formula1>
    </dataValidation>
    <dataValidation type="list" allowBlank="1" showInputMessage="1" showErrorMessage="1" sqref="L27" xr:uid="{00000000-0002-0000-0C00-000004000000}">
      <formula1>$AP$2:$AP$7</formula1>
    </dataValidation>
    <dataValidation type="list" errorStyle="warning" showInputMessage="1" sqref="N19" xr:uid="{00000000-0002-0000-0C00-000005000000}">
      <formula1>$AL$2:$AL$8</formula1>
    </dataValidation>
    <dataValidation type="list" allowBlank="1" showInputMessage="1" showErrorMessage="1" sqref="R27" xr:uid="{00000000-0002-0000-0C00-000006000000}">
      <formula1>$AR$2:$AR$5</formula1>
    </dataValidation>
    <dataValidation type="list" showInputMessage="1" sqref="M19" xr:uid="{00000000-0002-0000-0C00-000007000000}">
      <formula1>$AL$2:$AL$8</formula1>
    </dataValidation>
    <dataValidation type="whole" operator="greaterThanOrEqual" allowBlank="1" showInputMessage="1" showErrorMessage="1" sqref="F27" xr:uid="{00000000-0002-0000-0C00-000008000000}">
      <formula1>0</formula1>
    </dataValidation>
  </dataValidations>
  <printOptions horizontalCentered="1"/>
  <pageMargins left="0.70866141732283472" right="0.70866141732283472" top="0.74803149606299213" bottom="0.74803149606299213" header="0.31496062992125984" footer="0.31496062992125984"/>
  <pageSetup paperSize="9" scale="36" fitToHeight="2" orientation="landscape" r:id="rId3"/>
  <rowBreaks count="1" manualBreakCount="1">
    <brk id="61" max="21" man="1"/>
  </rowBreaks>
  <colBreaks count="1" manualBreakCount="1">
    <brk id="22" max="11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tabColor rgb="FFFFC000"/>
  </sheetPr>
  <dimension ref="A1:Z142"/>
  <sheetViews>
    <sheetView showGridLines="0" view="pageBreakPreview" zoomScale="85" zoomScaleNormal="100" zoomScaleSheetLayoutView="85" workbookViewId="0">
      <selection activeCell="A5" sqref="A5"/>
    </sheetView>
  </sheetViews>
  <sheetFormatPr defaultRowHeight="13.5" outlineLevelCol="1"/>
  <cols>
    <col min="1" max="1" width="2.875" style="260" customWidth="1"/>
    <col min="2" max="2" width="3" style="260" customWidth="1"/>
    <col min="3" max="3" width="14.75" style="260" customWidth="1"/>
    <col min="4" max="4" width="25.875" style="260" customWidth="1"/>
    <col min="5" max="8" width="10.625" style="507" customWidth="1"/>
    <col min="9" max="9" width="12.875" style="301" customWidth="1"/>
    <col min="10" max="12" width="10.625" style="260" customWidth="1"/>
    <col min="13" max="13" width="9" style="260" hidden="1" customWidth="1" outlineLevel="1"/>
    <col min="14" max="14" width="9" style="508" hidden="1" customWidth="1" outlineLevel="1"/>
    <col min="15" max="25" width="9" style="260" hidden="1" customWidth="1" outlineLevel="1"/>
    <col min="26" max="26" width="9" style="260" collapsed="1"/>
    <col min="27" max="255" width="9" style="260"/>
    <col min="256" max="256" width="2.875" style="260" customWidth="1"/>
    <col min="257" max="257" width="3" style="260" customWidth="1"/>
    <col min="258" max="258" width="14.75" style="260" customWidth="1"/>
    <col min="259" max="259" width="25.875" style="260" customWidth="1"/>
    <col min="260" max="260" width="8.125" style="260" customWidth="1"/>
    <col min="261" max="261" width="7.375" style="260" bestFit="1" customWidth="1"/>
    <col min="262" max="262" width="7.875" style="260" bestFit="1" customWidth="1"/>
    <col min="263" max="263" width="13.25" style="260" bestFit="1" customWidth="1"/>
    <col min="264" max="264" width="14.25" style="260" customWidth="1"/>
    <col min="265" max="511" width="9" style="260"/>
    <col min="512" max="512" width="2.875" style="260" customWidth="1"/>
    <col min="513" max="513" width="3" style="260" customWidth="1"/>
    <col min="514" max="514" width="14.75" style="260" customWidth="1"/>
    <col min="515" max="515" width="25.875" style="260" customWidth="1"/>
    <col min="516" max="516" width="8.125" style="260" customWidth="1"/>
    <col min="517" max="517" width="7.375" style="260" bestFit="1" customWidth="1"/>
    <col min="518" max="518" width="7.875" style="260" bestFit="1" customWidth="1"/>
    <col min="519" max="519" width="13.25" style="260" bestFit="1" customWidth="1"/>
    <col min="520" max="520" width="14.25" style="260" customWidth="1"/>
    <col min="521" max="767" width="9" style="260"/>
    <col min="768" max="768" width="2.875" style="260" customWidth="1"/>
    <col min="769" max="769" width="3" style="260" customWidth="1"/>
    <col min="770" max="770" width="14.75" style="260" customWidth="1"/>
    <col min="771" max="771" width="25.875" style="260" customWidth="1"/>
    <col min="772" max="772" width="8.125" style="260" customWidth="1"/>
    <col min="773" max="773" width="7.375" style="260" bestFit="1" customWidth="1"/>
    <col min="774" max="774" width="7.875" style="260" bestFit="1" customWidth="1"/>
    <col min="775" max="775" width="13.25" style="260" bestFit="1" customWidth="1"/>
    <col min="776" max="776" width="14.25" style="260" customWidth="1"/>
    <col min="777" max="1023" width="9" style="260"/>
    <col min="1024" max="1024" width="2.875" style="260" customWidth="1"/>
    <col min="1025" max="1025" width="3" style="260" customWidth="1"/>
    <col min="1026" max="1026" width="14.75" style="260" customWidth="1"/>
    <col min="1027" max="1027" width="25.875" style="260" customWidth="1"/>
    <col min="1028" max="1028" width="8.125" style="260" customWidth="1"/>
    <col min="1029" max="1029" width="7.375" style="260" bestFit="1" customWidth="1"/>
    <col min="1030" max="1030" width="7.875" style="260" bestFit="1" customWidth="1"/>
    <col min="1031" max="1031" width="13.25" style="260" bestFit="1" customWidth="1"/>
    <col min="1032" max="1032" width="14.25" style="260" customWidth="1"/>
    <col min="1033" max="1279" width="9" style="260"/>
    <col min="1280" max="1280" width="2.875" style="260" customWidth="1"/>
    <col min="1281" max="1281" width="3" style="260" customWidth="1"/>
    <col min="1282" max="1282" width="14.75" style="260" customWidth="1"/>
    <col min="1283" max="1283" width="25.875" style="260" customWidth="1"/>
    <col min="1284" max="1284" width="8.125" style="260" customWidth="1"/>
    <col min="1285" max="1285" width="7.375" style="260" bestFit="1" customWidth="1"/>
    <col min="1286" max="1286" width="7.875" style="260" bestFit="1" customWidth="1"/>
    <col min="1287" max="1287" width="13.25" style="260" bestFit="1" customWidth="1"/>
    <col min="1288" max="1288" width="14.25" style="260" customWidth="1"/>
    <col min="1289" max="1535" width="9" style="260"/>
    <col min="1536" max="1536" width="2.875" style="260" customWidth="1"/>
    <col min="1537" max="1537" width="3" style="260" customWidth="1"/>
    <col min="1538" max="1538" width="14.75" style="260" customWidth="1"/>
    <col min="1539" max="1539" width="25.875" style="260" customWidth="1"/>
    <col min="1540" max="1540" width="8.125" style="260" customWidth="1"/>
    <col min="1541" max="1541" width="7.375" style="260" bestFit="1" customWidth="1"/>
    <col min="1542" max="1542" width="7.875" style="260" bestFit="1" customWidth="1"/>
    <col min="1543" max="1543" width="13.25" style="260" bestFit="1" customWidth="1"/>
    <col min="1544" max="1544" width="14.25" style="260" customWidth="1"/>
    <col min="1545" max="1791" width="9" style="260"/>
    <col min="1792" max="1792" width="2.875" style="260" customWidth="1"/>
    <col min="1793" max="1793" width="3" style="260" customWidth="1"/>
    <col min="1794" max="1794" width="14.75" style="260" customWidth="1"/>
    <col min="1795" max="1795" width="25.875" style="260" customWidth="1"/>
    <col min="1796" max="1796" width="8.125" style="260" customWidth="1"/>
    <col min="1797" max="1797" width="7.375" style="260" bestFit="1" customWidth="1"/>
    <col min="1798" max="1798" width="7.875" style="260" bestFit="1" customWidth="1"/>
    <col min="1799" max="1799" width="13.25" style="260" bestFit="1" customWidth="1"/>
    <col min="1800" max="1800" width="14.25" style="260" customWidth="1"/>
    <col min="1801" max="2047" width="9" style="260"/>
    <col min="2048" max="2048" width="2.875" style="260" customWidth="1"/>
    <col min="2049" max="2049" width="3" style="260" customWidth="1"/>
    <col min="2050" max="2050" width="14.75" style="260" customWidth="1"/>
    <col min="2051" max="2051" width="25.875" style="260" customWidth="1"/>
    <col min="2052" max="2052" width="8.125" style="260" customWidth="1"/>
    <col min="2053" max="2053" width="7.375" style="260" bestFit="1" customWidth="1"/>
    <col min="2054" max="2054" width="7.875" style="260" bestFit="1" customWidth="1"/>
    <col min="2055" max="2055" width="13.25" style="260" bestFit="1" customWidth="1"/>
    <col min="2056" max="2056" width="14.25" style="260" customWidth="1"/>
    <col min="2057" max="2303" width="9" style="260"/>
    <col min="2304" max="2304" width="2.875" style="260" customWidth="1"/>
    <col min="2305" max="2305" width="3" style="260" customWidth="1"/>
    <col min="2306" max="2306" width="14.75" style="260" customWidth="1"/>
    <col min="2307" max="2307" width="25.875" style="260" customWidth="1"/>
    <col min="2308" max="2308" width="8.125" style="260" customWidth="1"/>
    <col min="2309" max="2309" width="7.375" style="260" bestFit="1" customWidth="1"/>
    <col min="2310" max="2310" width="7.875" style="260" bestFit="1" customWidth="1"/>
    <col min="2311" max="2311" width="13.25" style="260" bestFit="1" customWidth="1"/>
    <col min="2312" max="2312" width="14.25" style="260" customWidth="1"/>
    <col min="2313" max="2559" width="9" style="260"/>
    <col min="2560" max="2560" width="2.875" style="260" customWidth="1"/>
    <col min="2561" max="2561" width="3" style="260" customWidth="1"/>
    <col min="2562" max="2562" width="14.75" style="260" customWidth="1"/>
    <col min="2563" max="2563" width="25.875" style="260" customWidth="1"/>
    <col min="2564" max="2564" width="8.125" style="260" customWidth="1"/>
    <col min="2565" max="2565" width="7.375" style="260" bestFit="1" customWidth="1"/>
    <col min="2566" max="2566" width="7.875" style="260" bestFit="1" customWidth="1"/>
    <col min="2567" max="2567" width="13.25" style="260" bestFit="1" customWidth="1"/>
    <col min="2568" max="2568" width="14.25" style="260" customWidth="1"/>
    <col min="2569" max="2815" width="9" style="260"/>
    <col min="2816" max="2816" width="2.875" style="260" customWidth="1"/>
    <col min="2817" max="2817" width="3" style="260" customWidth="1"/>
    <col min="2818" max="2818" width="14.75" style="260" customWidth="1"/>
    <col min="2819" max="2819" width="25.875" style="260" customWidth="1"/>
    <col min="2820" max="2820" width="8.125" style="260" customWidth="1"/>
    <col min="2821" max="2821" width="7.375" style="260" bestFit="1" customWidth="1"/>
    <col min="2822" max="2822" width="7.875" style="260" bestFit="1" customWidth="1"/>
    <col min="2823" max="2823" width="13.25" style="260" bestFit="1" customWidth="1"/>
    <col min="2824" max="2824" width="14.25" style="260" customWidth="1"/>
    <col min="2825" max="3071" width="9" style="260"/>
    <col min="3072" max="3072" width="2.875" style="260" customWidth="1"/>
    <col min="3073" max="3073" width="3" style="260" customWidth="1"/>
    <col min="3074" max="3074" width="14.75" style="260" customWidth="1"/>
    <col min="3075" max="3075" width="25.875" style="260" customWidth="1"/>
    <col min="3076" max="3076" width="8.125" style="260" customWidth="1"/>
    <col min="3077" max="3077" width="7.375" style="260" bestFit="1" customWidth="1"/>
    <col min="3078" max="3078" width="7.875" style="260" bestFit="1" customWidth="1"/>
    <col min="3079" max="3079" width="13.25" style="260" bestFit="1" customWidth="1"/>
    <col min="3080" max="3080" width="14.25" style="260" customWidth="1"/>
    <col min="3081" max="3327" width="9" style="260"/>
    <col min="3328" max="3328" width="2.875" style="260" customWidth="1"/>
    <col min="3329" max="3329" width="3" style="260" customWidth="1"/>
    <col min="3330" max="3330" width="14.75" style="260" customWidth="1"/>
    <col min="3331" max="3331" width="25.875" style="260" customWidth="1"/>
    <col min="3332" max="3332" width="8.125" style="260" customWidth="1"/>
    <col min="3333" max="3333" width="7.375" style="260" bestFit="1" customWidth="1"/>
    <col min="3334" max="3334" width="7.875" style="260" bestFit="1" customWidth="1"/>
    <col min="3335" max="3335" width="13.25" style="260" bestFit="1" customWidth="1"/>
    <col min="3336" max="3336" width="14.25" style="260" customWidth="1"/>
    <col min="3337" max="3583" width="9" style="260"/>
    <col min="3584" max="3584" width="2.875" style="260" customWidth="1"/>
    <col min="3585" max="3585" width="3" style="260" customWidth="1"/>
    <col min="3586" max="3586" width="14.75" style="260" customWidth="1"/>
    <col min="3587" max="3587" width="25.875" style="260" customWidth="1"/>
    <col min="3588" max="3588" width="8.125" style="260" customWidth="1"/>
    <col min="3589" max="3589" width="7.375" style="260" bestFit="1" customWidth="1"/>
    <col min="3590" max="3590" width="7.875" style="260" bestFit="1" customWidth="1"/>
    <col min="3591" max="3591" width="13.25" style="260" bestFit="1" customWidth="1"/>
    <col min="3592" max="3592" width="14.25" style="260" customWidth="1"/>
    <col min="3593" max="3839" width="9" style="260"/>
    <col min="3840" max="3840" width="2.875" style="260" customWidth="1"/>
    <col min="3841" max="3841" width="3" style="260" customWidth="1"/>
    <col min="3842" max="3842" width="14.75" style="260" customWidth="1"/>
    <col min="3843" max="3843" width="25.875" style="260" customWidth="1"/>
    <col min="3844" max="3844" width="8.125" style="260" customWidth="1"/>
    <col min="3845" max="3845" width="7.375" style="260" bestFit="1" customWidth="1"/>
    <col min="3846" max="3846" width="7.875" style="260" bestFit="1" customWidth="1"/>
    <col min="3847" max="3847" width="13.25" style="260" bestFit="1" customWidth="1"/>
    <col min="3848" max="3848" width="14.25" style="260" customWidth="1"/>
    <col min="3849" max="4095" width="9" style="260"/>
    <col min="4096" max="4096" width="2.875" style="260" customWidth="1"/>
    <col min="4097" max="4097" width="3" style="260" customWidth="1"/>
    <col min="4098" max="4098" width="14.75" style="260" customWidth="1"/>
    <col min="4099" max="4099" width="25.875" style="260" customWidth="1"/>
    <col min="4100" max="4100" width="8.125" style="260" customWidth="1"/>
    <col min="4101" max="4101" width="7.375" style="260" bestFit="1" customWidth="1"/>
    <col min="4102" max="4102" width="7.875" style="260" bestFit="1" customWidth="1"/>
    <col min="4103" max="4103" width="13.25" style="260" bestFit="1" customWidth="1"/>
    <col min="4104" max="4104" width="14.25" style="260" customWidth="1"/>
    <col min="4105" max="4351" width="9" style="260"/>
    <col min="4352" max="4352" width="2.875" style="260" customWidth="1"/>
    <col min="4353" max="4353" width="3" style="260" customWidth="1"/>
    <col min="4354" max="4354" width="14.75" style="260" customWidth="1"/>
    <col min="4355" max="4355" width="25.875" style="260" customWidth="1"/>
    <col min="4356" max="4356" width="8.125" style="260" customWidth="1"/>
    <col min="4357" max="4357" width="7.375" style="260" bestFit="1" customWidth="1"/>
    <col min="4358" max="4358" width="7.875" style="260" bestFit="1" customWidth="1"/>
    <col min="4359" max="4359" width="13.25" style="260" bestFit="1" customWidth="1"/>
    <col min="4360" max="4360" width="14.25" style="260" customWidth="1"/>
    <col min="4361" max="4607" width="9" style="260"/>
    <col min="4608" max="4608" width="2.875" style="260" customWidth="1"/>
    <col min="4609" max="4609" width="3" style="260" customWidth="1"/>
    <col min="4610" max="4610" width="14.75" style="260" customWidth="1"/>
    <col min="4611" max="4611" width="25.875" style="260" customWidth="1"/>
    <col min="4612" max="4612" width="8.125" style="260" customWidth="1"/>
    <col min="4613" max="4613" width="7.375" style="260" bestFit="1" customWidth="1"/>
    <col min="4614" max="4614" width="7.875" style="260" bestFit="1" customWidth="1"/>
    <col min="4615" max="4615" width="13.25" style="260" bestFit="1" customWidth="1"/>
    <col min="4616" max="4616" width="14.25" style="260" customWidth="1"/>
    <col min="4617" max="4863" width="9" style="260"/>
    <col min="4864" max="4864" width="2.875" style="260" customWidth="1"/>
    <col min="4865" max="4865" width="3" style="260" customWidth="1"/>
    <col min="4866" max="4866" width="14.75" style="260" customWidth="1"/>
    <col min="4867" max="4867" width="25.875" style="260" customWidth="1"/>
    <col min="4868" max="4868" width="8.125" style="260" customWidth="1"/>
    <col min="4869" max="4869" width="7.375" style="260" bestFit="1" customWidth="1"/>
    <col min="4870" max="4870" width="7.875" style="260" bestFit="1" customWidth="1"/>
    <col min="4871" max="4871" width="13.25" style="260" bestFit="1" customWidth="1"/>
    <col min="4872" max="4872" width="14.25" style="260" customWidth="1"/>
    <col min="4873" max="5119" width="9" style="260"/>
    <col min="5120" max="5120" width="2.875" style="260" customWidth="1"/>
    <col min="5121" max="5121" width="3" style="260" customWidth="1"/>
    <col min="5122" max="5122" width="14.75" style="260" customWidth="1"/>
    <col min="5123" max="5123" width="25.875" style="260" customWidth="1"/>
    <col min="5124" max="5124" width="8.125" style="260" customWidth="1"/>
    <col min="5125" max="5125" width="7.375" style="260" bestFit="1" customWidth="1"/>
    <col min="5126" max="5126" width="7.875" style="260" bestFit="1" customWidth="1"/>
    <col min="5127" max="5127" width="13.25" style="260" bestFit="1" customWidth="1"/>
    <col min="5128" max="5128" width="14.25" style="260" customWidth="1"/>
    <col min="5129" max="5375" width="9" style="260"/>
    <col min="5376" max="5376" width="2.875" style="260" customWidth="1"/>
    <col min="5377" max="5377" width="3" style="260" customWidth="1"/>
    <col min="5378" max="5378" width="14.75" style="260" customWidth="1"/>
    <col min="5379" max="5379" width="25.875" style="260" customWidth="1"/>
    <col min="5380" max="5380" width="8.125" style="260" customWidth="1"/>
    <col min="5381" max="5381" width="7.375" style="260" bestFit="1" customWidth="1"/>
    <col min="5382" max="5382" width="7.875" style="260" bestFit="1" customWidth="1"/>
    <col min="5383" max="5383" width="13.25" style="260" bestFit="1" customWidth="1"/>
    <col min="5384" max="5384" width="14.25" style="260" customWidth="1"/>
    <col min="5385" max="5631" width="9" style="260"/>
    <col min="5632" max="5632" width="2.875" style="260" customWidth="1"/>
    <col min="5633" max="5633" width="3" style="260" customWidth="1"/>
    <col min="5634" max="5634" width="14.75" style="260" customWidth="1"/>
    <col min="5635" max="5635" width="25.875" style="260" customWidth="1"/>
    <col min="5636" max="5636" width="8.125" style="260" customWidth="1"/>
    <col min="5637" max="5637" width="7.375" style="260" bestFit="1" customWidth="1"/>
    <col min="5638" max="5638" width="7.875" style="260" bestFit="1" customWidth="1"/>
    <col min="5639" max="5639" width="13.25" style="260" bestFit="1" customWidth="1"/>
    <col min="5640" max="5640" width="14.25" style="260" customWidth="1"/>
    <col min="5641" max="5887" width="9" style="260"/>
    <col min="5888" max="5888" width="2.875" style="260" customWidth="1"/>
    <col min="5889" max="5889" width="3" style="260" customWidth="1"/>
    <col min="5890" max="5890" width="14.75" style="260" customWidth="1"/>
    <col min="5891" max="5891" width="25.875" style="260" customWidth="1"/>
    <col min="5892" max="5892" width="8.125" style="260" customWidth="1"/>
    <col min="5893" max="5893" width="7.375" style="260" bestFit="1" customWidth="1"/>
    <col min="5894" max="5894" width="7.875" style="260" bestFit="1" customWidth="1"/>
    <col min="5895" max="5895" width="13.25" style="260" bestFit="1" customWidth="1"/>
    <col min="5896" max="5896" width="14.25" style="260" customWidth="1"/>
    <col min="5897" max="6143" width="9" style="260"/>
    <col min="6144" max="6144" width="2.875" style="260" customWidth="1"/>
    <col min="6145" max="6145" width="3" style="260" customWidth="1"/>
    <col min="6146" max="6146" width="14.75" style="260" customWidth="1"/>
    <col min="6147" max="6147" width="25.875" style="260" customWidth="1"/>
    <col min="6148" max="6148" width="8.125" style="260" customWidth="1"/>
    <col min="6149" max="6149" width="7.375" style="260" bestFit="1" customWidth="1"/>
    <col min="6150" max="6150" width="7.875" style="260" bestFit="1" customWidth="1"/>
    <col min="6151" max="6151" width="13.25" style="260" bestFit="1" customWidth="1"/>
    <col min="6152" max="6152" width="14.25" style="260" customWidth="1"/>
    <col min="6153" max="6399" width="9" style="260"/>
    <col min="6400" max="6400" width="2.875" style="260" customWidth="1"/>
    <col min="6401" max="6401" width="3" style="260" customWidth="1"/>
    <col min="6402" max="6402" width="14.75" style="260" customWidth="1"/>
    <col min="6403" max="6403" width="25.875" style="260" customWidth="1"/>
    <col min="6404" max="6404" width="8.125" style="260" customWidth="1"/>
    <col min="6405" max="6405" width="7.375" style="260" bestFit="1" customWidth="1"/>
    <col min="6406" max="6406" width="7.875" style="260" bestFit="1" customWidth="1"/>
    <col min="6407" max="6407" width="13.25" style="260" bestFit="1" customWidth="1"/>
    <col min="6408" max="6408" width="14.25" style="260" customWidth="1"/>
    <col min="6409" max="6655" width="9" style="260"/>
    <col min="6656" max="6656" width="2.875" style="260" customWidth="1"/>
    <col min="6657" max="6657" width="3" style="260" customWidth="1"/>
    <col min="6658" max="6658" width="14.75" style="260" customWidth="1"/>
    <col min="6659" max="6659" width="25.875" style="260" customWidth="1"/>
    <col min="6660" max="6660" width="8.125" style="260" customWidth="1"/>
    <col min="6661" max="6661" width="7.375" style="260" bestFit="1" customWidth="1"/>
    <col min="6662" max="6662" width="7.875" style="260" bestFit="1" customWidth="1"/>
    <col min="6663" max="6663" width="13.25" style="260" bestFit="1" customWidth="1"/>
    <col min="6664" max="6664" width="14.25" style="260" customWidth="1"/>
    <col min="6665" max="6911" width="9" style="260"/>
    <col min="6912" max="6912" width="2.875" style="260" customWidth="1"/>
    <col min="6913" max="6913" width="3" style="260" customWidth="1"/>
    <col min="6914" max="6914" width="14.75" style="260" customWidth="1"/>
    <col min="6915" max="6915" width="25.875" style="260" customWidth="1"/>
    <col min="6916" max="6916" width="8.125" style="260" customWidth="1"/>
    <col min="6917" max="6917" width="7.375" style="260" bestFit="1" customWidth="1"/>
    <col min="6918" max="6918" width="7.875" style="260" bestFit="1" customWidth="1"/>
    <col min="6919" max="6919" width="13.25" style="260" bestFit="1" customWidth="1"/>
    <col min="6920" max="6920" width="14.25" style="260" customWidth="1"/>
    <col min="6921" max="7167" width="9" style="260"/>
    <col min="7168" max="7168" width="2.875" style="260" customWidth="1"/>
    <col min="7169" max="7169" width="3" style="260" customWidth="1"/>
    <col min="7170" max="7170" width="14.75" style="260" customWidth="1"/>
    <col min="7171" max="7171" width="25.875" style="260" customWidth="1"/>
    <col min="7172" max="7172" width="8.125" style="260" customWidth="1"/>
    <col min="7173" max="7173" width="7.375" style="260" bestFit="1" customWidth="1"/>
    <col min="7174" max="7174" width="7.875" style="260" bestFit="1" customWidth="1"/>
    <col min="7175" max="7175" width="13.25" style="260" bestFit="1" customWidth="1"/>
    <col min="7176" max="7176" width="14.25" style="260" customWidth="1"/>
    <col min="7177" max="7423" width="9" style="260"/>
    <col min="7424" max="7424" width="2.875" style="260" customWidth="1"/>
    <col min="7425" max="7425" width="3" style="260" customWidth="1"/>
    <col min="7426" max="7426" width="14.75" style="260" customWidth="1"/>
    <col min="7427" max="7427" width="25.875" style="260" customWidth="1"/>
    <col min="7428" max="7428" width="8.125" style="260" customWidth="1"/>
    <col min="7429" max="7429" width="7.375" style="260" bestFit="1" customWidth="1"/>
    <col min="7430" max="7430" width="7.875" style="260" bestFit="1" customWidth="1"/>
    <col min="7431" max="7431" width="13.25" style="260" bestFit="1" customWidth="1"/>
    <col min="7432" max="7432" width="14.25" style="260" customWidth="1"/>
    <col min="7433" max="7679" width="9" style="260"/>
    <col min="7680" max="7680" width="2.875" style="260" customWidth="1"/>
    <col min="7681" max="7681" width="3" style="260" customWidth="1"/>
    <col min="7682" max="7682" width="14.75" style="260" customWidth="1"/>
    <col min="7683" max="7683" width="25.875" style="260" customWidth="1"/>
    <col min="7684" max="7684" width="8.125" style="260" customWidth="1"/>
    <col min="7685" max="7685" width="7.375" style="260" bestFit="1" customWidth="1"/>
    <col min="7686" max="7686" width="7.875" style="260" bestFit="1" customWidth="1"/>
    <col min="7687" max="7687" width="13.25" style="260" bestFit="1" customWidth="1"/>
    <col min="7688" max="7688" width="14.25" style="260" customWidth="1"/>
    <col min="7689" max="7935" width="9" style="260"/>
    <col min="7936" max="7936" width="2.875" style="260" customWidth="1"/>
    <col min="7937" max="7937" width="3" style="260" customWidth="1"/>
    <col min="7938" max="7938" width="14.75" style="260" customWidth="1"/>
    <col min="7939" max="7939" width="25.875" style="260" customWidth="1"/>
    <col min="7940" max="7940" width="8.125" style="260" customWidth="1"/>
    <col min="7941" max="7941" width="7.375" style="260" bestFit="1" customWidth="1"/>
    <col min="7942" max="7942" width="7.875" style="260" bestFit="1" customWidth="1"/>
    <col min="7943" max="7943" width="13.25" style="260" bestFit="1" customWidth="1"/>
    <col min="7944" max="7944" width="14.25" style="260" customWidth="1"/>
    <col min="7945" max="8191" width="9" style="260"/>
    <col min="8192" max="8192" width="2.875" style="260" customWidth="1"/>
    <col min="8193" max="8193" width="3" style="260" customWidth="1"/>
    <col min="8194" max="8194" width="14.75" style="260" customWidth="1"/>
    <col min="8195" max="8195" width="25.875" style="260" customWidth="1"/>
    <col min="8196" max="8196" width="8.125" style="260" customWidth="1"/>
    <col min="8197" max="8197" width="7.375" style="260" bestFit="1" customWidth="1"/>
    <col min="8198" max="8198" width="7.875" style="260" bestFit="1" customWidth="1"/>
    <col min="8199" max="8199" width="13.25" style="260" bestFit="1" customWidth="1"/>
    <col min="8200" max="8200" width="14.25" style="260" customWidth="1"/>
    <col min="8201" max="8447" width="9" style="260"/>
    <col min="8448" max="8448" width="2.875" style="260" customWidth="1"/>
    <col min="8449" max="8449" width="3" style="260" customWidth="1"/>
    <col min="8450" max="8450" width="14.75" style="260" customWidth="1"/>
    <col min="8451" max="8451" width="25.875" style="260" customWidth="1"/>
    <col min="8452" max="8452" width="8.125" style="260" customWidth="1"/>
    <col min="8453" max="8453" width="7.375" style="260" bestFit="1" customWidth="1"/>
    <col min="8454" max="8454" width="7.875" style="260" bestFit="1" customWidth="1"/>
    <col min="8455" max="8455" width="13.25" style="260" bestFit="1" customWidth="1"/>
    <col min="8456" max="8456" width="14.25" style="260" customWidth="1"/>
    <col min="8457" max="8703" width="9" style="260"/>
    <col min="8704" max="8704" width="2.875" style="260" customWidth="1"/>
    <col min="8705" max="8705" width="3" style="260" customWidth="1"/>
    <col min="8706" max="8706" width="14.75" style="260" customWidth="1"/>
    <col min="8707" max="8707" width="25.875" style="260" customWidth="1"/>
    <col min="8708" max="8708" width="8.125" style="260" customWidth="1"/>
    <col min="8709" max="8709" width="7.375" style="260" bestFit="1" customWidth="1"/>
    <col min="8710" max="8710" width="7.875" style="260" bestFit="1" customWidth="1"/>
    <col min="8711" max="8711" width="13.25" style="260" bestFit="1" customWidth="1"/>
    <col min="8712" max="8712" width="14.25" style="260" customWidth="1"/>
    <col min="8713" max="8959" width="9" style="260"/>
    <col min="8960" max="8960" width="2.875" style="260" customWidth="1"/>
    <col min="8961" max="8961" width="3" style="260" customWidth="1"/>
    <col min="8962" max="8962" width="14.75" style="260" customWidth="1"/>
    <col min="8963" max="8963" width="25.875" style="260" customWidth="1"/>
    <col min="8964" max="8964" width="8.125" style="260" customWidth="1"/>
    <col min="8965" max="8965" width="7.375" style="260" bestFit="1" customWidth="1"/>
    <col min="8966" max="8966" width="7.875" style="260" bestFit="1" customWidth="1"/>
    <col min="8967" max="8967" width="13.25" style="260" bestFit="1" customWidth="1"/>
    <col min="8968" max="8968" width="14.25" style="260" customWidth="1"/>
    <col min="8969" max="9215" width="9" style="260"/>
    <col min="9216" max="9216" width="2.875" style="260" customWidth="1"/>
    <col min="9217" max="9217" width="3" style="260" customWidth="1"/>
    <col min="9218" max="9218" width="14.75" style="260" customWidth="1"/>
    <col min="9219" max="9219" width="25.875" style="260" customWidth="1"/>
    <col min="9220" max="9220" width="8.125" style="260" customWidth="1"/>
    <col min="9221" max="9221" width="7.375" style="260" bestFit="1" customWidth="1"/>
    <col min="9222" max="9222" width="7.875" style="260" bestFit="1" customWidth="1"/>
    <col min="9223" max="9223" width="13.25" style="260" bestFit="1" customWidth="1"/>
    <col min="9224" max="9224" width="14.25" style="260" customWidth="1"/>
    <col min="9225" max="9471" width="9" style="260"/>
    <col min="9472" max="9472" width="2.875" style="260" customWidth="1"/>
    <col min="9473" max="9473" width="3" style="260" customWidth="1"/>
    <col min="9474" max="9474" width="14.75" style="260" customWidth="1"/>
    <col min="9475" max="9475" width="25.875" style="260" customWidth="1"/>
    <col min="9476" max="9476" width="8.125" style="260" customWidth="1"/>
    <col min="9477" max="9477" width="7.375" style="260" bestFit="1" customWidth="1"/>
    <col min="9478" max="9478" width="7.875" style="260" bestFit="1" customWidth="1"/>
    <col min="9479" max="9479" width="13.25" style="260" bestFit="1" customWidth="1"/>
    <col min="9480" max="9480" width="14.25" style="260" customWidth="1"/>
    <col min="9481" max="9727" width="9" style="260"/>
    <col min="9728" max="9728" width="2.875" style="260" customWidth="1"/>
    <col min="9729" max="9729" width="3" style="260" customWidth="1"/>
    <col min="9730" max="9730" width="14.75" style="260" customWidth="1"/>
    <col min="9731" max="9731" width="25.875" style="260" customWidth="1"/>
    <col min="9732" max="9732" width="8.125" style="260" customWidth="1"/>
    <col min="9733" max="9733" width="7.375" style="260" bestFit="1" customWidth="1"/>
    <col min="9734" max="9734" width="7.875" style="260" bestFit="1" customWidth="1"/>
    <col min="9735" max="9735" width="13.25" style="260" bestFit="1" customWidth="1"/>
    <col min="9736" max="9736" width="14.25" style="260" customWidth="1"/>
    <col min="9737" max="9983" width="9" style="260"/>
    <col min="9984" max="9984" width="2.875" style="260" customWidth="1"/>
    <col min="9985" max="9985" width="3" style="260" customWidth="1"/>
    <col min="9986" max="9986" width="14.75" style="260" customWidth="1"/>
    <col min="9987" max="9987" width="25.875" style="260" customWidth="1"/>
    <col min="9988" max="9988" width="8.125" style="260" customWidth="1"/>
    <col min="9989" max="9989" width="7.375" style="260" bestFit="1" customWidth="1"/>
    <col min="9990" max="9990" width="7.875" style="260" bestFit="1" customWidth="1"/>
    <col min="9991" max="9991" width="13.25" style="260" bestFit="1" customWidth="1"/>
    <col min="9992" max="9992" width="14.25" style="260" customWidth="1"/>
    <col min="9993" max="10239" width="9" style="260"/>
    <col min="10240" max="10240" width="2.875" style="260" customWidth="1"/>
    <col min="10241" max="10241" width="3" style="260" customWidth="1"/>
    <col min="10242" max="10242" width="14.75" style="260" customWidth="1"/>
    <col min="10243" max="10243" width="25.875" style="260" customWidth="1"/>
    <col min="10244" max="10244" width="8.125" style="260" customWidth="1"/>
    <col min="10245" max="10245" width="7.375" style="260" bestFit="1" customWidth="1"/>
    <col min="10246" max="10246" width="7.875" style="260" bestFit="1" customWidth="1"/>
    <col min="10247" max="10247" width="13.25" style="260" bestFit="1" customWidth="1"/>
    <col min="10248" max="10248" width="14.25" style="260" customWidth="1"/>
    <col min="10249" max="10495" width="9" style="260"/>
    <col min="10496" max="10496" width="2.875" style="260" customWidth="1"/>
    <col min="10497" max="10497" width="3" style="260" customWidth="1"/>
    <col min="10498" max="10498" width="14.75" style="260" customWidth="1"/>
    <col min="10499" max="10499" width="25.875" style="260" customWidth="1"/>
    <col min="10500" max="10500" width="8.125" style="260" customWidth="1"/>
    <col min="10501" max="10501" width="7.375" style="260" bestFit="1" customWidth="1"/>
    <col min="10502" max="10502" width="7.875" style="260" bestFit="1" customWidth="1"/>
    <col min="10503" max="10503" width="13.25" style="260" bestFit="1" customWidth="1"/>
    <col min="10504" max="10504" width="14.25" style="260" customWidth="1"/>
    <col min="10505" max="10751" width="9" style="260"/>
    <col min="10752" max="10752" width="2.875" style="260" customWidth="1"/>
    <col min="10753" max="10753" width="3" style="260" customWidth="1"/>
    <col min="10754" max="10754" width="14.75" style="260" customWidth="1"/>
    <col min="10755" max="10755" width="25.875" style="260" customWidth="1"/>
    <col min="10756" max="10756" width="8.125" style="260" customWidth="1"/>
    <col min="10757" max="10757" width="7.375" style="260" bestFit="1" customWidth="1"/>
    <col min="10758" max="10758" width="7.875" style="260" bestFit="1" customWidth="1"/>
    <col min="10759" max="10759" width="13.25" style="260" bestFit="1" customWidth="1"/>
    <col min="10760" max="10760" width="14.25" style="260" customWidth="1"/>
    <col min="10761" max="11007" width="9" style="260"/>
    <col min="11008" max="11008" width="2.875" style="260" customWidth="1"/>
    <col min="11009" max="11009" width="3" style="260" customWidth="1"/>
    <col min="11010" max="11010" width="14.75" style="260" customWidth="1"/>
    <col min="11011" max="11011" width="25.875" style="260" customWidth="1"/>
    <col min="11012" max="11012" width="8.125" style="260" customWidth="1"/>
    <col min="11013" max="11013" width="7.375" style="260" bestFit="1" customWidth="1"/>
    <col min="11014" max="11014" width="7.875" style="260" bestFit="1" customWidth="1"/>
    <col min="11015" max="11015" width="13.25" style="260" bestFit="1" customWidth="1"/>
    <col min="11016" max="11016" width="14.25" style="260" customWidth="1"/>
    <col min="11017" max="11263" width="9" style="260"/>
    <col min="11264" max="11264" width="2.875" style="260" customWidth="1"/>
    <col min="11265" max="11265" width="3" style="260" customWidth="1"/>
    <col min="11266" max="11266" width="14.75" style="260" customWidth="1"/>
    <col min="11267" max="11267" width="25.875" style="260" customWidth="1"/>
    <col min="11268" max="11268" width="8.125" style="260" customWidth="1"/>
    <col min="11269" max="11269" width="7.375" style="260" bestFit="1" customWidth="1"/>
    <col min="11270" max="11270" width="7.875" style="260" bestFit="1" customWidth="1"/>
    <col min="11271" max="11271" width="13.25" style="260" bestFit="1" customWidth="1"/>
    <col min="11272" max="11272" width="14.25" style="260" customWidth="1"/>
    <col min="11273" max="11519" width="9" style="260"/>
    <col min="11520" max="11520" width="2.875" style="260" customWidth="1"/>
    <col min="11521" max="11521" width="3" style="260" customWidth="1"/>
    <col min="11522" max="11522" width="14.75" style="260" customWidth="1"/>
    <col min="11523" max="11523" width="25.875" style="260" customWidth="1"/>
    <col min="11524" max="11524" width="8.125" style="260" customWidth="1"/>
    <col min="11525" max="11525" width="7.375" style="260" bestFit="1" customWidth="1"/>
    <col min="11526" max="11526" width="7.875" style="260" bestFit="1" customWidth="1"/>
    <col min="11527" max="11527" width="13.25" style="260" bestFit="1" customWidth="1"/>
    <col min="11528" max="11528" width="14.25" style="260" customWidth="1"/>
    <col min="11529" max="11775" width="9" style="260"/>
    <col min="11776" max="11776" width="2.875" style="260" customWidth="1"/>
    <col min="11777" max="11777" width="3" style="260" customWidth="1"/>
    <col min="11778" max="11778" width="14.75" style="260" customWidth="1"/>
    <col min="11779" max="11779" width="25.875" style="260" customWidth="1"/>
    <col min="11780" max="11780" width="8.125" style="260" customWidth="1"/>
    <col min="11781" max="11781" width="7.375" style="260" bestFit="1" customWidth="1"/>
    <col min="11782" max="11782" width="7.875" style="260" bestFit="1" customWidth="1"/>
    <col min="11783" max="11783" width="13.25" style="260" bestFit="1" customWidth="1"/>
    <col min="11784" max="11784" width="14.25" style="260" customWidth="1"/>
    <col min="11785" max="12031" width="9" style="260"/>
    <col min="12032" max="12032" width="2.875" style="260" customWidth="1"/>
    <col min="12033" max="12033" width="3" style="260" customWidth="1"/>
    <col min="12034" max="12034" width="14.75" style="260" customWidth="1"/>
    <col min="12035" max="12035" width="25.875" style="260" customWidth="1"/>
    <col min="12036" max="12036" width="8.125" style="260" customWidth="1"/>
    <col min="12037" max="12037" width="7.375" style="260" bestFit="1" customWidth="1"/>
    <col min="12038" max="12038" width="7.875" style="260" bestFit="1" customWidth="1"/>
    <col min="12039" max="12039" width="13.25" style="260" bestFit="1" customWidth="1"/>
    <col min="12040" max="12040" width="14.25" style="260" customWidth="1"/>
    <col min="12041" max="12287" width="9" style="260"/>
    <col min="12288" max="12288" width="2.875" style="260" customWidth="1"/>
    <col min="12289" max="12289" width="3" style="260" customWidth="1"/>
    <col min="12290" max="12290" width="14.75" style="260" customWidth="1"/>
    <col min="12291" max="12291" width="25.875" style="260" customWidth="1"/>
    <col min="12292" max="12292" width="8.125" style="260" customWidth="1"/>
    <col min="12293" max="12293" width="7.375" style="260" bestFit="1" customWidth="1"/>
    <col min="12294" max="12294" width="7.875" style="260" bestFit="1" customWidth="1"/>
    <col min="12295" max="12295" width="13.25" style="260" bestFit="1" customWidth="1"/>
    <col min="12296" max="12296" width="14.25" style="260" customWidth="1"/>
    <col min="12297" max="12543" width="9" style="260"/>
    <col min="12544" max="12544" width="2.875" style="260" customWidth="1"/>
    <col min="12545" max="12545" width="3" style="260" customWidth="1"/>
    <col min="12546" max="12546" width="14.75" style="260" customWidth="1"/>
    <col min="12547" max="12547" width="25.875" style="260" customWidth="1"/>
    <col min="12548" max="12548" width="8.125" style="260" customWidth="1"/>
    <col min="12549" max="12549" width="7.375" style="260" bestFit="1" customWidth="1"/>
    <col min="12550" max="12550" width="7.875" style="260" bestFit="1" customWidth="1"/>
    <col min="12551" max="12551" width="13.25" style="260" bestFit="1" customWidth="1"/>
    <col min="12552" max="12552" width="14.25" style="260" customWidth="1"/>
    <col min="12553" max="12799" width="9" style="260"/>
    <col min="12800" max="12800" width="2.875" style="260" customWidth="1"/>
    <col min="12801" max="12801" width="3" style="260" customWidth="1"/>
    <col min="12802" max="12802" width="14.75" style="260" customWidth="1"/>
    <col min="12803" max="12803" width="25.875" style="260" customWidth="1"/>
    <col min="12804" max="12804" width="8.125" style="260" customWidth="1"/>
    <col min="12805" max="12805" width="7.375" style="260" bestFit="1" customWidth="1"/>
    <col min="12806" max="12806" width="7.875" style="260" bestFit="1" customWidth="1"/>
    <col min="12807" max="12807" width="13.25" style="260" bestFit="1" customWidth="1"/>
    <col min="12808" max="12808" width="14.25" style="260" customWidth="1"/>
    <col min="12809" max="13055" width="9" style="260"/>
    <col min="13056" max="13056" width="2.875" style="260" customWidth="1"/>
    <col min="13057" max="13057" width="3" style="260" customWidth="1"/>
    <col min="13058" max="13058" width="14.75" style="260" customWidth="1"/>
    <col min="13059" max="13059" width="25.875" style="260" customWidth="1"/>
    <col min="13060" max="13060" width="8.125" style="260" customWidth="1"/>
    <col min="13061" max="13061" width="7.375" style="260" bestFit="1" customWidth="1"/>
    <col min="13062" max="13062" width="7.875" style="260" bestFit="1" customWidth="1"/>
    <col min="13063" max="13063" width="13.25" style="260" bestFit="1" customWidth="1"/>
    <col min="13064" max="13064" width="14.25" style="260" customWidth="1"/>
    <col min="13065" max="13311" width="9" style="260"/>
    <col min="13312" max="13312" width="2.875" style="260" customWidth="1"/>
    <col min="13313" max="13313" width="3" style="260" customWidth="1"/>
    <col min="13314" max="13314" width="14.75" style="260" customWidth="1"/>
    <col min="13315" max="13315" width="25.875" style="260" customWidth="1"/>
    <col min="13316" max="13316" width="8.125" style="260" customWidth="1"/>
    <col min="13317" max="13317" width="7.375" style="260" bestFit="1" customWidth="1"/>
    <col min="13318" max="13318" width="7.875" style="260" bestFit="1" customWidth="1"/>
    <col min="13319" max="13319" width="13.25" style="260" bestFit="1" customWidth="1"/>
    <col min="13320" max="13320" width="14.25" style="260" customWidth="1"/>
    <col min="13321" max="13567" width="9" style="260"/>
    <col min="13568" max="13568" width="2.875" style="260" customWidth="1"/>
    <col min="13569" max="13569" width="3" style="260" customWidth="1"/>
    <col min="13570" max="13570" width="14.75" style="260" customWidth="1"/>
    <col min="13571" max="13571" width="25.875" style="260" customWidth="1"/>
    <col min="13572" max="13572" width="8.125" style="260" customWidth="1"/>
    <col min="13573" max="13573" width="7.375" style="260" bestFit="1" customWidth="1"/>
    <col min="13574" max="13574" width="7.875" style="260" bestFit="1" customWidth="1"/>
    <col min="13575" max="13575" width="13.25" style="260" bestFit="1" customWidth="1"/>
    <col min="13576" max="13576" width="14.25" style="260" customWidth="1"/>
    <col min="13577" max="13823" width="9" style="260"/>
    <col min="13824" max="13824" width="2.875" style="260" customWidth="1"/>
    <col min="13825" max="13825" width="3" style="260" customWidth="1"/>
    <col min="13826" max="13826" width="14.75" style="260" customWidth="1"/>
    <col min="13827" max="13827" width="25.875" style="260" customWidth="1"/>
    <col min="13828" max="13828" width="8.125" style="260" customWidth="1"/>
    <col min="13829" max="13829" width="7.375" style="260" bestFit="1" customWidth="1"/>
    <col min="13830" max="13830" width="7.875" style="260" bestFit="1" customWidth="1"/>
    <col min="13831" max="13831" width="13.25" style="260" bestFit="1" customWidth="1"/>
    <col min="13832" max="13832" width="14.25" style="260" customWidth="1"/>
    <col min="13833" max="14079" width="9" style="260"/>
    <col min="14080" max="14080" width="2.875" style="260" customWidth="1"/>
    <col min="14081" max="14081" width="3" style="260" customWidth="1"/>
    <col min="14082" max="14082" width="14.75" style="260" customWidth="1"/>
    <col min="14083" max="14083" width="25.875" style="260" customWidth="1"/>
    <col min="14084" max="14084" width="8.125" style="260" customWidth="1"/>
    <col min="14085" max="14085" width="7.375" style="260" bestFit="1" customWidth="1"/>
    <col min="14086" max="14086" width="7.875" style="260" bestFit="1" customWidth="1"/>
    <col min="14087" max="14087" width="13.25" style="260" bestFit="1" customWidth="1"/>
    <col min="14088" max="14088" width="14.25" style="260" customWidth="1"/>
    <col min="14089" max="14335" width="9" style="260"/>
    <col min="14336" max="14336" width="2.875" style="260" customWidth="1"/>
    <col min="14337" max="14337" width="3" style="260" customWidth="1"/>
    <col min="14338" max="14338" width="14.75" style="260" customWidth="1"/>
    <col min="14339" max="14339" width="25.875" style="260" customWidth="1"/>
    <col min="14340" max="14340" width="8.125" style="260" customWidth="1"/>
    <col min="14341" max="14341" width="7.375" style="260" bestFit="1" customWidth="1"/>
    <col min="14342" max="14342" width="7.875" style="260" bestFit="1" customWidth="1"/>
    <col min="14343" max="14343" width="13.25" style="260" bestFit="1" customWidth="1"/>
    <col min="14344" max="14344" width="14.25" style="260" customWidth="1"/>
    <col min="14345" max="14591" width="9" style="260"/>
    <col min="14592" max="14592" width="2.875" style="260" customWidth="1"/>
    <col min="14593" max="14593" width="3" style="260" customWidth="1"/>
    <col min="14594" max="14594" width="14.75" style="260" customWidth="1"/>
    <col min="14595" max="14595" width="25.875" style="260" customWidth="1"/>
    <col min="14596" max="14596" width="8.125" style="260" customWidth="1"/>
    <col min="14597" max="14597" width="7.375" style="260" bestFit="1" customWidth="1"/>
    <col min="14598" max="14598" width="7.875" style="260" bestFit="1" customWidth="1"/>
    <col min="14599" max="14599" width="13.25" style="260" bestFit="1" customWidth="1"/>
    <col min="14600" max="14600" width="14.25" style="260" customWidth="1"/>
    <col min="14601" max="14847" width="9" style="260"/>
    <col min="14848" max="14848" width="2.875" style="260" customWidth="1"/>
    <col min="14849" max="14849" width="3" style="260" customWidth="1"/>
    <col min="14850" max="14850" width="14.75" style="260" customWidth="1"/>
    <col min="14851" max="14851" width="25.875" style="260" customWidth="1"/>
    <col min="14852" max="14852" width="8.125" style="260" customWidth="1"/>
    <col min="14853" max="14853" width="7.375" style="260" bestFit="1" customWidth="1"/>
    <col min="14854" max="14854" width="7.875" style="260" bestFit="1" customWidth="1"/>
    <col min="14855" max="14855" width="13.25" style="260" bestFit="1" customWidth="1"/>
    <col min="14856" max="14856" width="14.25" style="260" customWidth="1"/>
    <col min="14857" max="15103" width="9" style="260"/>
    <col min="15104" max="15104" width="2.875" style="260" customWidth="1"/>
    <col min="15105" max="15105" width="3" style="260" customWidth="1"/>
    <col min="15106" max="15106" width="14.75" style="260" customWidth="1"/>
    <col min="15107" max="15107" width="25.875" style="260" customWidth="1"/>
    <col min="15108" max="15108" width="8.125" style="260" customWidth="1"/>
    <col min="15109" max="15109" width="7.375" style="260" bestFit="1" customWidth="1"/>
    <col min="15110" max="15110" width="7.875" style="260" bestFit="1" customWidth="1"/>
    <col min="15111" max="15111" width="13.25" style="260" bestFit="1" customWidth="1"/>
    <col min="15112" max="15112" width="14.25" style="260" customWidth="1"/>
    <col min="15113" max="15359" width="9" style="260"/>
    <col min="15360" max="15360" width="2.875" style="260" customWidth="1"/>
    <col min="15361" max="15361" width="3" style="260" customWidth="1"/>
    <col min="15362" max="15362" width="14.75" style="260" customWidth="1"/>
    <col min="15363" max="15363" width="25.875" style="260" customWidth="1"/>
    <col min="15364" max="15364" width="8.125" style="260" customWidth="1"/>
    <col min="15365" max="15365" width="7.375" style="260" bestFit="1" customWidth="1"/>
    <col min="15366" max="15366" width="7.875" style="260" bestFit="1" customWidth="1"/>
    <col min="15367" max="15367" width="13.25" style="260" bestFit="1" customWidth="1"/>
    <col min="15368" max="15368" width="14.25" style="260" customWidth="1"/>
    <col min="15369" max="15615" width="9" style="260"/>
    <col min="15616" max="15616" width="2.875" style="260" customWidth="1"/>
    <col min="15617" max="15617" width="3" style="260" customWidth="1"/>
    <col min="15618" max="15618" width="14.75" style="260" customWidth="1"/>
    <col min="15619" max="15619" width="25.875" style="260" customWidth="1"/>
    <col min="15620" max="15620" width="8.125" style="260" customWidth="1"/>
    <col min="15621" max="15621" width="7.375" style="260" bestFit="1" customWidth="1"/>
    <col min="15622" max="15622" width="7.875" style="260" bestFit="1" customWidth="1"/>
    <col min="15623" max="15623" width="13.25" style="260" bestFit="1" customWidth="1"/>
    <col min="15624" max="15624" width="14.25" style="260" customWidth="1"/>
    <col min="15625" max="15871" width="9" style="260"/>
    <col min="15872" max="15872" width="2.875" style="260" customWidth="1"/>
    <col min="15873" max="15873" width="3" style="260" customWidth="1"/>
    <col min="15874" max="15874" width="14.75" style="260" customWidth="1"/>
    <col min="15875" max="15875" width="25.875" style="260" customWidth="1"/>
    <col min="15876" max="15876" width="8.125" style="260" customWidth="1"/>
    <col min="15877" max="15877" width="7.375" style="260" bestFit="1" customWidth="1"/>
    <col min="15878" max="15878" width="7.875" style="260" bestFit="1" customWidth="1"/>
    <col min="15879" max="15879" width="13.25" style="260" bestFit="1" customWidth="1"/>
    <col min="15880" max="15880" width="14.25" style="260" customWidth="1"/>
    <col min="15881" max="16127" width="9" style="260"/>
    <col min="16128" max="16128" width="2.875" style="260" customWidth="1"/>
    <col min="16129" max="16129" width="3" style="260" customWidth="1"/>
    <col min="16130" max="16130" width="14.75" style="260" customWidth="1"/>
    <col min="16131" max="16131" width="25.875" style="260" customWidth="1"/>
    <col min="16132" max="16132" width="8.125" style="260" customWidth="1"/>
    <col min="16133" max="16133" width="7.375" style="260" bestFit="1" customWidth="1"/>
    <col min="16134" max="16134" width="7.875" style="260" bestFit="1" customWidth="1"/>
    <col min="16135" max="16135" width="13.25" style="260" bestFit="1" customWidth="1"/>
    <col min="16136" max="16136" width="14.25" style="260" customWidth="1"/>
    <col min="16137" max="16384" width="9" style="260"/>
  </cols>
  <sheetData>
    <row r="1" spans="1:25" ht="18" customHeight="1">
      <c r="A1" s="1817" t="s">
        <v>798</v>
      </c>
      <c r="B1" s="1817"/>
      <c r="C1" s="1817"/>
      <c r="D1" s="262"/>
      <c r="E1" s="443"/>
      <c r="F1" s="443"/>
      <c r="G1" s="443"/>
      <c r="H1" s="443"/>
      <c r="I1" s="300"/>
      <c r="J1" s="1818" t="str">
        <f>CONCATENATE('入力（基本)'!G11)</f>
        <v/>
      </c>
      <c r="K1" s="1818"/>
      <c r="L1" s="1818"/>
    </row>
    <row r="2" spans="1:25" s="294" customFormat="1" ht="31.5" customHeight="1">
      <c r="A2" s="1769" t="s">
        <v>1299</v>
      </c>
      <c r="B2" s="1769"/>
      <c r="C2" s="1769"/>
      <c r="D2" s="1769"/>
      <c r="E2" s="1769"/>
      <c r="F2" s="1769"/>
      <c r="G2" s="1769"/>
      <c r="H2" s="1769"/>
      <c r="I2" s="1769"/>
      <c r="J2" s="1769"/>
      <c r="K2" s="1769"/>
      <c r="L2" s="1769"/>
      <c r="N2" s="1758" t="s">
        <v>582</v>
      </c>
      <c r="O2" s="1759"/>
      <c r="P2" s="261" t="s">
        <v>179</v>
      </c>
      <c r="Q2" s="261">
        <f>IFERROR(VLOOKUP(SUM(F10:F11),$N$5:$O$11,2,TRUE),0)</f>
        <v>0</v>
      </c>
      <c r="R2" s="296" t="s">
        <v>650</v>
      </c>
      <c r="S2" s="261" t="s">
        <v>651</v>
      </c>
      <c r="T2" s="261" t="s">
        <v>583</v>
      </c>
      <c r="U2" s="261" t="s">
        <v>652</v>
      </c>
      <c r="V2" s="261" t="s">
        <v>653</v>
      </c>
      <c r="W2" s="261" t="s">
        <v>654</v>
      </c>
      <c r="X2" s="292" t="s">
        <v>655</v>
      </c>
      <c r="Y2" s="293" t="s">
        <v>586</v>
      </c>
    </row>
    <row r="3" spans="1:25" s="294" customFormat="1" ht="20.100000000000001" customHeight="1">
      <c r="A3" s="584"/>
      <c r="B3" s="584"/>
      <c r="C3" s="584"/>
      <c r="D3" s="584"/>
      <c r="E3" s="584"/>
      <c r="F3" s="584"/>
      <c r="G3" s="584"/>
      <c r="H3" s="584"/>
      <c r="I3" s="584"/>
      <c r="J3" s="584"/>
      <c r="K3" s="584"/>
      <c r="L3" s="584"/>
      <c r="N3" s="431"/>
      <c r="O3" s="432"/>
      <c r="P3" s="261"/>
      <c r="Q3" s="296"/>
      <c r="R3" s="296"/>
      <c r="S3" s="261"/>
      <c r="T3" s="261"/>
      <c r="U3" s="261"/>
      <c r="V3" s="261"/>
      <c r="W3" s="261"/>
      <c r="X3" s="292"/>
      <c r="Y3" s="293"/>
    </row>
    <row r="4" spans="1:25" s="294" customFormat="1" ht="20.100000000000001" customHeight="1">
      <c r="A4" s="584"/>
      <c r="B4" s="584"/>
      <c r="C4" s="584"/>
      <c r="D4" s="584"/>
      <c r="E4" s="584"/>
      <c r="F4" s="584"/>
      <c r="G4" s="584"/>
      <c r="H4" s="584"/>
      <c r="I4" s="1666" t="s">
        <v>786</v>
      </c>
      <c r="J4" s="1668"/>
      <c r="K4" s="1669"/>
      <c r="L4" s="1670"/>
      <c r="N4" s="431"/>
      <c r="O4" s="432"/>
      <c r="P4" s="261"/>
      <c r="Q4" s="296"/>
      <c r="R4" s="296"/>
      <c r="S4" s="261"/>
      <c r="T4" s="261"/>
      <c r="U4" s="261"/>
      <c r="V4" s="261"/>
      <c r="W4" s="261"/>
      <c r="X4" s="292"/>
      <c r="Y4" s="293"/>
    </row>
    <row r="5" spans="1:25" ht="19.5" customHeight="1">
      <c r="A5" s="262"/>
      <c r="B5" s="262"/>
      <c r="C5" s="510"/>
      <c r="D5" s="265"/>
      <c r="E5" s="265"/>
      <c r="F5" s="265"/>
      <c r="G5" s="265"/>
      <c r="H5" s="443"/>
      <c r="I5" s="1667"/>
      <c r="J5" s="1671"/>
      <c r="K5" s="1672"/>
      <c r="L5" s="1673"/>
      <c r="N5" s="295">
        <v>1</v>
      </c>
      <c r="O5" s="295">
        <v>1</v>
      </c>
      <c r="P5" s="261"/>
      <c r="Q5" s="296"/>
      <c r="R5" s="296"/>
      <c r="S5" s="261"/>
      <c r="T5" s="261"/>
      <c r="U5" s="261"/>
      <c r="V5" s="261"/>
      <c r="W5" s="261"/>
      <c r="X5" s="297"/>
      <c r="Y5" s="261"/>
    </row>
    <row r="6" spans="1:25" ht="19.5" customHeight="1" thickBot="1">
      <c r="A6" s="444" t="s">
        <v>591</v>
      </c>
      <c r="B6" s="262"/>
      <c r="C6" s="262"/>
      <c r="D6" s="262"/>
      <c r="E6" s="265"/>
      <c r="F6" s="265"/>
      <c r="G6" s="265"/>
      <c r="H6" s="443"/>
      <c r="I6" s="989"/>
      <c r="J6" s="989"/>
      <c r="K6" s="989"/>
      <c r="L6" s="989"/>
      <c r="N6" s="295">
        <v>46</v>
      </c>
      <c r="O6" s="295">
        <v>2</v>
      </c>
      <c r="P6" s="261">
        <v>1</v>
      </c>
      <c r="Q6" s="261">
        <v>1</v>
      </c>
      <c r="R6" s="296" t="s">
        <v>656</v>
      </c>
      <c r="S6" s="261" t="s">
        <v>250</v>
      </c>
      <c r="T6" s="296" t="str">
        <f>IF(OR(F10&lt;=35,F10&gt;=121),"あり","")</f>
        <v>あり</v>
      </c>
      <c r="U6" s="296" t="str">
        <f>IF(SUM($F$9:$G$9)&gt;=91,"あり","")</f>
        <v/>
      </c>
      <c r="V6" s="296" t="str">
        <f>IF(SUM($F$10:$G$11)&gt;=271,"あり","")</f>
        <v/>
      </c>
      <c r="W6" s="296" t="str">
        <f>IF(SUM($F$9:$G$9)&gt;=271,"あり","")</f>
        <v/>
      </c>
      <c r="X6" s="297">
        <v>1</v>
      </c>
      <c r="Y6" s="261">
        <v>1</v>
      </c>
    </row>
    <row r="7" spans="1:25" ht="19.5" customHeight="1" thickBot="1">
      <c r="A7" s="445"/>
      <c r="B7" s="1699"/>
      <c r="C7" s="1700"/>
      <c r="D7" s="1700"/>
      <c r="E7" s="1700"/>
      <c r="F7" s="585" t="s">
        <v>662</v>
      </c>
      <c r="G7" s="585" t="s">
        <v>663</v>
      </c>
      <c r="H7" s="443"/>
      <c r="I7" s="989"/>
      <c r="J7" s="989"/>
      <c r="K7" s="989"/>
      <c r="L7" s="989"/>
      <c r="N7" s="298">
        <v>151</v>
      </c>
      <c r="O7" s="586">
        <v>3</v>
      </c>
      <c r="P7" s="261" t="str">
        <f>IF($Q$2&gt;=Q7,Q7,"")</f>
        <v/>
      </c>
      <c r="Q7" s="261">
        <v>2</v>
      </c>
      <c r="R7" s="296" t="s">
        <v>657</v>
      </c>
      <c r="S7" s="261" t="s">
        <v>658</v>
      </c>
      <c r="T7" s="296" t="s">
        <v>659</v>
      </c>
      <c r="U7" s="296" t="s">
        <v>660</v>
      </c>
      <c r="V7" s="296" t="s">
        <v>661</v>
      </c>
      <c r="W7" s="296" t="s">
        <v>657</v>
      </c>
      <c r="X7" s="297">
        <v>2</v>
      </c>
      <c r="Y7" s="261">
        <v>2</v>
      </c>
    </row>
    <row r="8" spans="1:25" ht="19.5" customHeight="1" thickBot="1">
      <c r="A8" s="445"/>
      <c r="B8" s="1661" t="s">
        <v>628</v>
      </c>
      <c r="C8" s="1662"/>
      <c r="D8" s="1662"/>
      <c r="E8" s="1662"/>
      <c r="F8" s="1664" t="str">
        <f>IF(G12&gt;0,"あり","なし")</f>
        <v>なし</v>
      </c>
      <c r="G8" s="1665"/>
      <c r="H8" s="443"/>
      <c r="I8" s="300"/>
      <c r="J8" s="262"/>
      <c r="K8" s="262"/>
      <c r="L8" s="262"/>
      <c r="N8" s="298">
        <v>241</v>
      </c>
      <c r="O8" s="298">
        <v>3.5</v>
      </c>
      <c r="P8" s="261" t="str">
        <f t="shared" ref="P8:P18" si="0">IF($Q$2&gt;=Q8,Q8,"")</f>
        <v/>
      </c>
      <c r="Q8" s="261">
        <v>3</v>
      </c>
      <c r="Y8" s="261">
        <v>3</v>
      </c>
    </row>
    <row r="9" spans="1:25" ht="19.5" customHeight="1" thickBot="1">
      <c r="A9" s="444"/>
      <c r="B9" s="1661" t="s">
        <v>593</v>
      </c>
      <c r="C9" s="1662"/>
      <c r="D9" s="1662"/>
      <c r="E9" s="1662"/>
      <c r="F9" s="587">
        <f>SUM(F10:F12)</f>
        <v>0</v>
      </c>
      <c r="G9" s="587">
        <f>SUM(G10:G12)</f>
        <v>0</v>
      </c>
      <c r="H9" s="443"/>
      <c r="I9" s="300"/>
      <c r="J9" s="262"/>
      <c r="K9" s="262"/>
      <c r="L9" s="262"/>
      <c r="N9" s="295">
        <v>271</v>
      </c>
      <c r="O9" s="295">
        <v>5</v>
      </c>
      <c r="P9" s="261" t="str">
        <f t="shared" si="0"/>
        <v/>
      </c>
      <c r="Q9" s="261">
        <v>3.5</v>
      </c>
      <c r="Y9" s="261">
        <v>4</v>
      </c>
    </row>
    <row r="10" spans="1:25" ht="19.5" customHeight="1">
      <c r="A10" s="444"/>
      <c r="B10" s="588"/>
      <c r="C10" s="1662" t="s">
        <v>664</v>
      </c>
      <c r="D10" s="1662"/>
      <c r="E10" s="1662"/>
      <c r="F10" s="1373">
        <f>'入力（加算）認'!D7</f>
        <v>0</v>
      </c>
      <c r="G10" s="1374"/>
      <c r="H10" s="443"/>
      <c r="I10" s="300"/>
      <c r="J10" s="262"/>
      <c r="K10" s="262"/>
      <c r="L10" s="262"/>
      <c r="N10" s="295">
        <v>301</v>
      </c>
      <c r="O10" s="295">
        <v>6</v>
      </c>
      <c r="P10" s="261" t="str">
        <f t="shared" si="0"/>
        <v/>
      </c>
      <c r="Q10" s="261">
        <v>4</v>
      </c>
      <c r="Y10" s="261">
        <v>5</v>
      </c>
    </row>
    <row r="11" spans="1:25" ht="19.5" customHeight="1">
      <c r="A11" s="444"/>
      <c r="B11" s="588"/>
      <c r="C11" s="1662" t="s">
        <v>665</v>
      </c>
      <c r="D11" s="1662"/>
      <c r="E11" s="1662"/>
      <c r="F11" s="1375">
        <f>'入力（加算）認'!D8</f>
        <v>0</v>
      </c>
      <c r="G11" s="1376"/>
      <c r="H11" s="443"/>
      <c r="I11" s="300"/>
      <c r="J11" s="262"/>
      <c r="K11" s="262"/>
      <c r="L11" s="262"/>
      <c r="N11" s="295">
        <v>451</v>
      </c>
      <c r="O11" s="295">
        <v>8</v>
      </c>
      <c r="P11" s="261" t="str">
        <f t="shared" si="0"/>
        <v/>
      </c>
      <c r="Q11" s="261">
        <v>4.5</v>
      </c>
      <c r="Y11" s="261">
        <v>6</v>
      </c>
    </row>
    <row r="12" spans="1:25" ht="19.5" customHeight="1" thickBot="1">
      <c r="A12" s="444"/>
      <c r="B12" s="588"/>
      <c r="C12" s="1662" t="s">
        <v>666</v>
      </c>
      <c r="D12" s="1662"/>
      <c r="E12" s="1662"/>
      <c r="F12" s="1377">
        <f>'入力（加算）認'!D9</f>
        <v>0</v>
      </c>
      <c r="G12" s="1377">
        <f>'入力（加算）認'!D12</f>
        <v>0</v>
      </c>
      <c r="H12" s="443"/>
      <c r="I12" s="300"/>
      <c r="J12" s="262"/>
      <c r="K12" s="262"/>
      <c r="L12" s="262"/>
      <c r="P12" s="261" t="str">
        <f t="shared" si="0"/>
        <v/>
      </c>
      <c r="Q12" s="261">
        <v>5</v>
      </c>
      <c r="Y12" s="261">
        <v>7</v>
      </c>
    </row>
    <row r="13" spans="1:25" ht="19.5" customHeight="1">
      <c r="A13" s="444"/>
      <c r="B13" s="1764" t="s">
        <v>667</v>
      </c>
      <c r="C13" s="1765"/>
      <c r="D13" s="1765"/>
      <c r="E13" s="1765"/>
      <c r="F13" s="1478">
        <f>F15+F16+F19+F20+F22+F23</f>
        <v>0</v>
      </c>
      <c r="G13" s="1478">
        <f>G19+G20+G22+G23</f>
        <v>0</v>
      </c>
      <c r="H13" s="443"/>
      <c r="I13" s="300"/>
      <c r="J13" s="262"/>
      <c r="K13" s="262"/>
      <c r="L13" s="262"/>
      <c r="P13" s="261" t="str">
        <f t="shared" si="0"/>
        <v/>
      </c>
      <c r="Q13" s="261">
        <v>5.5</v>
      </c>
      <c r="Y13" s="261">
        <v>8</v>
      </c>
    </row>
    <row r="14" spans="1:25" ht="19.5" customHeight="1" thickBot="1">
      <c r="A14" s="444"/>
      <c r="B14" s="450"/>
      <c r="C14" s="1476" t="s">
        <v>664</v>
      </c>
      <c r="D14" s="1477"/>
      <c r="E14" s="451"/>
      <c r="F14" s="589">
        <f>SUM(F15:F17)</f>
        <v>0</v>
      </c>
      <c r="G14" s="589">
        <f>SUM(G15:G17)</f>
        <v>0</v>
      </c>
      <c r="H14" s="443"/>
      <c r="I14" s="300"/>
      <c r="J14" s="262"/>
      <c r="K14" s="262"/>
      <c r="L14" s="262"/>
      <c r="P14" s="261" t="str">
        <f t="shared" si="0"/>
        <v/>
      </c>
      <c r="Q14" s="261">
        <v>6</v>
      </c>
      <c r="Y14" s="261">
        <v>9</v>
      </c>
    </row>
    <row r="15" spans="1:25" ht="19.5" customHeight="1">
      <c r="A15" s="444"/>
      <c r="B15" s="450"/>
      <c r="C15" s="1683" t="s">
        <v>1373</v>
      </c>
      <c r="D15" s="1684"/>
      <c r="E15" s="451"/>
      <c r="F15" s="590">
        <f>'入力（児童数-本園)'!W5</f>
        <v>0</v>
      </c>
      <c r="G15" s="1479"/>
      <c r="H15" s="443"/>
      <c r="I15" s="300"/>
      <c r="J15" s="262"/>
      <c r="K15" s="262"/>
      <c r="L15" s="262"/>
      <c r="P15" s="261" t="str">
        <f t="shared" si="0"/>
        <v/>
      </c>
      <c r="Q15" s="261">
        <v>6.5</v>
      </c>
      <c r="Y15" s="261">
        <v>10</v>
      </c>
    </row>
    <row r="16" spans="1:25" ht="19.5" customHeight="1">
      <c r="A16" s="444"/>
      <c r="B16" s="450"/>
      <c r="C16" s="1683" t="s">
        <v>1374</v>
      </c>
      <c r="D16" s="1684"/>
      <c r="E16" s="451"/>
      <c r="F16" s="515">
        <f>'入力（児童数-本園)'!W4+'入力（児童数-本園)'!W3</f>
        <v>0</v>
      </c>
      <c r="G16" s="593"/>
      <c r="H16" s="443"/>
      <c r="I16" s="300"/>
      <c r="J16" s="262"/>
      <c r="K16" s="262"/>
      <c r="L16" s="262"/>
      <c r="P16" s="261" t="str">
        <f t="shared" si="0"/>
        <v/>
      </c>
      <c r="Q16" s="261">
        <v>7</v>
      </c>
      <c r="Y16" s="261"/>
    </row>
    <row r="17" spans="1:25" ht="19.5" customHeight="1" thickBot="1">
      <c r="A17" s="444"/>
      <c r="B17" s="450"/>
      <c r="C17" s="1476" t="s">
        <v>1375</v>
      </c>
      <c r="D17" s="1477"/>
      <c r="E17" s="451"/>
      <c r="F17" s="517">
        <f>'入力（児童数-本園)'!W3</f>
        <v>0</v>
      </c>
      <c r="G17" s="1480"/>
      <c r="H17" s="443"/>
      <c r="I17" s="300"/>
      <c r="J17" s="262"/>
      <c r="K17" s="262"/>
      <c r="L17" s="262"/>
      <c r="P17" s="261" t="str">
        <f t="shared" si="0"/>
        <v/>
      </c>
      <c r="Q17" s="261">
        <v>7.5</v>
      </c>
      <c r="Y17" s="261"/>
    </row>
    <row r="18" spans="1:25" ht="19.5" customHeight="1" thickBot="1">
      <c r="A18" s="444"/>
      <c r="B18" s="450"/>
      <c r="C18" s="1476" t="s">
        <v>1372</v>
      </c>
      <c r="D18" s="1477"/>
      <c r="E18" s="451"/>
      <c r="F18" s="589">
        <f>SUM(F19:F23)</f>
        <v>0</v>
      </c>
      <c r="G18" s="589">
        <f>SUM(G19:G23)</f>
        <v>0</v>
      </c>
      <c r="H18" s="443"/>
      <c r="I18" s="300"/>
      <c r="J18" s="262"/>
      <c r="K18" s="262"/>
      <c r="L18" s="262"/>
      <c r="P18" s="261" t="str">
        <f t="shared" si="0"/>
        <v/>
      </c>
      <c r="Q18" s="261">
        <v>8</v>
      </c>
      <c r="Y18" s="261"/>
    </row>
    <row r="19" spans="1:25" ht="19.5" customHeight="1">
      <c r="A19" s="444"/>
      <c r="B19" s="450"/>
      <c r="C19" s="1683" t="s">
        <v>1373</v>
      </c>
      <c r="D19" s="1684"/>
      <c r="E19" s="451"/>
      <c r="F19" s="590">
        <f>SUM('入力（児童数-本園)'!Y6:Z6)</f>
        <v>0</v>
      </c>
      <c r="G19" s="590">
        <f>'入力（児童数-分園)'!Z3</f>
        <v>0</v>
      </c>
      <c r="H19" s="1819" t="str">
        <f>IF(OR(F13&gt;F9*1.2,G13&gt;G9*1.2),"←警告：定員の120％を超過しています。","")</f>
        <v/>
      </c>
      <c r="I19" s="1820"/>
      <c r="J19" s="1820"/>
      <c r="K19" s="1820"/>
      <c r="L19" s="1820"/>
      <c r="Y19" s="261"/>
    </row>
    <row r="20" spans="1:25" ht="19.5" customHeight="1">
      <c r="A20" s="444"/>
      <c r="B20" s="450"/>
      <c r="C20" s="1683" t="s">
        <v>1374</v>
      </c>
      <c r="D20" s="1684"/>
      <c r="E20" s="451"/>
      <c r="F20" s="515">
        <f>SUM('入力（児童数-本園)'!Y5:Z5)</f>
        <v>0</v>
      </c>
      <c r="G20" s="515">
        <f>'入力（児童数-分園)'!Z4</f>
        <v>0</v>
      </c>
      <c r="H20" s="1819"/>
      <c r="I20" s="1820"/>
      <c r="J20" s="1820"/>
      <c r="K20" s="1820"/>
      <c r="L20" s="1820"/>
    </row>
    <row r="21" spans="1:25" ht="19.5" customHeight="1">
      <c r="A21" s="444"/>
      <c r="B21" s="450"/>
      <c r="C21" s="591" t="s">
        <v>1375</v>
      </c>
      <c r="D21" s="592"/>
      <c r="E21" s="451"/>
      <c r="F21" s="515">
        <v>0</v>
      </c>
      <c r="G21" s="593"/>
      <c r="H21" s="1819"/>
      <c r="I21" s="1820"/>
      <c r="J21" s="1820"/>
      <c r="K21" s="1820"/>
      <c r="L21" s="1820"/>
    </row>
    <row r="22" spans="1:25" ht="19.5" customHeight="1">
      <c r="A22" s="444"/>
      <c r="B22" s="450"/>
      <c r="C22" s="1684" t="s">
        <v>1376</v>
      </c>
      <c r="D22" s="1687"/>
      <c r="E22" s="451"/>
      <c r="F22" s="515">
        <f>SUM('入力（児童数-本園)'!Y4:Z4)</f>
        <v>0</v>
      </c>
      <c r="G22" s="515">
        <f>'入力（児童数-分園)'!Z5</f>
        <v>0</v>
      </c>
      <c r="H22" s="1819"/>
      <c r="I22" s="1820"/>
      <c r="J22" s="1820"/>
      <c r="K22" s="1820"/>
      <c r="L22" s="1820"/>
    </row>
    <row r="23" spans="1:25" ht="19.5" customHeight="1" thickBot="1">
      <c r="A23" s="262"/>
      <c r="B23" s="456"/>
      <c r="C23" s="1688" t="s">
        <v>1377</v>
      </c>
      <c r="D23" s="1689"/>
      <c r="E23" s="457"/>
      <c r="F23" s="517">
        <f>SUM('入力（児童数-本園)'!Y3:Z3)</f>
        <v>0</v>
      </c>
      <c r="G23" s="517">
        <f>'入力（児童数-分園)'!Z6</f>
        <v>0</v>
      </c>
      <c r="H23" s="1819"/>
      <c r="I23" s="1820"/>
      <c r="J23" s="1820"/>
      <c r="K23" s="1820"/>
      <c r="L23" s="1820"/>
    </row>
    <row r="24" spans="1:25" ht="36.75" customHeight="1">
      <c r="A24" s="262"/>
      <c r="B24" s="460" t="s">
        <v>668</v>
      </c>
      <c r="C24" s="1763" t="s">
        <v>633</v>
      </c>
      <c r="D24" s="1763"/>
      <c r="E24" s="1763"/>
      <c r="F24" s="1763"/>
      <c r="G24" s="1763"/>
      <c r="H24" s="1763"/>
      <c r="I24" s="1763"/>
      <c r="J24" s="1763"/>
      <c r="K24" s="1763"/>
      <c r="L24" s="1763"/>
    </row>
    <row r="25" spans="1:25" ht="19.5" customHeight="1">
      <c r="A25" s="262"/>
      <c r="B25" s="460"/>
      <c r="C25" s="1763"/>
      <c r="D25" s="1763"/>
      <c r="E25" s="1763"/>
      <c r="F25" s="1763"/>
      <c r="G25" s="1763"/>
      <c r="H25" s="1763"/>
      <c r="I25" s="1763"/>
      <c r="J25" s="1763"/>
      <c r="K25" s="1763"/>
      <c r="L25" s="1763"/>
    </row>
    <row r="26" spans="1:25" ht="19.5" customHeight="1">
      <c r="A26" s="262"/>
      <c r="B26" s="460"/>
      <c r="C26" s="594"/>
      <c r="D26" s="594"/>
      <c r="E26" s="594"/>
      <c r="F26" s="594"/>
      <c r="G26" s="594"/>
      <c r="H26" s="594"/>
      <c r="I26" s="594"/>
      <c r="J26" s="594"/>
      <c r="K26" s="462" t="s">
        <v>789</v>
      </c>
      <c r="L26" s="463">
        <v>12</v>
      </c>
    </row>
    <row r="27" spans="1:25" ht="19.5" customHeight="1" thickBot="1">
      <c r="A27" s="444" t="s">
        <v>669</v>
      </c>
      <c r="B27" s="262"/>
      <c r="C27" s="262"/>
      <c r="D27" s="262"/>
      <c r="E27" s="443"/>
      <c r="F27" s="443"/>
      <c r="G27" s="443"/>
      <c r="H27" s="443"/>
      <c r="I27" s="300"/>
      <c r="J27" s="262"/>
      <c r="K27" s="262"/>
      <c r="L27" s="262"/>
    </row>
    <row r="28" spans="1:25" ht="19.5" customHeight="1" thickBot="1">
      <c r="A28" s="444"/>
      <c r="B28" s="262"/>
      <c r="C28" s="262"/>
      <c r="D28" s="262"/>
      <c r="E28" s="1691" t="s">
        <v>634</v>
      </c>
      <c r="F28" s="1692"/>
      <c r="G28" s="1692"/>
      <c r="H28" s="1693"/>
      <c r="I28" s="1694" t="s">
        <v>635</v>
      </c>
      <c r="J28" s="1695"/>
      <c r="K28" s="1695"/>
      <c r="L28" s="1696"/>
    </row>
    <row r="29" spans="1:25" ht="19.5" customHeight="1">
      <c r="A29" s="262"/>
      <c r="B29" s="464"/>
      <c r="C29" s="465"/>
      <c r="D29" s="980"/>
      <c r="E29" s="1022" t="s">
        <v>600</v>
      </c>
      <c r="F29" s="1023" t="s">
        <v>592</v>
      </c>
      <c r="G29" s="1812" t="s">
        <v>602</v>
      </c>
      <c r="H29" s="1813"/>
      <c r="I29" s="1022" t="s">
        <v>600</v>
      </c>
      <c r="J29" s="1023" t="s">
        <v>592</v>
      </c>
      <c r="K29" s="1812" t="s">
        <v>602</v>
      </c>
      <c r="L29" s="1813"/>
    </row>
    <row r="30" spans="1:25" ht="19.5" customHeight="1">
      <c r="A30" s="273"/>
      <c r="B30" s="580" t="s">
        <v>670</v>
      </c>
      <c r="C30" s="596" t="s">
        <v>671</v>
      </c>
      <c r="D30" s="596"/>
      <c r="E30" s="1017"/>
      <c r="F30" s="1024"/>
      <c r="G30" s="1034"/>
      <c r="H30" s="1498"/>
      <c r="I30" s="1017"/>
      <c r="J30" s="1024"/>
      <c r="K30" s="1034"/>
      <c r="L30" s="1498"/>
    </row>
    <row r="31" spans="1:25" ht="19.5" customHeight="1">
      <c r="A31" s="273"/>
      <c r="B31" s="1814" t="s">
        <v>664</v>
      </c>
      <c r="C31" s="601" t="s">
        <v>1380</v>
      </c>
      <c r="D31" s="1482"/>
      <c r="E31" s="1018"/>
      <c r="F31" s="1025">
        <f>F15</f>
        <v>0</v>
      </c>
      <c r="G31" s="1035">
        <f>F31*1/30</f>
        <v>0</v>
      </c>
      <c r="H31" s="602">
        <f>ROUNDDOWN(G31,1)</f>
        <v>0</v>
      </c>
      <c r="I31" s="1018"/>
      <c r="J31" s="1025">
        <f>G15</f>
        <v>0</v>
      </c>
      <c r="K31" s="1035">
        <f>IF(F8="あり",J31*1/30,0)</f>
        <v>0</v>
      </c>
      <c r="L31" s="602">
        <f>ROUNDDOWN(K31,1)</f>
        <v>0</v>
      </c>
    </row>
    <row r="32" spans="1:25" ht="19.5" customHeight="1">
      <c r="A32" s="273"/>
      <c r="B32" s="1815"/>
      <c r="C32" s="475" t="s">
        <v>1381</v>
      </c>
      <c r="D32" s="1483"/>
      <c r="E32" s="1019"/>
      <c r="F32" s="1026">
        <f>F16</f>
        <v>0</v>
      </c>
      <c r="G32" s="1036">
        <f>IF($E$33="あり",IF($E$34="あり",ROUNDDOWN(($F$16-$F$17)*1/15,1)+ROUNDDOWN($F$17*1/6,1),ROUNDDOWN($F$16*1/15,1)),IF($E$34="あり",ROUNDDOWN(($F$16-$F$17)*1/20,1)+ROUNDDOWN($F$17*1/6,1),ROUNDDOWN($F$16*1/20,1)))</f>
        <v>0</v>
      </c>
      <c r="H32" s="479">
        <f>ROUNDDOWN(G32,1)</f>
        <v>0</v>
      </c>
      <c r="I32" s="1019"/>
      <c r="J32" s="1026">
        <f>G16</f>
        <v>0</v>
      </c>
      <c r="K32" s="1036">
        <f>IF(F8="あり",IF($I$33="あり",IF($I$34="あり",ROUNDDOWN(($G$20-$G$21)*1/15,1)+ROUNDDOWN($G$21*1/6,1),ROUNDDOWN($G$20*1/15,1)),IF($I$34="あり",ROUNDDOWN(($G$20-$G$21)*1/20,1)+ROUNDDOWN($G$21*1/6,1),ROUNDDOWN($G$20*1/20,1))),0)</f>
        <v>0</v>
      </c>
      <c r="L32" s="479">
        <f>ROUNDDOWN(K32,1)</f>
        <v>0</v>
      </c>
    </row>
    <row r="33" spans="1:15" ht="19.5" customHeight="1">
      <c r="A33" s="273"/>
      <c r="B33" s="1815"/>
      <c r="C33" s="536" t="s">
        <v>672</v>
      </c>
      <c r="D33" s="1483"/>
      <c r="E33" s="647" t="str">
        <f>CONCATENATE('入力（加算）認'!G19)</f>
        <v/>
      </c>
      <c r="F33" s="1026"/>
      <c r="G33" s="1036"/>
      <c r="H33" s="479"/>
      <c r="I33" s="647" t="str">
        <f>E33</f>
        <v/>
      </c>
      <c r="J33" s="1026"/>
      <c r="K33" s="1036"/>
      <c r="L33" s="479"/>
    </row>
    <row r="34" spans="1:15" ht="19.5" customHeight="1" thickBot="1">
      <c r="A34" s="273"/>
      <c r="B34" s="1815"/>
      <c r="C34" s="1484" t="s">
        <v>673</v>
      </c>
      <c r="D34" s="1485"/>
      <c r="E34" s="1486" t="str">
        <f>CONCATENATE('入力（加算）認'!H19)</f>
        <v/>
      </c>
      <c r="F34" s="1487"/>
      <c r="G34" s="1488"/>
      <c r="H34" s="1489"/>
      <c r="I34" s="1486" t="str">
        <f>E34</f>
        <v/>
      </c>
      <c r="J34" s="1487"/>
      <c r="K34" s="1488"/>
      <c r="L34" s="1489"/>
    </row>
    <row r="35" spans="1:15" ht="19.5" customHeight="1" thickTop="1">
      <c r="A35" s="1475"/>
      <c r="B35" s="1816"/>
      <c r="C35" s="1490" t="s">
        <v>1382</v>
      </c>
      <c r="D35" s="1491"/>
      <c r="E35" s="1493"/>
      <c r="F35" s="1494"/>
      <c r="G35" s="1495"/>
      <c r="H35" s="1496">
        <f>ROUND(SUM(H31:H34),0)*1.1</f>
        <v>0</v>
      </c>
      <c r="I35" s="1493"/>
      <c r="J35" s="1494"/>
      <c r="K35" s="1495"/>
      <c r="L35" s="1496">
        <f>ROUND(SUM(L31:L34),0)*1.1</f>
        <v>0</v>
      </c>
    </row>
    <row r="36" spans="1:15" ht="19.5" customHeight="1">
      <c r="A36" s="1475"/>
      <c r="B36" s="1815" t="s">
        <v>1372</v>
      </c>
      <c r="C36" s="471" t="s">
        <v>1380</v>
      </c>
      <c r="D36" s="1015"/>
      <c r="E36" s="1492"/>
      <c r="F36" s="1027">
        <f>F19</f>
        <v>0</v>
      </c>
      <c r="G36" s="1037">
        <f>F36*1/30</f>
        <v>0</v>
      </c>
      <c r="H36" s="474">
        <f>ROUNDDOWN(G36,1)</f>
        <v>0</v>
      </c>
      <c r="I36" s="1492"/>
      <c r="J36" s="1027"/>
      <c r="K36" s="1037"/>
      <c r="L36" s="474"/>
    </row>
    <row r="37" spans="1:15" ht="19.5" customHeight="1">
      <c r="A37" s="1475"/>
      <c r="B37" s="1815"/>
      <c r="C37" s="471" t="s">
        <v>1379</v>
      </c>
      <c r="D37" s="1015"/>
      <c r="E37" s="1492"/>
      <c r="F37" s="1027">
        <f>F20</f>
        <v>0</v>
      </c>
      <c r="G37" s="1037">
        <f>IF(E40="あり",F37*1/15,F37*1/20)</f>
        <v>0</v>
      </c>
      <c r="H37" s="474">
        <f>ROUNDDOWN(G37,1)</f>
        <v>0</v>
      </c>
      <c r="I37" s="1492"/>
      <c r="J37" s="1027"/>
      <c r="K37" s="1037"/>
      <c r="L37" s="474"/>
    </row>
    <row r="38" spans="1:15" ht="19.5" customHeight="1">
      <c r="A38" s="1475"/>
      <c r="B38" s="1815"/>
      <c r="C38" s="471" t="s">
        <v>631</v>
      </c>
      <c r="D38" s="1015"/>
      <c r="E38" s="1492"/>
      <c r="F38" s="1027">
        <f>F22</f>
        <v>0</v>
      </c>
      <c r="G38" s="1037">
        <f>F38*1/6</f>
        <v>0</v>
      </c>
      <c r="H38" s="474">
        <f>ROUNDDOWN(G38,1)</f>
        <v>0</v>
      </c>
      <c r="I38" s="1492"/>
      <c r="J38" s="1027"/>
      <c r="K38" s="1037"/>
      <c r="L38" s="474"/>
    </row>
    <row r="39" spans="1:15" ht="19.5" customHeight="1">
      <c r="A39" s="273"/>
      <c r="B39" s="1815"/>
      <c r="C39" s="471" t="s">
        <v>632</v>
      </c>
      <c r="D39" s="1015"/>
      <c r="E39" s="473"/>
      <c r="F39" s="1027">
        <f>F23</f>
        <v>0</v>
      </c>
      <c r="G39" s="1037">
        <f>F39*1/3</f>
        <v>0</v>
      </c>
      <c r="H39" s="474">
        <f>ROUNDDOWN(G39,1)</f>
        <v>0</v>
      </c>
      <c r="I39" s="473"/>
      <c r="J39" s="1027">
        <f>G22</f>
        <v>0</v>
      </c>
      <c r="K39" s="1037">
        <f>IF(F8="あり",J39*1/6,0)</f>
        <v>0</v>
      </c>
      <c r="L39" s="474">
        <f>ROUNDDOWN(K39,1)</f>
        <v>0</v>
      </c>
    </row>
    <row r="40" spans="1:15" ht="19.5" customHeight="1" thickBot="1">
      <c r="A40" s="273"/>
      <c r="B40" s="1815"/>
      <c r="C40" s="480" t="s">
        <v>1378</v>
      </c>
      <c r="D40" s="1016"/>
      <c r="E40" s="1481" t="str">
        <f>CONCATENATE('入力（加算）認'!G19)</f>
        <v/>
      </c>
      <c r="F40" s="1028"/>
      <c r="G40" s="1038"/>
      <c r="H40" s="483"/>
      <c r="I40" s="995"/>
      <c r="J40" s="1028">
        <f>G23</f>
        <v>0</v>
      </c>
      <c r="K40" s="1038">
        <f>IF(F8="あり",J40*1/3,0)</f>
        <v>0</v>
      </c>
      <c r="L40" s="483">
        <f>ROUNDDOWN(K40,1)</f>
        <v>0</v>
      </c>
    </row>
    <row r="41" spans="1:15" ht="19.5" customHeight="1" thickTop="1">
      <c r="A41" s="273"/>
      <c r="B41" s="582"/>
      <c r="C41" s="456" t="s">
        <v>1383</v>
      </c>
      <c r="D41" s="604"/>
      <c r="E41" s="1092"/>
      <c r="F41" s="1497"/>
      <c r="G41" s="1093"/>
      <c r="H41" s="1094">
        <f>ROUND(SUM(H36:H40),0)*1.3</f>
        <v>0</v>
      </c>
      <c r="I41" s="1092"/>
      <c r="J41" s="1497"/>
      <c r="K41" s="1093"/>
      <c r="L41" s="1094">
        <f>ROUND(SUM(L31:L40),0)*1.3</f>
        <v>0</v>
      </c>
    </row>
    <row r="42" spans="1:15" ht="19.5" customHeight="1">
      <c r="A42" s="273"/>
      <c r="B42" s="583" t="s">
        <v>674</v>
      </c>
      <c r="C42" s="489" t="s">
        <v>1333</v>
      </c>
      <c r="D42" s="489"/>
      <c r="E42" s="1020"/>
      <c r="F42" s="1029"/>
      <c r="G42" s="1039"/>
      <c r="H42" s="488">
        <f>IF(F11+F12&lt;=90,1.3,0.9)</f>
        <v>1.3</v>
      </c>
      <c r="I42" s="1020"/>
      <c r="J42" s="1029"/>
      <c r="K42" s="1039"/>
      <c r="L42" s="488">
        <f>IF(F8="あり",IF(G11+G12&lt;=90,1.3,0.9),0)</f>
        <v>0</v>
      </c>
    </row>
    <row r="43" spans="1:15" ht="19.5" customHeight="1">
      <c r="A43" s="273"/>
      <c r="B43" s="583" t="s">
        <v>675</v>
      </c>
      <c r="C43" s="489" t="s">
        <v>676</v>
      </c>
      <c r="D43" s="489"/>
      <c r="E43" s="1020"/>
      <c r="F43" s="1029"/>
      <c r="G43" s="1039"/>
      <c r="H43" s="488">
        <f>IF(F11+F12&lt;=40,1.3,IF(F11+F12&lt;=150,2.6,3.8))</f>
        <v>1.3</v>
      </c>
      <c r="I43" s="1020"/>
      <c r="J43" s="1029"/>
      <c r="K43" s="1039"/>
      <c r="L43" s="488">
        <f>IF(F8="あり",IF(G11+G12&lt;=40,1.3,IF(G11+G12&lt;=150,2.6,3.8)),0)</f>
        <v>0</v>
      </c>
      <c r="N43" s="261" t="s">
        <v>790</v>
      </c>
      <c r="O43" s="389">
        <v>40000</v>
      </c>
    </row>
    <row r="44" spans="1:15" ht="19.5" customHeight="1">
      <c r="A44" s="273"/>
      <c r="B44" s="583" t="s">
        <v>677</v>
      </c>
      <c r="C44" s="489" t="s">
        <v>678</v>
      </c>
      <c r="D44" s="489"/>
      <c r="E44" s="648" t="str">
        <f>IF(SUM('入力（児童数-本園)'!Y3:Y6)&gt;0,"あり","なし")</f>
        <v>なし</v>
      </c>
      <c r="F44" s="1029"/>
      <c r="G44" s="1039"/>
      <c r="H44" s="488">
        <f>IF(E44="あり",1.7,0)</f>
        <v>0</v>
      </c>
      <c r="I44" s="648" t="str">
        <f>IF(SUM('入力（児童数-分園)'!W3:W6)&gt;0,"あり","なし")</f>
        <v>なし</v>
      </c>
      <c r="J44" s="1029"/>
      <c r="K44" s="1039"/>
      <c r="L44" s="488">
        <f>IF(F8="あり",IF(I44="あり",1.7,0),0)</f>
        <v>0</v>
      </c>
      <c r="N44" s="261" t="s">
        <v>791</v>
      </c>
      <c r="O44" s="389">
        <v>5000</v>
      </c>
    </row>
    <row r="45" spans="1:15" ht="19.5" customHeight="1">
      <c r="A45" s="273"/>
      <c r="B45" s="583" t="s">
        <v>679</v>
      </c>
      <c r="C45" s="489" t="s">
        <v>680</v>
      </c>
      <c r="D45" s="489"/>
      <c r="E45" s="648" t="str">
        <f>CONCATENATE('入力（加算）認'!F19)</f>
        <v/>
      </c>
      <c r="F45" s="1030"/>
      <c r="G45" s="1039"/>
      <c r="H45" s="488">
        <f>IF(E45="あり",1.1,0)</f>
        <v>0</v>
      </c>
      <c r="I45" s="1806" t="s">
        <v>681</v>
      </c>
      <c r="J45" s="1807"/>
      <c r="K45" s="1039"/>
      <c r="L45" s="488"/>
      <c r="N45" s="261" t="s">
        <v>960</v>
      </c>
      <c r="O45" s="389">
        <f>認定こども園１号②!$L$27</f>
        <v>50140</v>
      </c>
    </row>
    <row r="46" spans="1:15" ht="19.5" customHeight="1" thickBot="1">
      <c r="A46" s="273"/>
      <c r="B46" s="583" t="s">
        <v>682</v>
      </c>
      <c r="C46" s="489" t="s">
        <v>683</v>
      </c>
      <c r="D46" s="489"/>
      <c r="E46" s="648" t="str">
        <f>CONCATENATE('入力（加算）認'!I19)</f>
        <v/>
      </c>
      <c r="F46" s="1030"/>
      <c r="G46" s="1039"/>
      <c r="H46" s="488">
        <f>IF(OR(F10&lt;=35,F10&gt;=121),IF(E46="あり",0.7,0),0)</f>
        <v>0</v>
      </c>
      <c r="I46" s="1806" t="s">
        <v>681</v>
      </c>
      <c r="J46" s="1807"/>
      <c r="K46" s="1039"/>
      <c r="L46" s="488"/>
      <c r="N46" s="261" t="s">
        <v>961</v>
      </c>
      <c r="O46" s="389">
        <f>認定こども園１号②!$L$28</f>
        <v>6270</v>
      </c>
    </row>
    <row r="47" spans="1:15" ht="19.5" customHeight="1" thickBot="1">
      <c r="A47" s="273"/>
      <c r="B47" s="583" t="s">
        <v>684</v>
      </c>
      <c r="C47" s="489" t="s">
        <v>685</v>
      </c>
      <c r="D47" s="489"/>
      <c r="E47" s="1021" t="str">
        <f>IF(AND('入力（加算）認'!J19&lt;&gt;"",'入力（加算）認'!J19&lt;&gt;"なし"),"あり","なし")</f>
        <v>なし</v>
      </c>
      <c r="F47" s="1031">
        <f>IF(E47="あり",'入力（加算）認'!J19,0)</f>
        <v>0</v>
      </c>
      <c r="G47" s="1039"/>
      <c r="H47" s="488">
        <f>IF(E47="あり",F47*1.1,0)</f>
        <v>0</v>
      </c>
      <c r="I47" s="1806" t="s">
        <v>681</v>
      </c>
      <c r="J47" s="1807"/>
      <c r="K47" s="1039"/>
      <c r="L47" s="488"/>
      <c r="N47" s="260"/>
    </row>
    <row r="48" spans="1:15" ht="19.5" customHeight="1">
      <c r="A48" s="273"/>
      <c r="B48" s="583" t="s">
        <v>686</v>
      </c>
      <c r="C48" s="489" t="s">
        <v>687</v>
      </c>
      <c r="D48" s="489"/>
      <c r="E48" s="648" t="str">
        <f>CONCATENATE('入力（加算）認'!L19)</f>
        <v/>
      </c>
      <c r="F48" s="1032"/>
      <c r="G48" s="1039"/>
      <c r="H48" s="488">
        <f>IF(E48="あり",IF(F10&lt;=150,0.7,1.3),0)</f>
        <v>0</v>
      </c>
      <c r="I48" s="1806" t="s">
        <v>681</v>
      </c>
      <c r="J48" s="1807"/>
      <c r="K48" s="1039"/>
      <c r="L48" s="488"/>
      <c r="N48" s="260"/>
    </row>
    <row r="49" spans="1:14" ht="19.5" customHeight="1">
      <c r="A49" s="273"/>
      <c r="B49" s="1090" t="s">
        <v>688</v>
      </c>
      <c r="C49" s="489" t="s">
        <v>1280</v>
      </c>
      <c r="D49" s="489" t="str">
        <f>IF('入力（加算）認'!O16&gt;1,"【注意！】重複エラー",IF(AND('入力（加算）認'!M19&gt;0,'入力（加算）認'!M19&lt;&gt;"なし"),"（調理）",IF(AND('入力（加算）認'!N19&gt;0,'入力（加算）認'!N19&lt;&gt;"なし"),"（搬入）","")))</f>
        <v/>
      </c>
      <c r="E49" s="648" t="str">
        <f>IF(OR(AND('入力（加算）認'!M19&gt;0,'入力（加算）認'!M19&lt;&gt;"なし"),AND('入力（加算）認'!N19&gt;0,'入力（加算）認'!N19&lt;&gt;"なし")),"あり","なし")</f>
        <v>なし</v>
      </c>
      <c r="F49" s="1029"/>
      <c r="G49" s="1039"/>
      <c r="H49" s="488">
        <f>IF('入力（加算）認'!O16&gt;1,0,IF(COUNT('入力（加算）認'!M19)&gt;0,IF(F10&lt;=150,1.8,2.7),IF(COUNT('入力（加算）認'!N19)&gt;0,IF(F10&lt;=150,0.3,0.5),0)))</f>
        <v>0</v>
      </c>
      <c r="I49" s="1806" t="s">
        <v>681</v>
      </c>
      <c r="J49" s="1807"/>
      <c r="K49" s="1039"/>
      <c r="L49" s="488"/>
      <c r="N49" s="260"/>
    </row>
    <row r="50" spans="1:14" ht="19.5" customHeight="1">
      <c r="A50" s="273"/>
      <c r="B50" s="583" t="s">
        <v>689</v>
      </c>
      <c r="C50" s="953" t="s">
        <v>647</v>
      </c>
      <c r="D50" s="489"/>
      <c r="E50" s="648" t="str">
        <f>IF(AND('入力（加算）認'!F27&gt;0,ISNUMBER('入力（加算）認'!F27)),"あり","なし")</f>
        <v>なし</v>
      </c>
      <c r="F50" s="1029"/>
      <c r="G50" s="1039"/>
      <c r="H50" s="488" cm="1">
        <f t="array" ref="H50">IF(E50="あり",INDEX({0.5,0.5,0.6,0.7,0.8,0.8,0.9,1,1.1,1.1,1.2,1.3,1.4,1.5},MATCH('入力（加算）認'!F27,{1,211,280,350,420,490,560,630,700,770,840,910,980,1050},1)),0)</f>
        <v>0</v>
      </c>
      <c r="I50" s="1806" t="s">
        <v>681</v>
      </c>
      <c r="J50" s="1807"/>
      <c r="K50" s="1039"/>
      <c r="L50" s="488"/>
      <c r="N50" s="260"/>
    </row>
    <row r="51" spans="1:14" ht="19.5" customHeight="1">
      <c r="A51" s="1388"/>
      <c r="B51" s="1386" t="s">
        <v>1281</v>
      </c>
      <c r="C51" s="1397" t="s">
        <v>94</v>
      </c>
      <c r="D51" s="1387"/>
      <c r="E51" s="1443"/>
      <c r="F51" s="1029"/>
      <c r="G51" s="1039"/>
      <c r="H51" s="488">
        <f>IF(E51="あり",2.7,0)</f>
        <v>0</v>
      </c>
      <c r="I51" s="1806"/>
      <c r="J51" s="1807"/>
      <c r="K51" s="1039"/>
      <c r="L51" s="488"/>
      <c r="N51" s="260"/>
    </row>
    <row r="52" spans="1:14" ht="19.5" customHeight="1">
      <c r="A52" s="1388"/>
      <c r="B52" s="1386" t="s">
        <v>1283</v>
      </c>
      <c r="C52" s="1398" t="s">
        <v>17</v>
      </c>
      <c r="D52" s="1387"/>
      <c r="E52" s="648" t="str">
        <f>IF(AND('入力（加算）認'!H23&lt;&gt;"",'入力（加算）認'!H23&lt;&gt;"なし"),"あり","なし")</f>
        <v>なし</v>
      </c>
      <c r="F52" s="1029"/>
      <c r="G52" s="1039"/>
      <c r="H52" s="488">
        <f>IF(E52="あり",IF('入力（加算）認'!H23="特児",0.4,0.3),0)</f>
        <v>0</v>
      </c>
      <c r="I52" s="1389"/>
      <c r="J52" s="1390"/>
      <c r="K52" s="1039"/>
      <c r="L52" s="488"/>
      <c r="N52" s="260"/>
    </row>
    <row r="53" spans="1:14" ht="19.5" customHeight="1">
      <c r="A53" s="273"/>
      <c r="B53" s="583" t="s">
        <v>692</v>
      </c>
      <c r="C53" s="489" t="s">
        <v>690</v>
      </c>
      <c r="D53" s="489"/>
      <c r="E53" s="648" t="str">
        <f>CONCATENATE('入力（加算）認'!I23)</f>
        <v/>
      </c>
      <c r="F53" s="1029"/>
      <c r="G53" s="1039"/>
      <c r="H53" s="488">
        <f>IF(SUM($F$9:$G$9)&gt;=91,IF(E53="あり",0.7,0),0)</f>
        <v>0</v>
      </c>
      <c r="I53" s="1806" t="s">
        <v>681</v>
      </c>
      <c r="J53" s="1807"/>
      <c r="K53" s="1039"/>
      <c r="L53" s="488"/>
      <c r="N53" s="260"/>
    </row>
    <row r="54" spans="1:14" ht="19.5" customHeight="1">
      <c r="A54" s="273"/>
      <c r="B54" s="583" t="s">
        <v>1282</v>
      </c>
      <c r="C54" s="489" t="s">
        <v>691</v>
      </c>
      <c r="D54" s="489"/>
      <c r="E54" s="648" t="str">
        <f>CONCATENATE('入力（加算）認'!J23)</f>
        <v/>
      </c>
      <c r="F54" s="1029"/>
      <c r="G54" s="1039"/>
      <c r="H54" s="488">
        <f>IF(SUM($F$10:$G$11)&gt;=271,IF(E54="あり",0.6,0),0)</f>
        <v>0</v>
      </c>
      <c r="I54" s="1806" t="s">
        <v>681</v>
      </c>
      <c r="J54" s="1807"/>
      <c r="K54" s="1039"/>
      <c r="L54" s="488"/>
      <c r="N54" s="260"/>
    </row>
    <row r="55" spans="1:14" ht="19.5" customHeight="1">
      <c r="A55" s="273"/>
      <c r="B55" s="583" t="s">
        <v>1284</v>
      </c>
      <c r="C55" s="489" t="s">
        <v>693</v>
      </c>
      <c r="D55" s="489"/>
      <c r="E55" s="648" t="str">
        <f>CONCATENATE('入力（加算）認'!K23)</f>
        <v/>
      </c>
      <c r="F55" s="1029"/>
      <c r="G55" s="1039"/>
      <c r="H55" s="488">
        <f>IF(SUM($F$9:$G$9)&gt;=271,IF(E55="あり",0.6,0),0)</f>
        <v>0</v>
      </c>
      <c r="I55" s="1806" t="s">
        <v>681</v>
      </c>
      <c r="J55" s="1807"/>
      <c r="K55" s="1039"/>
      <c r="L55" s="488"/>
      <c r="N55" s="260"/>
    </row>
    <row r="56" spans="1:14" ht="19.5" customHeight="1" thickBot="1">
      <c r="A56" s="273"/>
      <c r="B56" s="583" t="s">
        <v>1285</v>
      </c>
      <c r="C56" s="921" t="s">
        <v>622</v>
      </c>
      <c r="D56" s="489"/>
      <c r="E56" s="648" t="str">
        <f>IF('入力（加算）認'!R27="配置","あり","なし")</f>
        <v>なし</v>
      </c>
      <c r="F56" s="1030"/>
      <c r="G56" s="1039"/>
      <c r="H56" s="920">
        <f>IF(E56="あり",0.6,0)</f>
        <v>0</v>
      </c>
      <c r="I56" s="1806" t="s">
        <v>681</v>
      </c>
      <c r="J56" s="1807"/>
      <c r="K56" s="1039"/>
      <c r="L56" s="488"/>
      <c r="N56" s="260"/>
    </row>
    <row r="57" spans="1:14" ht="19.5" customHeight="1" thickBot="1">
      <c r="A57" s="273"/>
      <c r="B57" s="583" t="s">
        <v>695</v>
      </c>
      <c r="C57" s="1811" t="s">
        <v>694</v>
      </c>
      <c r="D57" s="1811"/>
      <c r="E57" s="1021" t="str">
        <f>IF(OR('入力（加算）認'!D23="あり",'入力（加算）認'!M27="あり"),"該当","非該当")</f>
        <v>非該当</v>
      </c>
      <c r="F57" s="1444">
        <f>IF('入力（加算）認'!D23="あり",0.8,0)+IF('入力（加算）認'!M27="あり",0.6,0)</f>
        <v>0</v>
      </c>
      <c r="G57" s="1040"/>
      <c r="H57" s="609">
        <f>IF(E57="該当",-F57,0)</f>
        <v>0</v>
      </c>
      <c r="I57" s="1806" t="s">
        <v>681</v>
      </c>
      <c r="J57" s="1807"/>
      <c r="K57" s="1040"/>
      <c r="L57" s="609"/>
      <c r="N57" s="260"/>
    </row>
    <row r="58" spans="1:14" ht="19.5" customHeight="1" thickBot="1">
      <c r="A58" s="1392"/>
      <c r="B58" s="1393" t="s">
        <v>1289</v>
      </c>
      <c r="C58" s="714" t="s">
        <v>696</v>
      </c>
      <c r="D58" s="1396"/>
      <c r="E58" s="1021" t="str">
        <f>IF(AND('入力（加算）認'!E23&lt;&gt;"なし",'入力（加算）認'!E23&lt;&gt;"",'入力（加算）認'!E23&gt;0),"該当","非該当")</f>
        <v>非該当</v>
      </c>
      <c r="F58" s="1406">
        <f>IF(E58="該当",'入力（加算）認'!E23*2,0)</f>
        <v>0</v>
      </c>
      <c r="G58" s="1040"/>
      <c r="H58" s="609">
        <f>IF(E58="該当",-F58*1.2,0)</f>
        <v>0</v>
      </c>
      <c r="I58" s="1394"/>
      <c r="J58" s="1395"/>
      <c r="K58" s="1040"/>
      <c r="L58" s="609"/>
      <c r="N58" s="260"/>
    </row>
    <row r="59" spans="1:14" ht="19.5" customHeight="1">
      <c r="A59" s="273"/>
      <c r="B59" s="583" t="s">
        <v>1286</v>
      </c>
      <c r="C59" s="714" t="s">
        <v>1313</v>
      </c>
      <c r="D59" s="489"/>
      <c r="E59" s="1021" t="str">
        <f>IF('入力（加算）認'!J27="あり","該当","非該当")</f>
        <v>非該当</v>
      </c>
      <c r="F59" s="1407"/>
      <c r="G59" s="1040"/>
      <c r="H59" s="609">
        <f>IF(E59="該当",-1.2,0)</f>
        <v>0</v>
      </c>
      <c r="I59" s="1806" t="s">
        <v>681</v>
      </c>
      <c r="J59" s="1807"/>
      <c r="K59" s="1040"/>
      <c r="L59" s="609"/>
      <c r="N59" s="260"/>
    </row>
    <row r="60" spans="1:14" ht="19.5" customHeight="1">
      <c r="A60" s="1392"/>
      <c r="B60" s="1393" t="s">
        <v>1287</v>
      </c>
      <c r="C60" s="714" t="s">
        <v>1288</v>
      </c>
      <c r="D60" s="1391"/>
      <c r="E60" s="1408"/>
      <c r="F60" s="1405"/>
      <c r="G60" s="1040"/>
      <c r="H60" s="609"/>
      <c r="I60" s="1021" t="str">
        <f>CONCATENATE('入力（加算）認'!K27)</f>
        <v/>
      </c>
      <c r="J60" s="1405"/>
      <c r="K60" s="1040"/>
      <c r="L60" s="609">
        <f>IF(F8="あり",IF(G11+G12&lt;=40,-1.3,(IF(G11+G12&lt;=150,-2.6,-3.8))),0)</f>
        <v>0</v>
      </c>
      <c r="N60" s="260"/>
    </row>
    <row r="61" spans="1:14" ht="19.5" customHeight="1" thickBot="1">
      <c r="A61" s="273"/>
      <c r="B61" s="610" t="s">
        <v>649</v>
      </c>
      <c r="C61" s="611"/>
      <c r="D61" s="611"/>
      <c r="E61" s="1409">
        <f>F9</f>
        <v>0</v>
      </c>
      <c r="F61" s="1033"/>
      <c r="G61" s="1043"/>
      <c r="H61" s="612">
        <f>IF(F10&lt;=90,2,2.7)+IF((F11+F12)&lt;=30,2.8,2.4)</f>
        <v>4.8</v>
      </c>
      <c r="I61" s="1041">
        <f>G9</f>
        <v>0</v>
      </c>
      <c r="J61" s="1042"/>
      <c r="K61" s="1043"/>
      <c r="L61" s="612">
        <f>IF(F8="あり",IF((G11+G12)&lt;=30,2.8,2.4),0)</f>
        <v>0</v>
      </c>
      <c r="N61" s="260"/>
    </row>
    <row r="62" spans="1:14" ht="19.5" customHeight="1" thickTop="1" thickBot="1">
      <c r="A62" s="273"/>
      <c r="B62" s="495" t="s">
        <v>625</v>
      </c>
      <c r="C62" s="273"/>
      <c r="D62" s="273"/>
      <c r="E62" s="1652">
        <f>H35+SUM(H41:H61)</f>
        <v>7.4</v>
      </c>
      <c r="F62" s="1653"/>
      <c r="G62" s="1653"/>
      <c r="H62" s="1654"/>
      <c r="I62" s="1652">
        <f>L35+SUM(L41:L61)</f>
        <v>0</v>
      </c>
      <c r="J62" s="1653"/>
      <c r="K62" s="1653"/>
      <c r="L62" s="1654"/>
      <c r="N62" s="260"/>
    </row>
    <row r="63" spans="1:14" ht="19.5" customHeight="1" thickBot="1">
      <c r="A63" s="273"/>
      <c r="B63" s="567" t="s">
        <v>1295</v>
      </c>
      <c r="C63" s="499"/>
      <c r="D63" s="499"/>
      <c r="E63" s="1808">
        <f>ROUND(E62,0)</f>
        <v>7</v>
      </c>
      <c r="F63" s="1809"/>
      <c r="G63" s="1809"/>
      <c r="H63" s="1810"/>
      <c r="I63" s="1808">
        <f>ROUND(I62,0)</f>
        <v>0</v>
      </c>
      <c r="J63" s="1809"/>
      <c r="K63" s="1809"/>
      <c r="L63" s="1810"/>
      <c r="N63" s="260"/>
    </row>
    <row r="64" spans="1:14" ht="21.75" customHeight="1">
      <c r="A64" s="273"/>
      <c r="B64" s="273"/>
      <c r="C64" s="273"/>
      <c r="D64" s="273"/>
      <c r="E64" s="500"/>
      <c r="F64" s="500"/>
      <c r="G64" s="502"/>
      <c r="H64" s="500"/>
      <c r="I64" s="300"/>
      <c r="J64" s="262"/>
      <c r="K64" s="262"/>
      <c r="L64" s="262"/>
      <c r="N64" s="260"/>
    </row>
    <row r="65" spans="1:14" ht="21.75" customHeight="1" thickBot="1">
      <c r="A65" s="445" t="s">
        <v>1294</v>
      </c>
      <c r="B65" s="273"/>
      <c r="C65" s="273"/>
      <c r="D65" s="273"/>
      <c r="E65" s="273"/>
      <c r="F65" s="443"/>
      <c r="G65" s="503"/>
      <c r="H65" s="501"/>
      <c r="I65" s="300"/>
      <c r="J65" s="262"/>
      <c r="K65" s="262"/>
      <c r="L65" s="262"/>
    </row>
    <row r="66" spans="1:14" ht="33.75" customHeight="1" thickBot="1">
      <c r="A66" s="273"/>
      <c r="B66" s="445"/>
      <c r="C66" s="445"/>
      <c r="D66" s="445"/>
      <c r="E66" s="1701" t="s">
        <v>1296</v>
      </c>
      <c r="F66" s="1702"/>
      <c r="G66" s="1703" t="s">
        <v>1297</v>
      </c>
      <c r="H66" s="1704"/>
      <c r="I66" s="300"/>
      <c r="J66" s="262"/>
      <c r="K66" s="262"/>
      <c r="L66" s="262"/>
    </row>
    <row r="67" spans="1:14" ht="33.75" customHeight="1" thickBot="1">
      <c r="A67" s="273"/>
      <c r="B67" s="504"/>
      <c r="C67" s="1823">
        <v>11280</v>
      </c>
      <c r="D67" s="1824"/>
      <c r="E67" s="1821">
        <f>C67*SUM(E63,I63)</f>
        <v>78960</v>
      </c>
      <c r="F67" s="1822"/>
      <c r="G67" s="1705">
        <f>E67*L26</f>
        <v>947520</v>
      </c>
      <c r="H67" s="1706"/>
      <c r="I67" s="300"/>
      <c r="J67" s="262"/>
      <c r="K67" s="262"/>
      <c r="L67" s="262"/>
    </row>
    <row r="68" spans="1:14" ht="33.75" customHeight="1">
      <c r="A68" s="273"/>
      <c r="B68" s="445"/>
      <c r="C68" s="445"/>
      <c r="D68" s="445"/>
      <c r="E68" s="445"/>
      <c r="F68" s="445"/>
      <c r="G68" s="445"/>
      <c r="H68" s="501"/>
      <c r="I68" s="300"/>
      <c r="J68" s="262"/>
      <c r="K68" s="262"/>
      <c r="L68" s="262"/>
    </row>
    <row r="69" spans="1:14" ht="33.75" customHeight="1">
      <c r="I69" s="260"/>
      <c r="N69" s="260"/>
    </row>
    <row r="70" spans="1:14" ht="33.75" customHeight="1">
      <c r="I70" s="260"/>
      <c r="N70" s="260"/>
    </row>
    <row r="71" spans="1:14" ht="33.75" customHeight="1">
      <c r="I71" s="260"/>
      <c r="N71" s="260"/>
    </row>
    <row r="72" spans="1:14" ht="33.75" customHeight="1">
      <c r="I72" s="260"/>
      <c r="N72" s="260"/>
    </row>
    <row r="73" spans="1:14" ht="33.75" customHeight="1">
      <c r="I73" s="260"/>
      <c r="N73" s="260"/>
    </row>
    <row r="74" spans="1:14" ht="33.75" customHeight="1">
      <c r="E74" s="260"/>
      <c r="F74" s="260"/>
      <c r="G74" s="260"/>
      <c r="H74" s="260"/>
      <c r="I74" s="260"/>
      <c r="N74" s="260"/>
    </row>
    <row r="75" spans="1:14" ht="33.75" customHeight="1">
      <c r="E75" s="260"/>
      <c r="F75" s="260"/>
      <c r="G75" s="260"/>
      <c r="H75" s="260"/>
      <c r="I75" s="260"/>
      <c r="N75" s="260"/>
    </row>
    <row r="76" spans="1:14" ht="20.25" customHeight="1">
      <c r="E76" s="260"/>
      <c r="F76" s="260"/>
      <c r="G76" s="260"/>
      <c r="H76" s="260"/>
      <c r="I76" s="260"/>
      <c r="N76" s="260"/>
    </row>
    <row r="77" spans="1:14" ht="20.25" customHeight="1">
      <c r="E77" s="260"/>
      <c r="F77" s="260"/>
      <c r="G77" s="260"/>
      <c r="H77" s="260"/>
      <c r="I77" s="260"/>
      <c r="N77" s="260"/>
    </row>
    <row r="78" spans="1:14" ht="20.25" customHeight="1">
      <c r="E78" s="260"/>
      <c r="F78" s="260"/>
      <c r="G78" s="260"/>
      <c r="H78" s="260"/>
      <c r="I78" s="260"/>
      <c r="N78" s="260"/>
    </row>
    <row r="79" spans="1:14" ht="20.25" customHeight="1">
      <c r="E79" s="260"/>
      <c r="F79" s="260"/>
      <c r="G79" s="260"/>
      <c r="H79" s="260"/>
      <c r="I79" s="260"/>
      <c r="N79" s="260"/>
    </row>
    <row r="80" spans="1:14" ht="20.25" customHeight="1">
      <c r="E80" s="260"/>
      <c r="F80" s="260"/>
      <c r="G80" s="260"/>
      <c r="H80" s="260"/>
      <c r="I80" s="260"/>
      <c r="N80" s="260"/>
    </row>
    <row r="81" s="260" customFormat="1" ht="20.25" customHeight="1"/>
    <row r="82" s="260" customFormat="1" ht="20.25" customHeight="1"/>
    <row r="83" s="260" customFormat="1" ht="20.25" customHeight="1"/>
    <row r="84" s="260" customFormat="1" ht="20.25" customHeight="1"/>
    <row r="85" s="260" customFormat="1" ht="20.25" customHeight="1"/>
    <row r="86" s="260" customFormat="1" ht="20.25" customHeight="1"/>
    <row r="87" s="260" customFormat="1" ht="20.25" customHeight="1"/>
    <row r="88" s="260" customFormat="1" ht="20.25" customHeight="1"/>
    <row r="89" s="260" customFormat="1" ht="20.25" customHeight="1"/>
    <row r="90" s="260" customFormat="1" ht="20.25" customHeight="1"/>
    <row r="91" s="260" customFormat="1" ht="20.25" customHeight="1"/>
    <row r="92" s="260" customFormat="1" ht="20.25" customHeight="1"/>
    <row r="93" s="260" customFormat="1" ht="20.25" customHeight="1"/>
    <row r="94" s="260" customFormat="1" ht="20.25" customHeight="1"/>
    <row r="95" s="260" customFormat="1" ht="20.25" customHeight="1"/>
    <row r="96" s="260" customFormat="1" ht="20.25" customHeight="1"/>
    <row r="97" s="260" customFormat="1" ht="20.25" customHeight="1"/>
    <row r="98" s="260" customFormat="1" ht="20.25" customHeight="1"/>
    <row r="99" s="260" customFormat="1" ht="20.25" customHeight="1"/>
    <row r="100" s="260" customFormat="1" ht="20.25" customHeight="1"/>
    <row r="101" s="260" customFormat="1" ht="20.25" customHeight="1"/>
    <row r="102" s="260" customFormat="1" ht="20.25" customHeight="1"/>
    <row r="103" s="260" customFormat="1" ht="20.25" customHeight="1"/>
    <row r="104" s="260" customFormat="1" ht="20.25" customHeight="1"/>
    <row r="105" s="260" customFormat="1" ht="20.25" customHeight="1"/>
    <row r="106" s="260" customFormat="1" ht="20.25" customHeight="1"/>
    <row r="107" s="260" customFormat="1" ht="20.25" customHeight="1"/>
    <row r="108" s="260" customFormat="1" ht="20.25" customHeight="1"/>
    <row r="109" s="260" customFormat="1" ht="20.25" customHeight="1"/>
    <row r="110" s="260" customFormat="1" ht="20.25" customHeight="1"/>
    <row r="111" s="260" customFormat="1" ht="20.25" customHeight="1"/>
    <row r="112" s="260" customFormat="1" ht="20.25" customHeight="1"/>
    <row r="113" s="260" customFormat="1" ht="20.25" customHeight="1"/>
    <row r="114" s="260" customFormat="1" ht="20.25" customHeight="1"/>
    <row r="115" s="260" customFormat="1" ht="20.25" customHeight="1"/>
    <row r="116" s="260" customFormat="1" ht="20.25" customHeight="1"/>
    <row r="117" s="260" customFormat="1" ht="20.25" customHeight="1"/>
    <row r="118" s="260" customFormat="1" ht="20.25" customHeight="1"/>
    <row r="119" s="260" customFormat="1" ht="20.25" customHeight="1"/>
    <row r="120" s="260" customFormat="1" ht="20.25" customHeight="1"/>
    <row r="121" s="260" customFormat="1" ht="20.25" customHeight="1"/>
    <row r="122" s="260" customFormat="1" ht="20.25" customHeight="1"/>
    <row r="123" s="260" customFormat="1" ht="20.25" customHeight="1"/>
    <row r="124" s="260" customFormat="1" ht="20.25" customHeight="1"/>
    <row r="125" s="260" customFormat="1" ht="20.25" customHeight="1"/>
    <row r="126" s="260" customFormat="1" ht="20.25" customHeight="1"/>
    <row r="127" s="260" customFormat="1" ht="20.25" customHeight="1"/>
    <row r="128" s="260" customFormat="1" ht="20.25" customHeight="1"/>
    <row r="129" spans="5:14" ht="20.25" customHeight="1">
      <c r="E129" s="260"/>
      <c r="F129" s="260"/>
      <c r="G129" s="260"/>
      <c r="H129" s="260"/>
      <c r="I129" s="260"/>
      <c r="N129" s="260"/>
    </row>
    <row r="130" spans="5:14" ht="20.25" customHeight="1">
      <c r="E130" s="260"/>
      <c r="F130" s="260"/>
      <c r="G130" s="260"/>
      <c r="H130" s="260"/>
      <c r="I130" s="260"/>
      <c r="N130" s="260"/>
    </row>
    <row r="131" spans="5:14" ht="20.25" customHeight="1">
      <c r="E131" s="260"/>
      <c r="F131" s="260"/>
      <c r="G131" s="260"/>
      <c r="H131" s="260"/>
      <c r="I131" s="260"/>
      <c r="N131" s="260"/>
    </row>
    <row r="132" spans="5:14" ht="20.25" customHeight="1">
      <c r="E132" s="260"/>
      <c r="F132" s="260"/>
      <c r="G132" s="260"/>
      <c r="H132" s="260"/>
      <c r="I132" s="260"/>
      <c r="N132" s="260"/>
    </row>
    <row r="133" spans="5:14" ht="20.25" customHeight="1">
      <c r="E133" s="260"/>
      <c r="F133" s="260"/>
      <c r="G133" s="260"/>
      <c r="H133" s="260"/>
      <c r="I133" s="260"/>
      <c r="N133" s="260"/>
    </row>
    <row r="134" spans="5:14" ht="20.25" customHeight="1">
      <c r="E134" s="260"/>
      <c r="F134" s="260"/>
      <c r="G134" s="260"/>
      <c r="H134" s="260"/>
      <c r="I134" s="260"/>
      <c r="N134" s="260"/>
    </row>
    <row r="135" spans="5:14" ht="20.25" customHeight="1">
      <c r="N135" s="260"/>
    </row>
    <row r="136" spans="5:14" ht="20.25" customHeight="1">
      <c r="N136" s="260"/>
    </row>
    <row r="137" spans="5:14">
      <c r="N137" s="260"/>
    </row>
    <row r="138" spans="5:14">
      <c r="N138" s="260"/>
    </row>
    <row r="139" spans="5:14">
      <c r="N139" s="260"/>
    </row>
    <row r="140" spans="5:14">
      <c r="N140" s="260"/>
    </row>
    <row r="141" spans="5:14">
      <c r="N141" s="260"/>
    </row>
    <row r="142" spans="5:14">
      <c r="N142" s="260"/>
    </row>
  </sheetData>
  <sheetProtection algorithmName="SHA-512" hashValue="XvzAIGQVp1ENa3RWWXsecC1/YadnAA41ddGzutuKJX2g8kHM6+000cuNmI/uqSTiZdgfz3Gd/DSgP2g6RBPJkA==" saltValue="eRVE27Y1Xh/fgRwTlIeY1A==" spinCount="100000" sheet="1" objects="1" scenarios="1"/>
  <customSheetViews>
    <customSheetView guid="{2E52E5FF-9846-4DC5-A671-268FE925398C}" scale="90" showPageBreaks="1" printArea="1" view="pageBreakPreview">
      <selection activeCell="J56" sqref="J56:K56"/>
      <pageMargins left="0.7" right="0.7" top="0.75" bottom="0.75" header="0.3" footer="0.3"/>
      <pageSetup paperSize="9" scale="62" orientation="portrait" r:id="rId1"/>
    </customSheetView>
    <customSheetView guid="{BADA99B3-B36A-4925-87A7-F72FC97D3DBA}" scale="90" showPageBreaks="1" printArea="1" view="pageBreakPreview">
      <selection activeCell="J56" sqref="J56:K56"/>
      <pageMargins left="0.7" right="0.7" top="0.75" bottom="0.75" header="0.3" footer="0.3"/>
      <pageSetup paperSize="9" scale="62" orientation="portrait" r:id="rId2"/>
    </customSheetView>
  </customSheetViews>
  <mergeCells count="51">
    <mergeCell ref="E67:F67"/>
    <mergeCell ref="G67:H67"/>
    <mergeCell ref="C67:D67"/>
    <mergeCell ref="N2:O2"/>
    <mergeCell ref="B7:E7"/>
    <mergeCell ref="I4:I5"/>
    <mergeCell ref="J4:L5"/>
    <mergeCell ref="E66:F66"/>
    <mergeCell ref="G66:H66"/>
    <mergeCell ref="B8:E8"/>
    <mergeCell ref="F8:G8"/>
    <mergeCell ref="I56:J56"/>
    <mergeCell ref="I51:J51"/>
    <mergeCell ref="I49:J49"/>
    <mergeCell ref="C23:D23"/>
    <mergeCell ref="C24:L25"/>
    <mergeCell ref="A1:C1"/>
    <mergeCell ref="J1:L1"/>
    <mergeCell ref="A2:L2"/>
    <mergeCell ref="I46:J46"/>
    <mergeCell ref="B36:B40"/>
    <mergeCell ref="C11:E11"/>
    <mergeCell ref="B9:E9"/>
    <mergeCell ref="C10:E10"/>
    <mergeCell ref="C12:E12"/>
    <mergeCell ref="B13:E13"/>
    <mergeCell ref="G29:H29"/>
    <mergeCell ref="E28:H28"/>
    <mergeCell ref="I28:L28"/>
    <mergeCell ref="H19:L23"/>
    <mergeCell ref="C20:D20"/>
    <mergeCell ref="C22:D22"/>
    <mergeCell ref="C19:D19"/>
    <mergeCell ref="K29:L29"/>
    <mergeCell ref="I45:J45"/>
    <mergeCell ref="B31:B35"/>
    <mergeCell ref="C15:D15"/>
    <mergeCell ref="C16:D16"/>
    <mergeCell ref="E63:H63"/>
    <mergeCell ref="I63:L63"/>
    <mergeCell ref="C57:D57"/>
    <mergeCell ref="I57:J57"/>
    <mergeCell ref="I59:J59"/>
    <mergeCell ref="I47:J47"/>
    <mergeCell ref="I48:J48"/>
    <mergeCell ref="I50:J50"/>
    <mergeCell ref="E62:H62"/>
    <mergeCell ref="I62:L62"/>
    <mergeCell ref="I53:J53"/>
    <mergeCell ref="I54:J54"/>
    <mergeCell ref="I55:J55"/>
  </mergeCells>
  <phoneticPr fontId="74"/>
  <dataValidations count="17">
    <dataValidation type="list" showInputMessage="1" showErrorMessage="1" sqref="F59:F60" xr:uid="{00000000-0002-0000-2A00-000000000000}">
      <formula1>$Y$5:$Y$15</formula1>
    </dataValidation>
    <dataValidation type="list" errorStyle="warning" showInputMessage="1" showErrorMessage="1" sqref="F57" xr:uid="{00000000-0002-0000-2A00-000001000000}">
      <formula1>$X$5:$X$7</formula1>
    </dataValidation>
    <dataValidation type="list" errorStyle="warning" showInputMessage="1" showErrorMessage="1" sqref="E46" xr:uid="{00000000-0002-0000-2A00-000002000000}">
      <formula1>$T$5:$T$7</formula1>
    </dataValidation>
    <dataValidation type="list" errorStyle="warning" showInputMessage="1" showErrorMessage="1" sqref="E55:E56" xr:uid="{00000000-0002-0000-2A00-000003000000}">
      <formula1>$W$5:$W$7</formula1>
    </dataValidation>
    <dataValidation type="list" errorStyle="warning" showInputMessage="1" showErrorMessage="1" sqref="E54" xr:uid="{00000000-0002-0000-2A00-000004000000}">
      <formula1>$V$5:$V$7</formula1>
    </dataValidation>
    <dataValidation type="list" errorStyle="warning" showInputMessage="1" showErrorMessage="1" sqref="E53" xr:uid="{00000000-0002-0000-2A00-000005000000}">
      <formula1>$U$5:$U$7</formula1>
    </dataValidation>
    <dataValidation type="list" showInputMessage="1" showErrorMessage="1" sqref="F8:G8" xr:uid="{00000000-0002-0000-2A00-000006000000}">
      <formula1>$R$5:$R$7</formula1>
    </dataValidation>
    <dataValidation type="list" errorStyle="warning" showInputMessage="1" showErrorMessage="1" sqref="F47" xr:uid="{00000000-0002-0000-2A00-000007000000}">
      <formula1>$P$5:$P$18</formula1>
    </dataValidation>
    <dataValidation type="list" errorStyle="warning" showInputMessage="1" showErrorMessage="1" sqref="E57:E60 I60" xr:uid="{00000000-0002-0000-2A00-000008000000}">
      <formula1>$S$5:$S$7</formula1>
    </dataValidation>
    <dataValidation type="list" errorStyle="warning" showInputMessage="1" showErrorMessage="1" sqref="I44 E44:E45 E47:E52 E33:E34" xr:uid="{00000000-0002-0000-2A00-000009000000}">
      <formula1>$R$5:$R$7</formula1>
    </dataValidation>
    <dataValidation type="list" allowBlank="1" showInputMessage="1" showErrorMessage="1" sqref="WVL983091:WVL983092 IZ57:IZ58 SV57:SV58 ACR57:ACR58 AMN57:AMN58 AWJ57:AWJ58 BGF57:BGF58 BQB57:BQB58 BZX57:BZX58 CJT57:CJT58 CTP57:CTP58 DDL57:DDL58 DNH57:DNH58 DXD57:DXD58 EGZ57:EGZ58 EQV57:EQV58 FAR57:FAR58 FKN57:FKN58 FUJ57:FUJ58 GEF57:GEF58 GOB57:GOB58 GXX57:GXX58 HHT57:HHT58 HRP57:HRP58 IBL57:IBL58 ILH57:ILH58 IVD57:IVD58 JEZ57:JEZ58 JOV57:JOV58 JYR57:JYR58 KIN57:KIN58 KSJ57:KSJ58 LCF57:LCF58 LMB57:LMB58 LVX57:LVX58 MFT57:MFT58 MPP57:MPP58 MZL57:MZL58 NJH57:NJH58 NTD57:NTD58 OCZ57:OCZ58 OMV57:OMV58 OWR57:OWR58 PGN57:PGN58 PQJ57:PQJ58 QAF57:QAF58 QKB57:QKB58 QTX57:QTX58 RDT57:RDT58 RNP57:RNP58 RXL57:RXL58 SHH57:SHH58 SRD57:SRD58 TAZ57:TAZ58 TKV57:TKV58 TUR57:TUR58 UEN57:UEN58 UOJ57:UOJ58 UYF57:UYF58 VIB57:VIB58 VRX57:VRX58 WBT57:WBT58 WLP57:WLP58 WVL57:WVL58 E65585:E65586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E131121:E131122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E196657:E196658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E262193:E262194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E327729:E327730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E393265:E393266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E458801:E458802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E524337:E524338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E589873:E589874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E655409:E655410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E720945:E720946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E786481:E786482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E852017:E852018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E917553:E917554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E983089:E983090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xr:uid="{00000000-0002-0000-2A00-00000B000000}">
      <formula1>"　,該当,非該当"</formula1>
    </dataValidation>
    <dataValidation type="list" allowBlank="1" showInputMessage="1" showErrorMessage="1" sqref="WLP983081:WLP983090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E65567:E65568 IZ65569:IZ65570 SV65569:SV65570 ACR65569:ACR65570 AMN65569:AMN65570 AWJ65569:AWJ65570 BGF65569:BGF65570 BQB65569:BQB65570 BZX65569:BZX65570 CJT65569:CJT65570 CTP65569:CTP65570 DDL65569:DDL65570 DNH65569:DNH65570 DXD65569:DXD65570 EGZ65569:EGZ65570 EQV65569:EQV65570 FAR65569:FAR65570 FKN65569:FKN65570 FUJ65569:FUJ65570 GEF65569:GEF65570 GOB65569:GOB65570 GXX65569:GXX65570 HHT65569:HHT65570 HRP65569:HRP65570 IBL65569:IBL65570 ILH65569:ILH65570 IVD65569:IVD65570 JEZ65569:JEZ65570 JOV65569:JOV65570 JYR65569:JYR65570 KIN65569:KIN65570 KSJ65569:KSJ65570 LCF65569:LCF65570 LMB65569:LMB65570 LVX65569:LVX65570 MFT65569:MFT65570 MPP65569:MPP65570 MZL65569:MZL65570 NJH65569:NJH65570 NTD65569:NTD65570 OCZ65569:OCZ65570 OMV65569:OMV65570 OWR65569:OWR65570 PGN65569:PGN65570 PQJ65569:PQJ65570 QAF65569:QAF65570 QKB65569:QKB65570 QTX65569:QTX65570 RDT65569:RDT65570 RNP65569:RNP65570 RXL65569:RXL65570 SHH65569:SHH65570 SRD65569:SRD65570 TAZ65569:TAZ65570 TKV65569:TKV65570 TUR65569:TUR65570 UEN65569:UEN65570 UOJ65569:UOJ65570 UYF65569:UYF65570 VIB65569:VIB65570 VRX65569:VRX65570 WBT65569:WBT65570 WLP65569:WLP65570 WVL65569:WVL65570 E131103:E131104 IZ131105:IZ131106 SV131105:SV131106 ACR131105:ACR131106 AMN131105:AMN131106 AWJ131105:AWJ131106 BGF131105:BGF131106 BQB131105:BQB131106 BZX131105:BZX131106 CJT131105:CJT131106 CTP131105:CTP131106 DDL131105:DDL131106 DNH131105:DNH131106 DXD131105:DXD131106 EGZ131105:EGZ131106 EQV131105:EQV131106 FAR131105:FAR131106 FKN131105:FKN131106 FUJ131105:FUJ131106 GEF131105:GEF131106 GOB131105:GOB131106 GXX131105:GXX131106 HHT131105:HHT131106 HRP131105:HRP131106 IBL131105:IBL131106 ILH131105:ILH131106 IVD131105:IVD131106 JEZ131105:JEZ131106 JOV131105:JOV131106 JYR131105:JYR131106 KIN131105:KIN131106 KSJ131105:KSJ131106 LCF131105:LCF131106 LMB131105:LMB131106 LVX131105:LVX131106 MFT131105:MFT131106 MPP131105:MPP131106 MZL131105:MZL131106 NJH131105:NJH131106 NTD131105:NTD131106 OCZ131105:OCZ131106 OMV131105:OMV131106 OWR131105:OWR131106 PGN131105:PGN131106 PQJ131105:PQJ131106 QAF131105:QAF131106 QKB131105:QKB131106 QTX131105:QTX131106 RDT131105:RDT131106 RNP131105:RNP131106 RXL131105:RXL131106 SHH131105:SHH131106 SRD131105:SRD131106 TAZ131105:TAZ131106 TKV131105:TKV131106 TUR131105:TUR131106 UEN131105:UEN131106 UOJ131105:UOJ131106 UYF131105:UYF131106 VIB131105:VIB131106 VRX131105:VRX131106 WBT131105:WBT131106 WLP131105:WLP131106 WVL131105:WVL131106 E196639:E196640 IZ196641:IZ196642 SV196641:SV196642 ACR196641:ACR196642 AMN196641:AMN196642 AWJ196641:AWJ196642 BGF196641:BGF196642 BQB196641:BQB196642 BZX196641:BZX196642 CJT196641:CJT196642 CTP196641:CTP196642 DDL196641:DDL196642 DNH196641:DNH196642 DXD196641:DXD196642 EGZ196641:EGZ196642 EQV196641:EQV196642 FAR196641:FAR196642 FKN196641:FKN196642 FUJ196641:FUJ196642 GEF196641:GEF196642 GOB196641:GOB196642 GXX196641:GXX196642 HHT196641:HHT196642 HRP196641:HRP196642 IBL196641:IBL196642 ILH196641:ILH196642 IVD196641:IVD196642 JEZ196641:JEZ196642 JOV196641:JOV196642 JYR196641:JYR196642 KIN196641:KIN196642 KSJ196641:KSJ196642 LCF196641:LCF196642 LMB196641:LMB196642 LVX196641:LVX196642 MFT196641:MFT196642 MPP196641:MPP196642 MZL196641:MZL196642 NJH196641:NJH196642 NTD196641:NTD196642 OCZ196641:OCZ196642 OMV196641:OMV196642 OWR196641:OWR196642 PGN196641:PGN196642 PQJ196641:PQJ196642 QAF196641:QAF196642 QKB196641:QKB196642 QTX196641:QTX196642 RDT196641:RDT196642 RNP196641:RNP196642 RXL196641:RXL196642 SHH196641:SHH196642 SRD196641:SRD196642 TAZ196641:TAZ196642 TKV196641:TKV196642 TUR196641:TUR196642 UEN196641:UEN196642 UOJ196641:UOJ196642 UYF196641:UYF196642 VIB196641:VIB196642 VRX196641:VRX196642 WBT196641:WBT196642 WLP196641:WLP196642 WVL196641:WVL196642 E262175:E262176 IZ262177:IZ262178 SV262177:SV262178 ACR262177:ACR262178 AMN262177:AMN262178 AWJ262177:AWJ262178 BGF262177:BGF262178 BQB262177:BQB262178 BZX262177:BZX262178 CJT262177:CJT262178 CTP262177:CTP262178 DDL262177:DDL262178 DNH262177:DNH262178 DXD262177:DXD262178 EGZ262177:EGZ262178 EQV262177:EQV262178 FAR262177:FAR262178 FKN262177:FKN262178 FUJ262177:FUJ262178 GEF262177:GEF262178 GOB262177:GOB262178 GXX262177:GXX262178 HHT262177:HHT262178 HRP262177:HRP262178 IBL262177:IBL262178 ILH262177:ILH262178 IVD262177:IVD262178 JEZ262177:JEZ262178 JOV262177:JOV262178 JYR262177:JYR262178 KIN262177:KIN262178 KSJ262177:KSJ262178 LCF262177:LCF262178 LMB262177:LMB262178 LVX262177:LVX262178 MFT262177:MFT262178 MPP262177:MPP262178 MZL262177:MZL262178 NJH262177:NJH262178 NTD262177:NTD262178 OCZ262177:OCZ262178 OMV262177:OMV262178 OWR262177:OWR262178 PGN262177:PGN262178 PQJ262177:PQJ262178 QAF262177:QAF262178 QKB262177:QKB262178 QTX262177:QTX262178 RDT262177:RDT262178 RNP262177:RNP262178 RXL262177:RXL262178 SHH262177:SHH262178 SRD262177:SRD262178 TAZ262177:TAZ262178 TKV262177:TKV262178 TUR262177:TUR262178 UEN262177:UEN262178 UOJ262177:UOJ262178 UYF262177:UYF262178 VIB262177:VIB262178 VRX262177:VRX262178 WBT262177:WBT262178 WLP262177:WLP262178 WVL262177:WVL262178 E327711:E327712 IZ327713:IZ327714 SV327713:SV327714 ACR327713:ACR327714 AMN327713:AMN327714 AWJ327713:AWJ327714 BGF327713:BGF327714 BQB327713:BQB327714 BZX327713:BZX327714 CJT327713:CJT327714 CTP327713:CTP327714 DDL327713:DDL327714 DNH327713:DNH327714 DXD327713:DXD327714 EGZ327713:EGZ327714 EQV327713:EQV327714 FAR327713:FAR327714 FKN327713:FKN327714 FUJ327713:FUJ327714 GEF327713:GEF327714 GOB327713:GOB327714 GXX327713:GXX327714 HHT327713:HHT327714 HRP327713:HRP327714 IBL327713:IBL327714 ILH327713:ILH327714 IVD327713:IVD327714 JEZ327713:JEZ327714 JOV327713:JOV327714 JYR327713:JYR327714 KIN327713:KIN327714 KSJ327713:KSJ327714 LCF327713:LCF327714 LMB327713:LMB327714 LVX327713:LVX327714 MFT327713:MFT327714 MPP327713:MPP327714 MZL327713:MZL327714 NJH327713:NJH327714 NTD327713:NTD327714 OCZ327713:OCZ327714 OMV327713:OMV327714 OWR327713:OWR327714 PGN327713:PGN327714 PQJ327713:PQJ327714 QAF327713:QAF327714 QKB327713:QKB327714 QTX327713:QTX327714 RDT327713:RDT327714 RNP327713:RNP327714 RXL327713:RXL327714 SHH327713:SHH327714 SRD327713:SRD327714 TAZ327713:TAZ327714 TKV327713:TKV327714 TUR327713:TUR327714 UEN327713:UEN327714 UOJ327713:UOJ327714 UYF327713:UYF327714 VIB327713:VIB327714 VRX327713:VRX327714 WBT327713:WBT327714 WLP327713:WLP327714 WVL327713:WVL327714 E393247:E393248 IZ393249:IZ393250 SV393249:SV393250 ACR393249:ACR393250 AMN393249:AMN393250 AWJ393249:AWJ393250 BGF393249:BGF393250 BQB393249:BQB393250 BZX393249:BZX393250 CJT393249:CJT393250 CTP393249:CTP393250 DDL393249:DDL393250 DNH393249:DNH393250 DXD393249:DXD393250 EGZ393249:EGZ393250 EQV393249:EQV393250 FAR393249:FAR393250 FKN393249:FKN393250 FUJ393249:FUJ393250 GEF393249:GEF393250 GOB393249:GOB393250 GXX393249:GXX393250 HHT393249:HHT393250 HRP393249:HRP393250 IBL393249:IBL393250 ILH393249:ILH393250 IVD393249:IVD393250 JEZ393249:JEZ393250 JOV393249:JOV393250 JYR393249:JYR393250 KIN393249:KIN393250 KSJ393249:KSJ393250 LCF393249:LCF393250 LMB393249:LMB393250 LVX393249:LVX393250 MFT393249:MFT393250 MPP393249:MPP393250 MZL393249:MZL393250 NJH393249:NJH393250 NTD393249:NTD393250 OCZ393249:OCZ393250 OMV393249:OMV393250 OWR393249:OWR393250 PGN393249:PGN393250 PQJ393249:PQJ393250 QAF393249:QAF393250 QKB393249:QKB393250 QTX393249:QTX393250 RDT393249:RDT393250 RNP393249:RNP393250 RXL393249:RXL393250 SHH393249:SHH393250 SRD393249:SRD393250 TAZ393249:TAZ393250 TKV393249:TKV393250 TUR393249:TUR393250 UEN393249:UEN393250 UOJ393249:UOJ393250 UYF393249:UYF393250 VIB393249:VIB393250 VRX393249:VRX393250 WBT393249:WBT393250 WLP393249:WLP393250 WVL393249:WVL393250 E458783:E458784 IZ458785:IZ458786 SV458785:SV458786 ACR458785:ACR458786 AMN458785:AMN458786 AWJ458785:AWJ458786 BGF458785:BGF458786 BQB458785:BQB458786 BZX458785:BZX458786 CJT458785:CJT458786 CTP458785:CTP458786 DDL458785:DDL458786 DNH458785:DNH458786 DXD458785:DXD458786 EGZ458785:EGZ458786 EQV458785:EQV458786 FAR458785:FAR458786 FKN458785:FKN458786 FUJ458785:FUJ458786 GEF458785:GEF458786 GOB458785:GOB458786 GXX458785:GXX458786 HHT458785:HHT458786 HRP458785:HRP458786 IBL458785:IBL458786 ILH458785:ILH458786 IVD458785:IVD458786 JEZ458785:JEZ458786 JOV458785:JOV458786 JYR458785:JYR458786 KIN458785:KIN458786 KSJ458785:KSJ458786 LCF458785:LCF458786 LMB458785:LMB458786 LVX458785:LVX458786 MFT458785:MFT458786 MPP458785:MPP458786 MZL458785:MZL458786 NJH458785:NJH458786 NTD458785:NTD458786 OCZ458785:OCZ458786 OMV458785:OMV458786 OWR458785:OWR458786 PGN458785:PGN458786 PQJ458785:PQJ458786 QAF458785:QAF458786 QKB458785:QKB458786 QTX458785:QTX458786 RDT458785:RDT458786 RNP458785:RNP458786 RXL458785:RXL458786 SHH458785:SHH458786 SRD458785:SRD458786 TAZ458785:TAZ458786 TKV458785:TKV458786 TUR458785:TUR458786 UEN458785:UEN458786 UOJ458785:UOJ458786 UYF458785:UYF458786 VIB458785:VIB458786 VRX458785:VRX458786 WBT458785:WBT458786 WLP458785:WLP458786 WVL458785:WVL458786 E524319:E524320 IZ524321:IZ524322 SV524321:SV524322 ACR524321:ACR524322 AMN524321:AMN524322 AWJ524321:AWJ524322 BGF524321:BGF524322 BQB524321:BQB524322 BZX524321:BZX524322 CJT524321:CJT524322 CTP524321:CTP524322 DDL524321:DDL524322 DNH524321:DNH524322 DXD524321:DXD524322 EGZ524321:EGZ524322 EQV524321:EQV524322 FAR524321:FAR524322 FKN524321:FKN524322 FUJ524321:FUJ524322 GEF524321:GEF524322 GOB524321:GOB524322 GXX524321:GXX524322 HHT524321:HHT524322 HRP524321:HRP524322 IBL524321:IBL524322 ILH524321:ILH524322 IVD524321:IVD524322 JEZ524321:JEZ524322 JOV524321:JOV524322 JYR524321:JYR524322 KIN524321:KIN524322 KSJ524321:KSJ524322 LCF524321:LCF524322 LMB524321:LMB524322 LVX524321:LVX524322 MFT524321:MFT524322 MPP524321:MPP524322 MZL524321:MZL524322 NJH524321:NJH524322 NTD524321:NTD524322 OCZ524321:OCZ524322 OMV524321:OMV524322 OWR524321:OWR524322 PGN524321:PGN524322 PQJ524321:PQJ524322 QAF524321:QAF524322 QKB524321:QKB524322 QTX524321:QTX524322 RDT524321:RDT524322 RNP524321:RNP524322 RXL524321:RXL524322 SHH524321:SHH524322 SRD524321:SRD524322 TAZ524321:TAZ524322 TKV524321:TKV524322 TUR524321:TUR524322 UEN524321:UEN524322 UOJ524321:UOJ524322 UYF524321:UYF524322 VIB524321:VIB524322 VRX524321:VRX524322 WBT524321:WBT524322 WLP524321:WLP524322 WVL524321:WVL524322 E589855:E589856 IZ589857:IZ589858 SV589857:SV589858 ACR589857:ACR589858 AMN589857:AMN589858 AWJ589857:AWJ589858 BGF589857:BGF589858 BQB589857:BQB589858 BZX589857:BZX589858 CJT589857:CJT589858 CTP589857:CTP589858 DDL589857:DDL589858 DNH589857:DNH589858 DXD589857:DXD589858 EGZ589857:EGZ589858 EQV589857:EQV589858 FAR589857:FAR589858 FKN589857:FKN589858 FUJ589857:FUJ589858 GEF589857:GEF589858 GOB589857:GOB589858 GXX589857:GXX589858 HHT589857:HHT589858 HRP589857:HRP589858 IBL589857:IBL589858 ILH589857:ILH589858 IVD589857:IVD589858 JEZ589857:JEZ589858 JOV589857:JOV589858 JYR589857:JYR589858 KIN589857:KIN589858 KSJ589857:KSJ589858 LCF589857:LCF589858 LMB589857:LMB589858 LVX589857:LVX589858 MFT589857:MFT589858 MPP589857:MPP589858 MZL589857:MZL589858 NJH589857:NJH589858 NTD589857:NTD589858 OCZ589857:OCZ589858 OMV589857:OMV589858 OWR589857:OWR589858 PGN589857:PGN589858 PQJ589857:PQJ589858 QAF589857:QAF589858 QKB589857:QKB589858 QTX589857:QTX589858 RDT589857:RDT589858 RNP589857:RNP589858 RXL589857:RXL589858 SHH589857:SHH589858 SRD589857:SRD589858 TAZ589857:TAZ589858 TKV589857:TKV589858 TUR589857:TUR589858 UEN589857:UEN589858 UOJ589857:UOJ589858 UYF589857:UYF589858 VIB589857:VIB589858 VRX589857:VRX589858 WBT589857:WBT589858 WLP589857:WLP589858 WVL589857:WVL589858 E655391:E655392 IZ655393:IZ655394 SV655393:SV655394 ACR655393:ACR655394 AMN655393:AMN655394 AWJ655393:AWJ655394 BGF655393:BGF655394 BQB655393:BQB655394 BZX655393:BZX655394 CJT655393:CJT655394 CTP655393:CTP655394 DDL655393:DDL655394 DNH655393:DNH655394 DXD655393:DXD655394 EGZ655393:EGZ655394 EQV655393:EQV655394 FAR655393:FAR655394 FKN655393:FKN655394 FUJ655393:FUJ655394 GEF655393:GEF655394 GOB655393:GOB655394 GXX655393:GXX655394 HHT655393:HHT655394 HRP655393:HRP655394 IBL655393:IBL655394 ILH655393:ILH655394 IVD655393:IVD655394 JEZ655393:JEZ655394 JOV655393:JOV655394 JYR655393:JYR655394 KIN655393:KIN655394 KSJ655393:KSJ655394 LCF655393:LCF655394 LMB655393:LMB655394 LVX655393:LVX655394 MFT655393:MFT655394 MPP655393:MPP655394 MZL655393:MZL655394 NJH655393:NJH655394 NTD655393:NTD655394 OCZ655393:OCZ655394 OMV655393:OMV655394 OWR655393:OWR655394 PGN655393:PGN655394 PQJ655393:PQJ655394 QAF655393:QAF655394 QKB655393:QKB655394 QTX655393:QTX655394 RDT655393:RDT655394 RNP655393:RNP655394 RXL655393:RXL655394 SHH655393:SHH655394 SRD655393:SRD655394 TAZ655393:TAZ655394 TKV655393:TKV655394 TUR655393:TUR655394 UEN655393:UEN655394 UOJ655393:UOJ655394 UYF655393:UYF655394 VIB655393:VIB655394 VRX655393:VRX655394 WBT655393:WBT655394 WLP655393:WLP655394 WVL655393:WVL655394 E720927:E720928 IZ720929:IZ720930 SV720929:SV720930 ACR720929:ACR720930 AMN720929:AMN720930 AWJ720929:AWJ720930 BGF720929:BGF720930 BQB720929:BQB720930 BZX720929:BZX720930 CJT720929:CJT720930 CTP720929:CTP720930 DDL720929:DDL720930 DNH720929:DNH720930 DXD720929:DXD720930 EGZ720929:EGZ720930 EQV720929:EQV720930 FAR720929:FAR720930 FKN720929:FKN720930 FUJ720929:FUJ720930 GEF720929:GEF720930 GOB720929:GOB720930 GXX720929:GXX720930 HHT720929:HHT720930 HRP720929:HRP720930 IBL720929:IBL720930 ILH720929:ILH720930 IVD720929:IVD720930 JEZ720929:JEZ720930 JOV720929:JOV720930 JYR720929:JYR720930 KIN720929:KIN720930 KSJ720929:KSJ720930 LCF720929:LCF720930 LMB720929:LMB720930 LVX720929:LVX720930 MFT720929:MFT720930 MPP720929:MPP720930 MZL720929:MZL720930 NJH720929:NJH720930 NTD720929:NTD720930 OCZ720929:OCZ720930 OMV720929:OMV720930 OWR720929:OWR720930 PGN720929:PGN720930 PQJ720929:PQJ720930 QAF720929:QAF720930 QKB720929:QKB720930 QTX720929:QTX720930 RDT720929:RDT720930 RNP720929:RNP720930 RXL720929:RXL720930 SHH720929:SHH720930 SRD720929:SRD720930 TAZ720929:TAZ720930 TKV720929:TKV720930 TUR720929:TUR720930 UEN720929:UEN720930 UOJ720929:UOJ720930 UYF720929:UYF720930 VIB720929:VIB720930 VRX720929:VRX720930 WBT720929:WBT720930 WLP720929:WLP720930 WVL720929:WVL720930 E786463:E786464 IZ786465:IZ786466 SV786465:SV786466 ACR786465:ACR786466 AMN786465:AMN786466 AWJ786465:AWJ786466 BGF786465:BGF786466 BQB786465:BQB786466 BZX786465:BZX786466 CJT786465:CJT786466 CTP786465:CTP786466 DDL786465:DDL786466 DNH786465:DNH786466 DXD786465:DXD786466 EGZ786465:EGZ786466 EQV786465:EQV786466 FAR786465:FAR786466 FKN786465:FKN786466 FUJ786465:FUJ786466 GEF786465:GEF786466 GOB786465:GOB786466 GXX786465:GXX786466 HHT786465:HHT786466 HRP786465:HRP786466 IBL786465:IBL786466 ILH786465:ILH786466 IVD786465:IVD786466 JEZ786465:JEZ786466 JOV786465:JOV786466 JYR786465:JYR786466 KIN786465:KIN786466 KSJ786465:KSJ786466 LCF786465:LCF786466 LMB786465:LMB786466 LVX786465:LVX786466 MFT786465:MFT786466 MPP786465:MPP786466 MZL786465:MZL786466 NJH786465:NJH786466 NTD786465:NTD786466 OCZ786465:OCZ786466 OMV786465:OMV786466 OWR786465:OWR786466 PGN786465:PGN786466 PQJ786465:PQJ786466 QAF786465:QAF786466 QKB786465:QKB786466 QTX786465:QTX786466 RDT786465:RDT786466 RNP786465:RNP786466 RXL786465:RXL786466 SHH786465:SHH786466 SRD786465:SRD786466 TAZ786465:TAZ786466 TKV786465:TKV786466 TUR786465:TUR786466 UEN786465:UEN786466 UOJ786465:UOJ786466 UYF786465:UYF786466 VIB786465:VIB786466 VRX786465:VRX786466 WBT786465:WBT786466 WLP786465:WLP786466 WVL786465:WVL786466 E851999:E852000 IZ852001:IZ852002 SV852001:SV852002 ACR852001:ACR852002 AMN852001:AMN852002 AWJ852001:AWJ852002 BGF852001:BGF852002 BQB852001:BQB852002 BZX852001:BZX852002 CJT852001:CJT852002 CTP852001:CTP852002 DDL852001:DDL852002 DNH852001:DNH852002 DXD852001:DXD852002 EGZ852001:EGZ852002 EQV852001:EQV852002 FAR852001:FAR852002 FKN852001:FKN852002 FUJ852001:FUJ852002 GEF852001:GEF852002 GOB852001:GOB852002 GXX852001:GXX852002 HHT852001:HHT852002 HRP852001:HRP852002 IBL852001:IBL852002 ILH852001:ILH852002 IVD852001:IVD852002 JEZ852001:JEZ852002 JOV852001:JOV852002 JYR852001:JYR852002 KIN852001:KIN852002 KSJ852001:KSJ852002 LCF852001:LCF852002 LMB852001:LMB852002 LVX852001:LVX852002 MFT852001:MFT852002 MPP852001:MPP852002 MZL852001:MZL852002 NJH852001:NJH852002 NTD852001:NTD852002 OCZ852001:OCZ852002 OMV852001:OMV852002 OWR852001:OWR852002 PGN852001:PGN852002 PQJ852001:PQJ852002 QAF852001:QAF852002 QKB852001:QKB852002 QTX852001:QTX852002 RDT852001:RDT852002 RNP852001:RNP852002 RXL852001:RXL852002 SHH852001:SHH852002 SRD852001:SRD852002 TAZ852001:TAZ852002 TKV852001:TKV852002 TUR852001:TUR852002 UEN852001:UEN852002 UOJ852001:UOJ852002 UYF852001:UYF852002 VIB852001:VIB852002 VRX852001:VRX852002 WBT852001:WBT852002 WLP852001:WLP852002 WVL852001:WVL852002 E917535:E917536 IZ917537:IZ917538 SV917537:SV917538 ACR917537:ACR917538 AMN917537:AMN917538 AWJ917537:AWJ917538 BGF917537:BGF917538 BQB917537:BQB917538 BZX917537:BZX917538 CJT917537:CJT917538 CTP917537:CTP917538 DDL917537:DDL917538 DNH917537:DNH917538 DXD917537:DXD917538 EGZ917537:EGZ917538 EQV917537:EQV917538 FAR917537:FAR917538 FKN917537:FKN917538 FUJ917537:FUJ917538 GEF917537:GEF917538 GOB917537:GOB917538 GXX917537:GXX917538 HHT917537:HHT917538 HRP917537:HRP917538 IBL917537:IBL917538 ILH917537:ILH917538 IVD917537:IVD917538 JEZ917537:JEZ917538 JOV917537:JOV917538 JYR917537:JYR917538 KIN917537:KIN917538 KSJ917537:KSJ917538 LCF917537:LCF917538 LMB917537:LMB917538 LVX917537:LVX917538 MFT917537:MFT917538 MPP917537:MPP917538 MZL917537:MZL917538 NJH917537:NJH917538 NTD917537:NTD917538 OCZ917537:OCZ917538 OMV917537:OMV917538 OWR917537:OWR917538 PGN917537:PGN917538 PQJ917537:PQJ917538 QAF917537:QAF917538 QKB917537:QKB917538 QTX917537:QTX917538 RDT917537:RDT917538 RNP917537:RNP917538 RXL917537:RXL917538 SHH917537:SHH917538 SRD917537:SRD917538 TAZ917537:TAZ917538 TKV917537:TKV917538 TUR917537:TUR917538 UEN917537:UEN917538 UOJ917537:UOJ917538 UYF917537:UYF917538 VIB917537:VIB917538 VRX917537:VRX917538 WBT917537:WBT917538 WLP917537:WLP917538 WVL917537:WVL917538 E983071:E983072 IZ983073:IZ983074 SV983073:SV983074 ACR983073:ACR983074 AMN983073:AMN983074 AWJ983073:AWJ983074 BGF983073:BGF983074 BQB983073:BQB983074 BZX983073:BZX983074 CJT983073:CJT983074 CTP983073:CTP983074 DDL983073:DDL983074 DNH983073:DNH983074 DXD983073:DXD983074 EGZ983073:EGZ983074 EQV983073:EQV983074 FAR983073:FAR983074 FKN983073:FKN983074 FUJ983073:FUJ983074 GEF983073:GEF983074 GOB983073:GOB983074 GXX983073:GXX983074 HHT983073:HHT983074 HRP983073:HRP983074 IBL983073:IBL983074 ILH983073:ILH983074 IVD983073:IVD983074 JEZ983073:JEZ983074 JOV983073:JOV983074 JYR983073:JYR983074 KIN983073:KIN983074 KSJ983073:KSJ983074 LCF983073:LCF983074 LMB983073:LMB983074 LVX983073:LVX983074 MFT983073:MFT983074 MPP983073:MPP983074 MZL983073:MZL983074 NJH983073:NJH983074 NTD983073:NTD983074 OCZ983073:OCZ983074 OMV983073:OMV983074 OWR983073:OWR983074 PGN983073:PGN983074 PQJ983073:PQJ983074 QAF983073:QAF983074 QKB983073:QKB983074 QTX983073:QTX983074 RDT983073:RDT983074 RNP983073:RNP983074 RXL983073:RXL983074 SHH983073:SHH983074 SRD983073:SRD983074 TAZ983073:TAZ983074 TKV983073:TKV983074 TUR983073:TUR983074 UEN983073:UEN983074 UOJ983073:UOJ983074 UYF983073:UYF983074 VIB983073:VIB983074 VRX983073:VRX983074 WBT983073:WBT983074 WLP983073:WLP983074 WVL983073:WVL983074 WBT983081:WBT983090 IZ59 SV59 ACR59 AMN59 AWJ59 BGF59 BQB59 BZX59 CJT59 CTP59 DDL59 DNH59 DXD59 EGZ59 EQV59 FAR59 FKN59 FUJ59 GEF59 GOB59 GXX59 HHT59 HRP59 IBL59 ILH59 IVD59 JEZ59 JOV59 JYR59 KIN59 KSJ59 LCF59 LMB59 LVX59 MFT59 MPP59 MZL59 NJH59 NTD59 OCZ59 OMV59 OWR59 PGN59 PQJ59 QAF59 QKB59 QTX59 RDT59 RNP59 RXL59 SHH59 SRD59 TAZ59 TKV59 TUR59 UEN59 UOJ59 UYF59 VIB59 VRX59 WBT59 WLP59 WVL59 E65587 IZ65589 SV65589 ACR65589 AMN65589 AWJ65589 BGF65589 BQB65589 BZX65589 CJT65589 CTP65589 DDL65589 DNH65589 DXD65589 EGZ65589 EQV65589 FAR65589 FKN65589 FUJ65589 GEF65589 GOB65589 GXX65589 HHT65589 HRP65589 IBL65589 ILH65589 IVD65589 JEZ65589 JOV65589 JYR65589 KIN65589 KSJ65589 LCF65589 LMB65589 LVX65589 MFT65589 MPP65589 MZL65589 NJH65589 NTD65589 OCZ65589 OMV65589 OWR65589 PGN65589 PQJ65589 QAF65589 QKB65589 QTX65589 RDT65589 RNP65589 RXL65589 SHH65589 SRD65589 TAZ65589 TKV65589 TUR65589 UEN65589 UOJ65589 UYF65589 VIB65589 VRX65589 WBT65589 WLP65589 WVL65589 E131123 IZ131125 SV131125 ACR131125 AMN131125 AWJ131125 BGF131125 BQB131125 BZX131125 CJT131125 CTP131125 DDL131125 DNH131125 DXD131125 EGZ131125 EQV131125 FAR131125 FKN131125 FUJ131125 GEF131125 GOB131125 GXX131125 HHT131125 HRP131125 IBL131125 ILH131125 IVD131125 JEZ131125 JOV131125 JYR131125 KIN131125 KSJ131125 LCF131125 LMB131125 LVX131125 MFT131125 MPP131125 MZL131125 NJH131125 NTD131125 OCZ131125 OMV131125 OWR131125 PGN131125 PQJ131125 QAF131125 QKB131125 QTX131125 RDT131125 RNP131125 RXL131125 SHH131125 SRD131125 TAZ131125 TKV131125 TUR131125 UEN131125 UOJ131125 UYF131125 VIB131125 VRX131125 WBT131125 WLP131125 WVL131125 E196659 IZ196661 SV196661 ACR196661 AMN196661 AWJ196661 BGF196661 BQB196661 BZX196661 CJT196661 CTP196661 DDL196661 DNH196661 DXD196661 EGZ196661 EQV196661 FAR196661 FKN196661 FUJ196661 GEF196661 GOB196661 GXX196661 HHT196661 HRP196661 IBL196661 ILH196661 IVD196661 JEZ196661 JOV196661 JYR196661 KIN196661 KSJ196661 LCF196661 LMB196661 LVX196661 MFT196661 MPP196661 MZL196661 NJH196661 NTD196661 OCZ196661 OMV196661 OWR196661 PGN196661 PQJ196661 QAF196661 QKB196661 QTX196661 RDT196661 RNP196661 RXL196661 SHH196661 SRD196661 TAZ196661 TKV196661 TUR196661 UEN196661 UOJ196661 UYF196661 VIB196661 VRX196661 WBT196661 WLP196661 WVL196661 E262195 IZ262197 SV262197 ACR262197 AMN262197 AWJ262197 BGF262197 BQB262197 BZX262197 CJT262197 CTP262197 DDL262197 DNH262197 DXD262197 EGZ262197 EQV262197 FAR262197 FKN262197 FUJ262197 GEF262197 GOB262197 GXX262197 HHT262197 HRP262197 IBL262197 ILH262197 IVD262197 JEZ262197 JOV262197 JYR262197 KIN262197 KSJ262197 LCF262197 LMB262197 LVX262197 MFT262197 MPP262197 MZL262197 NJH262197 NTD262197 OCZ262197 OMV262197 OWR262197 PGN262197 PQJ262197 QAF262197 QKB262197 QTX262197 RDT262197 RNP262197 RXL262197 SHH262197 SRD262197 TAZ262197 TKV262197 TUR262197 UEN262197 UOJ262197 UYF262197 VIB262197 VRX262197 WBT262197 WLP262197 WVL262197 E327731 IZ327733 SV327733 ACR327733 AMN327733 AWJ327733 BGF327733 BQB327733 BZX327733 CJT327733 CTP327733 DDL327733 DNH327733 DXD327733 EGZ327733 EQV327733 FAR327733 FKN327733 FUJ327733 GEF327733 GOB327733 GXX327733 HHT327733 HRP327733 IBL327733 ILH327733 IVD327733 JEZ327733 JOV327733 JYR327733 KIN327733 KSJ327733 LCF327733 LMB327733 LVX327733 MFT327733 MPP327733 MZL327733 NJH327733 NTD327733 OCZ327733 OMV327733 OWR327733 PGN327733 PQJ327733 QAF327733 QKB327733 QTX327733 RDT327733 RNP327733 RXL327733 SHH327733 SRD327733 TAZ327733 TKV327733 TUR327733 UEN327733 UOJ327733 UYF327733 VIB327733 VRX327733 WBT327733 WLP327733 WVL327733 E393267 IZ393269 SV393269 ACR393269 AMN393269 AWJ393269 BGF393269 BQB393269 BZX393269 CJT393269 CTP393269 DDL393269 DNH393269 DXD393269 EGZ393269 EQV393269 FAR393269 FKN393269 FUJ393269 GEF393269 GOB393269 GXX393269 HHT393269 HRP393269 IBL393269 ILH393269 IVD393269 JEZ393269 JOV393269 JYR393269 KIN393269 KSJ393269 LCF393269 LMB393269 LVX393269 MFT393269 MPP393269 MZL393269 NJH393269 NTD393269 OCZ393269 OMV393269 OWR393269 PGN393269 PQJ393269 QAF393269 QKB393269 QTX393269 RDT393269 RNP393269 RXL393269 SHH393269 SRD393269 TAZ393269 TKV393269 TUR393269 UEN393269 UOJ393269 UYF393269 VIB393269 VRX393269 WBT393269 WLP393269 WVL393269 E458803 IZ458805 SV458805 ACR458805 AMN458805 AWJ458805 BGF458805 BQB458805 BZX458805 CJT458805 CTP458805 DDL458805 DNH458805 DXD458805 EGZ458805 EQV458805 FAR458805 FKN458805 FUJ458805 GEF458805 GOB458805 GXX458805 HHT458805 HRP458805 IBL458805 ILH458805 IVD458805 JEZ458805 JOV458805 JYR458805 KIN458805 KSJ458805 LCF458805 LMB458805 LVX458805 MFT458805 MPP458805 MZL458805 NJH458805 NTD458805 OCZ458805 OMV458805 OWR458805 PGN458805 PQJ458805 QAF458805 QKB458805 QTX458805 RDT458805 RNP458805 RXL458805 SHH458805 SRD458805 TAZ458805 TKV458805 TUR458805 UEN458805 UOJ458805 UYF458805 VIB458805 VRX458805 WBT458805 WLP458805 WVL458805 E524339 IZ524341 SV524341 ACR524341 AMN524341 AWJ524341 BGF524341 BQB524341 BZX524341 CJT524341 CTP524341 DDL524341 DNH524341 DXD524341 EGZ524341 EQV524341 FAR524341 FKN524341 FUJ524341 GEF524341 GOB524341 GXX524341 HHT524341 HRP524341 IBL524341 ILH524341 IVD524341 JEZ524341 JOV524341 JYR524341 KIN524341 KSJ524341 LCF524341 LMB524341 LVX524341 MFT524341 MPP524341 MZL524341 NJH524341 NTD524341 OCZ524341 OMV524341 OWR524341 PGN524341 PQJ524341 QAF524341 QKB524341 QTX524341 RDT524341 RNP524341 RXL524341 SHH524341 SRD524341 TAZ524341 TKV524341 TUR524341 UEN524341 UOJ524341 UYF524341 VIB524341 VRX524341 WBT524341 WLP524341 WVL524341 E589875 IZ589877 SV589877 ACR589877 AMN589877 AWJ589877 BGF589877 BQB589877 BZX589877 CJT589877 CTP589877 DDL589877 DNH589877 DXD589877 EGZ589877 EQV589877 FAR589877 FKN589877 FUJ589877 GEF589877 GOB589877 GXX589877 HHT589877 HRP589877 IBL589877 ILH589877 IVD589877 JEZ589877 JOV589877 JYR589877 KIN589877 KSJ589877 LCF589877 LMB589877 LVX589877 MFT589877 MPP589877 MZL589877 NJH589877 NTD589877 OCZ589877 OMV589877 OWR589877 PGN589877 PQJ589877 QAF589877 QKB589877 QTX589877 RDT589877 RNP589877 RXL589877 SHH589877 SRD589877 TAZ589877 TKV589877 TUR589877 UEN589877 UOJ589877 UYF589877 VIB589877 VRX589877 WBT589877 WLP589877 WVL589877 E655411 IZ655413 SV655413 ACR655413 AMN655413 AWJ655413 BGF655413 BQB655413 BZX655413 CJT655413 CTP655413 DDL655413 DNH655413 DXD655413 EGZ655413 EQV655413 FAR655413 FKN655413 FUJ655413 GEF655413 GOB655413 GXX655413 HHT655413 HRP655413 IBL655413 ILH655413 IVD655413 JEZ655413 JOV655413 JYR655413 KIN655413 KSJ655413 LCF655413 LMB655413 LVX655413 MFT655413 MPP655413 MZL655413 NJH655413 NTD655413 OCZ655413 OMV655413 OWR655413 PGN655413 PQJ655413 QAF655413 QKB655413 QTX655413 RDT655413 RNP655413 RXL655413 SHH655413 SRD655413 TAZ655413 TKV655413 TUR655413 UEN655413 UOJ655413 UYF655413 VIB655413 VRX655413 WBT655413 WLP655413 WVL655413 E720947 IZ720949 SV720949 ACR720949 AMN720949 AWJ720949 BGF720949 BQB720949 BZX720949 CJT720949 CTP720949 DDL720949 DNH720949 DXD720949 EGZ720949 EQV720949 FAR720949 FKN720949 FUJ720949 GEF720949 GOB720949 GXX720949 HHT720949 HRP720949 IBL720949 ILH720949 IVD720949 JEZ720949 JOV720949 JYR720949 KIN720949 KSJ720949 LCF720949 LMB720949 LVX720949 MFT720949 MPP720949 MZL720949 NJH720949 NTD720949 OCZ720949 OMV720949 OWR720949 PGN720949 PQJ720949 QAF720949 QKB720949 QTX720949 RDT720949 RNP720949 RXL720949 SHH720949 SRD720949 TAZ720949 TKV720949 TUR720949 UEN720949 UOJ720949 UYF720949 VIB720949 VRX720949 WBT720949 WLP720949 WVL720949 E786483 IZ786485 SV786485 ACR786485 AMN786485 AWJ786485 BGF786485 BQB786485 BZX786485 CJT786485 CTP786485 DDL786485 DNH786485 DXD786485 EGZ786485 EQV786485 FAR786485 FKN786485 FUJ786485 GEF786485 GOB786485 GXX786485 HHT786485 HRP786485 IBL786485 ILH786485 IVD786485 JEZ786485 JOV786485 JYR786485 KIN786485 KSJ786485 LCF786485 LMB786485 LVX786485 MFT786485 MPP786485 MZL786485 NJH786485 NTD786485 OCZ786485 OMV786485 OWR786485 PGN786485 PQJ786485 QAF786485 QKB786485 QTX786485 RDT786485 RNP786485 RXL786485 SHH786485 SRD786485 TAZ786485 TKV786485 TUR786485 UEN786485 UOJ786485 UYF786485 VIB786485 VRX786485 WBT786485 WLP786485 WVL786485 E852019 IZ852021 SV852021 ACR852021 AMN852021 AWJ852021 BGF852021 BQB852021 BZX852021 CJT852021 CTP852021 DDL852021 DNH852021 DXD852021 EGZ852021 EQV852021 FAR852021 FKN852021 FUJ852021 GEF852021 GOB852021 GXX852021 HHT852021 HRP852021 IBL852021 ILH852021 IVD852021 JEZ852021 JOV852021 JYR852021 KIN852021 KSJ852021 LCF852021 LMB852021 LVX852021 MFT852021 MPP852021 MZL852021 NJH852021 NTD852021 OCZ852021 OMV852021 OWR852021 PGN852021 PQJ852021 QAF852021 QKB852021 QTX852021 RDT852021 RNP852021 RXL852021 SHH852021 SRD852021 TAZ852021 TKV852021 TUR852021 UEN852021 UOJ852021 UYF852021 VIB852021 VRX852021 WBT852021 WLP852021 WVL852021 E917555 IZ917557 SV917557 ACR917557 AMN917557 AWJ917557 BGF917557 BQB917557 BZX917557 CJT917557 CTP917557 DDL917557 DNH917557 DXD917557 EGZ917557 EQV917557 FAR917557 FKN917557 FUJ917557 GEF917557 GOB917557 GXX917557 HHT917557 HRP917557 IBL917557 ILH917557 IVD917557 JEZ917557 JOV917557 JYR917557 KIN917557 KSJ917557 LCF917557 LMB917557 LVX917557 MFT917557 MPP917557 MZL917557 NJH917557 NTD917557 OCZ917557 OMV917557 OWR917557 PGN917557 PQJ917557 QAF917557 QKB917557 QTX917557 RDT917557 RNP917557 RXL917557 SHH917557 SRD917557 TAZ917557 TKV917557 TUR917557 UEN917557 UOJ917557 UYF917557 VIB917557 VRX917557 WBT917557 WLP917557 WVL917557 E983091 IZ983093 SV983093 ACR983093 AMN983093 AWJ983093 BGF983093 BQB983093 BZX983093 CJT983093 CTP983093 DDL983093 DNH983093 DXD983093 EGZ983093 EQV983093 FAR983093 FKN983093 FUJ983093 GEF983093 GOB983093 GXX983093 HHT983093 HRP983093 IBL983093 ILH983093 IVD983093 JEZ983093 JOV983093 JYR983093 KIN983093 KSJ983093 LCF983093 LMB983093 LVX983093 MFT983093 MPP983093 MZL983093 NJH983093 NTD983093 OCZ983093 OMV983093 OWR983093 PGN983093 PQJ983093 QAF983093 QKB983093 QTX983093 RDT983093 RNP983093 RXL983093 SHH983093 SRD983093 TAZ983093 TKV983093 TUR983093 UEN983093 UOJ983093 UYF983093 VIB983093 VRX983093 WBT983093 WLP983093 WVL983093 WVL983081:WVL983090 E65575:E65584 IZ65577:IZ65586 SV65577:SV65586 ACR65577:ACR65586 AMN65577:AMN65586 AWJ65577:AWJ65586 BGF65577:BGF65586 BQB65577:BQB65586 BZX65577:BZX65586 CJT65577:CJT65586 CTP65577:CTP65586 DDL65577:DDL65586 DNH65577:DNH65586 DXD65577:DXD65586 EGZ65577:EGZ65586 EQV65577:EQV65586 FAR65577:FAR65586 FKN65577:FKN65586 FUJ65577:FUJ65586 GEF65577:GEF65586 GOB65577:GOB65586 GXX65577:GXX65586 HHT65577:HHT65586 HRP65577:HRP65586 IBL65577:IBL65586 ILH65577:ILH65586 IVD65577:IVD65586 JEZ65577:JEZ65586 JOV65577:JOV65586 JYR65577:JYR65586 KIN65577:KIN65586 KSJ65577:KSJ65586 LCF65577:LCF65586 LMB65577:LMB65586 LVX65577:LVX65586 MFT65577:MFT65586 MPP65577:MPP65586 MZL65577:MZL65586 NJH65577:NJH65586 NTD65577:NTD65586 OCZ65577:OCZ65586 OMV65577:OMV65586 OWR65577:OWR65586 PGN65577:PGN65586 PQJ65577:PQJ65586 QAF65577:QAF65586 QKB65577:QKB65586 QTX65577:QTX65586 RDT65577:RDT65586 RNP65577:RNP65586 RXL65577:RXL65586 SHH65577:SHH65586 SRD65577:SRD65586 TAZ65577:TAZ65586 TKV65577:TKV65586 TUR65577:TUR65586 UEN65577:UEN65586 UOJ65577:UOJ65586 UYF65577:UYF65586 VIB65577:VIB65586 VRX65577:VRX65586 WBT65577:WBT65586 WLP65577:WLP65586 WVL65577:WVL65586 E131111:E131120 IZ131113:IZ131122 SV131113:SV131122 ACR131113:ACR131122 AMN131113:AMN131122 AWJ131113:AWJ131122 BGF131113:BGF131122 BQB131113:BQB131122 BZX131113:BZX131122 CJT131113:CJT131122 CTP131113:CTP131122 DDL131113:DDL131122 DNH131113:DNH131122 DXD131113:DXD131122 EGZ131113:EGZ131122 EQV131113:EQV131122 FAR131113:FAR131122 FKN131113:FKN131122 FUJ131113:FUJ131122 GEF131113:GEF131122 GOB131113:GOB131122 GXX131113:GXX131122 HHT131113:HHT131122 HRP131113:HRP131122 IBL131113:IBL131122 ILH131113:ILH131122 IVD131113:IVD131122 JEZ131113:JEZ131122 JOV131113:JOV131122 JYR131113:JYR131122 KIN131113:KIN131122 KSJ131113:KSJ131122 LCF131113:LCF131122 LMB131113:LMB131122 LVX131113:LVX131122 MFT131113:MFT131122 MPP131113:MPP131122 MZL131113:MZL131122 NJH131113:NJH131122 NTD131113:NTD131122 OCZ131113:OCZ131122 OMV131113:OMV131122 OWR131113:OWR131122 PGN131113:PGN131122 PQJ131113:PQJ131122 QAF131113:QAF131122 QKB131113:QKB131122 QTX131113:QTX131122 RDT131113:RDT131122 RNP131113:RNP131122 RXL131113:RXL131122 SHH131113:SHH131122 SRD131113:SRD131122 TAZ131113:TAZ131122 TKV131113:TKV131122 TUR131113:TUR131122 UEN131113:UEN131122 UOJ131113:UOJ131122 UYF131113:UYF131122 VIB131113:VIB131122 VRX131113:VRX131122 WBT131113:WBT131122 WLP131113:WLP131122 WVL131113:WVL131122 E196647:E196656 IZ196649:IZ196658 SV196649:SV196658 ACR196649:ACR196658 AMN196649:AMN196658 AWJ196649:AWJ196658 BGF196649:BGF196658 BQB196649:BQB196658 BZX196649:BZX196658 CJT196649:CJT196658 CTP196649:CTP196658 DDL196649:DDL196658 DNH196649:DNH196658 DXD196649:DXD196658 EGZ196649:EGZ196658 EQV196649:EQV196658 FAR196649:FAR196658 FKN196649:FKN196658 FUJ196649:FUJ196658 GEF196649:GEF196658 GOB196649:GOB196658 GXX196649:GXX196658 HHT196649:HHT196658 HRP196649:HRP196658 IBL196649:IBL196658 ILH196649:ILH196658 IVD196649:IVD196658 JEZ196649:JEZ196658 JOV196649:JOV196658 JYR196649:JYR196658 KIN196649:KIN196658 KSJ196649:KSJ196658 LCF196649:LCF196658 LMB196649:LMB196658 LVX196649:LVX196658 MFT196649:MFT196658 MPP196649:MPP196658 MZL196649:MZL196658 NJH196649:NJH196658 NTD196649:NTD196658 OCZ196649:OCZ196658 OMV196649:OMV196658 OWR196649:OWR196658 PGN196649:PGN196658 PQJ196649:PQJ196658 QAF196649:QAF196658 QKB196649:QKB196658 QTX196649:QTX196658 RDT196649:RDT196658 RNP196649:RNP196658 RXL196649:RXL196658 SHH196649:SHH196658 SRD196649:SRD196658 TAZ196649:TAZ196658 TKV196649:TKV196658 TUR196649:TUR196658 UEN196649:UEN196658 UOJ196649:UOJ196658 UYF196649:UYF196658 VIB196649:VIB196658 VRX196649:VRX196658 WBT196649:WBT196658 WLP196649:WLP196658 WVL196649:WVL196658 E262183:E262192 IZ262185:IZ262194 SV262185:SV262194 ACR262185:ACR262194 AMN262185:AMN262194 AWJ262185:AWJ262194 BGF262185:BGF262194 BQB262185:BQB262194 BZX262185:BZX262194 CJT262185:CJT262194 CTP262185:CTP262194 DDL262185:DDL262194 DNH262185:DNH262194 DXD262185:DXD262194 EGZ262185:EGZ262194 EQV262185:EQV262194 FAR262185:FAR262194 FKN262185:FKN262194 FUJ262185:FUJ262194 GEF262185:GEF262194 GOB262185:GOB262194 GXX262185:GXX262194 HHT262185:HHT262194 HRP262185:HRP262194 IBL262185:IBL262194 ILH262185:ILH262194 IVD262185:IVD262194 JEZ262185:JEZ262194 JOV262185:JOV262194 JYR262185:JYR262194 KIN262185:KIN262194 KSJ262185:KSJ262194 LCF262185:LCF262194 LMB262185:LMB262194 LVX262185:LVX262194 MFT262185:MFT262194 MPP262185:MPP262194 MZL262185:MZL262194 NJH262185:NJH262194 NTD262185:NTD262194 OCZ262185:OCZ262194 OMV262185:OMV262194 OWR262185:OWR262194 PGN262185:PGN262194 PQJ262185:PQJ262194 QAF262185:QAF262194 QKB262185:QKB262194 QTX262185:QTX262194 RDT262185:RDT262194 RNP262185:RNP262194 RXL262185:RXL262194 SHH262185:SHH262194 SRD262185:SRD262194 TAZ262185:TAZ262194 TKV262185:TKV262194 TUR262185:TUR262194 UEN262185:UEN262194 UOJ262185:UOJ262194 UYF262185:UYF262194 VIB262185:VIB262194 VRX262185:VRX262194 WBT262185:WBT262194 WLP262185:WLP262194 WVL262185:WVL262194 E327719:E327728 IZ327721:IZ327730 SV327721:SV327730 ACR327721:ACR327730 AMN327721:AMN327730 AWJ327721:AWJ327730 BGF327721:BGF327730 BQB327721:BQB327730 BZX327721:BZX327730 CJT327721:CJT327730 CTP327721:CTP327730 DDL327721:DDL327730 DNH327721:DNH327730 DXD327721:DXD327730 EGZ327721:EGZ327730 EQV327721:EQV327730 FAR327721:FAR327730 FKN327721:FKN327730 FUJ327721:FUJ327730 GEF327721:GEF327730 GOB327721:GOB327730 GXX327721:GXX327730 HHT327721:HHT327730 HRP327721:HRP327730 IBL327721:IBL327730 ILH327721:ILH327730 IVD327721:IVD327730 JEZ327721:JEZ327730 JOV327721:JOV327730 JYR327721:JYR327730 KIN327721:KIN327730 KSJ327721:KSJ327730 LCF327721:LCF327730 LMB327721:LMB327730 LVX327721:LVX327730 MFT327721:MFT327730 MPP327721:MPP327730 MZL327721:MZL327730 NJH327721:NJH327730 NTD327721:NTD327730 OCZ327721:OCZ327730 OMV327721:OMV327730 OWR327721:OWR327730 PGN327721:PGN327730 PQJ327721:PQJ327730 QAF327721:QAF327730 QKB327721:QKB327730 QTX327721:QTX327730 RDT327721:RDT327730 RNP327721:RNP327730 RXL327721:RXL327730 SHH327721:SHH327730 SRD327721:SRD327730 TAZ327721:TAZ327730 TKV327721:TKV327730 TUR327721:TUR327730 UEN327721:UEN327730 UOJ327721:UOJ327730 UYF327721:UYF327730 VIB327721:VIB327730 VRX327721:VRX327730 WBT327721:WBT327730 WLP327721:WLP327730 WVL327721:WVL327730 E393255:E393264 IZ393257:IZ393266 SV393257:SV393266 ACR393257:ACR393266 AMN393257:AMN393266 AWJ393257:AWJ393266 BGF393257:BGF393266 BQB393257:BQB393266 BZX393257:BZX393266 CJT393257:CJT393266 CTP393257:CTP393266 DDL393257:DDL393266 DNH393257:DNH393266 DXD393257:DXD393266 EGZ393257:EGZ393266 EQV393257:EQV393266 FAR393257:FAR393266 FKN393257:FKN393266 FUJ393257:FUJ393266 GEF393257:GEF393266 GOB393257:GOB393266 GXX393257:GXX393266 HHT393257:HHT393266 HRP393257:HRP393266 IBL393257:IBL393266 ILH393257:ILH393266 IVD393257:IVD393266 JEZ393257:JEZ393266 JOV393257:JOV393266 JYR393257:JYR393266 KIN393257:KIN393266 KSJ393257:KSJ393266 LCF393257:LCF393266 LMB393257:LMB393266 LVX393257:LVX393266 MFT393257:MFT393266 MPP393257:MPP393266 MZL393257:MZL393266 NJH393257:NJH393266 NTD393257:NTD393266 OCZ393257:OCZ393266 OMV393257:OMV393266 OWR393257:OWR393266 PGN393257:PGN393266 PQJ393257:PQJ393266 QAF393257:QAF393266 QKB393257:QKB393266 QTX393257:QTX393266 RDT393257:RDT393266 RNP393257:RNP393266 RXL393257:RXL393266 SHH393257:SHH393266 SRD393257:SRD393266 TAZ393257:TAZ393266 TKV393257:TKV393266 TUR393257:TUR393266 UEN393257:UEN393266 UOJ393257:UOJ393266 UYF393257:UYF393266 VIB393257:VIB393266 VRX393257:VRX393266 WBT393257:WBT393266 WLP393257:WLP393266 WVL393257:WVL393266 E458791:E458800 IZ458793:IZ458802 SV458793:SV458802 ACR458793:ACR458802 AMN458793:AMN458802 AWJ458793:AWJ458802 BGF458793:BGF458802 BQB458793:BQB458802 BZX458793:BZX458802 CJT458793:CJT458802 CTP458793:CTP458802 DDL458793:DDL458802 DNH458793:DNH458802 DXD458793:DXD458802 EGZ458793:EGZ458802 EQV458793:EQV458802 FAR458793:FAR458802 FKN458793:FKN458802 FUJ458793:FUJ458802 GEF458793:GEF458802 GOB458793:GOB458802 GXX458793:GXX458802 HHT458793:HHT458802 HRP458793:HRP458802 IBL458793:IBL458802 ILH458793:ILH458802 IVD458793:IVD458802 JEZ458793:JEZ458802 JOV458793:JOV458802 JYR458793:JYR458802 KIN458793:KIN458802 KSJ458793:KSJ458802 LCF458793:LCF458802 LMB458793:LMB458802 LVX458793:LVX458802 MFT458793:MFT458802 MPP458793:MPP458802 MZL458793:MZL458802 NJH458793:NJH458802 NTD458793:NTD458802 OCZ458793:OCZ458802 OMV458793:OMV458802 OWR458793:OWR458802 PGN458793:PGN458802 PQJ458793:PQJ458802 QAF458793:QAF458802 QKB458793:QKB458802 QTX458793:QTX458802 RDT458793:RDT458802 RNP458793:RNP458802 RXL458793:RXL458802 SHH458793:SHH458802 SRD458793:SRD458802 TAZ458793:TAZ458802 TKV458793:TKV458802 TUR458793:TUR458802 UEN458793:UEN458802 UOJ458793:UOJ458802 UYF458793:UYF458802 VIB458793:VIB458802 VRX458793:VRX458802 WBT458793:WBT458802 WLP458793:WLP458802 WVL458793:WVL458802 E524327:E524336 IZ524329:IZ524338 SV524329:SV524338 ACR524329:ACR524338 AMN524329:AMN524338 AWJ524329:AWJ524338 BGF524329:BGF524338 BQB524329:BQB524338 BZX524329:BZX524338 CJT524329:CJT524338 CTP524329:CTP524338 DDL524329:DDL524338 DNH524329:DNH524338 DXD524329:DXD524338 EGZ524329:EGZ524338 EQV524329:EQV524338 FAR524329:FAR524338 FKN524329:FKN524338 FUJ524329:FUJ524338 GEF524329:GEF524338 GOB524329:GOB524338 GXX524329:GXX524338 HHT524329:HHT524338 HRP524329:HRP524338 IBL524329:IBL524338 ILH524329:ILH524338 IVD524329:IVD524338 JEZ524329:JEZ524338 JOV524329:JOV524338 JYR524329:JYR524338 KIN524329:KIN524338 KSJ524329:KSJ524338 LCF524329:LCF524338 LMB524329:LMB524338 LVX524329:LVX524338 MFT524329:MFT524338 MPP524329:MPP524338 MZL524329:MZL524338 NJH524329:NJH524338 NTD524329:NTD524338 OCZ524329:OCZ524338 OMV524329:OMV524338 OWR524329:OWR524338 PGN524329:PGN524338 PQJ524329:PQJ524338 QAF524329:QAF524338 QKB524329:QKB524338 QTX524329:QTX524338 RDT524329:RDT524338 RNP524329:RNP524338 RXL524329:RXL524338 SHH524329:SHH524338 SRD524329:SRD524338 TAZ524329:TAZ524338 TKV524329:TKV524338 TUR524329:TUR524338 UEN524329:UEN524338 UOJ524329:UOJ524338 UYF524329:UYF524338 VIB524329:VIB524338 VRX524329:VRX524338 WBT524329:WBT524338 WLP524329:WLP524338 WVL524329:WVL524338 E589863:E589872 IZ589865:IZ589874 SV589865:SV589874 ACR589865:ACR589874 AMN589865:AMN589874 AWJ589865:AWJ589874 BGF589865:BGF589874 BQB589865:BQB589874 BZX589865:BZX589874 CJT589865:CJT589874 CTP589865:CTP589874 DDL589865:DDL589874 DNH589865:DNH589874 DXD589865:DXD589874 EGZ589865:EGZ589874 EQV589865:EQV589874 FAR589865:FAR589874 FKN589865:FKN589874 FUJ589865:FUJ589874 GEF589865:GEF589874 GOB589865:GOB589874 GXX589865:GXX589874 HHT589865:HHT589874 HRP589865:HRP589874 IBL589865:IBL589874 ILH589865:ILH589874 IVD589865:IVD589874 JEZ589865:JEZ589874 JOV589865:JOV589874 JYR589865:JYR589874 KIN589865:KIN589874 KSJ589865:KSJ589874 LCF589865:LCF589874 LMB589865:LMB589874 LVX589865:LVX589874 MFT589865:MFT589874 MPP589865:MPP589874 MZL589865:MZL589874 NJH589865:NJH589874 NTD589865:NTD589874 OCZ589865:OCZ589874 OMV589865:OMV589874 OWR589865:OWR589874 PGN589865:PGN589874 PQJ589865:PQJ589874 QAF589865:QAF589874 QKB589865:QKB589874 QTX589865:QTX589874 RDT589865:RDT589874 RNP589865:RNP589874 RXL589865:RXL589874 SHH589865:SHH589874 SRD589865:SRD589874 TAZ589865:TAZ589874 TKV589865:TKV589874 TUR589865:TUR589874 UEN589865:UEN589874 UOJ589865:UOJ589874 UYF589865:UYF589874 VIB589865:VIB589874 VRX589865:VRX589874 WBT589865:WBT589874 WLP589865:WLP589874 WVL589865:WVL589874 E655399:E655408 IZ655401:IZ655410 SV655401:SV655410 ACR655401:ACR655410 AMN655401:AMN655410 AWJ655401:AWJ655410 BGF655401:BGF655410 BQB655401:BQB655410 BZX655401:BZX655410 CJT655401:CJT655410 CTP655401:CTP655410 DDL655401:DDL655410 DNH655401:DNH655410 DXD655401:DXD655410 EGZ655401:EGZ655410 EQV655401:EQV655410 FAR655401:FAR655410 FKN655401:FKN655410 FUJ655401:FUJ655410 GEF655401:GEF655410 GOB655401:GOB655410 GXX655401:GXX655410 HHT655401:HHT655410 HRP655401:HRP655410 IBL655401:IBL655410 ILH655401:ILH655410 IVD655401:IVD655410 JEZ655401:JEZ655410 JOV655401:JOV655410 JYR655401:JYR655410 KIN655401:KIN655410 KSJ655401:KSJ655410 LCF655401:LCF655410 LMB655401:LMB655410 LVX655401:LVX655410 MFT655401:MFT655410 MPP655401:MPP655410 MZL655401:MZL655410 NJH655401:NJH655410 NTD655401:NTD655410 OCZ655401:OCZ655410 OMV655401:OMV655410 OWR655401:OWR655410 PGN655401:PGN655410 PQJ655401:PQJ655410 QAF655401:QAF655410 QKB655401:QKB655410 QTX655401:QTX655410 RDT655401:RDT655410 RNP655401:RNP655410 RXL655401:RXL655410 SHH655401:SHH655410 SRD655401:SRD655410 TAZ655401:TAZ655410 TKV655401:TKV655410 TUR655401:TUR655410 UEN655401:UEN655410 UOJ655401:UOJ655410 UYF655401:UYF655410 VIB655401:VIB655410 VRX655401:VRX655410 WBT655401:WBT655410 WLP655401:WLP655410 WVL655401:WVL655410 E720935:E720944 IZ720937:IZ720946 SV720937:SV720946 ACR720937:ACR720946 AMN720937:AMN720946 AWJ720937:AWJ720946 BGF720937:BGF720946 BQB720937:BQB720946 BZX720937:BZX720946 CJT720937:CJT720946 CTP720937:CTP720946 DDL720937:DDL720946 DNH720937:DNH720946 DXD720937:DXD720946 EGZ720937:EGZ720946 EQV720937:EQV720946 FAR720937:FAR720946 FKN720937:FKN720946 FUJ720937:FUJ720946 GEF720937:GEF720946 GOB720937:GOB720946 GXX720937:GXX720946 HHT720937:HHT720946 HRP720937:HRP720946 IBL720937:IBL720946 ILH720937:ILH720946 IVD720937:IVD720946 JEZ720937:JEZ720946 JOV720937:JOV720946 JYR720937:JYR720946 KIN720937:KIN720946 KSJ720937:KSJ720946 LCF720937:LCF720946 LMB720937:LMB720946 LVX720937:LVX720946 MFT720937:MFT720946 MPP720937:MPP720946 MZL720937:MZL720946 NJH720937:NJH720946 NTD720937:NTD720946 OCZ720937:OCZ720946 OMV720937:OMV720946 OWR720937:OWR720946 PGN720937:PGN720946 PQJ720937:PQJ720946 QAF720937:QAF720946 QKB720937:QKB720946 QTX720937:QTX720946 RDT720937:RDT720946 RNP720937:RNP720946 RXL720937:RXL720946 SHH720937:SHH720946 SRD720937:SRD720946 TAZ720937:TAZ720946 TKV720937:TKV720946 TUR720937:TUR720946 UEN720937:UEN720946 UOJ720937:UOJ720946 UYF720937:UYF720946 VIB720937:VIB720946 VRX720937:VRX720946 WBT720937:WBT720946 WLP720937:WLP720946 WVL720937:WVL720946 E786471:E786480 IZ786473:IZ786482 SV786473:SV786482 ACR786473:ACR786482 AMN786473:AMN786482 AWJ786473:AWJ786482 BGF786473:BGF786482 BQB786473:BQB786482 BZX786473:BZX786482 CJT786473:CJT786482 CTP786473:CTP786482 DDL786473:DDL786482 DNH786473:DNH786482 DXD786473:DXD786482 EGZ786473:EGZ786482 EQV786473:EQV786482 FAR786473:FAR786482 FKN786473:FKN786482 FUJ786473:FUJ786482 GEF786473:GEF786482 GOB786473:GOB786482 GXX786473:GXX786482 HHT786473:HHT786482 HRP786473:HRP786482 IBL786473:IBL786482 ILH786473:ILH786482 IVD786473:IVD786482 JEZ786473:JEZ786482 JOV786473:JOV786482 JYR786473:JYR786482 KIN786473:KIN786482 KSJ786473:KSJ786482 LCF786473:LCF786482 LMB786473:LMB786482 LVX786473:LVX786482 MFT786473:MFT786482 MPP786473:MPP786482 MZL786473:MZL786482 NJH786473:NJH786482 NTD786473:NTD786482 OCZ786473:OCZ786482 OMV786473:OMV786482 OWR786473:OWR786482 PGN786473:PGN786482 PQJ786473:PQJ786482 QAF786473:QAF786482 QKB786473:QKB786482 QTX786473:QTX786482 RDT786473:RDT786482 RNP786473:RNP786482 RXL786473:RXL786482 SHH786473:SHH786482 SRD786473:SRD786482 TAZ786473:TAZ786482 TKV786473:TKV786482 TUR786473:TUR786482 UEN786473:UEN786482 UOJ786473:UOJ786482 UYF786473:UYF786482 VIB786473:VIB786482 VRX786473:VRX786482 WBT786473:WBT786482 WLP786473:WLP786482 WVL786473:WVL786482 E852007:E852016 IZ852009:IZ852018 SV852009:SV852018 ACR852009:ACR852018 AMN852009:AMN852018 AWJ852009:AWJ852018 BGF852009:BGF852018 BQB852009:BQB852018 BZX852009:BZX852018 CJT852009:CJT852018 CTP852009:CTP852018 DDL852009:DDL852018 DNH852009:DNH852018 DXD852009:DXD852018 EGZ852009:EGZ852018 EQV852009:EQV852018 FAR852009:FAR852018 FKN852009:FKN852018 FUJ852009:FUJ852018 GEF852009:GEF852018 GOB852009:GOB852018 GXX852009:GXX852018 HHT852009:HHT852018 HRP852009:HRP852018 IBL852009:IBL852018 ILH852009:ILH852018 IVD852009:IVD852018 JEZ852009:JEZ852018 JOV852009:JOV852018 JYR852009:JYR852018 KIN852009:KIN852018 KSJ852009:KSJ852018 LCF852009:LCF852018 LMB852009:LMB852018 LVX852009:LVX852018 MFT852009:MFT852018 MPP852009:MPP852018 MZL852009:MZL852018 NJH852009:NJH852018 NTD852009:NTD852018 OCZ852009:OCZ852018 OMV852009:OMV852018 OWR852009:OWR852018 PGN852009:PGN852018 PQJ852009:PQJ852018 QAF852009:QAF852018 QKB852009:QKB852018 QTX852009:QTX852018 RDT852009:RDT852018 RNP852009:RNP852018 RXL852009:RXL852018 SHH852009:SHH852018 SRD852009:SRD852018 TAZ852009:TAZ852018 TKV852009:TKV852018 TUR852009:TUR852018 UEN852009:UEN852018 UOJ852009:UOJ852018 UYF852009:UYF852018 VIB852009:VIB852018 VRX852009:VRX852018 WBT852009:WBT852018 WLP852009:WLP852018 WVL852009:WVL852018 E917543:E917552 IZ917545:IZ917554 SV917545:SV917554 ACR917545:ACR917554 AMN917545:AMN917554 AWJ917545:AWJ917554 BGF917545:BGF917554 BQB917545:BQB917554 BZX917545:BZX917554 CJT917545:CJT917554 CTP917545:CTP917554 DDL917545:DDL917554 DNH917545:DNH917554 DXD917545:DXD917554 EGZ917545:EGZ917554 EQV917545:EQV917554 FAR917545:FAR917554 FKN917545:FKN917554 FUJ917545:FUJ917554 GEF917545:GEF917554 GOB917545:GOB917554 GXX917545:GXX917554 HHT917545:HHT917554 HRP917545:HRP917554 IBL917545:IBL917554 ILH917545:ILH917554 IVD917545:IVD917554 JEZ917545:JEZ917554 JOV917545:JOV917554 JYR917545:JYR917554 KIN917545:KIN917554 KSJ917545:KSJ917554 LCF917545:LCF917554 LMB917545:LMB917554 LVX917545:LVX917554 MFT917545:MFT917554 MPP917545:MPP917554 MZL917545:MZL917554 NJH917545:NJH917554 NTD917545:NTD917554 OCZ917545:OCZ917554 OMV917545:OMV917554 OWR917545:OWR917554 PGN917545:PGN917554 PQJ917545:PQJ917554 QAF917545:QAF917554 QKB917545:QKB917554 QTX917545:QTX917554 RDT917545:RDT917554 RNP917545:RNP917554 RXL917545:RXL917554 SHH917545:SHH917554 SRD917545:SRD917554 TAZ917545:TAZ917554 TKV917545:TKV917554 TUR917545:TUR917554 UEN917545:UEN917554 UOJ917545:UOJ917554 UYF917545:UYF917554 VIB917545:VIB917554 VRX917545:VRX917554 WBT917545:WBT917554 WLP917545:WLP917554 WVL917545:WVL917554 E983079:E983088 IZ983081:IZ983090 SV983081:SV983090 ACR983081:ACR983090 AMN983081:AMN983090 AWJ983081:AWJ983090 BGF983081:BGF983090 BQB983081:BQB983090 BZX983081:BZX983090 CJT983081:CJT983090 CTP983081:CTP983090 DDL983081:DDL983090 DNH983081:DNH983090 DXD983081:DXD983090 EGZ983081:EGZ983090 EQV983081:EQV983090 FAR983081:FAR983090 FKN983081:FKN983090 FUJ983081:FUJ983090 GEF983081:GEF983090 GOB983081:GOB983090 GXX983081:GXX983090 HHT983081:HHT983090 HRP983081:HRP983090 IBL983081:IBL983090 ILH983081:ILH983090 IVD983081:IVD983090 JEZ983081:JEZ983090 JOV983081:JOV983090 JYR983081:JYR983090 KIN983081:KIN983090 KSJ983081:KSJ983090 LCF983081:LCF983090 LMB983081:LMB983090 LVX983081:LVX983090 MFT983081:MFT983090 MPP983081:MPP983090 MZL983081:MZL983090 NJH983081:NJH983090 NTD983081:NTD983090 OCZ983081:OCZ983090 OMV983081:OMV983090 OWR983081:OWR983090 PGN983081:PGN983090 PQJ983081:PQJ983090 QAF983081:QAF983090 QKB983081:QKB983090 QTX983081:QTX983090 RDT983081:RDT983090 RNP983081:RNP983090 RXL983081:RXL983090 SHH983081:SHH983090 SRD983081:SRD983090 TAZ983081:TAZ983090 TKV983081:TKV983090 TUR983081:TUR983090 UEN983081:UEN983090 UOJ983081:UOJ983090 UYF983081:UYF983090 VIB983081:VIB983090 VRX983081:VRX983090 IZ42:IZ56 SV42:SV56 ACR42:ACR56 AMN42:AMN56 AWJ42:AWJ56 BGF42:BGF56 BQB42:BQB56 BZX42:BZX56 CJT42:CJT56 CTP42:CTP56 DDL42:DDL56 DNH42:DNH56 DXD42:DXD56 EGZ42:EGZ56 EQV42:EQV56 FAR42:FAR56 FKN42:FKN56 FUJ42:FUJ56 GEF42:GEF56 GOB42:GOB56 GXX42:GXX56 HHT42:HHT56 HRP42:HRP56 IBL42:IBL56 ILH42:ILH56 IVD42:IVD56 JEZ42:JEZ56 JOV42:JOV56 JYR42:JYR56 KIN42:KIN56 KSJ42:KSJ56 LCF42:LCF56 LMB42:LMB56 LVX42:LVX56 MFT42:MFT56 MPP42:MPP56 MZL42:MZL56 NJH42:NJH56 NTD42:NTD56 OCZ42:OCZ56 OMV42:OMV56 OWR42:OWR56 PGN42:PGN56 PQJ42:PQJ56 QAF42:QAF56 QKB42:QKB56 QTX42:QTX56 RDT42:RDT56 RNP42:RNP56 RXL42:RXL56 SHH42:SHH56 SRD42:SRD56 TAZ42:TAZ56 TKV42:TKV56 TUR42:TUR56 UEN42:UEN56 UOJ42:UOJ56 UYF42:UYF56 VIB42:VIB56 VRX42:VRX56 WBT42:WBT56 WLP42:WLP56 WVL42:WVL56" xr:uid="{00000000-0002-0000-2A00-00000C000000}">
      <formula1>"　,あり,なし"</formula1>
    </dataValidation>
    <dataValidation type="list" errorStyle="warning" showInputMessage="1" showErrorMessage="1" sqref="F58" xr:uid="{6857F001-54E0-45E8-9C32-8077FE5893F7}">
      <formula1>$Y$5:$Y$15</formula1>
    </dataValidation>
    <dataValidation type="list" errorStyle="warning" allowBlank="1" showInputMessage="1" showErrorMessage="1" sqref="I33:I34" xr:uid="{00000000-0002-0000-2A00-00000A000000}">
      <formula1>"　,あり,なし"</formula1>
    </dataValidation>
    <dataValidation errorStyle="warning" showInputMessage="1" showErrorMessage="1" sqref="E35:E38" xr:uid="{D11058BB-088F-403B-A231-57656CA6123E}"/>
    <dataValidation type="list" errorStyle="warning" allowBlank="1" showInputMessage="1" showErrorMessage="1" sqref="E40" xr:uid="{C2F33FB5-44E3-4532-B969-39F31D520DAA}">
      <formula1>$R$5:$R$7</formula1>
    </dataValidation>
    <dataValidation errorStyle="warning" allowBlank="1" showInputMessage="1" showErrorMessage="1" sqref="I35:I38" xr:uid="{BAACE44C-7C05-4201-9891-86BF09499EBB}"/>
  </dataValidations>
  <pageMargins left="0.7" right="0.7" top="0.75" bottom="0.75" header="0.3" footer="0.3"/>
  <pageSetup paperSize="9" scale="55"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4470D-6684-4969-BD51-FB07A472BD7C}">
  <sheetPr>
    <tabColor theme="1"/>
  </sheetPr>
  <dimension ref="A1"/>
  <sheetViews>
    <sheetView workbookViewId="0">
      <selection activeCell="R34" sqref="R34"/>
    </sheetView>
  </sheetViews>
  <sheetFormatPr defaultRowHeight="13.5"/>
  <sheetData/>
  <sheetProtection algorithmName="SHA-512" hashValue="3VaJ0NcfrBmd2GWyncmZcJ/q5/taCegtyTX5Owrl5FOHvA/cmW2kPrvVbvg4+xHVHxKLzpOzbVEEKWXqRhlc4A==" saltValue="3yD6TEXQOt7bA/fOestzqA==" spinCount="100000" sheet="1" objects="1" scenarios="1"/>
  <phoneticPr fontId="60"/>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theme="6" tint="0.59999389629810485"/>
    <pageSetUpPr fitToPage="1"/>
  </sheetPr>
  <dimension ref="A1:AE66"/>
  <sheetViews>
    <sheetView view="pageBreakPreview" zoomScale="55" zoomScaleNormal="70" zoomScaleSheetLayoutView="55" workbookViewId="0">
      <selection activeCell="E18" sqref="E18"/>
    </sheetView>
  </sheetViews>
  <sheetFormatPr defaultColWidth="8.875" defaultRowHeight="17.25" outlineLevelCol="1"/>
  <cols>
    <col min="1" max="1" width="8.875" style="659"/>
    <col min="2" max="3" width="11.875" style="659" customWidth="1"/>
    <col min="4" max="8" width="15.75" style="659" customWidth="1"/>
    <col min="9" max="9" width="16.625" style="659" customWidth="1"/>
    <col min="10" max="16" width="15.75" style="659" customWidth="1"/>
    <col min="17" max="17" width="15.875" style="659" customWidth="1"/>
    <col min="18" max="20" width="15.625" style="659" hidden="1" customWidth="1" outlineLevel="1"/>
    <col min="21" max="30" width="8.875" style="659" hidden="1" customWidth="1" outlineLevel="1"/>
    <col min="31" max="31" width="8.875" style="659" collapsed="1"/>
    <col min="32" max="16384" width="8.875" style="659"/>
  </cols>
  <sheetData>
    <row r="1" spans="1:30" ht="20.100000000000001" customHeight="1" thickBot="1">
      <c r="A1" s="796" t="str">
        <f ca="1">RIGHT(CELL("filename",A2),LEN(CELL("filename",A2))-FIND("]",CELL("filename",A2)))</f>
        <v>入力（加算）A</v>
      </c>
      <c r="B1" s="658"/>
      <c r="C1" s="658"/>
      <c r="D1" s="658"/>
      <c r="E1" s="658"/>
      <c r="F1" s="658"/>
      <c r="G1" s="658"/>
      <c r="H1" s="658"/>
      <c r="I1" s="658"/>
      <c r="J1" s="658"/>
      <c r="K1" s="658"/>
      <c r="L1" s="658"/>
      <c r="M1" s="658"/>
      <c r="N1" s="1777" t="str">
        <f>CONCATENATE('入力（基本)'!G11)</f>
        <v/>
      </c>
      <c r="O1" s="1777"/>
      <c r="P1" s="1777"/>
      <c r="Q1" s="1777"/>
      <c r="W1" s="663" t="s">
        <v>134</v>
      </c>
      <c r="X1" s="795" t="s">
        <v>184</v>
      </c>
      <c r="Y1" s="662" t="s">
        <v>182</v>
      </c>
      <c r="Z1" s="662" t="s">
        <v>505</v>
      </c>
      <c r="AA1" s="663" t="s">
        <v>521</v>
      </c>
      <c r="AB1" s="663" t="s">
        <v>181</v>
      </c>
      <c r="AC1" s="874" t="s">
        <v>180</v>
      </c>
      <c r="AD1" s="663" t="s">
        <v>527</v>
      </c>
    </row>
    <row r="2" spans="1:30" ht="20.100000000000001" customHeight="1" thickBot="1">
      <c r="A2" s="1850" t="s">
        <v>869</v>
      </c>
      <c r="B2" s="1850"/>
      <c r="C2" s="1850"/>
      <c r="D2" s="1850"/>
      <c r="E2" s="1850"/>
      <c r="F2" s="1850"/>
      <c r="G2" s="1850"/>
      <c r="H2" s="1850"/>
      <c r="I2" s="1850"/>
      <c r="J2" s="1850"/>
      <c r="K2" s="1850"/>
      <c r="L2" s="1850"/>
      <c r="M2" s="1850"/>
      <c r="N2" s="1850"/>
      <c r="O2" s="1850"/>
      <c r="P2" s="1850"/>
      <c r="Q2" s="1850"/>
      <c r="W2" s="797"/>
      <c r="X2" s="798">
        <f>IF(ISERROR(VLOOKUP($D$9,$W$3:$X$14,2,FALSE)+1-VLOOKUP($D$8,$W$3:$X$14,2,FALSE)),0,VLOOKUP($D$9,$W$3:$X$14,2,FALSE)+1-VLOOKUP($D$8,$W$3:$X$14,2,FALSE))</f>
        <v>12</v>
      </c>
      <c r="Y2" s="662"/>
      <c r="Z2" s="662"/>
      <c r="AA2" s="663"/>
      <c r="AB2" s="663"/>
      <c r="AC2" s="874"/>
      <c r="AD2" s="875">
        <f>IF(K18="あり",VLOOKUP($D$7,小規模A!$B$26:$BF$27,56,TRUE),1)</f>
        <v>1</v>
      </c>
    </row>
    <row r="3" spans="1:30" ht="20.100000000000001" customHeight="1">
      <c r="A3" s="1850"/>
      <c r="B3" s="1850"/>
      <c r="C3" s="1850"/>
      <c r="D3" s="1850"/>
      <c r="E3" s="1850"/>
      <c r="F3" s="1850"/>
      <c r="G3" s="1850"/>
      <c r="H3" s="1850"/>
      <c r="I3" s="1850"/>
      <c r="J3" s="1850"/>
      <c r="K3" s="1850"/>
      <c r="L3" s="1850"/>
      <c r="M3" s="1850"/>
      <c r="N3" s="1850"/>
      <c r="O3" s="1850"/>
      <c r="P3" s="1850"/>
      <c r="Q3" s="1850"/>
      <c r="W3" s="660">
        <v>4</v>
      </c>
      <c r="X3" s="661">
        <v>1</v>
      </c>
      <c r="Y3" s="663" t="s">
        <v>18</v>
      </c>
      <c r="Z3" s="173" t="s">
        <v>189</v>
      </c>
      <c r="AA3" s="663" t="s">
        <v>519</v>
      </c>
      <c r="AB3" s="172">
        <v>3</v>
      </c>
      <c r="AC3" s="173">
        <v>6.3</v>
      </c>
    </row>
    <row r="4" spans="1:30" ht="42.75" customHeight="1">
      <c r="A4" s="658"/>
      <c r="B4" s="1718" t="s">
        <v>831</v>
      </c>
      <c r="C4" s="1718"/>
      <c r="D4" s="1718"/>
      <c r="E4" s="658"/>
      <c r="F4" s="973"/>
      <c r="G4" s="973"/>
      <c r="H4" s="973"/>
      <c r="I4" s="973"/>
      <c r="J4" s="973"/>
      <c r="K4" s="973"/>
      <c r="L4" s="973"/>
      <c r="M4" s="973"/>
      <c r="N4" s="973"/>
      <c r="O4" s="973"/>
      <c r="P4" s="973"/>
      <c r="Q4" s="973"/>
      <c r="W4" s="660">
        <v>5</v>
      </c>
      <c r="X4" s="661">
        <v>2</v>
      </c>
      <c r="Y4" s="663" t="s">
        <v>19</v>
      </c>
      <c r="Z4" s="173" t="s">
        <v>507</v>
      </c>
      <c r="AA4" s="663" t="s">
        <v>522</v>
      </c>
      <c r="AB4" s="172">
        <v>4</v>
      </c>
      <c r="AC4" s="173">
        <v>4.3</v>
      </c>
    </row>
    <row r="5" spans="1:30" ht="29.25" customHeight="1">
      <c r="A5" s="658"/>
      <c r="B5" s="1849" t="s">
        <v>3</v>
      </c>
      <c r="C5" s="1849"/>
      <c r="D5" s="1534"/>
      <c r="E5" s="1534"/>
      <c r="F5" s="973"/>
      <c r="G5" s="973"/>
      <c r="H5" s="973"/>
      <c r="I5" s="973"/>
      <c r="J5" s="973"/>
      <c r="K5" s="973"/>
      <c r="L5" s="973"/>
      <c r="M5" s="973"/>
      <c r="N5" s="973"/>
      <c r="O5" s="973"/>
      <c r="P5" s="973"/>
      <c r="Q5" s="973"/>
      <c r="W5" s="660">
        <v>6</v>
      </c>
      <c r="X5" s="661">
        <v>3</v>
      </c>
      <c r="Z5" s="175" t="s">
        <v>508</v>
      </c>
      <c r="AA5" s="663" t="s">
        <v>520</v>
      </c>
      <c r="AB5" s="174">
        <v>5</v>
      </c>
      <c r="AC5" s="175">
        <v>2.4</v>
      </c>
    </row>
    <row r="6" spans="1:30" ht="29.25" customHeight="1">
      <c r="A6" s="658"/>
      <c r="B6" s="1849" t="s">
        <v>4</v>
      </c>
      <c r="C6" s="1849"/>
      <c r="D6" s="1534" t="s">
        <v>161</v>
      </c>
      <c r="E6" s="1534"/>
      <c r="F6" s="973"/>
      <c r="G6" s="973"/>
      <c r="H6" s="973"/>
      <c r="I6" s="973"/>
      <c r="J6" s="973"/>
      <c r="K6" s="973"/>
      <c r="L6" s="973"/>
      <c r="M6" s="973"/>
      <c r="N6" s="973"/>
      <c r="O6" s="973"/>
      <c r="P6" s="973"/>
      <c r="Q6" s="973"/>
      <c r="W6" s="660">
        <v>7</v>
      </c>
      <c r="X6" s="661">
        <v>4</v>
      </c>
      <c r="Z6" s="175" t="s">
        <v>509</v>
      </c>
      <c r="AA6" s="175"/>
      <c r="AB6" s="172">
        <v>6</v>
      </c>
      <c r="AC6" s="173">
        <v>1.1000000000000001</v>
      </c>
    </row>
    <row r="7" spans="1:30" ht="29.25" customHeight="1">
      <c r="A7" s="658"/>
      <c r="B7" s="1141" t="s">
        <v>2</v>
      </c>
      <c r="C7" s="1141" t="s">
        <v>88</v>
      </c>
      <c r="D7" s="1594">
        <f>'入力（基本)'!G14</f>
        <v>0</v>
      </c>
      <c r="E7" s="1594"/>
      <c r="F7" s="973"/>
      <c r="G7" s="973"/>
      <c r="H7" s="973"/>
      <c r="I7" s="973"/>
      <c r="J7" s="973"/>
      <c r="K7" s="973"/>
      <c r="L7" s="973"/>
      <c r="M7" s="973"/>
      <c r="N7" s="973"/>
      <c r="O7" s="973"/>
      <c r="P7" s="973"/>
      <c r="Q7" s="973"/>
      <c r="W7" s="660">
        <v>8</v>
      </c>
      <c r="X7" s="661">
        <v>5</v>
      </c>
      <c r="Z7" s="175" t="s">
        <v>510</v>
      </c>
    </row>
    <row r="8" spans="1:30" ht="29.25" customHeight="1">
      <c r="A8" s="658"/>
      <c r="B8" s="1849" t="s">
        <v>134</v>
      </c>
      <c r="C8" s="1849"/>
      <c r="D8" s="1836">
        <v>4</v>
      </c>
      <c r="E8" s="1836"/>
      <c r="F8" s="973"/>
      <c r="G8" s="973"/>
      <c r="H8" s="973"/>
      <c r="I8" s="973"/>
      <c r="J8" s="973"/>
      <c r="K8" s="973"/>
      <c r="L8" s="973"/>
      <c r="M8" s="973"/>
      <c r="N8" s="973"/>
      <c r="O8" s="973"/>
      <c r="P8" s="973"/>
      <c r="Q8" s="973"/>
      <c r="W8" s="660">
        <v>9</v>
      </c>
      <c r="X8" s="661">
        <v>6</v>
      </c>
    </row>
    <row r="9" spans="1:30" ht="29.25" customHeight="1">
      <c r="A9" s="658"/>
      <c r="B9" s="1849" t="s">
        <v>223</v>
      </c>
      <c r="C9" s="1849"/>
      <c r="D9" s="1836">
        <v>3</v>
      </c>
      <c r="E9" s="1836"/>
      <c r="F9" s="973"/>
      <c r="G9" s="973"/>
      <c r="H9" s="973"/>
      <c r="I9" s="973"/>
      <c r="J9" s="973"/>
      <c r="K9" s="973"/>
      <c r="L9" s="973"/>
      <c r="M9" s="973"/>
      <c r="N9" s="973"/>
      <c r="O9" s="973"/>
      <c r="P9" s="973"/>
      <c r="Q9" s="973"/>
      <c r="W9" s="660">
        <v>10</v>
      </c>
      <c r="X9" s="661">
        <v>7</v>
      </c>
    </row>
    <row r="10" spans="1:30" ht="20.100000000000001" customHeight="1">
      <c r="A10" s="658"/>
      <c r="B10" s="403"/>
      <c r="C10" s="403"/>
      <c r="D10" s="876"/>
      <c r="E10" s="876"/>
      <c r="F10" s="973"/>
      <c r="G10" s="973"/>
      <c r="H10" s="973"/>
      <c r="I10" s="973"/>
      <c r="J10" s="973"/>
      <c r="K10" s="973"/>
      <c r="L10" s="973"/>
      <c r="M10" s="973"/>
      <c r="N10" s="973"/>
      <c r="O10" s="973"/>
      <c r="P10" s="973"/>
      <c r="Q10" s="973"/>
      <c r="W10" s="660">
        <v>11</v>
      </c>
      <c r="X10" s="661">
        <v>8</v>
      </c>
    </row>
    <row r="11" spans="1:30" ht="20.100000000000001" customHeight="1">
      <c r="A11" s="658"/>
      <c r="B11" s="403"/>
      <c r="C11" s="403"/>
      <c r="D11" s="876"/>
      <c r="E11" s="876"/>
      <c r="F11" s="973"/>
      <c r="G11" s="973"/>
      <c r="H11" s="973"/>
      <c r="I11" s="973"/>
      <c r="J11" s="973"/>
      <c r="K11" s="973"/>
      <c r="L11" s="973"/>
      <c r="M11" s="973"/>
      <c r="N11" s="973"/>
      <c r="O11" s="973"/>
      <c r="P11" s="973"/>
      <c r="Q11" s="973"/>
      <c r="W11" s="660">
        <v>12</v>
      </c>
      <c r="X11" s="661">
        <v>9</v>
      </c>
    </row>
    <row r="12" spans="1:30" ht="20.100000000000001" customHeight="1">
      <c r="A12" s="658"/>
      <c r="B12" s="403"/>
      <c r="C12" s="403"/>
      <c r="D12" s="876"/>
      <c r="E12" s="876"/>
      <c r="F12" s="973"/>
      <c r="G12" s="973"/>
      <c r="H12" s="973"/>
      <c r="I12" s="973"/>
      <c r="J12" s="973"/>
      <c r="K12" s="973"/>
      <c r="L12" s="973"/>
      <c r="M12" s="973"/>
      <c r="N12" s="973"/>
      <c r="O12" s="973"/>
      <c r="P12" s="973"/>
      <c r="Q12" s="973"/>
      <c r="W12" s="660">
        <v>1</v>
      </c>
      <c r="X12" s="661">
        <v>10</v>
      </c>
    </row>
    <row r="13" spans="1:30" ht="20.100000000000001" customHeight="1">
      <c r="A13" s="658"/>
      <c r="B13" s="403"/>
      <c r="C13" s="403"/>
      <c r="D13" s="876"/>
      <c r="E13" s="876"/>
      <c r="F13" s="973"/>
      <c r="G13" s="973"/>
      <c r="H13" s="973"/>
      <c r="I13" s="973"/>
      <c r="J13" s="973"/>
      <c r="K13" s="973"/>
      <c r="L13" s="973"/>
      <c r="M13" s="973"/>
      <c r="N13" s="973"/>
      <c r="O13" s="973"/>
      <c r="P13" s="973"/>
      <c r="Q13" s="973"/>
      <c r="W13" s="660">
        <v>2</v>
      </c>
      <c r="X13" s="661">
        <v>11</v>
      </c>
    </row>
    <row r="14" spans="1:30">
      <c r="A14" s="658"/>
      <c r="B14" s="403"/>
      <c r="C14" s="403"/>
      <c r="D14" s="876"/>
      <c r="E14" s="876"/>
      <c r="F14" s="973"/>
      <c r="G14" s="973"/>
      <c r="H14" s="973"/>
      <c r="I14" s="973"/>
      <c r="J14" s="973"/>
      <c r="K14" s="973"/>
      <c r="L14" s="973"/>
      <c r="M14" s="973"/>
      <c r="N14" s="973"/>
      <c r="O14" s="973"/>
      <c r="P14" s="973"/>
      <c r="Q14" s="973"/>
      <c r="W14" s="660">
        <v>3</v>
      </c>
      <c r="X14" s="661">
        <v>12</v>
      </c>
    </row>
    <row r="15" spans="1:30">
      <c r="A15" s="658"/>
      <c r="B15" s="658"/>
      <c r="C15" s="658"/>
      <c r="D15" s="658"/>
      <c r="E15" s="658"/>
      <c r="F15" s="375"/>
      <c r="G15" s="810"/>
      <c r="H15" s="810"/>
      <c r="I15" s="375"/>
      <c r="J15" s="375"/>
      <c r="K15" s="375"/>
      <c r="L15" s="375"/>
      <c r="M15" s="658"/>
      <c r="N15" s="658"/>
      <c r="O15" s="658"/>
      <c r="P15" s="658"/>
      <c r="Q15" s="658"/>
    </row>
    <row r="16" spans="1:30" ht="21">
      <c r="A16" s="658"/>
      <c r="B16" s="1734" t="s">
        <v>121</v>
      </c>
      <c r="C16" s="1734"/>
      <c r="D16" s="404" t="s">
        <v>538</v>
      </c>
      <c r="E16" s="405"/>
      <c r="F16" s="405"/>
      <c r="G16" s="405"/>
      <c r="H16" s="404" t="s">
        <v>228</v>
      </c>
      <c r="I16" s="405"/>
      <c r="J16" s="406"/>
      <c r="K16" s="407" t="s">
        <v>229</v>
      </c>
      <c r="L16" s="726" t="s">
        <v>230</v>
      </c>
      <c r="M16" s="375"/>
      <c r="N16" s="375"/>
      <c r="O16" s="375"/>
      <c r="P16" s="375"/>
      <c r="Q16" s="375"/>
    </row>
    <row r="17" spans="1:25" ht="127.5" customHeight="1">
      <c r="A17" s="658"/>
      <c r="B17" s="1534" t="s">
        <v>103</v>
      </c>
      <c r="C17" s="1534"/>
      <c r="D17" s="188" t="s">
        <v>9</v>
      </c>
      <c r="E17" s="188" t="s">
        <v>530</v>
      </c>
      <c r="F17" s="963" t="s">
        <v>131</v>
      </c>
      <c r="G17" s="188" t="s">
        <v>94</v>
      </c>
      <c r="H17" s="188" t="s">
        <v>105</v>
      </c>
      <c r="I17" s="188" t="s">
        <v>532</v>
      </c>
      <c r="J17" s="188" t="s">
        <v>433</v>
      </c>
      <c r="K17" s="188" t="s">
        <v>518</v>
      </c>
      <c r="L17" s="402" t="s">
        <v>511</v>
      </c>
      <c r="M17" s="229"/>
      <c r="N17" s="724"/>
      <c r="O17" s="403"/>
      <c r="P17" s="403"/>
      <c r="Q17" s="658"/>
    </row>
    <row r="18" spans="1:25" ht="41.25" customHeight="1">
      <c r="A18" s="658"/>
      <c r="B18" s="1534"/>
      <c r="C18" s="1534"/>
      <c r="D18" s="715" t="s">
        <v>119</v>
      </c>
      <c r="E18" s="185"/>
      <c r="F18" s="655"/>
      <c r="G18" s="656"/>
      <c r="H18" s="185"/>
      <c r="I18" s="185"/>
      <c r="J18" s="185"/>
      <c r="K18" s="185"/>
      <c r="L18" s="185"/>
      <c r="M18" s="375"/>
      <c r="N18" s="813"/>
      <c r="O18" s="813"/>
      <c r="P18" s="813"/>
      <c r="Q18" s="813"/>
    </row>
    <row r="19" spans="1:25" ht="20.100000000000001" customHeight="1">
      <c r="A19" s="658"/>
      <c r="B19" s="403"/>
      <c r="C19" s="403"/>
      <c r="D19" s="403"/>
      <c r="E19" s="403"/>
      <c r="F19" s="403"/>
      <c r="G19" s="403"/>
      <c r="H19" s="403"/>
      <c r="I19" s="403"/>
      <c r="J19" s="403"/>
      <c r="K19" s="403"/>
      <c r="L19" s="403"/>
      <c r="M19" s="403"/>
      <c r="N19" s="403"/>
      <c r="O19" s="658"/>
      <c r="P19" s="658"/>
      <c r="Q19" s="403"/>
    </row>
    <row r="20" spans="1:25" ht="36" customHeight="1">
      <c r="A20" s="658"/>
      <c r="B20" s="877" t="s">
        <v>773</v>
      </c>
      <c r="C20" s="877"/>
      <c r="D20" s="877"/>
      <c r="E20" s="877"/>
      <c r="F20" s="878"/>
      <c r="G20" s="375"/>
      <c r="H20" s="375"/>
      <c r="I20" s="658"/>
      <c r="J20" s="658"/>
      <c r="K20" s="658"/>
      <c r="L20" s="658"/>
      <c r="M20" s="375"/>
      <c r="N20" s="375"/>
      <c r="O20" s="375"/>
      <c r="P20" s="658"/>
      <c r="Q20" s="658"/>
    </row>
    <row r="21" spans="1:25" ht="36" customHeight="1">
      <c r="A21" s="658"/>
      <c r="B21" s="1857" t="s">
        <v>99</v>
      </c>
      <c r="C21" s="1858"/>
      <c r="D21" s="715" t="str">
        <f>IF(AND(VLOOKUP($D$8,$W$3:$X$14,2,FALSE)&lt;=1,VLOOKUP($D$9,$W$3:$X$14,2,FALSE)&gt;=1),"4月","")</f>
        <v>4月</v>
      </c>
      <c r="E21" s="715" t="str">
        <f>IF(AND(VLOOKUP($D$8,$W$3:$X$14,2,FALSE)&lt;=2,VLOOKUP($D$9,$W$3:$X$14,2,FALSE)&gt;=2),"5月","")</f>
        <v>5月</v>
      </c>
      <c r="F21" s="715" t="str">
        <f>IF(AND(VLOOKUP($D$8,$W$3:$X$14,2,FALSE)&lt;=3,VLOOKUP($D$9,$W$3:$X$14,2,FALSE)&gt;=3),"6月","")</f>
        <v>6月</v>
      </c>
      <c r="G21" s="715" t="str">
        <f>IF(AND(VLOOKUP($D$8,$W$3:$X$14,2,FALSE)&lt;=4,VLOOKUP($D$9,$W$3:$X$14,2,FALSE)&gt;=4),"7月","")</f>
        <v>7月</v>
      </c>
      <c r="H21" s="715" t="str">
        <f>IF(AND(VLOOKUP($D$8,$W$3:$X$14,2,FALSE)&lt;=5,VLOOKUP($D$9,$W$3:$X$14,2,FALSE)&gt;=5),"8月","")</f>
        <v>8月</v>
      </c>
      <c r="I21" s="715" t="str">
        <f>IF(AND(VLOOKUP($D$8,$W$3:$X$14,2,FALSE)&lt;=6,VLOOKUP($D$9,$W$3:$X$14,2,FALSE)&gt;=6),"9月","")</f>
        <v>9月</v>
      </c>
      <c r="J21" s="715" t="str">
        <f>IF(AND(VLOOKUP($D$8,$W$3:$X$14,2,FALSE)&lt;=7,VLOOKUP($D$9,$W$3:$X$14,2,FALSE)&gt;=7),"10月","")</f>
        <v>10月</v>
      </c>
      <c r="K21" s="715" t="str">
        <f>IF(AND(VLOOKUP($D$8,$W$3:$X$14,2,FALSE)&lt;=8,VLOOKUP($D$9,$W$3:$X$14,2,FALSE)&gt;=8),"11月","")</f>
        <v>11月</v>
      </c>
      <c r="L21" s="715" t="str">
        <f>IF(AND(VLOOKUP($D$8,$W$3:$X$14,2,FALSE)&lt;=9,VLOOKUP($D$9,$W$3:$X$14,2,FALSE)&gt;=9),"12月","")</f>
        <v>12月</v>
      </c>
      <c r="M21" s="715" t="str">
        <f>IF(AND(VLOOKUP($D$8,$W$3:$X$14,2,FALSE)&lt;=10,VLOOKUP($D$9,$W$3:$X$14,2,FALSE)&gt;=10),"1月","")</f>
        <v>1月</v>
      </c>
      <c r="N21" s="715" t="str">
        <f>IF(AND(VLOOKUP($D$8,$W$3:$X$14,2,FALSE)&lt;=11,VLOOKUP($D$9,$W$3:$X$14,2,FALSE)&gt;=11),"2月","")</f>
        <v>2月</v>
      </c>
      <c r="O21" s="715" t="str">
        <f>IF(AND(VLOOKUP($D$8,$W$3:$X$14,2,FALSE)&lt;=12,VLOOKUP($D$9,$W$3:$X$14,2,FALSE)&gt;=12),"3月","")</f>
        <v>3月</v>
      </c>
      <c r="P21" s="715" t="s">
        <v>86</v>
      </c>
      <c r="Q21" s="715" t="s">
        <v>1</v>
      </c>
    </row>
    <row r="22" spans="1:25" ht="36" customHeight="1">
      <c r="A22" s="658"/>
      <c r="B22" s="1717" t="s">
        <v>107</v>
      </c>
      <c r="C22" s="1852"/>
      <c r="D22" s="879"/>
      <c r="E22" s="879"/>
      <c r="F22" s="879"/>
      <c r="G22" s="879"/>
      <c r="H22" s="879"/>
      <c r="I22" s="879"/>
      <c r="J22" s="879"/>
      <c r="K22" s="879"/>
      <c r="L22" s="879"/>
      <c r="M22" s="879"/>
      <c r="N22" s="879"/>
      <c r="O22" s="879"/>
      <c r="P22" s="873">
        <f>SUM(D22:O22)</f>
        <v>0</v>
      </c>
      <c r="Q22" s="817">
        <f>IF(ISERROR(ROUND(P22/$X$2,0)),0,ROUND(P22/$X$2,0))</f>
        <v>0</v>
      </c>
    </row>
    <row r="23" spans="1:25" ht="36" customHeight="1">
      <c r="A23" s="658"/>
      <c r="B23" s="1534" t="s">
        <v>106</v>
      </c>
      <c r="C23" s="1534"/>
      <c r="D23" s="879"/>
      <c r="E23" s="879"/>
      <c r="F23" s="879"/>
      <c r="G23" s="879"/>
      <c r="H23" s="879"/>
      <c r="I23" s="879"/>
      <c r="J23" s="879"/>
      <c r="K23" s="879"/>
      <c r="L23" s="879"/>
      <c r="M23" s="879"/>
      <c r="N23" s="879"/>
      <c r="O23" s="879"/>
      <c r="P23" s="873">
        <f>SUM(D23:O23)</f>
        <v>0</v>
      </c>
      <c r="Q23" s="817">
        <f>IF(ISERROR(ROUND(P23/$X$2,0)),0,ROUND(P23/$X$2,0))</f>
        <v>0</v>
      </c>
    </row>
    <row r="24" spans="1:25" ht="36" customHeight="1">
      <c r="A24" s="658"/>
      <c r="B24" s="1534" t="s">
        <v>0</v>
      </c>
      <c r="C24" s="1534"/>
      <c r="D24" s="817">
        <f t="shared" ref="D24:O24" si="0">SUM(D22:D23)</f>
        <v>0</v>
      </c>
      <c r="E24" s="817">
        <f t="shared" si="0"/>
        <v>0</v>
      </c>
      <c r="F24" s="817">
        <f t="shared" si="0"/>
        <v>0</v>
      </c>
      <c r="G24" s="817">
        <f t="shared" si="0"/>
        <v>0</v>
      </c>
      <c r="H24" s="817">
        <f t="shared" si="0"/>
        <v>0</v>
      </c>
      <c r="I24" s="817">
        <f t="shared" si="0"/>
        <v>0</v>
      </c>
      <c r="J24" s="817">
        <f t="shared" si="0"/>
        <v>0</v>
      </c>
      <c r="K24" s="817">
        <f t="shared" si="0"/>
        <v>0</v>
      </c>
      <c r="L24" s="817">
        <f t="shared" si="0"/>
        <v>0</v>
      </c>
      <c r="M24" s="817">
        <f t="shared" si="0"/>
        <v>0</v>
      </c>
      <c r="N24" s="817">
        <f t="shared" si="0"/>
        <v>0</v>
      </c>
      <c r="O24" s="817">
        <f t="shared" si="0"/>
        <v>0</v>
      </c>
      <c r="P24" s="817">
        <f>SUM(D23:O23)</f>
        <v>0</v>
      </c>
      <c r="Q24" s="817">
        <f>SUM(Q22:Q23)</f>
        <v>0</v>
      </c>
    </row>
    <row r="25" spans="1:25" ht="36" customHeight="1">
      <c r="A25" s="658"/>
      <c r="B25" s="1851"/>
      <c r="C25" s="1851"/>
      <c r="D25" s="658"/>
      <c r="E25" s="658"/>
      <c r="F25" s="658"/>
      <c r="G25" s="658"/>
      <c r="H25" s="658"/>
      <c r="I25" s="658"/>
      <c r="J25" s="658"/>
      <c r="K25" s="658"/>
      <c r="L25" s="658"/>
      <c r="M25" s="658"/>
      <c r="N25" s="658"/>
      <c r="O25" s="658"/>
      <c r="P25" s="658"/>
      <c r="Q25" s="658"/>
    </row>
    <row r="26" spans="1:25" ht="36" customHeight="1">
      <c r="A26" s="658"/>
      <c r="B26" s="1857" t="s">
        <v>100</v>
      </c>
      <c r="C26" s="1858"/>
      <c r="D26" s="715" t="str">
        <f t="shared" ref="D26:O26" si="1">D21</f>
        <v>4月</v>
      </c>
      <c r="E26" s="715" t="str">
        <f t="shared" si="1"/>
        <v>5月</v>
      </c>
      <c r="F26" s="715" t="str">
        <f t="shared" si="1"/>
        <v>6月</v>
      </c>
      <c r="G26" s="715" t="str">
        <f t="shared" si="1"/>
        <v>7月</v>
      </c>
      <c r="H26" s="715" t="str">
        <f t="shared" si="1"/>
        <v>8月</v>
      </c>
      <c r="I26" s="715" t="str">
        <f t="shared" si="1"/>
        <v>9月</v>
      </c>
      <c r="J26" s="715" t="str">
        <f t="shared" si="1"/>
        <v>10月</v>
      </c>
      <c r="K26" s="715" t="str">
        <f t="shared" si="1"/>
        <v>11月</v>
      </c>
      <c r="L26" s="715" t="str">
        <f t="shared" si="1"/>
        <v>12月</v>
      </c>
      <c r="M26" s="715" t="str">
        <f t="shared" si="1"/>
        <v>1月</v>
      </c>
      <c r="N26" s="715" t="str">
        <f t="shared" si="1"/>
        <v>2月</v>
      </c>
      <c r="O26" s="715" t="str">
        <f t="shared" si="1"/>
        <v>3月</v>
      </c>
      <c r="P26" s="715" t="s">
        <v>86</v>
      </c>
      <c r="Q26" s="715" t="s">
        <v>1</v>
      </c>
    </row>
    <row r="27" spans="1:25" ht="36" customHeight="1">
      <c r="A27" s="658"/>
      <c r="B27" s="1717" t="s">
        <v>107</v>
      </c>
      <c r="C27" s="1852"/>
      <c r="D27" s="879"/>
      <c r="E27" s="879"/>
      <c r="F27" s="879"/>
      <c r="G27" s="879"/>
      <c r="H27" s="879"/>
      <c r="I27" s="879"/>
      <c r="J27" s="879"/>
      <c r="K27" s="879"/>
      <c r="L27" s="879"/>
      <c r="M27" s="879"/>
      <c r="N27" s="879"/>
      <c r="O27" s="879"/>
      <c r="P27" s="873">
        <f>SUM(D27:O27)</f>
        <v>0</v>
      </c>
      <c r="Q27" s="817">
        <f>IF(ISERROR(ROUND(P27/$X$2,0)),0,ROUND(P27/$X$2,0))</f>
        <v>0</v>
      </c>
      <c r="R27" s="658"/>
    </row>
    <row r="28" spans="1:25" ht="36" customHeight="1">
      <c r="A28" s="658"/>
      <c r="B28" s="1534" t="s">
        <v>106</v>
      </c>
      <c r="C28" s="1534"/>
      <c r="D28" s="879"/>
      <c r="E28" s="879"/>
      <c r="F28" s="879"/>
      <c r="G28" s="879"/>
      <c r="H28" s="879"/>
      <c r="I28" s="879"/>
      <c r="J28" s="879"/>
      <c r="K28" s="879"/>
      <c r="L28" s="879"/>
      <c r="M28" s="879"/>
      <c r="N28" s="879"/>
      <c r="O28" s="879"/>
      <c r="P28" s="873">
        <f>SUM(D28:O28)</f>
        <v>0</v>
      </c>
      <c r="Q28" s="817">
        <f>IF(ISERROR(ROUND(P28/$X$2,0)),0,ROUND(P28/$X$2,0))</f>
        <v>0</v>
      </c>
      <c r="R28" s="658"/>
    </row>
    <row r="29" spans="1:25" ht="36" customHeight="1">
      <c r="A29" s="658"/>
      <c r="B29" s="1534" t="s">
        <v>0</v>
      </c>
      <c r="C29" s="1534"/>
      <c r="D29" s="817">
        <f t="shared" ref="D29:O29" si="2">SUM(D27:D28)</f>
        <v>0</v>
      </c>
      <c r="E29" s="817">
        <f t="shared" si="2"/>
        <v>0</v>
      </c>
      <c r="F29" s="817">
        <f t="shared" si="2"/>
        <v>0</v>
      </c>
      <c r="G29" s="817">
        <f t="shared" si="2"/>
        <v>0</v>
      </c>
      <c r="H29" s="817">
        <f t="shared" si="2"/>
        <v>0</v>
      </c>
      <c r="I29" s="817">
        <f t="shared" si="2"/>
        <v>0</v>
      </c>
      <c r="J29" s="817">
        <f t="shared" si="2"/>
        <v>0</v>
      </c>
      <c r="K29" s="817">
        <f t="shared" si="2"/>
        <v>0</v>
      </c>
      <c r="L29" s="817">
        <f t="shared" si="2"/>
        <v>0</v>
      </c>
      <c r="M29" s="817">
        <f t="shared" si="2"/>
        <v>0</v>
      </c>
      <c r="N29" s="817">
        <f t="shared" si="2"/>
        <v>0</v>
      </c>
      <c r="O29" s="817">
        <f t="shared" si="2"/>
        <v>0</v>
      </c>
      <c r="P29" s="817">
        <f>SUM(D28:O28)</f>
        <v>0</v>
      </c>
      <c r="Q29" s="817">
        <f>SUM(Q27:Q28)</f>
        <v>0</v>
      </c>
      <c r="R29" s="658"/>
    </row>
    <row r="30" spans="1:25" ht="20.100000000000001" customHeight="1">
      <c r="A30" s="658"/>
      <c r="B30" s="858"/>
      <c r="C30" s="858"/>
      <c r="D30" s="858"/>
      <c r="E30" s="858"/>
      <c r="F30" s="858"/>
      <c r="G30" s="858"/>
      <c r="H30" s="858"/>
      <c r="I30" s="858"/>
      <c r="J30" s="858"/>
      <c r="K30" s="858"/>
      <c r="L30" s="858"/>
      <c r="M30" s="880"/>
      <c r="N30" s="880"/>
      <c r="O30" s="375"/>
      <c r="P30" s="658"/>
      <c r="Q30" s="658"/>
      <c r="S30" s="843"/>
      <c r="T30" s="843"/>
      <c r="U30" s="843"/>
    </row>
    <row r="31" spans="1:25" ht="20.100000000000001" hidden="1" customHeight="1" thickBot="1">
      <c r="A31" s="658"/>
      <c r="B31" s="403"/>
      <c r="C31" s="403"/>
      <c r="D31" s="403"/>
      <c r="E31" s="403"/>
      <c r="F31" s="403"/>
      <c r="G31" s="403"/>
      <c r="H31" s="403"/>
      <c r="I31" s="403"/>
      <c r="J31" s="403"/>
      <c r="K31" s="403"/>
      <c r="L31" s="403"/>
      <c r="M31" s="375"/>
      <c r="N31" s="375"/>
      <c r="O31" s="375"/>
      <c r="P31" s="881"/>
      <c r="Q31" s="882"/>
      <c r="S31" s="928"/>
      <c r="T31" s="843"/>
      <c r="U31" s="843"/>
      <c r="X31" s="843"/>
      <c r="Y31" s="843"/>
    </row>
    <row r="32" spans="1:25" ht="21.75" hidden="1" thickBot="1">
      <c r="A32" s="658"/>
      <c r="B32" s="1718" t="s">
        <v>129</v>
      </c>
      <c r="C32" s="1718"/>
      <c r="D32" s="1738" t="s">
        <v>149</v>
      </c>
      <c r="E32" s="1739"/>
      <c r="F32" s="1739"/>
      <c r="G32" s="1739"/>
      <c r="H32" s="1739"/>
      <c r="I32" s="1739"/>
      <c r="J32" s="1739"/>
      <c r="K32" s="1739"/>
      <c r="L32" s="1739"/>
      <c r="M32" s="1740"/>
      <c r="N32" s="658"/>
      <c r="O32" s="658"/>
      <c r="P32" s="658"/>
      <c r="Q32" s="658"/>
      <c r="S32" s="815"/>
      <c r="T32" s="815"/>
      <c r="U32" s="928"/>
      <c r="X32" s="843"/>
      <c r="Y32" s="843"/>
    </row>
    <row r="33" spans="1:25" ht="38.25" hidden="1" customHeight="1">
      <c r="A33" s="658"/>
      <c r="B33" s="1780" t="s">
        <v>101</v>
      </c>
      <c r="C33" s="1829"/>
      <c r="D33" s="1853" t="s">
        <v>9</v>
      </c>
      <c r="E33" s="1853" t="s">
        <v>104</v>
      </c>
      <c r="F33" s="1853" t="s">
        <v>93</v>
      </c>
      <c r="G33" s="1853" t="s">
        <v>94</v>
      </c>
      <c r="H33" s="1856" t="s">
        <v>105</v>
      </c>
      <c r="I33" s="1853" t="s">
        <v>533</v>
      </c>
      <c r="J33" s="1864" t="s">
        <v>433</v>
      </c>
      <c r="K33" s="253" t="s">
        <v>526</v>
      </c>
      <c r="L33" s="1865" t="s">
        <v>511</v>
      </c>
      <c r="M33" s="1854" t="s">
        <v>126</v>
      </c>
      <c r="N33" s="658"/>
      <c r="O33" s="658"/>
      <c r="P33" s="658"/>
      <c r="Q33" s="658"/>
      <c r="S33" s="375"/>
      <c r="T33" s="375"/>
      <c r="U33" s="843"/>
      <c r="X33" s="869"/>
      <c r="Y33" s="843"/>
    </row>
    <row r="34" spans="1:25" ht="38.25" hidden="1" customHeight="1">
      <c r="A34" s="658"/>
      <c r="B34" s="1782"/>
      <c r="C34" s="1830"/>
      <c r="D34" s="1832"/>
      <c r="E34" s="1832"/>
      <c r="F34" s="1832"/>
      <c r="G34" s="1832"/>
      <c r="H34" s="1828"/>
      <c r="I34" s="1832"/>
      <c r="J34" s="1862"/>
      <c r="K34" s="255" t="str">
        <f>IF($AD$2=1,"",CONCATENATE("（乗除調整",TEXT($AD$2,"##/100"),")"))</f>
        <v/>
      </c>
      <c r="L34" s="1866"/>
      <c r="M34" s="1855"/>
      <c r="N34" s="658"/>
      <c r="O34" s="658"/>
      <c r="P34" s="658"/>
      <c r="Q34" s="658"/>
      <c r="S34" s="375"/>
      <c r="T34" s="375"/>
      <c r="U34" s="843"/>
      <c r="X34" s="869"/>
      <c r="Y34" s="869"/>
    </row>
    <row r="35" spans="1:25" ht="20.100000000000001" hidden="1" customHeight="1">
      <c r="A35" s="658"/>
      <c r="B35" s="1534" t="s">
        <v>90</v>
      </c>
      <c r="C35" s="1717"/>
      <c r="D35" s="817" t="e">
        <f>IF($D$18="あり",VLOOKUP($D$7,小規模A!$B$29:$BE$30,10,TRUE),0)</f>
        <v>#N/A</v>
      </c>
      <c r="E35" s="821"/>
      <c r="F35" s="817">
        <f>IF(ISERROR(小規模A!$A$33),0,小規模A!$A$33)</f>
        <v>0</v>
      </c>
      <c r="G35" s="817">
        <f>IF($G$18="あり",VLOOKUP($D$7,小規模A!$B$26:$BE$27,34,TRUE),0)</f>
        <v>0</v>
      </c>
      <c r="H35" s="817">
        <f>IF(H$18="あり",IF(ISERROR(-ROUNDDOWN(SUM($D35,$G35)*VLOOKUP($D$7,小規模A!$B$26:$BE$27,45,TRUE),-1)),0,-ROUNDDOWN(SUM($D35,$G35)*VLOOKUP($D$7,小規模A!$B$26:$BE$27,45,TRUE),-1)),0)</f>
        <v>0</v>
      </c>
      <c r="I35" s="817">
        <f>IF($I$18="あり",-VLOOKUP($D$7,小規模A!$B$26:$BE$27,49,TRUE),0)</f>
        <v>0</v>
      </c>
      <c r="J35" s="818">
        <f>-IFERROR(IF(ROUNDDOWN(SUM($D35,$E35,$G35)*VLOOKUP($J$18,小規模A!$B$47:$C$51,2,FALSE),-1)&lt;10,ROUNDDOWN(SUM($D35,$E35,$G35)*VLOOKUP($J$18,小規模A!$B$47:$C$51,2,FALSE),0),ROUNDDOWN(SUM($D35,$E35,$G35)*VLOOKUP($J$18,小規模A!$B$47:$C$51,2,FALSE),-1)),0)</f>
        <v>0</v>
      </c>
      <c r="K35" s="819" t="e">
        <f>IF($AD$2=1,SUM($D35:$J35),(IF(ROUNDDOWN(SUM($D35:$J35)*$AD$2,-1)&lt;10,ROUNDDOWN(SUM($D35:$J35)*$AD$2,0),(ROUNDDOWN(SUM($D35:$J35)*$AD$2,-1)))))</f>
        <v>#N/A</v>
      </c>
      <c r="L35" s="883">
        <f>IF(L$18="配置",IF(ROUNDDOWN(小規模A2!$K$21/$I$62,-1)&lt;10,ROUNDDOWN(小規模A2!$K$21/$I$62,0),ROUNDDOWN(小規模A2!$K$21/$I$62,-1)),IF(L$18="兼務",IF(ROUNDDOWN(小規模A2!$K$24/$I$62,-1)&lt;10,ROUNDDOWN(小規模A2!$K$24/$I$62,0),ROUNDDOWN(小規模A2!$K$24/$I$62,-1)),0))</f>
        <v>0</v>
      </c>
      <c r="M35" s="826">
        <f>IF(ISERROR(SUM(K35:L35)),0,SUM(K35:L35))</f>
        <v>0</v>
      </c>
      <c r="N35" s="658"/>
      <c r="O35" s="658"/>
      <c r="P35" s="658"/>
      <c r="Q35" s="658"/>
      <c r="S35" s="843"/>
      <c r="T35" s="843"/>
      <c r="U35" s="843"/>
      <c r="X35" s="869"/>
      <c r="Y35" s="869"/>
    </row>
    <row r="36" spans="1:25" ht="20.100000000000001" hidden="1" customHeight="1">
      <c r="A36" s="658"/>
      <c r="B36" s="1534" t="s">
        <v>89</v>
      </c>
      <c r="C36" s="1717"/>
      <c r="D36" s="817" t="e">
        <f>IF($D$18="あり",VLOOKUP($D$7,小規模A!$B$26:$BE$27,10,TRUE),0)</f>
        <v>#N/A</v>
      </c>
      <c r="E36" s="821"/>
      <c r="F36" s="817">
        <f t="shared" ref="F36:G38" si="3">F35</f>
        <v>0</v>
      </c>
      <c r="G36" s="817">
        <f>G35</f>
        <v>0</v>
      </c>
      <c r="H36" s="817">
        <f>IF(H$18="あり",IF(ISERROR(-ROUNDDOWN(SUM($D36,$G36)*VLOOKUP($D$7,小規模A!$B$26:$BE$27,45,TRUE),-1)),0,-ROUNDDOWN(SUM($D36,$G36)*VLOOKUP($D$7,小規模A!$B$26:$BE$27,45,TRUE),-1)),0)</f>
        <v>0</v>
      </c>
      <c r="I36" s="817">
        <f>I35</f>
        <v>0</v>
      </c>
      <c r="J36" s="818">
        <f>-IFERROR(IF(ROUNDDOWN(SUM($D36,$E36,$G36)*VLOOKUP($J$18,小規模A!$B$47:$C$51,2,FALSE),-1)&lt;10,ROUNDDOWN(SUM($D36,$E36,$G36)*VLOOKUP($J$18,小規模A!$B$47:$C$51,2,FALSE),0),ROUNDDOWN(SUM($D36,$E36,$G36)*VLOOKUP($J$18,小規模A!$B$47:$C$51,2,FALSE),-1)),0)</f>
        <v>0</v>
      </c>
      <c r="K36" s="819" t="e">
        <f>IF($AD$2=1,SUM($D36:$J36),(IF(ROUNDDOWN(SUM($D36:$J36)*$AD$2,-1)&lt;10,ROUNDDOWN(SUM($D36:$J36)*$AD$2,0),(ROUNDDOWN(SUM($D36:$J36)*$AD$2,-1)))))</f>
        <v>#N/A</v>
      </c>
      <c r="L36" s="883">
        <f>L35</f>
        <v>0</v>
      </c>
      <c r="M36" s="826">
        <f>IF(ISERROR(SUM(K36:L36)),0,SUM(K36:L36))</f>
        <v>0</v>
      </c>
      <c r="N36" s="658"/>
      <c r="O36" s="658"/>
      <c r="P36" s="658"/>
      <c r="Q36" s="658"/>
      <c r="S36" s="843"/>
      <c r="T36" s="843"/>
      <c r="U36" s="843"/>
      <c r="X36" s="869"/>
      <c r="Y36" s="869"/>
    </row>
    <row r="37" spans="1:25" ht="20.100000000000001" hidden="1" customHeight="1">
      <c r="A37" s="658"/>
      <c r="B37" s="1534" t="s">
        <v>107</v>
      </c>
      <c r="C37" s="1717"/>
      <c r="D37" s="817" t="e">
        <f>D35</f>
        <v>#N/A</v>
      </c>
      <c r="E37" s="817">
        <f>IF(AND($E$18="あり",$Q22&gt;=1),VLOOKUP($D$7,小規模A!$B$29:$BE$30,19,TRUE),0)</f>
        <v>0</v>
      </c>
      <c r="F37" s="817">
        <f t="shared" si="3"/>
        <v>0</v>
      </c>
      <c r="G37" s="817">
        <f t="shared" si="3"/>
        <v>0</v>
      </c>
      <c r="H37" s="817">
        <f>IF(H$18="あり",IF(ISERROR(-ROUNDDOWN(SUM($D37,$G37)*VLOOKUP($D$7,小規模A!$B$26:$BE$27,45,TRUE),-1)),0,-ROUNDDOWN(SUM($D37,$G37)*VLOOKUP($D$7,小規模A!$B$26:$BE$27,45,TRUE),-1)),0)</f>
        <v>0</v>
      </c>
      <c r="I37" s="817">
        <f>I36</f>
        <v>0</v>
      </c>
      <c r="J37" s="818">
        <f>-IFERROR(IF(ROUNDDOWN(SUM($D37,$E37,$G37)*VLOOKUP($J$18,小規模A!$B$47:$C$51,2,FALSE),-1)&lt;10,ROUNDDOWN(SUM($D37,$E37,$G37)*VLOOKUP($J$18,小規模A!$B$47:$C$51,2,FALSE),0),ROUNDDOWN(SUM($D37,$E37,$G37)*VLOOKUP($J$18,小規模A!$B$47:$C$51,2,FALSE),-1)),0)</f>
        <v>0</v>
      </c>
      <c r="K37" s="819" t="e">
        <f>IF($AD$2=1,SUM($D37:$J37),(IF(ROUNDDOWN(SUM($D37:$J37)*$AD$2,-1)&lt;10,ROUNDDOWN(SUM($D37:$J37)*$AD$2,0),(ROUNDDOWN(SUM($D37:$J37)*$AD$2,-1)))))</f>
        <v>#N/A</v>
      </c>
      <c r="L37" s="883">
        <f>L36</f>
        <v>0</v>
      </c>
      <c r="M37" s="826">
        <f>IF(ISERROR(SUM(K37:L37)),0,SUM(K37:L37))</f>
        <v>0</v>
      </c>
      <c r="N37" s="658"/>
      <c r="O37" s="658"/>
      <c r="P37" s="658"/>
      <c r="Q37" s="658"/>
      <c r="S37" s="843"/>
      <c r="T37" s="843"/>
      <c r="U37" s="843"/>
      <c r="W37" s="884"/>
      <c r="X37" s="869"/>
      <c r="Y37" s="869"/>
    </row>
    <row r="38" spans="1:25" ht="20.100000000000001" hidden="1" customHeight="1">
      <c r="A38" s="658"/>
      <c r="B38" s="1534" t="s">
        <v>106</v>
      </c>
      <c r="C38" s="1717"/>
      <c r="D38" s="817" t="e">
        <f>D36</f>
        <v>#N/A</v>
      </c>
      <c r="E38" s="817">
        <f>IF(AND($E$18="あり",$Q23&gt;=1),VLOOKUP($D$7,小規模A!$B$26:$BE$27,19,TRUE),0)</f>
        <v>0</v>
      </c>
      <c r="F38" s="817">
        <f t="shared" si="3"/>
        <v>0</v>
      </c>
      <c r="G38" s="817">
        <f t="shared" si="3"/>
        <v>0</v>
      </c>
      <c r="H38" s="817">
        <f>IF(H$18="あり",IF(ISERROR(-ROUNDDOWN(SUM($D38,$G38)*VLOOKUP($D$7,小規模A!$B$26:$BE$27,45,TRUE),-1)),0,-ROUNDDOWN(SUM($D38,$G38)*VLOOKUP($D$7,小規模A!$B$26:$BE$27,45,TRUE),-1)),0)</f>
        <v>0</v>
      </c>
      <c r="I38" s="817">
        <f>I37</f>
        <v>0</v>
      </c>
      <c r="J38" s="818">
        <f>-IFERROR(IF(ROUNDDOWN(SUM($D38,$E38,$G38)*VLOOKUP($J$18,小規模A!$B$47:$C$51,2,FALSE),-1)&lt;10,ROUNDDOWN(SUM($D38,$E38,$G38)*VLOOKUP($J$18,小規模A!$B$47:$C$51,2,FALSE),0),ROUNDDOWN(SUM($D38,$E38,$G38)*VLOOKUP($J$18,小規模A!$B$47:$C$51,2,FALSE),-1)),0)</f>
        <v>0</v>
      </c>
      <c r="K38" s="819" t="e">
        <f>IF($AD$2=1,SUM($D38:$J38),(IF(ROUNDDOWN(SUM($D38:$J38)*$AD$2,-1)&lt;10,ROUNDDOWN(SUM($D38:$J38)*$AD$2,0),(ROUNDDOWN(SUM($D38:$J38)*$AD$2,-1)))))</f>
        <v>#N/A</v>
      </c>
      <c r="L38" s="883">
        <f>L37</f>
        <v>0</v>
      </c>
      <c r="M38" s="885">
        <f>IF(ISERROR(SUM(K38:L38)),0,SUM(K38:L38))</f>
        <v>0</v>
      </c>
      <c r="N38" s="658"/>
      <c r="O38" s="658"/>
      <c r="P38" s="658"/>
      <c r="Q38" s="658"/>
      <c r="S38" s="843"/>
      <c r="T38" s="843"/>
      <c r="U38" s="843"/>
      <c r="X38" s="869"/>
      <c r="Y38" s="869"/>
    </row>
    <row r="39" spans="1:25" ht="53.25" hidden="1" customHeight="1">
      <c r="A39" s="658"/>
      <c r="B39" s="794"/>
      <c r="C39" s="794"/>
      <c r="D39" s="886"/>
      <c r="E39" s="375"/>
      <c r="F39" s="375"/>
      <c r="G39" s="375"/>
      <c r="H39" s="375"/>
      <c r="I39" s="375"/>
      <c r="J39" s="375"/>
      <c r="K39" s="861"/>
      <c r="L39" s="375"/>
      <c r="M39" s="887"/>
      <c r="N39" s="658"/>
      <c r="O39" s="658"/>
      <c r="P39" s="658"/>
      <c r="Q39" s="658"/>
      <c r="S39" s="815"/>
      <c r="T39" s="815"/>
      <c r="U39" s="928"/>
      <c r="X39" s="869"/>
      <c r="Y39" s="869"/>
    </row>
    <row r="40" spans="1:25" ht="38.25" hidden="1" customHeight="1">
      <c r="A40" s="658"/>
      <c r="B40" s="1780" t="s">
        <v>102</v>
      </c>
      <c r="C40" s="1829"/>
      <c r="D40" s="1831" t="s">
        <v>9</v>
      </c>
      <c r="E40" s="1831" t="s">
        <v>104</v>
      </c>
      <c r="F40" s="1831" t="s">
        <v>93</v>
      </c>
      <c r="G40" s="1831" t="s">
        <v>94</v>
      </c>
      <c r="H40" s="1827" t="s">
        <v>105</v>
      </c>
      <c r="I40" s="1831" t="s">
        <v>535</v>
      </c>
      <c r="J40" s="1831" t="s">
        <v>433</v>
      </c>
      <c r="K40" s="256" t="s">
        <v>526</v>
      </c>
      <c r="L40" s="1861" t="s">
        <v>511</v>
      </c>
      <c r="M40" s="1863" t="s">
        <v>127</v>
      </c>
      <c r="N40" s="658"/>
      <c r="O40" s="658"/>
      <c r="P40" s="658"/>
      <c r="Q40" s="658"/>
      <c r="S40" s="375"/>
      <c r="T40" s="375"/>
      <c r="U40" s="843"/>
      <c r="X40" s="869"/>
      <c r="Y40" s="869"/>
    </row>
    <row r="41" spans="1:25" ht="38.25" hidden="1" customHeight="1">
      <c r="A41" s="658"/>
      <c r="B41" s="1782"/>
      <c r="C41" s="1830"/>
      <c r="D41" s="1832"/>
      <c r="E41" s="1832"/>
      <c r="F41" s="1832"/>
      <c r="G41" s="1832"/>
      <c r="H41" s="1828"/>
      <c r="I41" s="1832"/>
      <c r="J41" s="1832"/>
      <c r="K41" s="255" t="str">
        <f>IF($AD$2=1,"",CONCATENATE("（乗除調整",TEXT($AD$2,"##/100"),")"))</f>
        <v/>
      </c>
      <c r="L41" s="1862"/>
      <c r="M41" s="1855"/>
      <c r="N41" s="658"/>
      <c r="O41" s="658"/>
      <c r="P41" s="658"/>
      <c r="Q41" s="658"/>
      <c r="S41" s="375"/>
      <c r="T41" s="375"/>
      <c r="U41" s="843"/>
      <c r="X41" s="869"/>
      <c r="Y41" s="869"/>
    </row>
    <row r="42" spans="1:25" ht="20.100000000000001" hidden="1" customHeight="1">
      <c r="A42" s="658"/>
      <c r="B42" s="1534" t="s">
        <v>90</v>
      </c>
      <c r="C42" s="1717"/>
      <c r="D42" s="817" t="e">
        <f>IF($D$18="あり",VLOOKUP($D$7,小規模A!$B$29:$BE$30,13,TRUE),0)</f>
        <v>#N/A</v>
      </c>
      <c r="E42" s="821"/>
      <c r="F42" s="817">
        <f>IF(ISERROR(小規模A!$A$33),0,小規模A!$A$33)</f>
        <v>0</v>
      </c>
      <c r="G42" s="817">
        <f>IF($G$18="あり",VLOOKUP($D$7,小規模A!$B$26:$BE$27,34,TRUE),0)</f>
        <v>0</v>
      </c>
      <c r="H42" s="817">
        <f>IF(H$18="あり",IF(ISERROR(-ROUNDDOWN(SUM($D42,$G42)*VLOOKUP($D$7,小規模A!$B$26:$BE$27,45,TRUE),-1)),0,-ROUNDDOWN(SUM($D42,$G42)*VLOOKUP($D$7,小規模A!$B$26:$BE$27,45,TRUE),-1)),0)</f>
        <v>0</v>
      </c>
      <c r="I42" s="817">
        <f>IF($I$18="あり",-VLOOKUP($D$7,小規模A!$B$26:$BE$27,49,TRUE),0)</f>
        <v>0</v>
      </c>
      <c r="J42" s="818">
        <f>-IFERROR(IF(ROUNDDOWN(SUM($D42,$E42,$G42)*VLOOKUP($J$18,小規模A!$B$47:$C$51,2,FALSE),-1)&lt;10,ROUNDDOWN(SUM($D42,$E42,$G42)*VLOOKUP($J$18,小規模A!$B$47:$C$51,2,FALSE),0),ROUNDDOWN(SUM($D42,$E42,$G42)*VLOOKUP($J$18,小規模A!$B$47:$C$51,2,FALSE),-1)),0)</f>
        <v>0</v>
      </c>
      <c r="K42" s="819" t="e">
        <f>IF($AD$2=1,SUM($D42:$J42),(IF(ROUNDDOWN(SUM($D42:$J42)*$AD$2,-1)&lt;10,ROUNDDOWN(SUM($D42:$J42)*$AD$2,0),(ROUNDDOWN(SUM($D42:$J42)*$AD$2,-1)))))</f>
        <v>#N/A</v>
      </c>
      <c r="L42" s="883">
        <f>IF(L$18="配置",IF(ROUNDDOWN(小規模A2!$K$21/$I$62,-1)&lt;10,ROUNDDOWN(小規模A2!$K$21/$I$62,0),ROUNDDOWN(小規模A2!$K$21/$I$62,-1)),IF(L$18="兼務",IF(ROUNDDOWN(小規模A2!$K$24/$I$62,-1)&lt;10,ROUNDDOWN(小規模A2!$K$24/$I$62,0),ROUNDDOWN(小規模A2!$K$24/$I$62,-1)),0))</f>
        <v>0</v>
      </c>
      <c r="M42" s="897">
        <f>IF(ISERROR(SUM(D42:J42)),0,SUM(D42:J42))</f>
        <v>0</v>
      </c>
      <c r="N42" s="658"/>
      <c r="O42" s="658"/>
      <c r="P42" s="658"/>
      <c r="Q42" s="658"/>
      <c r="S42" s="843"/>
      <c r="T42" s="881"/>
      <c r="U42" s="843"/>
      <c r="X42" s="869"/>
      <c r="Y42" s="869"/>
    </row>
    <row r="43" spans="1:25" ht="20.100000000000001" hidden="1" customHeight="1">
      <c r="A43" s="658"/>
      <c r="B43" s="1534" t="s">
        <v>89</v>
      </c>
      <c r="C43" s="1717"/>
      <c r="D43" s="817" t="e">
        <f>IF($D$18="あり",VLOOKUP($D$7,小規模A!$B$26:$BE$27,13,TRUE),0)</f>
        <v>#N/A</v>
      </c>
      <c r="E43" s="821"/>
      <c r="F43" s="817">
        <f t="shared" ref="F43:G45" si="4">F42</f>
        <v>0</v>
      </c>
      <c r="G43" s="817">
        <f t="shared" si="4"/>
        <v>0</v>
      </c>
      <c r="H43" s="817">
        <f>IF(H$18="あり",IF(ISERROR(-ROUNDDOWN(SUM($D43,$G43)*VLOOKUP($D$7,小規模A!$B$26:$BE$27,45,TRUE),-1)),0,-ROUNDDOWN(SUM($D43,$G43)*VLOOKUP($D$7,小規模A!$B$26:$BE$27,45,TRUE),-1)),0)</f>
        <v>0</v>
      </c>
      <c r="I43" s="817">
        <f>I42</f>
        <v>0</v>
      </c>
      <c r="J43" s="818">
        <f>-IFERROR(IF(ROUNDDOWN(SUM($D43,$E43,$G43)*VLOOKUP($J$18,小規模A!$B$47:$C$51,2,FALSE),-1)&lt;10,ROUNDDOWN(SUM($D43,$E43,$G43)*VLOOKUP($J$18,小規模A!$B$47:$C$51,2,FALSE),0),ROUNDDOWN(SUM($D43,$E43,$G43)*VLOOKUP($J$18,小規模A!$B$47:$C$51,2,FALSE),-1)),0)</f>
        <v>0</v>
      </c>
      <c r="K43" s="819" t="e">
        <f>IF($AD$2=1,SUM($D43:$J43),(IF(ROUNDDOWN(SUM($D43:$J43)*$AD$2,-1)&lt;10,ROUNDDOWN(SUM($D43:$J43)*$AD$2,0),(ROUNDDOWN(SUM($D43:$J43)*$AD$2,-1)))))</f>
        <v>#N/A</v>
      </c>
      <c r="L43" s="889">
        <f>L42</f>
        <v>0</v>
      </c>
      <c r="M43" s="897">
        <f>IF(ISERROR(SUM(D43:J43)),0,SUM(D43:J43))</f>
        <v>0</v>
      </c>
      <c r="N43" s="658"/>
      <c r="O43" s="658"/>
      <c r="P43" s="658"/>
      <c r="Q43" s="658"/>
      <c r="S43" s="843"/>
      <c r="T43" s="843"/>
      <c r="U43" s="843"/>
      <c r="X43" s="869"/>
      <c r="Y43" s="869"/>
    </row>
    <row r="44" spans="1:25" ht="20.100000000000001" hidden="1" customHeight="1">
      <c r="A44" s="658"/>
      <c r="B44" s="1534" t="s">
        <v>107</v>
      </c>
      <c r="C44" s="1717"/>
      <c r="D44" s="817" t="e">
        <f>D42</f>
        <v>#N/A</v>
      </c>
      <c r="E44" s="817">
        <f>IF(AND($E$18="あり",$Q27&gt;=1),VLOOKUP($D$7,小規模A!$B$29:$BE$30,19,TRUE),0)</f>
        <v>0</v>
      </c>
      <c r="F44" s="817">
        <f t="shared" si="4"/>
        <v>0</v>
      </c>
      <c r="G44" s="817">
        <f t="shared" si="4"/>
        <v>0</v>
      </c>
      <c r="H44" s="817">
        <f>IF(H$18="あり",IF(ISERROR(-ROUNDDOWN(SUM($D44,$G44)*VLOOKUP($D$7,小規模A!$B$26:$BE$27,45,TRUE),-1)),0,-ROUNDDOWN(SUM($D44,$G44)*VLOOKUP($D$7,小規模A!$B$26:$BE$27,45,TRUE),-1)),0)</f>
        <v>0</v>
      </c>
      <c r="I44" s="817">
        <f>I43</f>
        <v>0</v>
      </c>
      <c r="J44" s="818">
        <f>-IFERROR(IF(ROUNDDOWN(SUM($D44,$E44,$G44)*VLOOKUP($J$18,小規模A!$B$47:$C$51,2,FALSE),-1)&lt;10,ROUNDDOWN(SUM($D44,$E44,$G44)*VLOOKUP($J$18,小規模A!$B$47:$C$51,2,FALSE),0),ROUNDDOWN(SUM($D44,$E44,$G44)*VLOOKUP($J$18,小規模A!$B$47:$C$51,2,FALSE),-1)),0)</f>
        <v>0</v>
      </c>
      <c r="K44" s="819" t="e">
        <f>IF($AD$2=1,SUM($D44:$J44),(IF(ROUNDDOWN(SUM($D44:$J44)*$AD$2,-1)&lt;10,ROUNDDOWN(SUM($D44:$J44)*$AD$2,0),(ROUNDDOWN(SUM($D44:$J44)*$AD$2,-1)))))</f>
        <v>#N/A</v>
      </c>
      <c r="L44" s="889">
        <f>L43</f>
        <v>0</v>
      </c>
      <c r="M44" s="897">
        <f>IF(ISERROR(SUM(D44:J44)),0,SUM(D44:J44))</f>
        <v>0</v>
      </c>
      <c r="N44" s="658"/>
      <c r="O44" s="658"/>
      <c r="P44" s="658"/>
      <c r="Q44" s="658"/>
      <c r="W44" s="846"/>
      <c r="X44" s="869"/>
      <c r="Y44" s="869"/>
    </row>
    <row r="45" spans="1:25" ht="20.100000000000001" hidden="1" customHeight="1" thickBot="1">
      <c r="A45" s="658"/>
      <c r="B45" s="1534" t="s">
        <v>106</v>
      </c>
      <c r="C45" s="1717"/>
      <c r="D45" s="817" t="e">
        <f>D43</f>
        <v>#N/A</v>
      </c>
      <c r="E45" s="817">
        <f>IF(AND($E$18="あり",$Q28&gt;=1),VLOOKUP($D$7,小規模A!$B$26:$BE$27,19,TRUE),0)</f>
        <v>0</v>
      </c>
      <c r="F45" s="817">
        <f t="shared" si="4"/>
        <v>0</v>
      </c>
      <c r="G45" s="817">
        <f t="shared" si="4"/>
        <v>0</v>
      </c>
      <c r="H45" s="817">
        <f>IF(H$18="あり",IF(ISERROR(-ROUNDDOWN(SUM($D45,$G45)*VLOOKUP($D$7,小規模A!$B$26:$BE$27,45,TRUE),-1)),0,-ROUNDDOWN(SUM($D45,$G45)*VLOOKUP($D$7,小規模A!$B$26:$BE$27,45,TRUE),-1)),0)</f>
        <v>0</v>
      </c>
      <c r="I45" s="817">
        <f>I44</f>
        <v>0</v>
      </c>
      <c r="J45" s="818">
        <f>-IFERROR(IF(ROUNDDOWN(SUM($D45,$E45,$G45)*VLOOKUP($J$18,小規模A!$B$47:$C$51,2,FALSE),-1)&lt;10,ROUNDDOWN(SUM($D45,$E45,$G45)*VLOOKUP($J$18,小規模A!$B$47:$C$51,2,FALSE),0),ROUNDDOWN(SUM($D45,$E45,$G45)*VLOOKUP($J$18,小規模A!$B$47:$C$51,2,FALSE),-1)),0)</f>
        <v>0</v>
      </c>
      <c r="K45" s="819" t="e">
        <f>IF($AD$2=1,SUM($D45:$J45),(IF(ROUNDDOWN(SUM($D45:$J45)*$AD$2,-1)&lt;10,ROUNDDOWN(SUM($D45:$J45)*$AD$2,0),(ROUNDDOWN(SUM($D45:$J45)*$AD$2,-1)))))</f>
        <v>#N/A</v>
      </c>
      <c r="L45" s="889">
        <f>L44</f>
        <v>0</v>
      </c>
      <c r="M45" s="898">
        <f>IF(ISERROR(SUM(D45:J45)),0,SUM(D45:J45))</f>
        <v>0</v>
      </c>
      <c r="N45" s="658"/>
      <c r="O45" s="658"/>
      <c r="P45" s="658"/>
      <c r="Q45" s="658"/>
    </row>
    <row r="46" spans="1:25" ht="20.100000000000001" hidden="1" customHeight="1">
      <c r="A46" s="658"/>
      <c r="B46" s="794"/>
      <c r="C46" s="794"/>
      <c r="D46" s="794"/>
      <c r="E46" s="794"/>
      <c r="F46" s="794"/>
      <c r="G46" s="794"/>
      <c r="H46" s="794"/>
      <c r="I46" s="794"/>
      <c r="J46" s="794"/>
      <c r="K46" s="794"/>
      <c r="L46" s="794"/>
      <c r="M46" s="794"/>
      <c r="N46" s="658"/>
      <c r="O46" s="658"/>
      <c r="P46" s="658"/>
      <c r="Q46" s="658"/>
    </row>
    <row r="47" spans="1:25" ht="20.100000000000001" hidden="1" customHeight="1" thickBot="1">
      <c r="A47" s="658"/>
      <c r="B47" s="794"/>
      <c r="C47" s="794"/>
      <c r="D47" s="794"/>
      <c r="E47" s="794"/>
      <c r="F47" s="794"/>
      <c r="G47" s="794"/>
      <c r="H47" s="794"/>
      <c r="I47" s="794"/>
      <c r="J47" s="794"/>
      <c r="K47" s="794"/>
      <c r="L47" s="794"/>
      <c r="M47" s="794"/>
      <c r="N47" s="403"/>
      <c r="O47" s="836"/>
      <c r="P47" s="403"/>
      <c r="Q47" s="836"/>
    </row>
    <row r="48" spans="1:25" ht="38.25" hidden="1" customHeight="1" thickBot="1">
      <c r="A48" s="658"/>
      <c r="B48" s="824" t="s">
        <v>128</v>
      </c>
      <c r="C48" s="658"/>
      <c r="D48" s="822"/>
      <c r="E48" s="822"/>
      <c r="F48" s="822"/>
      <c r="G48" s="658"/>
      <c r="H48" s="1718" t="s">
        <v>818</v>
      </c>
      <c r="I48" s="1718"/>
      <c r="J48" s="1796" t="s">
        <v>114</v>
      </c>
      <c r="K48" s="1797"/>
      <c r="L48" s="1576" t="s">
        <v>817</v>
      </c>
      <c r="M48" s="1577"/>
      <c r="N48" s="1578" t="s">
        <v>867</v>
      </c>
      <c r="O48" s="1579"/>
      <c r="P48" s="1578" t="s">
        <v>868</v>
      </c>
      <c r="Q48" s="1579"/>
      <c r="X48" s="715">
        <v>2015</v>
      </c>
      <c r="Y48" s="175">
        <v>6.1</v>
      </c>
    </row>
    <row r="49" spans="1:25" ht="42.75" hidden="1" customHeight="1">
      <c r="A49" s="658"/>
      <c r="B49" s="658"/>
      <c r="C49" s="658"/>
      <c r="D49" s="658"/>
      <c r="E49" s="658"/>
      <c r="F49" s="658"/>
      <c r="G49" s="658"/>
      <c r="H49" s="1833" t="s">
        <v>101</v>
      </c>
      <c r="I49" s="1846" t="s">
        <v>892</v>
      </c>
      <c r="J49" s="1844" t="str">
        <f>"A×賃金改善率（"&amp;$I$5&amp;"％）"</f>
        <v>A×賃金改善率（％）</v>
      </c>
      <c r="K49" s="1841" t="str">
        <f>CONCATENATE("×利用児童数×",$X$2,"月")</f>
        <v>×利用児童数×12月</v>
      </c>
      <c r="L49" s="1845" t="str">
        <f>"A×加算Ⅰ新規事由に係る率（"&amp;$I$6&amp;"％）"</f>
        <v>A×加算Ⅰ新規事由に係る率（％）</v>
      </c>
      <c r="M49" s="1841" t="str">
        <f>CONCATENATE("×利用児童数×",$X$2,"月")</f>
        <v>×利用児童数×12月</v>
      </c>
      <c r="N49" s="1844" t="str">
        <f>"A×人勧影響率（"&amp;$I$8&amp;"％）"</f>
        <v>A×人勧影響率（％）</v>
      </c>
      <c r="O49" s="1841" t="str">
        <f>CONCATENATE("×利用児童数×",$X$2,"月")</f>
        <v>×利用児童数×12月</v>
      </c>
      <c r="P49" s="1844" t="str">
        <f>"A×人勧影響率（"&amp;$I$10&amp;"％）"</f>
        <v>A×人勧影響率（％）</v>
      </c>
      <c r="Q49" s="1841" t="str">
        <f>CONCATENATE("×利用児童数×",$X$2,"月")</f>
        <v>×利用児童数×12月</v>
      </c>
      <c r="X49" s="715">
        <v>2016</v>
      </c>
      <c r="Y49" s="173">
        <v>4.2</v>
      </c>
    </row>
    <row r="50" spans="1:25" ht="25.5" hidden="1" customHeight="1">
      <c r="A50" s="1725" t="s">
        <v>915</v>
      </c>
      <c r="B50" s="1725"/>
      <c r="C50" s="1725"/>
      <c r="D50" s="1725"/>
      <c r="E50" s="1774">
        <f>$K$62</f>
        <v>0</v>
      </c>
      <c r="F50" s="1859"/>
      <c r="G50" s="658"/>
      <c r="H50" s="1826"/>
      <c r="I50" s="1847"/>
      <c r="J50" s="1838"/>
      <c r="K50" s="1840"/>
      <c r="L50" s="1843"/>
      <c r="M50" s="1840"/>
      <c r="N50" s="1838"/>
      <c r="O50" s="1840"/>
      <c r="P50" s="1838"/>
      <c r="Q50" s="1840"/>
      <c r="X50" s="715">
        <v>2017</v>
      </c>
      <c r="Y50" s="173">
        <v>2.9</v>
      </c>
    </row>
    <row r="51" spans="1:25" ht="18" hidden="1" customHeight="1">
      <c r="A51" s="835"/>
      <c r="B51" s="1860" t="str">
        <f>CONCATENATE("（賃金改善要件（",I5,"％）分）")</f>
        <v>（賃金改善要件（％）分）</v>
      </c>
      <c r="C51" s="1860"/>
      <c r="D51" s="1860"/>
      <c r="E51" s="829"/>
      <c r="F51" s="822"/>
      <c r="G51" s="658"/>
      <c r="H51" s="941" t="s">
        <v>90</v>
      </c>
      <c r="I51" s="957">
        <f>'入力（児童数-本園)'!Y3-I53</f>
        <v>0</v>
      </c>
      <c r="J51" s="827">
        <f>M35*$I$5</f>
        <v>0</v>
      </c>
      <c r="K51" s="828">
        <f>J51*$I51*$X$2</f>
        <v>0</v>
      </c>
      <c r="L51" s="820">
        <f>ROUNDDOWN($M35*$I$6,0)</f>
        <v>0</v>
      </c>
      <c r="M51" s="828">
        <f>L51*$I51*$X$2</f>
        <v>0</v>
      </c>
      <c r="N51" s="847">
        <f>ROUNDDOWN($M35*$I$8,0)</f>
        <v>0</v>
      </c>
      <c r="O51" s="848">
        <f>N51*$I51*$X$2</f>
        <v>0</v>
      </c>
      <c r="P51" s="827">
        <f>ROUNDDOWN($M35*$I$10,0)</f>
        <v>0</v>
      </c>
      <c r="Q51" s="828">
        <f>P51*$I51*$X$2</f>
        <v>0</v>
      </c>
      <c r="X51" s="715">
        <v>2018</v>
      </c>
      <c r="Y51" s="173">
        <v>1.8</v>
      </c>
    </row>
    <row r="52" spans="1:25" ht="17.25" hidden="1" customHeight="1">
      <c r="B52" s="1860"/>
      <c r="C52" s="1860"/>
      <c r="D52" s="1860"/>
      <c r="E52" s="658"/>
      <c r="F52" s="658"/>
      <c r="G52" s="658"/>
      <c r="H52" s="941" t="s">
        <v>89</v>
      </c>
      <c r="I52" s="957">
        <f>SUM('入力（児童数-本園)'!Y4:Y6)-I54</f>
        <v>0</v>
      </c>
      <c r="J52" s="827">
        <f>M36*$I$5</f>
        <v>0</v>
      </c>
      <c r="K52" s="828">
        <f>J52*$I52*$X$2</f>
        <v>0</v>
      </c>
      <c r="L52" s="820">
        <f>ROUNDDOWN($M36*$I$6,0)</f>
        <v>0</v>
      </c>
      <c r="M52" s="828">
        <f>L52*$I52*$X$2</f>
        <v>0</v>
      </c>
      <c r="N52" s="847">
        <f>ROUNDDOWN($M36*$I$8,0)</f>
        <v>0</v>
      </c>
      <c r="O52" s="848">
        <f>N52*$I52*$X$2</f>
        <v>0</v>
      </c>
      <c r="P52" s="827">
        <f>ROUNDDOWN($M36*$I$10,0)</f>
        <v>0</v>
      </c>
      <c r="Q52" s="828">
        <f>P52*$I52*$X$2</f>
        <v>0</v>
      </c>
      <c r="X52" s="715">
        <v>2019</v>
      </c>
      <c r="Y52" s="173">
        <v>1</v>
      </c>
    </row>
    <row r="53" spans="1:25" ht="17.25" hidden="1" customHeight="1">
      <c r="A53" s="1834" t="s">
        <v>964</v>
      </c>
      <c r="B53" s="1834"/>
      <c r="C53" s="1834"/>
      <c r="D53" s="1834"/>
      <c r="E53" s="1834"/>
      <c r="F53" s="1834"/>
      <c r="G53" s="1835"/>
      <c r="H53" s="941" t="s">
        <v>107</v>
      </c>
      <c r="I53" s="955">
        <f>Q22</f>
        <v>0</v>
      </c>
      <c r="J53" s="827">
        <f>M37*$I$5</f>
        <v>0</v>
      </c>
      <c r="K53" s="828">
        <f>J53*$Q22*$X$2</f>
        <v>0</v>
      </c>
      <c r="L53" s="820">
        <f>ROUNDDOWN($M37*$I$6,0)</f>
        <v>0</v>
      </c>
      <c r="M53" s="828">
        <f>L53*$Q22*$X$2</f>
        <v>0</v>
      </c>
      <c r="N53" s="847">
        <f>ROUNDDOWN($M37*$I$8,0)</f>
        <v>0</v>
      </c>
      <c r="O53" s="848">
        <f>N53*$Q22*$X$2</f>
        <v>0</v>
      </c>
      <c r="P53" s="827">
        <f>ROUNDDOWN($M37*$I$10,0)</f>
        <v>0</v>
      </c>
      <c r="Q53" s="828">
        <f>P53*$Q22*$X$2</f>
        <v>0</v>
      </c>
    </row>
    <row r="54" spans="1:25" ht="17.25" hidden="1" customHeight="1">
      <c r="A54" s="835"/>
      <c r="B54" s="835"/>
      <c r="C54" s="835"/>
      <c r="D54" s="835"/>
      <c r="E54" s="835"/>
      <c r="F54" s="822"/>
      <c r="G54" s="658"/>
      <c r="H54" s="941" t="s">
        <v>106</v>
      </c>
      <c r="I54" s="955">
        <f>Q23</f>
        <v>0</v>
      </c>
      <c r="J54" s="827">
        <f>M38*$I$5</f>
        <v>0</v>
      </c>
      <c r="K54" s="828">
        <f>J54*$Q23*$X$2</f>
        <v>0</v>
      </c>
      <c r="L54" s="820">
        <f>ROUNDDOWN($M38*$I$6,0)</f>
        <v>0</v>
      </c>
      <c r="M54" s="828">
        <f>L54*$Q23*$X$2</f>
        <v>0</v>
      </c>
      <c r="N54" s="847">
        <f>ROUNDDOWN($M38*$I$8,0)</f>
        <v>0</v>
      </c>
      <c r="O54" s="848">
        <f>N54*$Q23*$X$2</f>
        <v>0</v>
      </c>
      <c r="P54" s="827">
        <f>ROUNDDOWN($M38*$I$10,0)</f>
        <v>0</v>
      </c>
      <c r="Q54" s="828">
        <f>P54*$Q23*$X$2</f>
        <v>0</v>
      </c>
      <c r="Y54" s="840"/>
    </row>
    <row r="55" spans="1:25" ht="24" hidden="1" customHeight="1">
      <c r="A55" s="1772" t="s">
        <v>814</v>
      </c>
      <c r="B55" s="1772"/>
      <c r="C55" s="1772"/>
      <c r="D55" s="1772"/>
      <c r="E55" s="1756">
        <f>$M$62</f>
        <v>0</v>
      </c>
      <c r="F55" s="1757"/>
      <c r="G55" s="658"/>
      <c r="H55" s="890"/>
      <c r="I55" s="909"/>
      <c r="J55" s="890"/>
      <c r="K55" s="891"/>
      <c r="L55" s="375"/>
      <c r="M55" s="831"/>
      <c r="N55" s="892"/>
      <c r="O55" s="831"/>
      <c r="P55" s="892"/>
      <c r="Q55" s="831"/>
    </row>
    <row r="56" spans="1:25" ht="33.75" hidden="1" customHeight="1">
      <c r="A56" s="1860" t="str">
        <f>CONCATENATE("（加算Ⅰ新規事由に係る加算率（",I6,"％）分）")</f>
        <v>（加算Ⅰ新規事由に係る加算率（％）分）</v>
      </c>
      <c r="B56" s="1860"/>
      <c r="C56" s="1860"/>
      <c r="D56" s="1860"/>
      <c r="E56" s="893"/>
      <c r="F56" s="658"/>
      <c r="G56" s="658"/>
      <c r="H56" s="1825" t="s">
        <v>102</v>
      </c>
      <c r="I56" s="1848" t="s">
        <v>892</v>
      </c>
      <c r="J56" s="1837" t="str">
        <f>"B×賃金改善率（"&amp;$I$5&amp;"％）"</f>
        <v>B×賃金改善率（％）</v>
      </c>
      <c r="K56" s="1839" t="str">
        <f>CONCATENATE("×利用児童数×",$X$2,"月")</f>
        <v>×利用児童数×12月</v>
      </c>
      <c r="L56" s="1842" t="str">
        <f>"B×加算Ⅰ新規事由に係る率（"&amp;$I$6&amp;"％）"</f>
        <v>B×加算Ⅰ新規事由に係る率（％）</v>
      </c>
      <c r="M56" s="1839" t="str">
        <f>CONCATENATE("×利用児童数×",$X$2,"月")</f>
        <v>×利用児童数×12月</v>
      </c>
      <c r="N56" s="1837" t="str">
        <f>"B×人勧影響率（"&amp;$I$8&amp;"％）"</f>
        <v>B×人勧影響率（％）</v>
      </c>
      <c r="O56" s="1839" t="str">
        <f>CONCATENATE("×利用児童数×",$X$2,"月")</f>
        <v>×利用児童数×12月</v>
      </c>
      <c r="P56" s="1837" t="str">
        <f>"B×人勧影響率（"&amp;$I$10&amp;"％）"</f>
        <v>B×人勧影響率（％）</v>
      </c>
      <c r="Q56" s="1839" t="str">
        <f>CONCATENATE("×利用児童数×",$X$2,"月")</f>
        <v>×利用児童数×12月</v>
      </c>
    </row>
    <row r="57" spans="1:25" ht="17.25" hidden="1" customHeight="1">
      <c r="A57" s="1860"/>
      <c r="B57" s="1860"/>
      <c r="C57" s="1860"/>
      <c r="D57" s="1860"/>
      <c r="E57" s="893"/>
      <c r="F57" s="822"/>
      <c r="G57" s="658"/>
      <c r="H57" s="1826"/>
      <c r="I57" s="1847"/>
      <c r="J57" s="1838"/>
      <c r="K57" s="1840"/>
      <c r="L57" s="1843"/>
      <c r="M57" s="1840"/>
      <c r="N57" s="1838"/>
      <c r="O57" s="1840"/>
      <c r="P57" s="1838"/>
      <c r="Q57" s="1840"/>
    </row>
    <row r="58" spans="1:25" ht="24" hidden="1">
      <c r="A58" s="1772" t="s">
        <v>813</v>
      </c>
      <c r="B58" s="1772"/>
      <c r="C58" s="1772"/>
      <c r="D58" s="1772"/>
      <c r="E58" s="1795">
        <f>$O$62</f>
        <v>0</v>
      </c>
      <c r="F58" s="1795"/>
      <c r="G58" s="658"/>
      <c r="H58" s="941" t="s">
        <v>90</v>
      </c>
      <c r="I58" s="957">
        <f>'入力（児童数-本園)'!Z3-I60</f>
        <v>0</v>
      </c>
      <c r="J58" s="827">
        <f>M42*$I$5</f>
        <v>0</v>
      </c>
      <c r="K58" s="828">
        <f>J58*$I58*$X$2</f>
        <v>0</v>
      </c>
      <c r="L58" s="827">
        <f>ROUNDDOWN($M42*$I$6,0)</f>
        <v>0</v>
      </c>
      <c r="M58" s="828">
        <f>L58*$I58*$X$2</f>
        <v>0</v>
      </c>
      <c r="N58" s="847">
        <f>ROUNDDOWN($M42*$I$8,0)</f>
        <v>0</v>
      </c>
      <c r="O58" s="848">
        <f>N58*$I58*$X$2</f>
        <v>0</v>
      </c>
      <c r="P58" s="827">
        <f>ROUNDDOWN($M42*$I$10,0)</f>
        <v>0</v>
      </c>
      <c r="Q58" s="828">
        <f>P58*$I58*$X$2</f>
        <v>0</v>
      </c>
    </row>
    <row r="59" spans="1:25" ht="18.75" hidden="1">
      <c r="A59" s="1860" t="str">
        <f>CONCATENATE("（処遇Ⅰの基準年度の翌年～当年度まで（",I8,"％）分）")</f>
        <v>（処遇Ⅰの基準年度の翌年～当年度まで（％）分）</v>
      </c>
      <c r="B59" s="1860"/>
      <c r="C59" s="1860"/>
      <c r="D59" s="1860"/>
      <c r="E59" s="893"/>
      <c r="F59" s="658"/>
      <c r="G59" s="658"/>
      <c r="H59" s="941" t="s">
        <v>89</v>
      </c>
      <c r="I59" s="957">
        <f>SUM('入力（児童数-本園)'!Z4:Z6)-I61</f>
        <v>0</v>
      </c>
      <c r="J59" s="827">
        <f>M43*$I$5</f>
        <v>0</v>
      </c>
      <c r="K59" s="828">
        <f>J59*$I59*$X$2</f>
        <v>0</v>
      </c>
      <c r="L59" s="827">
        <f>ROUNDDOWN($M43*$I$6,0)</f>
        <v>0</v>
      </c>
      <c r="M59" s="828">
        <f>L59*$I59*$X$2</f>
        <v>0</v>
      </c>
      <c r="N59" s="847">
        <f>ROUNDDOWN($M43*$I$8,0)</f>
        <v>0</v>
      </c>
      <c r="O59" s="848">
        <f>N59*$I59*$X$2</f>
        <v>0</v>
      </c>
      <c r="P59" s="827">
        <f>ROUNDDOWN($M43*$I$10,0)</f>
        <v>0</v>
      </c>
      <c r="Q59" s="828">
        <f>P59*$I59*$X$2</f>
        <v>0</v>
      </c>
    </row>
    <row r="60" spans="1:25" ht="18.75" hidden="1">
      <c r="A60" s="1860"/>
      <c r="B60" s="1860"/>
      <c r="C60" s="1860"/>
      <c r="D60" s="1860"/>
      <c r="E60" s="893"/>
      <c r="F60" s="658"/>
      <c r="G60" s="658"/>
      <c r="H60" s="941" t="s">
        <v>107</v>
      </c>
      <c r="I60" s="955">
        <f>Q27</f>
        <v>0</v>
      </c>
      <c r="J60" s="827">
        <f>M44*$I$5</f>
        <v>0</v>
      </c>
      <c r="K60" s="828">
        <f>J60*$Q27*$X$2</f>
        <v>0</v>
      </c>
      <c r="L60" s="827">
        <f>ROUNDDOWN($M44*$I$6,0)</f>
        <v>0</v>
      </c>
      <c r="M60" s="828">
        <f>L60*$Q27*$X$2</f>
        <v>0</v>
      </c>
      <c r="N60" s="847">
        <f>ROUNDDOWN($M44*$I$8,0)</f>
        <v>0</v>
      </c>
      <c r="O60" s="848">
        <f>N60*$Q27*$X$2</f>
        <v>0</v>
      </c>
      <c r="P60" s="827">
        <f>ROUNDDOWN($M44*$I$10,0)</f>
        <v>0</v>
      </c>
      <c r="Q60" s="828">
        <f>P60*$Q27*$X$2</f>
        <v>0</v>
      </c>
    </row>
    <row r="61" spans="1:25" ht="17.25" hidden="1" customHeight="1" thickBot="1">
      <c r="A61" s="658"/>
      <c r="B61" s="658"/>
      <c r="C61" s="375"/>
      <c r="D61" s="403"/>
      <c r="E61" s="839"/>
      <c r="F61" s="658"/>
      <c r="G61" s="658"/>
      <c r="H61" s="941" t="s">
        <v>106</v>
      </c>
      <c r="I61" s="955">
        <f>Q28</f>
        <v>0</v>
      </c>
      <c r="J61" s="827">
        <f>M45*$I$5</f>
        <v>0</v>
      </c>
      <c r="K61" s="894">
        <f>J61*$Q28*$X$2</f>
        <v>0</v>
      </c>
      <c r="L61" s="827">
        <f>ROUNDDOWN($M45*$I$6,0)</f>
        <v>0</v>
      </c>
      <c r="M61" s="894">
        <f>L61*$Q28*$X$2</f>
        <v>0</v>
      </c>
      <c r="N61" s="847">
        <f>ROUNDDOWN($M45*$I$8,0)</f>
        <v>0</v>
      </c>
      <c r="O61" s="896">
        <f>N61*$Q28*$X$2</f>
        <v>0</v>
      </c>
      <c r="P61" s="827">
        <f>ROUNDDOWN($M45*$I$10,0)</f>
        <v>0</v>
      </c>
      <c r="Q61" s="894">
        <f>P61*$Q28*$X$2</f>
        <v>0</v>
      </c>
    </row>
    <row r="62" spans="1:25" ht="24.75" hidden="1" customHeight="1" thickTop="1" thickBot="1">
      <c r="A62" s="1772" t="s">
        <v>813</v>
      </c>
      <c r="B62" s="1772"/>
      <c r="C62" s="1772"/>
      <c r="D62" s="1772"/>
      <c r="E62" s="1795">
        <f>$Q$62</f>
        <v>0</v>
      </c>
      <c r="F62" s="1795"/>
      <c r="G62" s="658"/>
      <c r="H62" s="832" t="s">
        <v>0</v>
      </c>
      <c r="I62" s="950">
        <f>SUM(I51:I54,I58:I61)</f>
        <v>0</v>
      </c>
      <c r="J62" s="834" t="s">
        <v>148</v>
      </c>
      <c r="K62" s="868">
        <f>ROUNDDOWN(SUM(K51:K54,K58:K61),-3)</f>
        <v>0</v>
      </c>
      <c r="L62" s="834" t="s">
        <v>148</v>
      </c>
      <c r="M62" s="868">
        <f>ROUNDDOWN(SUM(M51:M54,M58:M61),-3)</f>
        <v>0</v>
      </c>
      <c r="N62" s="834" t="s">
        <v>0</v>
      </c>
      <c r="O62" s="872">
        <f>ROUNDDOWN(SUM(O51:O54,O58:O61),-3)</f>
        <v>0</v>
      </c>
      <c r="P62" s="834" t="s">
        <v>0</v>
      </c>
      <c r="Q62" s="868">
        <f>ROUNDDOWN(SUM(Q51:Q54,Q58:Q61),-3)</f>
        <v>0</v>
      </c>
    </row>
    <row r="63" spans="1:25" ht="18.75" hidden="1">
      <c r="A63" s="1860" t="str">
        <f>CONCATENATE("（処遇Ⅱの基準年度の翌年～当年度まで（",I10,"％）分）")</f>
        <v>（処遇Ⅱの基準年度の翌年～当年度まで（％）分）</v>
      </c>
      <c r="B63" s="1860"/>
      <c r="C63" s="1860"/>
      <c r="D63" s="1860"/>
      <c r="E63" s="893"/>
      <c r="F63" s="658"/>
      <c r="G63" s="658"/>
      <c r="H63" s="658"/>
      <c r="I63" s="658"/>
      <c r="J63" s="658"/>
      <c r="K63" s="658"/>
      <c r="L63" s="658"/>
      <c r="M63" s="658"/>
      <c r="N63" s="658"/>
      <c r="O63" s="658"/>
      <c r="P63" s="658"/>
      <c r="Q63" s="658"/>
    </row>
    <row r="64" spans="1:25" ht="18.75" hidden="1">
      <c r="A64" s="1860"/>
      <c r="B64" s="1860"/>
      <c r="C64" s="1860"/>
      <c r="D64" s="1860"/>
      <c r="E64" s="893"/>
      <c r="F64" s="658"/>
      <c r="G64" s="658"/>
      <c r="H64" s="658"/>
      <c r="I64" s="658"/>
      <c r="J64" s="658"/>
      <c r="K64" s="658"/>
      <c r="L64" s="658"/>
      <c r="M64" s="658"/>
      <c r="N64" s="658"/>
      <c r="O64" s="658"/>
      <c r="P64" s="658"/>
      <c r="Q64" s="658"/>
    </row>
    <row r="65" spans="1:17" hidden="1">
      <c r="A65" s="895"/>
      <c r="B65" s="895"/>
      <c r="C65" s="881"/>
      <c r="D65" s="427"/>
      <c r="E65" s="658"/>
      <c r="F65" s="658"/>
      <c r="G65" s="658"/>
      <c r="H65" s="658"/>
      <c r="I65" s="658"/>
      <c r="J65" s="658"/>
      <c r="K65" s="658"/>
      <c r="L65" s="658"/>
      <c r="M65" s="658"/>
      <c r="N65" s="658"/>
      <c r="O65" s="658"/>
      <c r="P65" s="658"/>
      <c r="Q65" s="658"/>
    </row>
    <row r="66" spans="1:17" hidden="1">
      <c r="A66" s="658"/>
      <c r="B66" s="658"/>
      <c r="C66" s="658"/>
      <c r="D66" s="658"/>
      <c r="E66" s="658"/>
      <c r="F66" s="658"/>
      <c r="G66" s="658"/>
      <c r="H66" s="658"/>
      <c r="I66" s="658"/>
      <c r="J66" s="658"/>
      <c r="K66" s="658"/>
      <c r="L66" s="658"/>
      <c r="M66" s="658"/>
      <c r="N66" s="658"/>
      <c r="O66" s="658"/>
      <c r="P66" s="658"/>
      <c r="Q66" s="658"/>
    </row>
  </sheetData>
  <sheetProtection algorithmName="SHA-512" hashValue="YMUQ9O0ky91NMRe9gBTMoipEVwB/y3gb6jYYdiNxE2cZOuiaTFP9t6A7eLcn6eNcBL2F9Zi/nRcKs+qPs6RLWw==" saltValue="WXIZLZnsDT8LO0/UeOL01w==" spinCount="100000" sheet="1" objects="1" scenarios="1"/>
  <customSheetViews>
    <customSheetView guid="{2E52E5FF-9846-4DC5-A671-268FE925398C}" scale="80" showPageBreaks="1" fitToPage="1" printArea="1" hiddenColumns="1" view="pageBreakPreview">
      <selection activeCell="D20" sqref="D20"/>
      <pageMargins left="0.70866141732283472" right="0.70866141732283472" top="0.74803149606299213" bottom="0.74803149606299213" header="0.31496062992125984" footer="0.31496062992125984"/>
      <pageSetup paperSize="9" scale="48" orientation="landscape" r:id="rId1"/>
    </customSheetView>
    <customSheetView guid="{BADA99B3-B36A-4925-87A7-F72FC97D3DBA}" scale="80" showPageBreaks="1" fitToPage="1" printArea="1" view="pageBreakPreview" topLeftCell="A31">
      <selection activeCell="X35" sqref="X35"/>
      <pageMargins left="0.70866141732283472" right="0.70866141732283472" top="0.74803149606299213" bottom="0.74803149606299213" header="0.31496062992125984" footer="0.31496062992125984"/>
      <pageSetup paperSize="9" scale="48" orientation="landscape" r:id="rId2"/>
    </customSheetView>
  </customSheetViews>
  <mergeCells count="91">
    <mergeCell ref="A63:D64"/>
    <mergeCell ref="J48:K48"/>
    <mergeCell ref="N48:O48"/>
    <mergeCell ref="P48:Q48"/>
    <mergeCell ref="E58:F58"/>
    <mergeCell ref="A56:D57"/>
    <mergeCell ref="P49:P50"/>
    <mergeCell ref="Q49:Q50"/>
    <mergeCell ref="P56:P57"/>
    <mergeCell ref="Q56:Q57"/>
    <mergeCell ref="A59:D60"/>
    <mergeCell ref="A62:D62"/>
    <mergeCell ref="E62:F62"/>
    <mergeCell ref="J49:J50"/>
    <mergeCell ref="A50:D50"/>
    <mergeCell ref="A55:D55"/>
    <mergeCell ref="J40:J41"/>
    <mergeCell ref="L40:L41"/>
    <mergeCell ref="M40:M41"/>
    <mergeCell ref="J33:J34"/>
    <mergeCell ref="L33:L34"/>
    <mergeCell ref="D9:E9"/>
    <mergeCell ref="A58:D58"/>
    <mergeCell ref="E50:F50"/>
    <mergeCell ref="B43:C43"/>
    <mergeCell ref="B42:C42"/>
    <mergeCell ref="E55:F55"/>
    <mergeCell ref="B51:D52"/>
    <mergeCell ref="B44:C44"/>
    <mergeCell ref="B45:C45"/>
    <mergeCell ref="D40:D41"/>
    <mergeCell ref="B38:C38"/>
    <mergeCell ref="B9:C9"/>
    <mergeCell ref="B21:C21"/>
    <mergeCell ref="B24:C24"/>
    <mergeCell ref="B16:C16"/>
    <mergeCell ref="B17:C18"/>
    <mergeCell ref="I33:I34"/>
    <mergeCell ref="B37:C37"/>
    <mergeCell ref="F33:F34"/>
    <mergeCell ref="B23:C23"/>
    <mergeCell ref="D32:M32"/>
    <mergeCell ref="B29:C29"/>
    <mergeCell ref="B33:C34"/>
    <mergeCell ref="D33:D34"/>
    <mergeCell ref="E33:E34"/>
    <mergeCell ref="M33:M34"/>
    <mergeCell ref="G33:G34"/>
    <mergeCell ref="H33:H34"/>
    <mergeCell ref="B36:C36"/>
    <mergeCell ref="B26:C26"/>
    <mergeCell ref="B32:C32"/>
    <mergeCell ref="B35:C35"/>
    <mergeCell ref="B25:C25"/>
    <mergeCell ref="B27:C27"/>
    <mergeCell ref="B28:C28"/>
    <mergeCell ref="B22:C22"/>
    <mergeCell ref="B8:C8"/>
    <mergeCell ref="B5:C5"/>
    <mergeCell ref="A2:Q3"/>
    <mergeCell ref="B4:D4"/>
    <mergeCell ref="N1:Q1"/>
    <mergeCell ref="B6:C6"/>
    <mergeCell ref="D5:E5"/>
    <mergeCell ref="D6:E6"/>
    <mergeCell ref="D7:E7"/>
    <mergeCell ref="D8:E8"/>
    <mergeCell ref="N56:N57"/>
    <mergeCell ref="O56:O57"/>
    <mergeCell ref="L48:M48"/>
    <mergeCell ref="J56:J57"/>
    <mergeCell ref="K56:K57"/>
    <mergeCell ref="K49:K50"/>
    <mergeCell ref="L56:L57"/>
    <mergeCell ref="M56:M57"/>
    <mergeCell ref="N49:N50"/>
    <mergeCell ref="O49:O50"/>
    <mergeCell ref="L49:L50"/>
    <mergeCell ref="M49:M50"/>
    <mergeCell ref="I49:I50"/>
    <mergeCell ref="I56:I57"/>
    <mergeCell ref="H56:H57"/>
    <mergeCell ref="H40:H41"/>
    <mergeCell ref="B40:C41"/>
    <mergeCell ref="E40:E41"/>
    <mergeCell ref="F40:F41"/>
    <mergeCell ref="H48:I48"/>
    <mergeCell ref="H49:H50"/>
    <mergeCell ref="A53:G53"/>
    <mergeCell ref="G40:G41"/>
    <mergeCell ref="I40:I41"/>
  </mergeCells>
  <phoneticPr fontId="4"/>
  <conditionalFormatting sqref="I27:O28 D22:O23">
    <cfRule type="expression" dxfId="319" priority="1">
      <formula>D$21=""</formula>
    </cfRule>
  </conditionalFormatting>
  <conditionalFormatting sqref="D27:H28">
    <cfRule type="expression" dxfId="318" priority="344">
      <formula>D$21=""</formula>
    </cfRule>
  </conditionalFormatting>
  <dataValidations count="5">
    <dataValidation type="list" allowBlank="1" showInputMessage="1" showErrorMessage="1" sqref="D18:E18 G18:I18" xr:uid="{00000000-0002-0000-0D00-000000000000}">
      <formula1>$Y$3:$Y$4</formula1>
    </dataValidation>
    <dataValidation type="list" allowBlank="1" showInputMessage="1" showErrorMessage="1" sqref="K18" xr:uid="{00000000-0002-0000-0D00-000001000000}">
      <formula1>$Y$2:$Y$4</formula1>
    </dataValidation>
    <dataValidation type="list" allowBlank="1" showInputMessage="1" showErrorMessage="1" sqref="L18" xr:uid="{00000000-0002-0000-0D00-000002000000}">
      <formula1>$AA$2:$AA$5</formula1>
    </dataValidation>
    <dataValidation type="list" allowBlank="1" showInputMessage="1" showErrorMessage="1" sqref="J18" xr:uid="{00000000-0002-0000-0D00-000003000000}">
      <formula1>$Z$2:$Z$7</formula1>
    </dataValidation>
    <dataValidation type="whole" operator="greaterThanOrEqual" allowBlank="1" showInputMessage="1" showErrorMessage="1" sqref="F18" xr:uid="{00000000-0002-0000-0D00-000004000000}">
      <formula1>0</formula1>
    </dataValidation>
  </dataValidations>
  <printOptions horizontalCentered="1"/>
  <pageMargins left="0.70866141732283472" right="0.70866141732283472" top="0.74803149606299213" bottom="0.74803149606299213" header="0.31496062992125984" footer="0.31496062992125984"/>
  <pageSetup paperSize="9" scale="52"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1"/>
  </sheetPr>
  <dimension ref="A2:C24"/>
  <sheetViews>
    <sheetView view="pageBreakPreview" zoomScaleNormal="100" zoomScaleSheetLayoutView="100" workbookViewId="0">
      <selection activeCell="M15" sqref="M15"/>
    </sheetView>
  </sheetViews>
  <sheetFormatPr defaultRowHeight="13.5"/>
  <cols>
    <col min="1" max="1" width="12.75" customWidth="1"/>
    <col min="2" max="2" width="38.875" bestFit="1" customWidth="1"/>
    <col min="3" max="3" width="110.875" customWidth="1"/>
  </cols>
  <sheetData>
    <row r="2" spans="1:3" ht="17.25">
      <c r="A2" s="972" t="s">
        <v>906</v>
      </c>
      <c r="B2" s="973"/>
      <c r="C2" s="973"/>
    </row>
    <row r="3" spans="1:3" ht="17.25">
      <c r="A3" s="974"/>
      <c r="B3" s="973"/>
      <c r="C3" s="973"/>
    </row>
    <row r="4" spans="1:3" ht="17.25">
      <c r="A4" s="975" t="s">
        <v>913</v>
      </c>
      <c r="B4" s="973"/>
      <c r="C4" s="973"/>
    </row>
    <row r="5" spans="1:3" ht="24.75" customHeight="1">
      <c r="A5" s="973"/>
      <c r="B5" s="1102" t="s">
        <v>907</v>
      </c>
      <c r="C5" s="1103" t="s">
        <v>912</v>
      </c>
    </row>
    <row r="6" spans="1:3" ht="33" customHeight="1">
      <c r="A6" s="973"/>
      <c r="B6" s="1102" t="s">
        <v>908</v>
      </c>
      <c r="C6" s="1104" t="s">
        <v>1004</v>
      </c>
    </row>
    <row r="7" spans="1:3" ht="24.75" customHeight="1">
      <c r="A7" s="973"/>
      <c r="B7" s="1102" t="s">
        <v>909</v>
      </c>
      <c r="C7" s="1105" t="s">
        <v>911</v>
      </c>
    </row>
    <row r="8" spans="1:3" ht="33" customHeight="1">
      <c r="A8" s="973"/>
      <c r="B8" s="1106" t="s">
        <v>910</v>
      </c>
      <c r="C8" s="1104" t="s">
        <v>1005</v>
      </c>
    </row>
    <row r="9" spans="1:3" ht="33" customHeight="1">
      <c r="A9" s="973"/>
      <c r="B9" s="1102" t="s">
        <v>1006</v>
      </c>
      <c r="C9" s="1107" t="s">
        <v>1007</v>
      </c>
    </row>
    <row r="10" spans="1:3" ht="33" customHeight="1">
      <c r="A10" s="973"/>
      <c r="B10" s="1102" t="s">
        <v>914</v>
      </c>
      <c r="C10" s="1104" t="s">
        <v>1008</v>
      </c>
    </row>
    <row r="11" spans="1:3" ht="17.25" customHeight="1">
      <c r="A11" s="973"/>
      <c r="B11" s="976"/>
      <c r="C11" s="976"/>
    </row>
    <row r="12" spans="1:3" ht="17.25">
      <c r="A12" s="973"/>
      <c r="B12" s="977"/>
      <c r="C12" s="973"/>
    </row>
    <row r="13" spans="1:3" ht="17.25">
      <c r="A13" s="973"/>
      <c r="B13" s="977"/>
      <c r="C13" s="973"/>
    </row>
    <row r="14" spans="1:3" ht="17.25">
      <c r="A14" s="973"/>
      <c r="B14" s="974"/>
      <c r="C14" s="973"/>
    </row>
    <row r="15" spans="1:3" ht="17.25">
      <c r="A15" s="973"/>
      <c r="B15" s="974"/>
      <c r="C15" s="973"/>
    </row>
    <row r="16" spans="1:3" ht="17.25">
      <c r="A16" s="973"/>
      <c r="B16" s="974"/>
      <c r="C16" s="973"/>
    </row>
    <row r="17" spans="1:3" ht="17.25">
      <c r="A17" s="973"/>
      <c r="B17" s="974"/>
      <c r="C17" s="973"/>
    </row>
    <row r="18" spans="1:3" ht="17.25">
      <c r="A18" s="973"/>
      <c r="B18" s="974"/>
      <c r="C18" s="973"/>
    </row>
    <row r="19" spans="1:3" ht="17.25">
      <c r="A19" s="973"/>
      <c r="B19" s="974"/>
      <c r="C19" s="973"/>
    </row>
    <row r="20" spans="1:3" ht="17.25">
      <c r="A20" s="973"/>
      <c r="B20" s="974"/>
      <c r="C20" s="973"/>
    </row>
    <row r="21" spans="1:3" ht="17.25">
      <c r="A21" s="973"/>
      <c r="B21" s="974"/>
      <c r="C21" s="973"/>
    </row>
    <row r="22" spans="1:3" ht="17.25">
      <c r="A22" s="973"/>
      <c r="B22" s="978"/>
      <c r="C22" s="979"/>
    </row>
    <row r="23" spans="1:3" ht="17.25">
      <c r="A23" s="973"/>
      <c r="B23" s="978"/>
      <c r="C23" s="979"/>
    </row>
    <row r="24" spans="1:3" ht="17.25">
      <c r="A24" s="973"/>
      <c r="B24" s="979"/>
      <c r="C24" s="979"/>
    </row>
  </sheetData>
  <sheetProtection algorithmName="SHA-512" hashValue="VU0ydeE1za09L3+6MAfIOjgXfx/wNeM57B6gHJQEXCJvBhPyznyu0UfnDU2h8HrMeWU5pNmLB825mIRDqi6oHA==" saltValue="0DC/pWcKBhpPmbpxg6o8ag==" spinCount="100000" sheet="1" objects="1" scenarios="1"/>
  <customSheetViews>
    <customSheetView guid="{2E52E5FF-9846-4DC5-A671-268FE925398C}" showPageBreaks="1" printArea="1" state="hidden" view="pageBreakPreview" topLeftCell="A10">
      <selection activeCell="E13" sqref="E13:E14"/>
      <pageMargins left="0.7" right="0.7" top="0.75" bottom="0.75" header="0.3" footer="0.3"/>
      <pageSetup paperSize="9" scale="82" orientation="landscape" r:id="rId1"/>
    </customSheetView>
    <customSheetView guid="{BADA99B3-B36A-4925-87A7-F72FC97D3DBA}" showPageBreaks="1" printArea="1" state="hidden" view="pageBreakPreview" topLeftCell="A10">
      <selection activeCell="E13" sqref="E13:E14"/>
      <pageMargins left="0.7" right="0.7" top="0.75" bottom="0.75" header="0.3" footer="0.3"/>
      <pageSetup paperSize="9" scale="82" orientation="landscape" r:id="rId2"/>
    </customSheetView>
  </customSheetViews>
  <phoneticPr fontId="4"/>
  <pageMargins left="0.7" right="0.7" top="0.75" bottom="0.75" header="0.3" footer="0.3"/>
  <pageSetup paperSize="9" scale="82" orientation="landscape"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tabColor theme="6" tint="0.59999389629810485"/>
    <pageSetUpPr fitToPage="1"/>
  </sheetPr>
  <dimension ref="A1:AE63"/>
  <sheetViews>
    <sheetView view="pageBreakPreview" zoomScale="55" zoomScaleNormal="70" zoomScaleSheetLayoutView="55" workbookViewId="0"/>
  </sheetViews>
  <sheetFormatPr defaultColWidth="8.875" defaultRowHeight="17.25" outlineLevelCol="1"/>
  <cols>
    <col min="1" max="1" width="18" style="659" customWidth="1"/>
    <col min="2" max="3" width="11.875" style="659" customWidth="1"/>
    <col min="4" max="7" width="17.5" style="659" customWidth="1"/>
    <col min="8" max="8" width="19.875" style="659" customWidth="1"/>
    <col min="9" max="17" width="17.5" style="659" customWidth="1"/>
    <col min="18" max="20" width="15.625" style="659" hidden="1" customWidth="1" outlineLevel="1"/>
    <col min="21" max="23" width="8.875" style="659" hidden="1" customWidth="1" outlineLevel="1"/>
    <col min="24" max="24" width="10.25" style="659" hidden="1" customWidth="1" outlineLevel="1"/>
    <col min="25" max="30" width="8.875" style="659" hidden="1" customWidth="1" outlineLevel="1"/>
    <col min="31" max="31" width="8.875" style="659" collapsed="1"/>
    <col min="32" max="16384" width="8.875" style="659"/>
  </cols>
  <sheetData>
    <row r="1" spans="1:30" ht="20.100000000000001" customHeight="1" thickBot="1">
      <c r="A1" s="796" t="str">
        <f ca="1">RIGHT(CELL("filename",A4),LEN(CELL("filename",A4))-FIND("]",CELL("filename",A4)))</f>
        <v>入力（加算）事19</v>
      </c>
      <c r="B1" s="658"/>
      <c r="C1" s="658"/>
      <c r="D1" s="658"/>
      <c r="E1" s="658"/>
      <c r="F1" s="658"/>
      <c r="G1" s="658"/>
      <c r="H1" s="658"/>
      <c r="I1" s="658"/>
      <c r="J1" s="658"/>
      <c r="K1" s="658"/>
      <c r="L1" s="658"/>
      <c r="M1" s="658"/>
      <c r="N1" s="1777" t="str">
        <f>CONCATENATE('入力（基本)'!G11)</f>
        <v/>
      </c>
      <c r="O1" s="1777"/>
      <c r="P1" s="1777"/>
      <c r="Q1" s="1777"/>
      <c r="W1" s="663" t="s">
        <v>134</v>
      </c>
      <c r="X1" s="795" t="s">
        <v>184</v>
      </c>
      <c r="Y1" s="662" t="s">
        <v>182</v>
      </c>
      <c r="Z1" s="662" t="s">
        <v>505</v>
      </c>
      <c r="AA1" s="663" t="s">
        <v>521</v>
      </c>
      <c r="AB1" s="663" t="s">
        <v>181</v>
      </c>
      <c r="AC1" s="662" t="s">
        <v>180</v>
      </c>
      <c r="AD1" s="663" t="s">
        <v>527</v>
      </c>
    </row>
    <row r="2" spans="1:30" ht="20.100000000000001" customHeight="1" thickBot="1">
      <c r="A2" s="1850" t="s">
        <v>869</v>
      </c>
      <c r="B2" s="1850"/>
      <c r="C2" s="1850"/>
      <c r="D2" s="1850"/>
      <c r="E2" s="1850"/>
      <c r="F2" s="1850"/>
      <c r="G2" s="1850"/>
      <c r="H2" s="1850"/>
      <c r="I2" s="1850"/>
      <c r="J2" s="1850"/>
      <c r="K2" s="1850"/>
      <c r="L2" s="1850"/>
      <c r="M2" s="1850"/>
      <c r="N2" s="1850"/>
      <c r="O2" s="1850"/>
      <c r="P2" s="1850"/>
      <c r="Q2" s="1850"/>
      <c r="W2" s="797"/>
      <c r="X2" s="798">
        <f>IF(ISERROR(VLOOKUP($D$10,$W$3:$X$14,2,FALSE)+1-VLOOKUP($D$9,$W$3:$X$14,2,FALSE)),0,VLOOKUP($D$10,$W$3:$X$14,2,FALSE)+1-VLOOKUP($D$9,$W$3:$X$14,2,FALSE))</f>
        <v>12</v>
      </c>
      <c r="Y2" s="662"/>
      <c r="Z2" s="662"/>
      <c r="AA2" s="663"/>
      <c r="AB2" s="663"/>
      <c r="AC2" s="662"/>
      <c r="AD2" s="875">
        <f>IF($K$30="あり",VLOOKUP($D$8,'事業所内保育事業（19人以下A）'!B33:BG35,58,TRUE),1)</f>
        <v>1</v>
      </c>
    </row>
    <row r="3" spans="1:30" ht="20.100000000000001" customHeight="1">
      <c r="A3" s="1850"/>
      <c r="B3" s="1850"/>
      <c r="C3" s="1850"/>
      <c r="D3" s="1850"/>
      <c r="E3" s="1850"/>
      <c r="F3" s="1850"/>
      <c r="G3" s="1850"/>
      <c r="H3" s="1850"/>
      <c r="I3" s="1850"/>
      <c r="J3" s="1850"/>
      <c r="K3" s="1850"/>
      <c r="L3" s="1850"/>
      <c r="M3" s="1850"/>
      <c r="N3" s="1850"/>
      <c r="O3" s="1850"/>
      <c r="P3" s="1850"/>
      <c r="Q3" s="1850"/>
      <c r="W3" s="660">
        <v>4</v>
      </c>
      <c r="X3" s="661">
        <v>1</v>
      </c>
      <c r="Y3" s="662" t="s">
        <v>18</v>
      </c>
      <c r="Z3" s="173" t="s">
        <v>189</v>
      </c>
      <c r="AA3" s="663" t="s">
        <v>519</v>
      </c>
      <c r="AB3" s="172">
        <v>3</v>
      </c>
      <c r="AC3" s="173">
        <v>6.3</v>
      </c>
    </row>
    <row r="4" spans="1:30" ht="20.100000000000001" customHeight="1">
      <c r="A4" s="658"/>
      <c r="B4" s="658"/>
      <c r="C4" s="658"/>
      <c r="D4" s="658"/>
      <c r="E4" s="658"/>
      <c r="F4" s="973"/>
      <c r="G4" s="973"/>
      <c r="H4" s="973"/>
      <c r="I4" s="973"/>
      <c r="J4" s="973"/>
      <c r="K4" s="973"/>
      <c r="L4" s="973"/>
      <c r="M4" s="973"/>
      <c r="N4" s="973"/>
      <c r="O4" s="658"/>
      <c r="P4" s="658"/>
      <c r="Q4" s="658"/>
      <c r="W4" s="660">
        <v>5</v>
      </c>
      <c r="X4" s="661">
        <v>2</v>
      </c>
      <c r="Y4" s="662" t="s">
        <v>19</v>
      </c>
      <c r="Z4" s="173" t="s">
        <v>507</v>
      </c>
      <c r="AA4" s="663" t="s">
        <v>522</v>
      </c>
      <c r="AB4" s="172">
        <v>4</v>
      </c>
      <c r="AC4" s="173">
        <v>4.3</v>
      </c>
    </row>
    <row r="5" spans="1:30" ht="20.100000000000001" customHeight="1">
      <c r="A5" s="658"/>
      <c r="B5" s="1718" t="s">
        <v>831</v>
      </c>
      <c r="C5" s="1718"/>
      <c r="D5" s="1718"/>
      <c r="E5" s="658"/>
      <c r="F5" s="973"/>
      <c r="G5" s="973"/>
      <c r="H5" s="973"/>
      <c r="I5" s="973"/>
      <c r="J5" s="973"/>
      <c r="K5" s="973"/>
      <c r="L5" s="973"/>
      <c r="M5" s="973"/>
      <c r="N5" s="973"/>
      <c r="O5" s="853" t="s">
        <v>122</v>
      </c>
      <c r="P5" s="658"/>
      <c r="Q5" s="658"/>
      <c r="W5" s="660">
        <v>6</v>
      </c>
      <c r="X5" s="661">
        <v>3</v>
      </c>
      <c r="Z5" s="175" t="s">
        <v>508</v>
      </c>
      <c r="AA5" s="663" t="s">
        <v>520</v>
      </c>
      <c r="AB5" s="174">
        <v>5</v>
      </c>
      <c r="AC5" s="175">
        <v>2.4</v>
      </c>
    </row>
    <row r="6" spans="1:30" ht="33" customHeight="1">
      <c r="A6" s="658"/>
      <c r="B6" s="1849" t="s">
        <v>3</v>
      </c>
      <c r="C6" s="1849"/>
      <c r="D6" s="1534"/>
      <c r="E6" s="1534"/>
      <c r="F6" s="973"/>
      <c r="G6" s="973"/>
      <c r="H6" s="973"/>
      <c r="I6" s="973"/>
      <c r="J6" s="973"/>
      <c r="K6" s="973"/>
      <c r="L6" s="973"/>
      <c r="M6" s="973"/>
      <c r="N6" s="973"/>
      <c r="O6" s="806" t="s">
        <v>123</v>
      </c>
      <c r="P6" s="658" t="s">
        <v>120</v>
      </c>
      <c r="Q6" s="658"/>
      <c r="W6" s="660">
        <v>7</v>
      </c>
      <c r="X6" s="661">
        <v>4</v>
      </c>
      <c r="Z6" s="175" t="s">
        <v>509</v>
      </c>
      <c r="AB6" s="172">
        <v>6</v>
      </c>
      <c r="AC6" s="173">
        <v>1.1000000000000001</v>
      </c>
    </row>
    <row r="7" spans="1:30" ht="33" customHeight="1">
      <c r="A7" s="658"/>
      <c r="B7" s="1849" t="s">
        <v>4</v>
      </c>
      <c r="C7" s="1849"/>
      <c r="D7" s="1534" t="s">
        <v>152</v>
      </c>
      <c r="E7" s="1534"/>
      <c r="F7" s="973"/>
      <c r="G7" s="973"/>
      <c r="H7" s="973"/>
      <c r="I7" s="973"/>
      <c r="J7" s="973"/>
      <c r="K7" s="973"/>
      <c r="L7" s="973"/>
      <c r="M7" s="973"/>
      <c r="N7" s="973"/>
      <c r="O7" s="807" t="s">
        <v>124</v>
      </c>
      <c r="P7" s="796" t="s">
        <v>125</v>
      </c>
      <c r="Q7" s="658"/>
      <c r="W7" s="660">
        <v>8</v>
      </c>
      <c r="X7" s="661">
        <v>5</v>
      </c>
      <c r="Z7" s="175" t="s">
        <v>510</v>
      </c>
    </row>
    <row r="8" spans="1:30" ht="33" customHeight="1">
      <c r="A8" s="658"/>
      <c r="B8" s="1141" t="s">
        <v>2</v>
      </c>
      <c r="C8" s="1141" t="s">
        <v>88</v>
      </c>
      <c r="D8" s="1594">
        <f>'入力（基本)'!G14</f>
        <v>0</v>
      </c>
      <c r="E8" s="1594"/>
      <c r="F8" s="973"/>
      <c r="G8" s="973"/>
      <c r="H8" s="973"/>
      <c r="I8" s="973"/>
      <c r="J8" s="973"/>
      <c r="K8" s="973"/>
      <c r="L8" s="973"/>
      <c r="M8" s="973"/>
      <c r="N8" s="973"/>
      <c r="O8" s="658"/>
      <c r="P8" s="658"/>
      <c r="Q8" s="658"/>
      <c r="W8" s="660">
        <v>9</v>
      </c>
      <c r="X8" s="661">
        <v>6</v>
      </c>
    </row>
    <row r="9" spans="1:30" ht="33" customHeight="1">
      <c r="A9" s="658"/>
      <c r="B9" s="1849" t="s">
        <v>134</v>
      </c>
      <c r="C9" s="1849"/>
      <c r="D9" s="1836">
        <v>4</v>
      </c>
      <c r="E9" s="1836"/>
      <c r="F9" s="973"/>
      <c r="G9" s="973"/>
      <c r="H9" s="973"/>
      <c r="I9" s="973"/>
      <c r="J9" s="973"/>
      <c r="K9" s="973"/>
      <c r="L9" s="973"/>
      <c r="M9" s="973"/>
      <c r="N9" s="973"/>
      <c r="O9" s="658"/>
      <c r="P9" s="658"/>
      <c r="Q9" s="658"/>
      <c r="W9" s="660">
        <v>10</v>
      </c>
      <c r="X9" s="661">
        <v>7</v>
      </c>
    </row>
    <row r="10" spans="1:30" ht="33" customHeight="1">
      <c r="A10" s="658"/>
      <c r="B10" s="1849" t="s">
        <v>223</v>
      </c>
      <c r="C10" s="1849"/>
      <c r="D10" s="1836">
        <v>3</v>
      </c>
      <c r="E10" s="1836"/>
      <c r="F10" s="973"/>
      <c r="G10" s="973"/>
      <c r="H10" s="973"/>
      <c r="I10" s="973"/>
      <c r="J10" s="973"/>
      <c r="K10" s="973"/>
      <c r="L10" s="973"/>
      <c r="M10" s="973"/>
      <c r="N10" s="973"/>
      <c r="O10" s="658"/>
      <c r="P10" s="658"/>
      <c r="Q10" s="658"/>
      <c r="W10" s="660">
        <v>11</v>
      </c>
      <c r="X10" s="661">
        <v>8</v>
      </c>
    </row>
    <row r="11" spans="1:30" ht="20.100000000000001" customHeight="1">
      <c r="A11" s="658"/>
      <c r="B11" s="658"/>
      <c r="C11" s="658"/>
      <c r="D11" s="658"/>
      <c r="E11" s="658"/>
      <c r="F11" s="973"/>
      <c r="G11" s="973"/>
      <c r="H11" s="973"/>
      <c r="I11" s="973"/>
      <c r="J11" s="973"/>
      <c r="K11" s="973"/>
      <c r="L11" s="973"/>
      <c r="M11" s="973"/>
      <c r="N11" s="973"/>
      <c r="O11" s="658"/>
      <c r="P11" s="658"/>
      <c r="Q11" s="658"/>
      <c r="W11" s="660">
        <v>12</v>
      </c>
      <c r="X11" s="661">
        <v>9</v>
      </c>
    </row>
    <row r="12" spans="1:30" ht="20.100000000000001" hidden="1" customHeight="1">
      <c r="A12" s="658"/>
      <c r="B12" s="658"/>
      <c r="C12" s="658"/>
      <c r="D12" s="658"/>
      <c r="E12" s="658"/>
      <c r="F12" s="973"/>
      <c r="G12" s="973"/>
      <c r="H12" s="973"/>
      <c r="I12" s="973"/>
      <c r="J12" s="973"/>
      <c r="K12" s="973"/>
      <c r="L12" s="973"/>
      <c r="M12" s="973"/>
      <c r="N12" s="973"/>
      <c r="O12" s="658"/>
      <c r="P12" s="658"/>
      <c r="Q12" s="658"/>
      <c r="W12" s="660">
        <v>1</v>
      </c>
      <c r="X12" s="661">
        <v>10</v>
      </c>
    </row>
    <row r="13" spans="1:30" ht="20.100000000000001" hidden="1" customHeight="1">
      <c r="A13" s="658"/>
      <c r="B13" s="658"/>
      <c r="C13" s="658"/>
      <c r="D13" s="658"/>
      <c r="E13" s="658"/>
      <c r="F13" s="973"/>
      <c r="G13" s="973"/>
      <c r="H13" s="973"/>
      <c r="I13" s="973"/>
      <c r="J13" s="973"/>
      <c r="K13" s="973"/>
      <c r="L13" s="973"/>
      <c r="M13" s="973"/>
      <c r="N13" s="973"/>
      <c r="O13" s="658"/>
      <c r="P13" s="658"/>
      <c r="Q13" s="658"/>
      <c r="W13" s="660">
        <v>2</v>
      </c>
      <c r="X13" s="661">
        <v>11</v>
      </c>
    </row>
    <row r="14" spans="1:30" ht="19.5" customHeight="1">
      <c r="A14" s="658"/>
      <c r="B14" s="658"/>
      <c r="C14" s="658"/>
      <c r="D14" s="658"/>
      <c r="E14" s="658"/>
      <c r="F14" s="973"/>
      <c r="G14" s="973"/>
      <c r="H14" s="973"/>
      <c r="I14" s="973"/>
      <c r="J14" s="973"/>
      <c r="K14" s="973"/>
      <c r="L14" s="973"/>
      <c r="M14" s="973"/>
      <c r="N14" s="973"/>
      <c r="O14" s="658"/>
      <c r="P14" s="658"/>
      <c r="Q14" s="658"/>
      <c r="W14" s="660">
        <v>3</v>
      </c>
      <c r="X14" s="661">
        <v>12</v>
      </c>
    </row>
    <row r="15" spans="1:30" ht="20.100000000000001" customHeight="1">
      <c r="A15" s="658"/>
      <c r="B15" s="658"/>
      <c r="C15" s="658"/>
      <c r="D15" s="658"/>
      <c r="E15" s="658"/>
      <c r="F15" s="375"/>
      <c r="G15" s="810"/>
      <c r="H15" s="810"/>
      <c r="I15" s="186"/>
      <c r="J15" s="403"/>
      <c r="K15" s="973"/>
      <c r="L15" s="973"/>
      <c r="M15" s="973"/>
      <c r="N15" s="973"/>
      <c r="O15" s="658"/>
      <c r="P15" s="658"/>
      <c r="Q15" s="658"/>
    </row>
    <row r="16" spans="1:30" ht="20.100000000000001" customHeight="1">
      <c r="A16" s="658"/>
      <c r="B16" s="1868" t="s">
        <v>773</v>
      </c>
      <c r="C16" s="1868"/>
      <c r="D16" s="1868"/>
      <c r="E16" s="1868"/>
      <c r="F16" s="1868"/>
      <c r="G16" s="375"/>
      <c r="H16" s="375"/>
      <c r="I16" s="375"/>
      <c r="J16" s="375"/>
      <c r="K16" s="375"/>
      <c r="L16" s="375"/>
      <c r="M16" s="375"/>
      <c r="N16" s="375"/>
      <c r="O16" s="375"/>
      <c r="P16" s="658"/>
      <c r="Q16" s="658"/>
    </row>
    <row r="17" spans="1:24" ht="29.25" customHeight="1">
      <c r="A17" s="658"/>
      <c r="B17" s="1857" t="s">
        <v>99</v>
      </c>
      <c r="C17" s="1858"/>
      <c r="D17" s="715" t="str">
        <f>IF(AND(VLOOKUP($D$9,$W$3:$X$14,2,FALSE)&lt;=1,VLOOKUP($D$10,$W$3:$X$14,2,FALSE)&gt;=1),"4月","")</f>
        <v>4月</v>
      </c>
      <c r="E17" s="715" t="str">
        <f>IF(AND(VLOOKUP($D$9,$W$3:$X$14,2,FALSE)&lt;=2,VLOOKUP($D$10,$W$3:$X$14,2,FALSE)&gt;=2),"5月","")</f>
        <v>5月</v>
      </c>
      <c r="F17" s="715" t="str">
        <f>IF(AND(VLOOKUP($D$9,$W$3:$X$14,2,FALSE)&lt;=3,VLOOKUP($D$10,$W$3:$X$14,2,FALSE)&gt;=3),"6月","")</f>
        <v>6月</v>
      </c>
      <c r="G17" s="715" t="str">
        <f>IF(AND(VLOOKUP($D$9,$W$3:$X$14,2,FALSE)&lt;=4,VLOOKUP($D$10,$W$3:$X$14,2,FALSE)&gt;=4),"7月","")</f>
        <v>7月</v>
      </c>
      <c r="H17" s="715" t="str">
        <f>IF(AND(VLOOKUP($D$9,$W$3:$X$14,2,FALSE)&lt;=5,VLOOKUP($D$10,$W$3:$X$14,2,FALSE)&gt;=5),"8月","")</f>
        <v>8月</v>
      </c>
      <c r="I17" s="715" t="str">
        <f>IF(AND(VLOOKUP($D$9,$W$3:$X$14,2,FALSE)&lt;=6,VLOOKUP($D$10,$W$3:$X$14,2,FALSE)&gt;=6),"9月","")</f>
        <v>9月</v>
      </c>
      <c r="J17" s="715" t="str">
        <f>IF(AND(VLOOKUP($D$9,$W$3:$X$14,2,FALSE)&lt;=7,VLOOKUP($D$10,$W$3:$X$14,2,FALSE)&gt;=7),"10月","")</f>
        <v>10月</v>
      </c>
      <c r="K17" s="715" t="str">
        <f>IF(AND(VLOOKUP($D$9,$W$3:$X$14,2,FALSE)&lt;=8,VLOOKUP($D$10,$W$3:$X$14,2,FALSE)&gt;=8),"11月","")</f>
        <v>11月</v>
      </c>
      <c r="L17" s="715" t="str">
        <f>IF(AND(VLOOKUP($D$9,$W$3:$X$14,2,FALSE)&lt;=9,VLOOKUP($D$10,$W$3:$X$14,2,FALSE)&gt;=9),"12月","")</f>
        <v>12月</v>
      </c>
      <c r="M17" s="715" t="str">
        <f>IF(AND(VLOOKUP($D$9,$W$3:$X$14,2,FALSE)&lt;=10,VLOOKUP($D$10,$W$3:$X$14,2,FALSE)&gt;=10),"1月","")</f>
        <v>1月</v>
      </c>
      <c r="N17" s="715" t="str">
        <f>IF(AND(VLOOKUP($D$9,$W$3:$X$14,2,FALSE)&lt;=11,VLOOKUP($D$10,$W$3:$X$14,2,FALSE)&gt;=11),"2月","")</f>
        <v>2月</v>
      </c>
      <c r="O17" s="715" t="str">
        <f>IF(AND(VLOOKUP($D$9,$W$3:$X$14,2,FALSE)&lt;=12,VLOOKUP($D$10,$W$3:$X$14,2,FALSE)&gt;=12),"3月","")</f>
        <v>3月</v>
      </c>
      <c r="P17" s="715" t="s">
        <v>86</v>
      </c>
      <c r="Q17" s="715" t="s">
        <v>1</v>
      </c>
    </row>
    <row r="18" spans="1:24" ht="29.25" customHeight="1">
      <c r="A18" s="658"/>
      <c r="B18" s="1717" t="s">
        <v>107</v>
      </c>
      <c r="C18" s="1852"/>
      <c r="D18" s="879"/>
      <c r="E18" s="879"/>
      <c r="F18" s="879"/>
      <c r="G18" s="879"/>
      <c r="H18" s="879"/>
      <c r="I18" s="879"/>
      <c r="J18" s="879"/>
      <c r="K18" s="879"/>
      <c r="L18" s="879"/>
      <c r="M18" s="879"/>
      <c r="N18" s="879"/>
      <c r="O18" s="879"/>
      <c r="P18" s="817">
        <f>SUM(D18:O18)</f>
        <v>0</v>
      </c>
      <c r="Q18" s="817">
        <f>IF(ISERROR(ROUND(P18/$X$2,0)),0,ROUND(P18/$X$2,0))</f>
        <v>0</v>
      </c>
    </row>
    <row r="19" spans="1:24" ht="29.25" customHeight="1">
      <c r="A19" s="658"/>
      <c r="B19" s="1534" t="s">
        <v>106</v>
      </c>
      <c r="C19" s="1534"/>
      <c r="D19" s="879"/>
      <c r="E19" s="879"/>
      <c r="F19" s="879"/>
      <c r="G19" s="879"/>
      <c r="H19" s="879"/>
      <c r="I19" s="879"/>
      <c r="J19" s="879"/>
      <c r="K19" s="879"/>
      <c r="L19" s="879"/>
      <c r="M19" s="879"/>
      <c r="N19" s="879"/>
      <c r="O19" s="879"/>
      <c r="P19" s="817">
        <f>SUM(D19:O19)</f>
        <v>0</v>
      </c>
      <c r="Q19" s="817">
        <f>IF(ISERROR(ROUND(P19/$X$2,0)),0,ROUND(P19/$X$2,0))</f>
        <v>0</v>
      </c>
    </row>
    <row r="20" spans="1:24" ht="29.25" customHeight="1">
      <c r="A20" s="658"/>
      <c r="B20" s="1534" t="s">
        <v>0</v>
      </c>
      <c r="C20" s="1534"/>
      <c r="D20" s="817">
        <f t="shared" ref="D20:O20" si="0">SUM(D18:D19)</f>
        <v>0</v>
      </c>
      <c r="E20" s="817">
        <f t="shared" si="0"/>
        <v>0</v>
      </c>
      <c r="F20" s="817">
        <f t="shared" si="0"/>
        <v>0</v>
      </c>
      <c r="G20" s="817">
        <f t="shared" si="0"/>
        <v>0</v>
      </c>
      <c r="H20" s="817">
        <f t="shared" si="0"/>
        <v>0</v>
      </c>
      <c r="I20" s="817">
        <f t="shared" si="0"/>
        <v>0</v>
      </c>
      <c r="J20" s="817">
        <f t="shared" si="0"/>
        <v>0</v>
      </c>
      <c r="K20" s="817">
        <f t="shared" si="0"/>
        <v>0</v>
      </c>
      <c r="L20" s="817">
        <f t="shared" si="0"/>
        <v>0</v>
      </c>
      <c r="M20" s="817">
        <f t="shared" si="0"/>
        <v>0</v>
      </c>
      <c r="N20" s="817">
        <f t="shared" si="0"/>
        <v>0</v>
      </c>
      <c r="O20" s="817">
        <f t="shared" si="0"/>
        <v>0</v>
      </c>
      <c r="P20" s="817">
        <f>SUM(D20:O20)</f>
        <v>0</v>
      </c>
      <c r="Q20" s="817">
        <f>SUM(Q18:Q19)</f>
        <v>0</v>
      </c>
    </row>
    <row r="21" spans="1:24" ht="29.25" customHeight="1">
      <c r="A21" s="658"/>
      <c r="B21" s="1869"/>
      <c r="C21" s="1869"/>
      <c r="D21" s="658"/>
      <c r="E21" s="658"/>
      <c r="F21" s="658"/>
      <c r="G21" s="658"/>
      <c r="H21" s="658"/>
      <c r="I21" s="658"/>
      <c r="J21" s="658"/>
      <c r="K21" s="658"/>
      <c r="L21" s="658"/>
      <c r="M21" s="658"/>
      <c r="N21" s="658"/>
      <c r="O21" s="658"/>
      <c r="P21" s="658"/>
      <c r="Q21" s="658"/>
    </row>
    <row r="22" spans="1:24" ht="29.25" customHeight="1">
      <c r="A22" s="658"/>
      <c r="B22" s="1857" t="s">
        <v>100</v>
      </c>
      <c r="C22" s="1858"/>
      <c r="D22" s="715" t="str">
        <f t="shared" ref="D22:O22" si="1">D17</f>
        <v>4月</v>
      </c>
      <c r="E22" s="715" t="str">
        <f t="shared" si="1"/>
        <v>5月</v>
      </c>
      <c r="F22" s="715" t="str">
        <f t="shared" si="1"/>
        <v>6月</v>
      </c>
      <c r="G22" s="715" t="str">
        <f t="shared" si="1"/>
        <v>7月</v>
      </c>
      <c r="H22" s="715" t="str">
        <f t="shared" si="1"/>
        <v>8月</v>
      </c>
      <c r="I22" s="715" t="str">
        <f t="shared" si="1"/>
        <v>9月</v>
      </c>
      <c r="J22" s="715" t="str">
        <f t="shared" si="1"/>
        <v>10月</v>
      </c>
      <c r="K22" s="715" t="str">
        <f t="shared" si="1"/>
        <v>11月</v>
      </c>
      <c r="L22" s="715" t="str">
        <f t="shared" si="1"/>
        <v>12月</v>
      </c>
      <c r="M22" s="715" t="str">
        <f t="shared" si="1"/>
        <v>1月</v>
      </c>
      <c r="N22" s="715" t="str">
        <f t="shared" si="1"/>
        <v>2月</v>
      </c>
      <c r="O22" s="715" t="str">
        <f t="shared" si="1"/>
        <v>3月</v>
      </c>
      <c r="P22" s="715" t="s">
        <v>86</v>
      </c>
      <c r="Q22" s="715" t="s">
        <v>1</v>
      </c>
    </row>
    <row r="23" spans="1:24" ht="29.25" customHeight="1">
      <c r="A23" s="658"/>
      <c r="B23" s="1717" t="s">
        <v>107</v>
      </c>
      <c r="C23" s="1852"/>
      <c r="D23" s="879"/>
      <c r="E23" s="879"/>
      <c r="F23" s="879"/>
      <c r="G23" s="879"/>
      <c r="H23" s="879"/>
      <c r="I23" s="879"/>
      <c r="J23" s="879"/>
      <c r="K23" s="879"/>
      <c r="L23" s="879"/>
      <c r="M23" s="879"/>
      <c r="N23" s="879"/>
      <c r="O23" s="879"/>
      <c r="P23" s="817">
        <f>SUM(D23:O23)</f>
        <v>0</v>
      </c>
      <c r="Q23" s="817">
        <f>IF(ISERROR(ROUND(P23/$X$2,0)),0,ROUND(P23/$X$2,0))</f>
        <v>0</v>
      </c>
    </row>
    <row r="24" spans="1:24" ht="29.25" customHeight="1">
      <c r="A24" s="658"/>
      <c r="B24" s="1534" t="s">
        <v>106</v>
      </c>
      <c r="C24" s="1534"/>
      <c r="D24" s="879"/>
      <c r="E24" s="879"/>
      <c r="F24" s="879"/>
      <c r="G24" s="879"/>
      <c r="H24" s="879"/>
      <c r="I24" s="879"/>
      <c r="J24" s="879"/>
      <c r="K24" s="879"/>
      <c r="L24" s="879"/>
      <c r="M24" s="879"/>
      <c r="N24" s="879"/>
      <c r="O24" s="879"/>
      <c r="P24" s="817">
        <f>SUM(D24:O24)</f>
        <v>0</v>
      </c>
      <c r="Q24" s="817">
        <f>IF(ISERROR(ROUND(P24/$X$2,0)),0,ROUND(P24/$X$2,0))</f>
        <v>0</v>
      </c>
    </row>
    <row r="25" spans="1:24" ht="29.25" customHeight="1">
      <c r="A25" s="658"/>
      <c r="B25" s="1534" t="s">
        <v>0</v>
      </c>
      <c r="C25" s="1534"/>
      <c r="D25" s="817">
        <f t="shared" ref="D25:O25" si="2">SUM(D23:D24)</f>
        <v>0</v>
      </c>
      <c r="E25" s="817">
        <f t="shared" si="2"/>
        <v>0</v>
      </c>
      <c r="F25" s="817">
        <f t="shared" si="2"/>
        <v>0</v>
      </c>
      <c r="G25" s="817">
        <f t="shared" si="2"/>
        <v>0</v>
      </c>
      <c r="H25" s="817">
        <f t="shared" si="2"/>
        <v>0</v>
      </c>
      <c r="I25" s="817">
        <f t="shared" si="2"/>
        <v>0</v>
      </c>
      <c r="J25" s="817">
        <f t="shared" si="2"/>
        <v>0</v>
      </c>
      <c r="K25" s="817">
        <f t="shared" si="2"/>
        <v>0</v>
      </c>
      <c r="L25" s="817">
        <f t="shared" si="2"/>
        <v>0</v>
      </c>
      <c r="M25" s="817">
        <f t="shared" si="2"/>
        <v>0</v>
      </c>
      <c r="N25" s="817">
        <f t="shared" si="2"/>
        <v>0</v>
      </c>
      <c r="O25" s="817">
        <f t="shared" si="2"/>
        <v>0</v>
      </c>
      <c r="P25" s="817">
        <f>SUM(D25:O25)</f>
        <v>0</v>
      </c>
      <c r="Q25" s="817">
        <f>SUM(Q23:Q24)</f>
        <v>0</v>
      </c>
    </row>
    <row r="26" spans="1:24" ht="35.25" customHeight="1">
      <c r="A26" s="658"/>
      <c r="B26" s="858"/>
      <c r="C26" s="880"/>
      <c r="D26" s="880"/>
      <c r="E26" s="880"/>
      <c r="F26" s="880"/>
      <c r="G26" s="880"/>
      <c r="H26" s="880"/>
      <c r="I26" s="880"/>
      <c r="J26" s="880"/>
      <c r="K26" s="880"/>
      <c r="L26" s="880"/>
      <c r="M26" s="880"/>
      <c r="N26" s="880"/>
      <c r="O26" s="375"/>
      <c r="P26" s="658"/>
      <c r="Q26" s="658"/>
    </row>
    <row r="27" spans="1:24" ht="20.100000000000001" customHeight="1">
      <c r="A27" s="658"/>
      <c r="B27" s="403"/>
      <c r="C27" s="403"/>
      <c r="D27" s="375"/>
      <c r="E27" s="375"/>
      <c r="F27" s="375"/>
      <c r="G27" s="375"/>
      <c r="H27" s="375"/>
      <c r="I27" s="375"/>
      <c r="J27" s="375"/>
      <c r="K27" s="375"/>
      <c r="L27" s="375"/>
      <c r="M27" s="375"/>
      <c r="N27" s="375"/>
      <c r="O27" s="375"/>
      <c r="P27" s="375"/>
      <c r="Q27" s="811"/>
    </row>
    <row r="28" spans="1:24" ht="29.25" customHeight="1">
      <c r="A28" s="658"/>
      <c r="B28" s="1734" t="s">
        <v>121</v>
      </c>
      <c r="C28" s="1734"/>
      <c r="D28" s="404" t="s">
        <v>538</v>
      </c>
      <c r="E28" s="405"/>
      <c r="F28" s="405"/>
      <c r="G28" s="405"/>
      <c r="H28" s="725" t="s">
        <v>228</v>
      </c>
      <c r="I28" s="405"/>
      <c r="J28" s="406"/>
      <c r="K28" s="407" t="s">
        <v>229</v>
      </c>
      <c r="L28" s="726" t="s">
        <v>230</v>
      </c>
      <c r="M28" s="375"/>
      <c r="N28" s="375"/>
      <c r="O28" s="375"/>
      <c r="P28" s="375"/>
      <c r="Q28" s="658"/>
    </row>
    <row r="29" spans="1:24" ht="102" customHeight="1">
      <c r="A29" s="658"/>
      <c r="B29" s="1534" t="s">
        <v>103</v>
      </c>
      <c r="C29" s="1534"/>
      <c r="D29" s="188" t="s">
        <v>9</v>
      </c>
      <c r="E29" s="188" t="s">
        <v>530</v>
      </c>
      <c r="F29" s="963" t="s">
        <v>131</v>
      </c>
      <c r="G29" s="188" t="s">
        <v>94</v>
      </c>
      <c r="H29" s="188" t="s">
        <v>105</v>
      </c>
      <c r="I29" s="188" t="s">
        <v>532</v>
      </c>
      <c r="J29" s="188" t="s">
        <v>433</v>
      </c>
      <c r="K29" s="188" t="s">
        <v>518</v>
      </c>
      <c r="L29" s="402" t="s">
        <v>511</v>
      </c>
      <c r="M29" s="229"/>
      <c r="N29" s="724"/>
      <c r="O29" s="403"/>
      <c r="P29" s="403"/>
      <c r="Q29" s="658"/>
      <c r="S29" s="843"/>
      <c r="T29" s="843"/>
      <c r="U29" s="843"/>
    </row>
    <row r="30" spans="1:24" ht="41.25" customHeight="1">
      <c r="A30" s="658"/>
      <c r="B30" s="1534"/>
      <c r="C30" s="1534"/>
      <c r="D30" s="715" t="s">
        <v>119</v>
      </c>
      <c r="E30" s="185"/>
      <c r="F30" s="655"/>
      <c r="G30" s="656"/>
      <c r="H30" s="185"/>
      <c r="I30" s="185"/>
      <c r="J30" s="185"/>
      <c r="K30" s="185"/>
      <c r="L30" s="185"/>
      <c r="M30" s="375"/>
      <c r="N30" s="403"/>
      <c r="O30" s="403"/>
      <c r="P30" s="403"/>
      <c r="Q30" s="658"/>
      <c r="R30" s="658"/>
      <c r="S30" s="843"/>
      <c r="T30" s="843"/>
      <c r="U30" s="843"/>
    </row>
    <row r="31" spans="1:24" ht="44.25" customHeight="1">
      <c r="A31" s="658"/>
      <c r="B31" s="403"/>
      <c r="C31" s="403"/>
      <c r="D31" s="403"/>
      <c r="E31" s="403"/>
      <c r="F31" s="403"/>
      <c r="G31" s="403"/>
      <c r="H31" s="403"/>
      <c r="I31" s="403"/>
      <c r="J31" s="403"/>
      <c r="K31" s="403"/>
      <c r="L31" s="403"/>
      <c r="M31" s="403"/>
      <c r="N31" s="403"/>
      <c r="O31" s="658"/>
      <c r="P31" s="658"/>
      <c r="Q31" s="178"/>
      <c r="R31" s="658"/>
      <c r="S31" s="815"/>
      <c r="T31" s="815"/>
      <c r="U31" s="928"/>
      <c r="W31" s="843"/>
      <c r="X31" s="843"/>
    </row>
    <row r="32" spans="1:24" ht="20.100000000000001" hidden="1" customHeight="1" thickBot="1">
      <c r="A32" s="658"/>
      <c r="B32" s="1718" t="s">
        <v>129</v>
      </c>
      <c r="C32" s="1718"/>
      <c r="D32" s="1738" t="s">
        <v>130</v>
      </c>
      <c r="E32" s="1739"/>
      <c r="F32" s="1739"/>
      <c r="G32" s="1739"/>
      <c r="H32" s="1739"/>
      <c r="I32" s="1739"/>
      <c r="J32" s="1739"/>
      <c r="K32" s="1739"/>
      <c r="L32" s="1739"/>
      <c r="M32" s="1740"/>
      <c r="N32" s="658"/>
      <c r="O32" s="658"/>
      <c r="P32" s="658"/>
      <c r="Q32" s="658"/>
      <c r="S32" s="375"/>
      <c r="T32" s="375"/>
      <c r="U32" s="843"/>
      <c r="W32" s="869"/>
      <c r="X32" s="869"/>
    </row>
    <row r="33" spans="1:24" ht="47.25" hidden="1" customHeight="1">
      <c r="A33" s="658"/>
      <c r="B33" s="1780" t="s">
        <v>101</v>
      </c>
      <c r="C33" s="1829"/>
      <c r="D33" s="1853" t="s">
        <v>9</v>
      </c>
      <c r="E33" s="1853" t="s">
        <v>104</v>
      </c>
      <c r="F33" s="1853" t="s">
        <v>93</v>
      </c>
      <c r="G33" s="1853" t="s">
        <v>94</v>
      </c>
      <c r="H33" s="1873" t="s">
        <v>105</v>
      </c>
      <c r="I33" s="1853" t="s">
        <v>550</v>
      </c>
      <c r="J33" s="1864" t="s">
        <v>433</v>
      </c>
      <c r="K33" s="257" t="s">
        <v>526</v>
      </c>
      <c r="L33" s="1870" t="s">
        <v>511</v>
      </c>
      <c r="M33" s="1863" t="s">
        <v>126</v>
      </c>
      <c r="N33" s="658"/>
      <c r="O33" s="658"/>
      <c r="P33" s="658"/>
      <c r="Q33" s="658"/>
      <c r="R33" s="658"/>
      <c r="S33" s="375"/>
      <c r="T33" s="375"/>
      <c r="U33" s="843"/>
      <c r="W33" s="869"/>
      <c r="X33" s="869"/>
    </row>
    <row r="34" spans="1:24" ht="47.25" hidden="1" customHeight="1">
      <c r="A34" s="658"/>
      <c r="B34" s="1782"/>
      <c r="C34" s="1830"/>
      <c r="D34" s="1832"/>
      <c r="E34" s="1832"/>
      <c r="F34" s="1832"/>
      <c r="G34" s="1832"/>
      <c r="H34" s="1832"/>
      <c r="I34" s="1832"/>
      <c r="J34" s="1862"/>
      <c r="K34" s="255" t="str">
        <f>IF($AD$2=1,"",CONCATENATE("（乗除調整",TEXT($AD$2,"##/100"),")"))</f>
        <v/>
      </c>
      <c r="L34" s="1843"/>
      <c r="M34" s="1855"/>
      <c r="N34" s="658"/>
      <c r="O34" s="658"/>
      <c r="P34" s="658"/>
      <c r="Q34" s="658"/>
      <c r="R34" s="375"/>
      <c r="S34" s="843"/>
      <c r="T34" s="843"/>
      <c r="U34" s="843"/>
      <c r="W34" s="869"/>
      <c r="X34" s="869"/>
    </row>
    <row r="35" spans="1:24" ht="20.100000000000001" hidden="1" customHeight="1">
      <c r="A35" s="658"/>
      <c r="B35" s="1534" t="s">
        <v>90</v>
      </c>
      <c r="C35" s="1717"/>
      <c r="D35" s="817" t="e">
        <f>IF($D$30="あり",VLOOKUP($D$8,'事業所内保育事業（19人以下A）'!$B$37:$BG$39,12,TRUE),0)</f>
        <v>#N/A</v>
      </c>
      <c r="E35" s="821"/>
      <c r="F35" s="817">
        <f>IF(ISERROR('事業所内保育事業（19人以下A）'!$A$42),0,'事業所内保育事業（19人以下A）'!$A$42)</f>
        <v>0</v>
      </c>
      <c r="G35" s="817">
        <f>IF($G$30="あり",VLOOKUP($D$8,'事業所内保育事業（19人以下A）'!$B$33:$BG$35,36,TRUE),0)</f>
        <v>0</v>
      </c>
      <c r="H35" s="817">
        <f>IF(H$30="あり",IF(ISERROR(-ROUNDDOWN(SUM($D35,$G35)*VLOOKUP($D$8,'事業所内保育事業（19人以下A）'!$B$33:$BG$35,47,TRUE),-1)),0,-ROUNDDOWN(SUM($D35,$G35)*VLOOKUP($D$8,'事業所内保育事業（19人以下A）'!$B$33:$BG$35,47,TRUE),-1)),0)</f>
        <v>0</v>
      </c>
      <c r="I35" s="817">
        <f>IF($I$30="あり",-VLOOKUP($D$8,'事業所内保育事業（19人以下A）'!$B$33:$BG$35,51,TRUE),0)</f>
        <v>0</v>
      </c>
      <c r="J35" s="818">
        <f>-IFERROR(IF(ROUNDDOWN(SUM($D35,$E35,$G35)*VLOOKUP($J$30,'事業所内保育事業（19人以下A）'!$B$56:$C$60,2,FALSE),-1)&lt;10,ROUNDDOWN(SUM($D35,$E35,$G35)*VLOOKUP($J$30,'事業所内保育事業（19人以下A）'!$B$56:$C$60,2,FALSE),0),ROUNDDOWN(SUM($D35,$E35,$G35)*VLOOKUP($J$30,'事業所内保育事業（19人以下A）'!$B$56:$C$60,2,FALSE),-1)),0)</f>
        <v>0</v>
      </c>
      <c r="K35" s="857" t="e">
        <f>IF($AD$2=1,SUM($D35:$J35),(IF(ROUNDDOWN(SUM($D35:$J35)*$AD$2,-1)&lt;10,ROUNDDOWN(SUM($D35:$J35)*$AD$2,0),(ROUNDDOWN(SUM($D35:$J35)*$AD$2,-1)))))</f>
        <v>#N/A</v>
      </c>
      <c r="L35" s="899">
        <f>IF(L$30="配置",IF(ROUNDDOWN(事業所A②!$K$27/$I$62,-1)&lt;10,ROUNDDOWN(事業所A②!$K$27/$I$62,0),ROUNDDOWN(事業所A②!$K$27/$I$62,-1)),IF(L$30="兼務",IF(ROUNDDOWN(事業所A②!$K$30/$I$62,-1)&lt;10,ROUNDDOWN(事業所A②!$K$30/$I$62,0),ROUNDDOWN(事業所A②!$K$30/$I$62,-1)),0))</f>
        <v>0</v>
      </c>
      <c r="M35" s="826">
        <f>IF(ISERROR(SUM(K35:L35)),0,SUM(K35:L35))</f>
        <v>0</v>
      </c>
      <c r="N35" s="658"/>
      <c r="O35" s="658"/>
      <c r="P35" s="658"/>
      <c r="Q35" s="658"/>
      <c r="R35" s="375"/>
      <c r="S35" s="822"/>
      <c r="T35" s="844"/>
      <c r="U35" s="843"/>
      <c r="W35" s="869"/>
      <c r="X35" s="869"/>
    </row>
    <row r="36" spans="1:24" ht="20.100000000000001" hidden="1" customHeight="1">
      <c r="A36" s="658"/>
      <c r="B36" s="1534" t="s">
        <v>89</v>
      </c>
      <c r="C36" s="1717"/>
      <c r="D36" s="817" t="e">
        <f>IF($D$30="あり",VLOOKUP($D$8,'事業所内保育事業（19人以下A）'!$B$33:$BG$35,12,TRUE),0)</f>
        <v>#N/A</v>
      </c>
      <c r="E36" s="821"/>
      <c r="F36" s="817">
        <f t="shared" ref="F36:G38" si="3">F35</f>
        <v>0</v>
      </c>
      <c r="G36" s="817">
        <f t="shared" si="3"/>
        <v>0</v>
      </c>
      <c r="H36" s="817">
        <f>IF(H$30="あり",IF(ISERROR(-ROUNDDOWN(SUM($D36,$G36)*VLOOKUP($D$8,'事業所内保育事業（19人以下A）'!$B$33:$BG$35,47,TRUE),-1)),0,-ROUNDDOWN(SUM($D36,$G36)*VLOOKUP($D$8,'事業所内保育事業（19人以下A）'!$B$33:$BG$35,47,TRUE),-1)),0)</f>
        <v>0</v>
      </c>
      <c r="I36" s="817">
        <f>I35</f>
        <v>0</v>
      </c>
      <c r="J36" s="818">
        <f>-IFERROR(IF(ROUNDDOWN(SUM($D36,$E36,$G36)*VLOOKUP($J$30,'事業所内保育事業（19人以下A）'!$B$56:$C$60,2,FALSE),-1)&lt;10,ROUNDDOWN(SUM($D36,$E36,$G36)*VLOOKUP($J$30,'事業所内保育事業（19人以下A）'!$B$56:$C$60,2,FALSE),0),ROUNDDOWN(SUM($D36,$E36,$G36)*VLOOKUP($J$30,'事業所内保育事業（19人以下A）'!$B$56:$C$60,2,FALSE),-1)),0)</f>
        <v>0</v>
      </c>
      <c r="K36" s="857" t="e">
        <f>IF($AD$2=1,SUM($D36:$J36),(IF(ROUNDDOWN(SUM($D36:$J36)*$AD$2,-1)&lt;10,ROUNDDOWN(SUM($D36:$J36)*$AD$2,0),(ROUNDDOWN(SUM($D36:$J36)*$AD$2,-1)))))</f>
        <v>#N/A</v>
      </c>
      <c r="L36" s="899">
        <f>L35</f>
        <v>0</v>
      </c>
      <c r="M36" s="826">
        <f>IF(ISERROR(SUM(K36:L36)),0,SUM(K36:L36))</f>
        <v>0</v>
      </c>
      <c r="N36" s="658"/>
      <c r="O36" s="658"/>
      <c r="P36" s="658"/>
      <c r="Q36" s="658"/>
      <c r="R36" s="375"/>
      <c r="S36" s="822"/>
      <c r="T36" s="844"/>
      <c r="U36" s="843"/>
      <c r="W36" s="869"/>
      <c r="X36" s="869"/>
    </row>
    <row r="37" spans="1:24" ht="20.100000000000001" hidden="1" customHeight="1">
      <c r="A37" s="658"/>
      <c r="B37" s="1534" t="s">
        <v>107</v>
      </c>
      <c r="C37" s="1717"/>
      <c r="D37" s="817" t="e">
        <f>D35</f>
        <v>#N/A</v>
      </c>
      <c r="E37" s="817">
        <f>IF(AND($E$30="あり",$Q18&gt;=1),VLOOKUP($D$8,'事業所内保育事業（19人以下A）'!$B$37:$BG$39,21,TRUE),0)</f>
        <v>0</v>
      </c>
      <c r="F37" s="817">
        <f t="shared" si="3"/>
        <v>0</v>
      </c>
      <c r="G37" s="817">
        <f t="shared" si="3"/>
        <v>0</v>
      </c>
      <c r="H37" s="817">
        <f>IF(H$30="あり",IF(ISERROR(-ROUNDDOWN(SUM($D37,$G37)*VLOOKUP($D$8,'事業所内保育事業（19人以下A）'!$B$33:$BG$35,47,TRUE),-1)),0,-ROUNDDOWN(SUM($D37,$G37)*VLOOKUP($D$8,'事業所内保育事業（19人以下A）'!$B$33:$BG$35,47,TRUE),-1)),0)</f>
        <v>0</v>
      </c>
      <c r="I37" s="817">
        <f>I35</f>
        <v>0</v>
      </c>
      <c r="J37" s="818">
        <f>-IFERROR(IF(ROUNDDOWN(SUM($D37,$E37,$G37)*VLOOKUP($J$30,'事業所内保育事業（19人以下A）'!$B$56:$C$60,2,FALSE),-1)&lt;10,ROUNDDOWN(SUM($D37,$E37,$G37)*VLOOKUP($J$30,'事業所内保育事業（19人以下A）'!$B$56:$C$60,2,FALSE),0),ROUNDDOWN(SUM($D37,$E37,$G37)*VLOOKUP($J$30,'事業所内保育事業（19人以下A）'!$B$56:$C$60,2,FALSE),-1)),0)</f>
        <v>0</v>
      </c>
      <c r="K37" s="857" t="e">
        <f>IF($AD$2=1,SUM($D37:$J37),(IF(ROUNDDOWN(SUM($D37:$J37)*$AD$2,-1)&lt;10,ROUNDDOWN(SUM($D37:$J37)*$AD$2,0),(ROUNDDOWN(SUM($D37:$J37)*$AD$2,-1)))))</f>
        <v>#N/A</v>
      </c>
      <c r="L37" s="899">
        <f>L35</f>
        <v>0</v>
      </c>
      <c r="M37" s="826">
        <f>IF(ISERROR(SUM(K37:L37)),0,SUM(K37:L37))</f>
        <v>0</v>
      </c>
      <c r="N37" s="658"/>
      <c r="O37" s="658"/>
      <c r="P37" s="658"/>
      <c r="Q37" s="658"/>
      <c r="R37" s="375"/>
      <c r="S37" s="822"/>
      <c r="T37" s="845"/>
      <c r="U37" s="843"/>
      <c r="W37" s="869"/>
      <c r="X37" s="869"/>
    </row>
    <row r="38" spans="1:24" hidden="1">
      <c r="A38" s="658"/>
      <c r="B38" s="1534" t="s">
        <v>106</v>
      </c>
      <c r="C38" s="1717"/>
      <c r="D38" s="817" t="e">
        <f>D36</f>
        <v>#N/A</v>
      </c>
      <c r="E38" s="817">
        <f>IF(AND($E$30="あり",$Q19&gt;=1),VLOOKUP($D$8,'事業所内保育事業（19人以下A）'!$B$33:$BG$35,21,TRUE),0)</f>
        <v>0</v>
      </c>
      <c r="F38" s="817">
        <f t="shared" si="3"/>
        <v>0</v>
      </c>
      <c r="G38" s="817">
        <f t="shared" si="3"/>
        <v>0</v>
      </c>
      <c r="H38" s="817">
        <f>IF(H$30="あり",IF(ISERROR(-ROUNDDOWN(SUM($D38,$G38)*VLOOKUP($D$8,'事業所内保育事業（19人以下A）'!$B$33:$BG$35,47,TRUE),-1)),0,-ROUNDDOWN(SUM($D38,$G38)*VLOOKUP($D$8,'事業所内保育事業（19人以下A）'!$B$33:$BG$35,47,TRUE),-1)),0)</f>
        <v>0</v>
      </c>
      <c r="I38" s="817">
        <f>I35</f>
        <v>0</v>
      </c>
      <c r="J38" s="818">
        <f>-IFERROR(IF(ROUNDDOWN(SUM($D38,$E38,$G38)*VLOOKUP($J$30,'事業所内保育事業（19人以下A）'!$B$56:$C$60,2,FALSE),-1)&lt;10,ROUNDDOWN(SUM($D38,$E38,$G38)*VLOOKUP($J$30,'事業所内保育事業（19人以下A）'!$B$56:$C$60,2,FALSE),0),ROUNDDOWN(SUM($D38,$E38,$G38)*VLOOKUP($J$30,'事業所内保育事業（19人以下A）'!$B$56:$C$60,2,FALSE),-1)),0)</f>
        <v>0</v>
      </c>
      <c r="K38" s="857" t="e">
        <f>IF($AD$2=1,SUM($D38:$J38),(IF(ROUNDDOWN(SUM($D38:$J38)*$AD$2,-1)&lt;10,ROUNDDOWN(SUM($D38:$J38)*$AD$2,0),(ROUNDDOWN(SUM($D38:$J38)*$AD$2,-1)))))</f>
        <v>#N/A</v>
      </c>
      <c r="L38" s="899">
        <f>L35</f>
        <v>0</v>
      </c>
      <c r="M38" s="826">
        <f>IF(ISERROR(SUM(K38:L38)),0,SUM(K38:L38))</f>
        <v>0</v>
      </c>
      <c r="N38" s="658"/>
      <c r="O38" s="658"/>
      <c r="P38" s="658"/>
      <c r="Q38" s="658"/>
      <c r="R38" s="375"/>
      <c r="S38" s="815"/>
      <c r="T38" s="815"/>
      <c r="U38" s="928"/>
      <c r="W38" s="869"/>
      <c r="X38" s="869"/>
    </row>
    <row r="39" spans="1:24" ht="20.100000000000001" hidden="1" customHeight="1">
      <c r="A39" s="658"/>
      <c r="B39" s="658"/>
      <c r="C39" s="658"/>
      <c r="D39" s="658"/>
      <c r="E39" s="658"/>
      <c r="F39" s="658"/>
      <c r="G39" s="658"/>
      <c r="H39" s="658"/>
      <c r="I39" s="658"/>
      <c r="J39" s="658"/>
      <c r="K39" s="658"/>
      <c r="L39" s="658"/>
      <c r="M39" s="887"/>
      <c r="N39" s="658"/>
      <c r="O39" s="658"/>
      <c r="P39" s="658"/>
      <c r="Q39" s="658"/>
      <c r="R39" s="375"/>
      <c r="S39" s="375"/>
      <c r="T39" s="375"/>
      <c r="U39" s="843"/>
      <c r="W39" s="869"/>
      <c r="X39" s="869"/>
    </row>
    <row r="40" spans="1:24" ht="47.25" hidden="1" customHeight="1">
      <c r="A40" s="658"/>
      <c r="B40" s="1780" t="s">
        <v>102</v>
      </c>
      <c r="C40" s="1829"/>
      <c r="D40" s="1831" t="s">
        <v>9</v>
      </c>
      <c r="E40" s="1831" t="s">
        <v>104</v>
      </c>
      <c r="F40" s="1831" t="s">
        <v>93</v>
      </c>
      <c r="G40" s="1831" t="s">
        <v>94</v>
      </c>
      <c r="H40" s="1831" t="s">
        <v>105</v>
      </c>
      <c r="I40" s="1831" t="s">
        <v>549</v>
      </c>
      <c r="J40" s="1861" t="s">
        <v>433</v>
      </c>
      <c r="K40" s="256" t="s">
        <v>526</v>
      </c>
      <c r="L40" s="1871" t="s">
        <v>511</v>
      </c>
      <c r="M40" s="1863" t="s">
        <v>127</v>
      </c>
      <c r="N40" s="658"/>
      <c r="O40" s="658"/>
      <c r="P40" s="658"/>
      <c r="Q40" s="658"/>
      <c r="R40" s="658"/>
      <c r="S40" s="375"/>
      <c r="T40" s="375"/>
      <c r="U40" s="843"/>
      <c r="W40" s="869"/>
      <c r="X40" s="869"/>
    </row>
    <row r="41" spans="1:24" ht="47.25" hidden="1" customHeight="1">
      <c r="A41" s="658"/>
      <c r="B41" s="1782"/>
      <c r="C41" s="1830"/>
      <c r="D41" s="1832"/>
      <c r="E41" s="1832"/>
      <c r="F41" s="1832"/>
      <c r="G41" s="1832"/>
      <c r="H41" s="1832"/>
      <c r="I41" s="1832"/>
      <c r="J41" s="1862"/>
      <c r="K41" s="255" t="str">
        <f>IF($AD$2=1,"",CONCATENATE("（乗除調整",TEXT($AD$2,"##/100"),")"))</f>
        <v/>
      </c>
      <c r="L41" s="1872"/>
      <c r="M41" s="1855"/>
      <c r="N41" s="658"/>
      <c r="O41" s="658"/>
      <c r="P41" s="658"/>
      <c r="Q41" s="658"/>
      <c r="R41" s="375"/>
      <c r="S41" s="178"/>
      <c r="T41" s="881"/>
      <c r="U41" s="843"/>
      <c r="W41" s="843"/>
      <c r="X41" s="869"/>
    </row>
    <row r="42" spans="1:24" ht="20.100000000000001" hidden="1" customHeight="1">
      <c r="A42" s="658"/>
      <c r="B42" s="1534" t="s">
        <v>90</v>
      </c>
      <c r="C42" s="1717"/>
      <c r="D42" s="817" t="e">
        <f>IF($D$30="あり",VLOOKUP($D$8,'事業所内保育事業（19人以下A）'!$B$37:$BG$39,15,TRUE),0)</f>
        <v>#N/A</v>
      </c>
      <c r="E42" s="821"/>
      <c r="F42" s="817">
        <f>IF(ISERROR('事業所内保育事業（19人以下A）'!$A$42),0,'事業所内保育事業（19人以下A）'!$A$42)</f>
        <v>0</v>
      </c>
      <c r="G42" s="817">
        <f>IF($G$30="あり",VLOOKUP($D$8,'事業所内保育事業（19人以下A）'!$B$33:$BG$35,36,TRUE),0)</f>
        <v>0</v>
      </c>
      <c r="H42" s="817">
        <f>IF(H$30="あり",IF(ISERROR(-ROUNDDOWN(SUM($D42,$G42)*VLOOKUP($D$8,'事業所内保育事業（19人以下A）'!$B$33:$BG$35,47,TRUE),-1)),0,-ROUNDDOWN(SUM($D42,$G42)*VLOOKUP($D$8,'事業所内保育事業（19人以下A）'!$B$33:$BG$35,47,TRUE),-1)),0)</f>
        <v>0</v>
      </c>
      <c r="I42" s="817">
        <f>IF($I$30="あり",-VLOOKUP($D$8,'事業所内保育事業（19人以下A）'!$B$33:$BG$35,51,TRUE),0)</f>
        <v>0</v>
      </c>
      <c r="J42" s="818">
        <f>-IFERROR(IF(ROUNDDOWN(SUM($D42,$E42,$G42)*VLOOKUP($J$30,'事業所内保育事業（19人以下A）'!$B$56:$C$60,2,FALSE),-1)&lt;10,ROUNDDOWN(SUM($D42,$E42,$G42)*VLOOKUP($J$30,'事業所内保育事業（19人以下A）'!$B$56:$C$60,2,FALSE),0),ROUNDDOWN(SUM($D42,$E42,$G42)*VLOOKUP($J$30,'事業所内保育事業（19人以下A）'!$B$56:$C$60,2,FALSE),-1)),0)</f>
        <v>0</v>
      </c>
      <c r="K42" s="857" t="e">
        <f>IF($AD$2=1,SUM($D42:$J42),(IF(ROUNDDOWN(SUM($D42:$J42)*$AD$2,-1)&lt;10,ROUNDDOWN(SUM($D42:$J42)*$AD$2,0),(ROUNDDOWN(SUM($D42:$J42)*$AD$2,-1)))))</f>
        <v>#N/A</v>
      </c>
      <c r="L42" s="899">
        <f>IF(L$30="配置",IF(ROUNDDOWN(事業所A②!$K$27/$I$62,-1)&lt;10,ROUNDDOWN(事業所A②!$K$27/$I$62,0),ROUNDDOWN(事業所A②!$K$27/$I$62,-1)),IF(L$30="兼務",IF(ROUNDDOWN(事業所A②!$K$30/$I$62,-1)&lt;10,ROUNDDOWN(事業所A②!$K$30/$I$62,0),ROUNDDOWN(事業所A②!$K$30/$I$62,-1)),0))</f>
        <v>0</v>
      </c>
      <c r="M42" s="826">
        <f>IF(ISERROR(SUM(D42:J42)),0,SUM(D42:J42))</f>
        <v>0</v>
      </c>
      <c r="N42" s="658"/>
      <c r="O42" s="658"/>
      <c r="P42" s="658"/>
      <c r="Q42" s="658"/>
      <c r="R42" s="375"/>
      <c r="S42" s="822"/>
      <c r="T42" s="844"/>
      <c r="U42" s="843"/>
      <c r="W42" s="843"/>
      <c r="X42" s="845"/>
    </row>
    <row r="43" spans="1:24" ht="20.100000000000001" hidden="1" customHeight="1">
      <c r="A43" s="658"/>
      <c r="B43" s="1534" t="s">
        <v>89</v>
      </c>
      <c r="C43" s="1717"/>
      <c r="D43" s="817" t="e">
        <f>IF($D$30="あり",VLOOKUP($D$8,'事業所内保育事業（19人以下A）'!$B$33:$BG$35,15,TRUE),0)</f>
        <v>#N/A</v>
      </c>
      <c r="E43" s="821"/>
      <c r="F43" s="817">
        <f t="shared" ref="F43:G45" si="4">F42</f>
        <v>0</v>
      </c>
      <c r="G43" s="817">
        <f t="shared" si="4"/>
        <v>0</v>
      </c>
      <c r="H43" s="817">
        <f>IF(H$30="あり",IF(ISERROR(-ROUNDDOWN(SUM($D43,$G43)*VLOOKUP($D$8,'事業所内保育事業（19人以下A）'!$B$33:$BG$35,47,TRUE),-1)),0,-ROUNDDOWN(SUM($D43,$G43)*VLOOKUP($D$8,'事業所内保育事業（19人以下A）'!$B$33:$BG$35,47,TRUE),-1)),0)</f>
        <v>0</v>
      </c>
      <c r="I43" s="817">
        <f>I42</f>
        <v>0</v>
      </c>
      <c r="J43" s="818">
        <f>-IFERROR(IF(ROUNDDOWN(SUM($D43,$E43,$G43)*VLOOKUP($J$30,'事業所内保育事業（19人以下A）'!$B$56:$C$60,2,FALSE),-1)&lt;10,ROUNDDOWN(SUM($D43,$E43,$G43)*VLOOKUP($J$30,'事業所内保育事業（19人以下A）'!$B$56:$C$60,2,FALSE),0),ROUNDDOWN(SUM($D43,$E43,$G43)*VLOOKUP($J$30,'事業所内保育事業（19人以下A）'!$B$56:$C$60,2,FALSE),-1)),0)</f>
        <v>0</v>
      </c>
      <c r="K43" s="857" t="e">
        <f>IF($AD$2=1,SUM($D43:$J43),(IF(ROUNDDOWN(SUM($D43:$J43)*$AD$2,-1)&lt;10,ROUNDDOWN(SUM($D43:$J43)*$AD$2,0),(ROUNDDOWN(SUM($D43:$J43)*$AD$2,-1)))))</f>
        <v>#N/A</v>
      </c>
      <c r="L43" s="899">
        <f>L42</f>
        <v>0</v>
      </c>
      <c r="M43" s="826">
        <f>IF(ISERROR(SUM(D43:J43)),0,SUM(D43:J43))</f>
        <v>0</v>
      </c>
      <c r="N43" s="658"/>
      <c r="O43" s="658"/>
      <c r="P43" s="658"/>
      <c r="Q43" s="658"/>
      <c r="R43" s="375"/>
      <c r="S43" s="822"/>
      <c r="T43" s="844"/>
    </row>
    <row r="44" spans="1:24" ht="20.100000000000001" hidden="1" customHeight="1">
      <c r="A44" s="658"/>
      <c r="B44" s="1534" t="s">
        <v>107</v>
      </c>
      <c r="C44" s="1717"/>
      <c r="D44" s="817" t="e">
        <f>D42</f>
        <v>#N/A</v>
      </c>
      <c r="E44" s="817">
        <f>IF(AND($E$30="あり",$Q23&gt;=1),VLOOKUP($D$8,'事業所内保育事業（19人以下A）'!$B$37:$BG$39,21,TRUE),0)</f>
        <v>0</v>
      </c>
      <c r="F44" s="817">
        <f t="shared" si="4"/>
        <v>0</v>
      </c>
      <c r="G44" s="817">
        <f t="shared" si="4"/>
        <v>0</v>
      </c>
      <c r="H44" s="817">
        <f>IF(H$30="あり",IF(ISERROR(-ROUNDDOWN(SUM($D44,$G44)*VLOOKUP($D$8,'事業所内保育事業（19人以下A）'!$B$33:$BG$35,47,TRUE),-1)),0,-ROUNDDOWN(SUM($D44,$G44)*VLOOKUP($D$8,'事業所内保育事業（19人以下A）'!$B$33:$BG$35,47,TRUE),-1)),0)</f>
        <v>0</v>
      </c>
      <c r="I44" s="817">
        <f>I42</f>
        <v>0</v>
      </c>
      <c r="J44" s="818">
        <f>-IFERROR(IF(ROUNDDOWN(SUM($D44,$E44,$G44)*VLOOKUP($J$30,'事業所内保育事業（19人以下A）'!$B$56:$C$60,2,FALSE),-1)&lt;10,ROUNDDOWN(SUM($D44,$E44,$G44)*VLOOKUP($J$30,'事業所内保育事業（19人以下A）'!$B$56:$C$60,2,FALSE),0),ROUNDDOWN(SUM($D44,$E44,$G44)*VLOOKUP($J$30,'事業所内保育事業（19人以下A）'!$B$56:$C$60,2,FALSE),-1)),0)</f>
        <v>0</v>
      </c>
      <c r="K44" s="857" t="e">
        <f>IF($AD$2=1,SUM($D44:$J44),(IF(ROUNDDOWN(SUM($D44:$J44)*$AD$2,-1)&lt;10,ROUNDDOWN(SUM($D44:$J44)*$AD$2,0),(ROUNDDOWN(SUM($D44:$J44)*$AD$2,-1)))))</f>
        <v>#N/A</v>
      </c>
      <c r="L44" s="899">
        <f>L42</f>
        <v>0</v>
      </c>
      <c r="M44" s="826">
        <f>IF(ISERROR(SUM(D44:J44)),0,SUM(D44:J44))</f>
        <v>0</v>
      </c>
      <c r="N44" s="658"/>
      <c r="O44" s="658"/>
      <c r="P44" s="658"/>
      <c r="Q44" s="658"/>
      <c r="R44" s="375"/>
      <c r="S44" s="822"/>
      <c r="T44" s="845"/>
      <c r="W44" s="715">
        <v>2015</v>
      </c>
      <c r="X44" s="175">
        <v>6.1</v>
      </c>
    </row>
    <row r="45" spans="1:24" ht="20.100000000000001" hidden="1" customHeight="1">
      <c r="A45" s="658"/>
      <c r="B45" s="1534" t="s">
        <v>106</v>
      </c>
      <c r="C45" s="1717"/>
      <c r="D45" s="817" t="e">
        <f>D43</f>
        <v>#N/A</v>
      </c>
      <c r="E45" s="817">
        <f>IF(AND($E$30="あり",$Q24&gt;=1),VLOOKUP($D$8,'事業所内保育事業（19人以下A）'!$B$33:$BG$35,21,TRUE),0)</f>
        <v>0</v>
      </c>
      <c r="F45" s="817">
        <f t="shared" si="4"/>
        <v>0</v>
      </c>
      <c r="G45" s="817">
        <f t="shared" si="4"/>
        <v>0</v>
      </c>
      <c r="H45" s="817">
        <f>IF(H$30="あり",IF(ISERROR(-ROUNDDOWN(SUM($D45,$G45)*VLOOKUP($D$8,'事業所内保育事業（19人以下A）'!$B$33:$BG$35,47,TRUE),-1)),0,-ROUNDDOWN(SUM($D45,$G45)*VLOOKUP($D$8,'事業所内保育事業（19人以下A）'!$B$33:$BG$35,47,TRUE),-1)),0)</f>
        <v>0</v>
      </c>
      <c r="I45" s="817">
        <f>I42</f>
        <v>0</v>
      </c>
      <c r="J45" s="818">
        <f>-IFERROR(IF(ROUNDDOWN(SUM($D45,$E45,$G45)*VLOOKUP($J$30,'事業所内保育事業（19人以下A）'!$B$56:$C$60,2,FALSE),-1)&lt;10,ROUNDDOWN(SUM($D45,$E45,$G45)*VLOOKUP($J$30,'事業所内保育事業（19人以下A）'!$B$56:$C$60,2,FALSE),0),ROUNDDOWN(SUM($D45,$E45,$G45)*VLOOKUP($J$30,'事業所内保育事業（19人以下A）'!$B$56:$C$60,2,FALSE),-1)),0)</f>
        <v>0</v>
      </c>
      <c r="K45" s="857" t="e">
        <f>IF($AD$2=1,SUM($D45:$J45),(IF(ROUNDDOWN(SUM($D45:$J45)*$AD$2,-1)&lt;10,ROUNDDOWN(SUM($D45:$J45)*$AD$2,0),(ROUNDDOWN(SUM($D45:$J45)*$AD$2,-1)))))</f>
        <v>#N/A</v>
      </c>
      <c r="L45" s="899">
        <f>L42</f>
        <v>0</v>
      </c>
      <c r="M45" s="826">
        <f>IF(ISERROR(SUM(D45:J45)),0,SUM(D45:J45))</f>
        <v>0</v>
      </c>
      <c r="N45" s="658"/>
      <c r="O45" s="658"/>
      <c r="P45" s="658"/>
      <c r="Q45" s="658"/>
      <c r="R45" s="375"/>
      <c r="S45" s="822"/>
      <c r="T45" s="845"/>
      <c r="W45" s="715">
        <v>2016</v>
      </c>
      <c r="X45" s="173">
        <v>4.2</v>
      </c>
    </row>
    <row r="46" spans="1:24" ht="20.100000000000001" hidden="1" customHeight="1">
      <c r="A46" s="658"/>
      <c r="B46" s="794"/>
      <c r="C46" s="794"/>
      <c r="D46" s="794"/>
      <c r="E46" s="794"/>
      <c r="F46" s="794"/>
      <c r="G46" s="794"/>
      <c r="H46" s="794"/>
      <c r="I46" s="794"/>
      <c r="J46" s="794"/>
      <c r="K46" s="794"/>
      <c r="L46" s="794"/>
      <c r="M46" s="794"/>
      <c r="N46" s="658"/>
      <c r="O46" s="658"/>
      <c r="P46" s="658"/>
      <c r="Q46" s="658"/>
      <c r="R46" s="375"/>
      <c r="S46" s="403"/>
      <c r="W46" s="715">
        <v>2017</v>
      </c>
      <c r="X46" s="173">
        <v>2.9</v>
      </c>
    </row>
    <row r="47" spans="1:24" ht="20.100000000000001" hidden="1" customHeight="1" thickBot="1">
      <c r="A47" s="658"/>
      <c r="B47" s="794"/>
      <c r="C47" s="794"/>
      <c r="D47" s="794"/>
      <c r="E47" s="794"/>
      <c r="F47" s="794"/>
      <c r="G47" s="794"/>
      <c r="H47" s="794"/>
      <c r="I47" s="794"/>
      <c r="J47" s="794"/>
      <c r="K47" s="794"/>
      <c r="L47" s="794"/>
      <c r="M47" s="794"/>
      <c r="N47" s="403"/>
      <c r="O47" s="836"/>
      <c r="P47" s="403"/>
      <c r="Q47" s="836"/>
      <c r="R47" s="375"/>
      <c r="S47" s="403"/>
      <c r="W47" s="715">
        <v>2018</v>
      </c>
      <c r="X47" s="173">
        <v>1.8</v>
      </c>
    </row>
    <row r="48" spans="1:24" ht="44.25" hidden="1" customHeight="1" thickBot="1">
      <c r="A48" s="658"/>
      <c r="B48" s="824" t="s">
        <v>128</v>
      </c>
      <c r="C48" s="794"/>
      <c r="D48" s="794"/>
      <c r="E48" s="794"/>
      <c r="F48" s="794"/>
      <c r="G48" s="794"/>
      <c r="H48" s="824" t="s">
        <v>818</v>
      </c>
      <c r="I48" s="824"/>
      <c r="J48" s="1796" t="s">
        <v>114</v>
      </c>
      <c r="K48" s="1797"/>
      <c r="L48" s="1576" t="s">
        <v>817</v>
      </c>
      <c r="M48" s="1577"/>
      <c r="N48" s="1578" t="s">
        <v>867</v>
      </c>
      <c r="O48" s="1579"/>
      <c r="P48" s="1578" t="s">
        <v>868</v>
      </c>
      <c r="Q48" s="1579"/>
      <c r="R48" s="375"/>
      <c r="W48" s="715">
        <v>2019</v>
      </c>
      <c r="X48" s="173">
        <v>1</v>
      </c>
    </row>
    <row r="49" spans="1:24" ht="30" hidden="1" customHeight="1">
      <c r="A49" s="658"/>
      <c r="B49" s="658"/>
      <c r="C49" s="658"/>
      <c r="D49" s="658"/>
      <c r="E49" s="658"/>
      <c r="F49" s="658"/>
      <c r="G49" s="658"/>
      <c r="H49" s="1833" t="s">
        <v>101</v>
      </c>
      <c r="I49" s="1846" t="s">
        <v>892</v>
      </c>
      <c r="J49" s="1844" t="str">
        <f>"A×賃金改善率（"&amp;$I$6&amp;"％）"</f>
        <v>A×賃金改善率（％）</v>
      </c>
      <c r="K49" s="1841" t="str">
        <f>CONCATENATE("×利用児童数×",$X$2,"月")</f>
        <v>×利用児童数×12月</v>
      </c>
      <c r="L49" s="1844" t="str">
        <f>"A×加算Ⅰ新規事由に係る率（"&amp;$I$7&amp;"％）"</f>
        <v>A×加算Ⅰ新規事由に係る率（％）</v>
      </c>
      <c r="M49" s="1841" t="str">
        <f>CONCATENATE("×利用児童数×",$X$2,"月")</f>
        <v>×利用児童数×12月</v>
      </c>
      <c r="N49" s="1844" t="str">
        <f>"A×人勧影響率（"&amp;$I$9&amp;"％）"</f>
        <v>A×人勧影響率（％）</v>
      </c>
      <c r="O49" s="1841" t="str">
        <f>CONCATENATE("×利用児童数×",$X$2,"月")</f>
        <v>×利用児童数×12月</v>
      </c>
      <c r="P49" s="1844" t="str">
        <f>"A×人勧影響率（"&amp;$I$11&amp;"％）"</f>
        <v>A×人勧影響率（％）</v>
      </c>
      <c r="Q49" s="1841" t="str">
        <f>CONCATENATE("×利用児童数×",$X$2,"月")</f>
        <v>×利用児童数×12月</v>
      </c>
    </row>
    <row r="50" spans="1:24" ht="27" hidden="1" customHeight="1">
      <c r="A50" s="1725" t="s">
        <v>915</v>
      </c>
      <c r="B50" s="1725"/>
      <c r="C50" s="1725"/>
      <c r="D50" s="1725"/>
      <c r="E50" s="1774">
        <f>$K$62</f>
        <v>0</v>
      </c>
      <c r="F50" s="1774"/>
      <c r="G50" s="658"/>
      <c r="H50" s="1826"/>
      <c r="I50" s="1847"/>
      <c r="J50" s="1838"/>
      <c r="K50" s="1840"/>
      <c r="L50" s="1838"/>
      <c r="M50" s="1840"/>
      <c r="N50" s="1838"/>
      <c r="O50" s="1840"/>
      <c r="P50" s="1838"/>
      <c r="Q50" s="1840"/>
      <c r="X50" s="840"/>
    </row>
    <row r="51" spans="1:24" ht="24" hidden="1" customHeight="1">
      <c r="A51" s="1860" t="str">
        <f>CONCATENATE("（賃金改善要件（",I6,"％）分）")</f>
        <v>（賃金改善要件（％）分）</v>
      </c>
      <c r="B51" s="1860"/>
      <c r="C51" s="1860"/>
      <c r="D51" s="1860"/>
      <c r="E51" s="829"/>
      <c r="F51" s="658"/>
      <c r="G51" s="658"/>
      <c r="H51" s="941" t="s">
        <v>90</v>
      </c>
      <c r="I51" s="954">
        <f>'入力（児童数-本園)'!Y3-I53</f>
        <v>0</v>
      </c>
      <c r="J51" s="827">
        <f>M35*$I$6</f>
        <v>0</v>
      </c>
      <c r="K51" s="828">
        <f>J51*$I51*$X$2</f>
        <v>0</v>
      </c>
      <c r="L51" s="827">
        <f>ROUNDDOWN($M35*$I$7,0)</f>
        <v>0</v>
      </c>
      <c r="M51" s="828">
        <f>L51*$I51*$X$2</f>
        <v>0</v>
      </c>
      <c r="N51" s="847">
        <f>ROUNDDOWN($M35*$I$9,0)</f>
        <v>0</v>
      </c>
      <c r="O51" s="848">
        <f>N51*$I51*$X$2</f>
        <v>0</v>
      </c>
      <c r="P51" s="827">
        <f>ROUNDDOWN($M35*$I$11,0)</f>
        <v>0</v>
      </c>
      <c r="Q51" s="828">
        <f>P51*$I51*$X$2</f>
        <v>0</v>
      </c>
    </row>
    <row r="52" spans="1:24" ht="18.75" hidden="1" customHeight="1">
      <c r="A52" s="1867" t="s">
        <v>964</v>
      </c>
      <c r="B52" s="1867"/>
      <c r="C52" s="1867"/>
      <c r="D52" s="1867"/>
      <c r="E52" s="1867"/>
      <c r="F52" s="1867"/>
      <c r="G52" s="658"/>
      <c r="H52" s="941" t="s">
        <v>89</v>
      </c>
      <c r="I52" s="954">
        <f>SUM('入力（児童数-本園)'!Y4:Y6)-I54</f>
        <v>0</v>
      </c>
      <c r="J52" s="827">
        <f>M36*$I$6</f>
        <v>0</v>
      </c>
      <c r="K52" s="828">
        <f>J52*$I52*$X$2</f>
        <v>0</v>
      </c>
      <c r="L52" s="827">
        <f>ROUNDDOWN($M36*$I$7,0)</f>
        <v>0</v>
      </c>
      <c r="M52" s="828">
        <f>L52*$I52*$X$2</f>
        <v>0</v>
      </c>
      <c r="N52" s="847">
        <f>ROUNDDOWN($M36*$I$9,0)</f>
        <v>0</v>
      </c>
      <c r="O52" s="848">
        <f>N52*$I52*$X$2</f>
        <v>0</v>
      </c>
      <c r="P52" s="827">
        <f>ROUNDDOWN($M36*$I$11,0)</f>
        <v>0</v>
      </c>
      <c r="Q52" s="828">
        <f>P52*$I52*$X$2</f>
        <v>0</v>
      </c>
    </row>
    <row r="53" spans="1:24" ht="18.75" hidden="1">
      <c r="A53" s="835"/>
      <c r="B53" s="835"/>
      <c r="C53" s="835"/>
      <c r="D53" s="835"/>
      <c r="E53" s="835"/>
      <c r="F53" s="658"/>
      <c r="G53" s="658"/>
      <c r="H53" s="941" t="s">
        <v>107</v>
      </c>
      <c r="I53" s="955">
        <f>Q18</f>
        <v>0</v>
      </c>
      <c r="J53" s="827">
        <f>M37*$I$6</f>
        <v>0</v>
      </c>
      <c r="K53" s="828">
        <f>J53*$Q18*$X$2</f>
        <v>0</v>
      </c>
      <c r="L53" s="827">
        <f>ROUNDDOWN($M37*$I$7,0)</f>
        <v>0</v>
      </c>
      <c r="M53" s="828">
        <f>L53*$Q18*$X$2</f>
        <v>0</v>
      </c>
      <c r="N53" s="847">
        <f>ROUNDDOWN($M37*$I$9,0)</f>
        <v>0</v>
      </c>
      <c r="O53" s="848">
        <f>N53*$Q18*$X$2</f>
        <v>0</v>
      </c>
      <c r="P53" s="827">
        <f>ROUNDDOWN($M37*$I$11,0)</f>
        <v>0</v>
      </c>
      <c r="Q53" s="828">
        <f>P53*$Q18*$X$2</f>
        <v>0</v>
      </c>
    </row>
    <row r="54" spans="1:24" ht="24" hidden="1" customHeight="1">
      <c r="A54" s="1725" t="s">
        <v>814</v>
      </c>
      <c r="B54" s="1725"/>
      <c r="C54" s="1725"/>
      <c r="D54" s="1725"/>
      <c r="E54" s="1756">
        <f>$M$62</f>
        <v>0</v>
      </c>
      <c r="F54" s="1756"/>
      <c r="G54" s="658"/>
      <c r="H54" s="941" t="s">
        <v>106</v>
      </c>
      <c r="I54" s="955">
        <f>Q19</f>
        <v>0</v>
      </c>
      <c r="J54" s="827">
        <f>M38*$I$6</f>
        <v>0</v>
      </c>
      <c r="K54" s="828">
        <f>J54*$Q19*$X$2</f>
        <v>0</v>
      </c>
      <c r="L54" s="827">
        <f>ROUNDDOWN($M38*$I$7,0)</f>
        <v>0</v>
      </c>
      <c r="M54" s="828">
        <f>L54*$Q19*$X$2</f>
        <v>0</v>
      </c>
      <c r="N54" s="847">
        <f>ROUNDDOWN($M38*$I$9,0)</f>
        <v>0</v>
      </c>
      <c r="O54" s="848">
        <f>N54*$Q19*$X$2</f>
        <v>0</v>
      </c>
      <c r="P54" s="827">
        <f>ROUNDDOWN($M38*$I$11,0)</f>
        <v>0</v>
      </c>
      <c r="Q54" s="828">
        <f>P54*$Q19*$X$2</f>
        <v>0</v>
      </c>
    </row>
    <row r="55" spans="1:24" ht="27.75" hidden="1" customHeight="1" thickBot="1">
      <c r="A55" s="1860" t="str">
        <f>CONCATENATE("（加算Ⅰ新規事由に係る加算率（",I7,"％）分）")</f>
        <v>（加算Ⅰ新規事由に係る加算率（％）分）</v>
      </c>
      <c r="B55" s="1860"/>
      <c r="C55" s="1860"/>
      <c r="D55" s="1860"/>
      <c r="E55" s="829"/>
      <c r="F55" s="658"/>
      <c r="G55" s="658"/>
      <c r="H55" s="890"/>
      <c r="I55" s="909"/>
      <c r="J55" s="658"/>
      <c r="K55" s="658"/>
      <c r="L55" s="658"/>
      <c r="M55" s="658"/>
      <c r="N55" s="658"/>
      <c r="O55" s="658"/>
      <c r="P55" s="658"/>
      <c r="Q55" s="658"/>
    </row>
    <row r="56" spans="1:24" ht="30" hidden="1" customHeight="1">
      <c r="A56" s="658"/>
      <c r="B56" s="658"/>
      <c r="C56" s="658"/>
      <c r="D56" s="658"/>
      <c r="E56" s="658"/>
      <c r="F56" s="658"/>
      <c r="G56" s="658"/>
      <c r="H56" s="1825" t="s">
        <v>102</v>
      </c>
      <c r="I56" s="1848" t="s">
        <v>892</v>
      </c>
      <c r="J56" s="1844" t="str">
        <f>"B×賃金改善率（"&amp;$I$6&amp;"％）"</f>
        <v>B×賃金改善率（％）</v>
      </c>
      <c r="K56" s="1841" t="str">
        <f>CONCATENATE("×利用児童数×",$X$2,"月")</f>
        <v>×利用児童数×12月</v>
      </c>
      <c r="L56" s="1844" t="str">
        <f>"B×加算Ⅰ新規事由に係る率（"&amp;$I$7&amp;"％）"</f>
        <v>B×加算Ⅰ新規事由に係る率（％）</v>
      </c>
      <c r="M56" s="1841" t="str">
        <f>CONCATENATE("×利用児童数×",$X$2,"月")</f>
        <v>×利用児童数×12月</v>
      </c>
      <c r="N56" s="1844" t="str">
        <f>"B×人勧影響率（"&amp;$I$9&amp;"％）"</f>
        <v>B×人勧影響率（％）</v>
      </c>
      <c r="O56" s="1841" t="str">
        <f>CONCATENATE("×利用児童数×",$X$2,"月")</f>
        <v>×利用児童数×12月</v>
      </c>
      <c r="P56" s="1844" t="str">
        <f>"B×人勧影響率（"&amp;$I$11&amp;"％）"</f>
        <v>B×人勧影響率（％）</v>
      </c>
      <c r="Q56" s="1841" t="str">
        <f>CONCATENATE("×利用児童数×",$X$2,"月")</f>
        <v>×利用児童数×12月</v>
      </c>
    </row>
    <row r="57" spans="1:24" ht="27" hidden="1" customHeight="1">
      <c r="A57" s="1725" t="s">
        <v>813</v>
      </c>
      <c r="B57" s="1725"/>
      <c r="C57" s="1725"/>
      <c r="D57" s="1725"/>
      <c r="E57" s="1795">
        <f>$O$62</f>
        <v>0</v>
      </c>
      <c r="F57" s="1795"/>
      <c r="G57" s="658"/>
      <c r="H57" s="1826"/>
      <c r="I57" s="1847"/>
      <c r="J57" s="1838"/>
      <c r="K57" s="1840"/>
      <c r="L57" s="1838"/>
      <c r="M57" s="1840"/>
      <c r="N57" s="1838"/>
      <c r="O57" s="1840"/>
      <c r="P57" s="1838"/>
      <c r="Q57" s="1840"/>
    </row>
    <row r="58" spans="1:24" ht="17.25" hidden="1" customHeight="1">
      <c r="A58" s="1860" t="str">
        <f>CONCATENATE("（処遇Ⅰの基準年度の翌年～当年度まで（",I9,"％）分）")</f>
        <v>（処遇Ⅰの基準年度の翌年～当年度まで（％）分）</v>
      </c>
      <c r="B58" s="1860"/>
      <c r="C58" s="1860"/>
      <c r="D58" s="1860"/>
      <c r="E58" s="829"/>
      <c r="F58" s="658"/>
      <c r="G58" s="658"/>
      <c r="H58" s="941" t="s">
        <v>90</v>
      </c>
      <c r="I58" s="954">
        <f>'入力（児童数-本園)'!Z3-I60</f>
        <v>0</v>
      </c>
      <c r="J58" s="827">
        <f>M42*$I$6</f>
        <v>0</v>
      </c>
      <c r="K58" s="828">
        <f>J58*$I58*$X$2</f>
        <v>0</v>
      </c>
      <c r="L58" s="827">
        <f>ROUNDDOWN($M42*$I$7,0)</f>
        <v>0</v>
      </c>
      <c r="M58" s="828">
        <f>L58*$I58*$X$2</f>
        <v>0</v>
      </c>
      <c r="N58" s="847">
        <f>ROUNDDOWN($M42*$I$9,0)</f>
        <v>0</v>
      </c>
      <c r="O58" s="848">
        <f>N58*$I58*$X$2</f>
        <v>0</v>
      </c>
      <c r="P58" s="827">
        <f>ROUNDDOWN($M42*$I$11,0)</f>
        <v>0</v>
      </c>
      <c r="Q58" s="828">
        <f>P58*$I58*$X$2</f>
        <v>0</v>
      </c>
    </row>
    <row r="59" spans="1:24" hidden="1">
      <c r="A59" s="1860"/>
      <c r="B59" s="1860"/>
      <c r="C59" s="1860"/>
      <c r="D59" s="1860"/>
      <c r="E59" s="658"/>
      <c r="F59" s="658"/>
      <c r="G59" s="658"/>
      <c r="H59" s="941" t="s">
        <v>89</v>
      </c>
      <c r="I59" s="954">
        <f>SUM('入力（児童数-本園)'!Z4:Z6)-I61</f>
        <v>0</v>
      </c>
      <c r="J59" s="827">
        <f>M43*$I$6</f>
        <v>0</v>
      </c>
      <c r="K59" s="828">
        <f>J59*$I59*$X$2</f>
        <v>0</v>
      </c>
      <c r="L59" s="827">
        <f>ROUNDDOWN($M43*$I$7,0)</f>
        <v>0</v>
      </c>
      <c r="M59" s="828">
        <f>L59*$I59*$X$2</f>
        <v>0</v>
      </c>
      <c r="N59" s="847">
        <f>ROUNDDOWN($M43*$I$9,0)</f>
        <v>0</v>
      </c>
      <c r="O59" s="848">
        <f>N59*$I59*$X$2</f>
        <v>0</v>
      </c>
      <c r="P59" s="827">
        <f>ROUNDDOWN($M43*$I$11,0)</f>
        <v>0</v>
      </c>
      <c r="Q59" s="828">
        <f>P59*$I59*$X$2</f>
        <v>0</v>
      </c>
    </row>
    <row r="60" spans="1:24" ht="24" hidden="1">
      <c r="A60" s="1725" t="s">
        <v>813</v>
      </c>
      <c r="B60" s="1725"/>
      <c r="C60" s="1725"/>
      <c r="D60" s="1725"/>
      <c r="E60" s="1795">
        <f>$Q$62</f>
        <v>0</v>
      </c>
      <c r="F60" s="1795"/>
      <c r="G60" s="658"/>
      <c r="H60" s="941" t="s">
        <v>107</v>
      </c>
      <c r="I60" s="955">
        <f>Q23</f>
        <v>0</v>
      </c>
      <c r="J60" s="827">
        <f>M44*$I$6</f>
        <v>0</v>
      </c>
      <c r="K60" s="828">
        <f>J60*$Q23*$X$2</f>
        <v>0</v>
      </c>
      <c r="L60" s="827">
        <f>ROUNDDOWN($M44*$I$7,0)</f>
        <v>0</v>
      </c>
      <c r="M60" s="828">
        <f>L60*$Q23*$X$2</f>
        <v>0</v>
      </c>
      <c r="N60" s="847">
        <f>ROUNDDOWN($M44*$I$9,0)</f>
        <v>0</v>
      </c>
      <c r="O60" s="848">
        <f>N60*$Q23*$X$2</f>
        <v>0</v>
      </c>
      <c r="P60" s="827">
        <f>ROUNDDOWN($M44*$I$11,0)</f>
        <v>0</v>
      </c>
      <c r="Q60" s="828">
        <f>P60*$Q23*$X$2</f>
        <v>0</v>
      </c>
    </row>
    <row r="61" spans="1:24" ht="18" hidden="1" customHeight="1" thickBot="1">
      <c r="A61" s="1860" t="str">
        <f>CONCATENATE("（処遇Ⅱの基準年度の翌年～当年度まで（",I11,"％）分）")</f>
        <v>（処遇Ⅱの基準年度の翌年～当年度まで（％）分）</v>
      </c>
      <c r="B61" s="1860"/>
      <c r="C61" s="1860"/>
      <c r="D61" s="1860"/>
      <c r="E61" s="658"/>
      <c r="F61" s="658"/>
      <c r="G61" s="900"/>
      <c r="H61" s="941" t="s">
        <v>106</v>
      </c>
      <c r="I61" s="956">
        <f>Q24</f>
        <v>0</v>
      </c>
      <c r="J61" s="827">
        <f>M45*$I$6</f>
        <v>0</v>
      </c>
      <c r="K61" s="894">
        <f>J61*$Q24*$X$2</f>
        <v>0</v>
      </c>
      <c r="L61" s="827">
        <f>ROUNDDOWN($M45*$I$7,0)</f>
        <v>0</v>
      </c>
      <c r="M61" s="894">
        <f>L61*$Q24*$X$2</f>
        <v>0</v>
      </c>
      <c r="N61" s="847">
        <f>ROUNDDOWN($M45*$I$9,0)</f>
        <v>0</v>
      </c>
      <c r="O61" s="896">
        <f>N61*$Q24*$X$2</f>
        <v>0</v>
      </c>
      <c r="P61" s="827">
        <f>ROUNDDOWN($M45*$I$11,0)</f>
        <v>0</v>
      </c>
      <c r="Q61" s="894">
        <f>P61*$Q24*$X$2</f>
        <v>0</v>
      </c>
    </row>
    <row r="62" spans="1:24" ht="18.75" hidden="1" thickTop="1" thickBot="1">
      <c r="A62" s="1860"/>
      <c r="B62" s="1860"/>
      <c r="C62" s="1860"/>
      <c r="D62" s="1860"/>
      <c r="E62" s="658"/>
      <c r="F62" s="658"/>
      <c r="G62" s="658"/>
      <c r="H62" s="832" t="s">
        <v>0</v>
      </c>
      <c r="I62" s="950">
        <f>SUM(Q20,Q25,I51:I52,I58:I59)</f>
        <v>0</v>
      </c>
      <c r="J62" s="834" t="s">
        <v>148</v>
      </c>
      <c r="K62" s="868">
        <f>ROUNDDOWN(SUM(K51:K54,K58:K61),-3)</f>
        <v>0</v>
      </c>
      <c r="L62" s="834" t="s">
        <v>148</v>
      </c>
      <c r="M62" s="868">
        <f>ROUNDDOWN(SUM(M51:M54,M58:M61),-3)</f>
        <v>0</v>
      </c>
      <c r="N62" s="834" t="s">
        <v>0</v>
      </c>
      <c r="O62" s="872">
        <f>ROUNDDOWN(SUM(O51:O54,O58:O61),-3)</f>
        <v>0</v>
      </c>
      <c r="P62" s="834" t="s">
        <v>0</v>
      </c>
      <c r="Q62" s="868">
        <f>ROUNDDOWN(SUM(Q51:Q54,Q58:Q61),-3)</f>
        <v>0</v>
      </c>
    </row>
    <row r="63" spans="1:24">
      <c r="C63" s="843"/>
      <c r="D63" s="195"/>
    </row>
  </sheetData>
  <sheetProtection algorithmName="SHA-512" hashValue="5oEBFrQt2AMc1MvBs9ajooCoZtgeTt6UeqaPUaUzBk2013sgNgx7EykuB47rYBQMZ7WqqHxXlGAMmgfeDENE3Q==" saltValue="aevknNYCH/4K9tEDAQJx6A==" spinCount="100000" sheet="1" objects="1" scenarios="1"/>
  <customSheetViews>
    <customSheetView guid="{2E52E5FF-9846-4DC5-A671-268FE925398C}" scale="80" showPageBreaks="1" fitToPage="1" printArea="1" hiddenColumns="1" view="pageBreakPreview">
      <selection activeCell="D15" sqref="D15"/>
      <pageMargins left="0.70866141732283472" right="0.70866141732283472" top="0.74803149606299213" bottom="0.74803149606299213" header="0.31496062992125984" footer="0.31496062992125984"/>
      <pageSetup paperSize="9" scale="49" orientation="landscape" r:id="rId1"/>
    </customSheetView>
    <customSheetView guid="{BADA99B3-B36A-4925-87A7-F72FC97D3DBA}" scale="80" showPageBreaks="1" fitToPage="1" printArea="1" view="pageBreakPreview" topLeftCell="A25">
      <selection activeCell="T43" sqref="T43"/>
      <pageMargins left="0.70866141732283472" right="0.70866141732283472" top="0.74803149606299213" bottom="0.74803149606299213" header="0.31496062992125984" footer="0.31496062992125984"/>
      <pageSetup paperSize="9" scale="49" orientation="landscape" r:id="rId2"/>
    </customSheetView>
  </customSheetViews>
  <mergeCells count="91">
    <mergeCell ref="N1:Q1"/>
    <mergeCell ref="P49:P50"/>
    <mergeCell ref="Q49:Q50"/>
    <mergeCell ref="P56:P57"/>
    <mergeCell ref="Q56:Q57"/>
    <mergeCell ref="P48:Q48"/>
    <mergeCell ref="N56:N57"/>
    <mergeCell ref="O56:O57"/>
    <mergeCell ref="E60:F60"/>
    <mergeCell ref="J48:K48"/>
    <mergeCell ref="A61:D62"/>
    <mergeCell ref="O49:O50"/>
    <mergeCell ref="N49:N50"/>
    <mergeCell ref="A50:D50"/>
    <mergeCell ref="A51:D51"/>
    <mergeCell ref="A54:D54"/>
    <mergeCell ref="A55:D55"/>
    <mergeCell ref="K56:K57"/>
    <mergeCell ref="L56:L57"/>
    <mergeCell ref="M56:M57"/>
    <mergeCell ref="N48:O48"/>
    <mergeCell ref="M49:M50"/>
    <mergeCell ref="K49:K50"/>
    <mergeCell ref="L49:L50"/>
    <mergeCell ref="A58:D59"/>
    <mergeCell ref="B6:C6"/>
    <mergeCell ref="A2:Q3"/>
    <mergeCell ref="B5:D5"/>
    <mergeCell ref="D6:E6"/>
    <mergeCell ref="D7:E7"/>
    <mergeCell ref="D8:E8"/>
    <mergeCell ref="B7:C7"/>
    <mergeCell ref="D33:D34"/>
    <mergeCell ref="E33:E34"/>
    <mergeCell ref="F33:F34"/>
    <mergeCell ref="H49:H50"/>
    <mergeCell ref="I49:I50"/>
    <mergeCell ref="H56:H57"/>
    <mergeCell ref="I56:I57"/>
    <mergeCell ref="J49:J50"/>
    <mergeCell ref="B32:C32"/>
    <mergeCell ref="I33:I34"/>
    <mergeCell ref="J33:J34"/>
    <mergeCell ref="B33:C34"/>
    <mergeCell ref="H33:H34"/>
    <mergeCell ref="D32:M32"/>
    <mergeCell ref="I40:I41"/>
    <mergeCell ref="G33:G34"/>
    <mergeCell ref="B36:C36"/>
    <mergeCell ref="L33:L34"/>
    <mergeCell ref="M33:M34"/>
    <mergeCell ref="J40:J41"/>
    <mergeCell ref="L40:L41"/>
    <mergeCell ref="M40:M41"/>
    <mergeCell ref="D9:E9"/>
    <mergeCell ref="D10:E10"/>
    <mergeCell ref="B38:C38"/>
    <mergeCell ref="B35:C35"/>
    <mergeCell ref="L48:M48"/>
    <mergeCell ref="B43:C43"/>
    <mergeCell ref="B42:C42"/>
    <mergeCell ref="B44:C44"/>
    <mergeCell ref="B45:C45"/>
    <mergeCell ref="B40:C41"/>
    <mergeCell ref="D40:D41"/>
    <mergeCell ref="E40:E41"/>
    <mergeCell ref="F40:F41"/>
    <mergeCell ref="G40:G41"/>
    <mergeCell ref="H40:H41"/>
    <mergeCell ref="B37:C37"/>
    <mergeCell ref="B9:C9"/>
    <mergeCell ref="B10:C10"/>
    <mergeCell ref="A60:D60"/>
    <mergeCell ref="B16:F16"/>
    <mergeCell ref="B17:C17"/>
    <mergeCell ref="B22:C22"/>
    <mergeCell ref="B25:C25"/>
    <mergeCell ref="B19:C19"/>
    <mergeCell ref="B20:C20"/>
    <mergeCell ref="B21:C21"/>
    <mergeCell ref="B18:C18"/>
    <mergeCell ref="B23:C23"/>
    <mergeCell ref="B24:C24"/>
    <mergeCell ref="B28:C28"/>
    <mergeCell ref="B29:C30"/>
    <mergeCell ref="E50:F50"/>
    <mergeCell ref="E57:F57"/>
    <mergeCell ref="J56:J57"/>
    <mergeCell ref="A52:F52"/>
    <mergeCell ref="E54:F54"/>
    <mergeCell ref="A57:D57"/>
  </mergeCells>
  <phoneticPr fontId="4"/>
  <conditionalFormatting sqref="D18:O19 D23:O24">
    <cfRule type="expression" dxfId="317" priority="1">
      <formula>D$17=""</formula>
    </cfRule>
  </conditionalFormatting>
  <dataValidations count="5">
    <dataValidation type="list" allowBlank="1" showInputMessage="1" showErrorMessage="1" sqref="D30:E30 G30:I30" xr:uid="{00000000-0002-0000-0F00-000000000000}">
      <formula1>$Y$3:$Y$4</formula1>
    </dataValidation>
    <dataValidation type="list" allowBlank="1" showInputMessage="1" showErrorMessage="1" sqref="L30" xr:uid="{00000000-0002-0000-0F00-000001000000}">
      <formula1>$AA$2:$AA$5</formula1>
    </dataValidation>
    <dataValidation type="list" allowBlank="1" showInputMessage="1" showErrorMessage="1" sqref="K30" xr:uid="{00000000-0002-0000-0F00-000002000000}">
      <formula1>$Y$2:$Y$4</formula1>
    </dataValidation>
    <dataValidation type="list" allowBlank="1" showInputMessage="1" showErrorMessage="1" sqref="J30" xr:uid="{00000000-0002-0000-0F00-000003000000}">
      <formula1>$Z$2:$Z$7</formula1>
    </dataValidation>
    <dataValidation type="whole" operator="greaterThanOrEqual" allowBlank="1" showInputMessage="1" showErrorMessage="1" sqref="F30" xr:uid="{00000000-0002-0000-0F00-000004000000}">
      <formula1>0</formula1>
    </dataValidation>
  </dataValidations>
  <printOptions horizontalCentered="1"/>
  <pageMargins left="0.70866141732283472" right="0.70866141732283472" top="0.74803149606299213" bottom="0.74803149606299213" header="0.31496062992125984" footer="0.31496062992125984"/>
  <pageSetup paperSize="9" scale="46"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rgb="FFFFC000"/>
  </sheetPr>
  <dimension ref="A1:V106"/>
  <sheetViews>
    <sheetView showGridLines="0" view="pageBreakPreview" zoomScale="85" zoomScaleNormal="100" zoomScaleSheetLayoutView="85" workbookViewId="0">
      <selection activeCell="H26" sqref="H26"/>
    </sheetView>
  </sheetViews>
  <sheetFormatPr defaultRowHeight="13.5" outlineLevelCol="1"/>
  <cols>
    <col min="1" max="1" width="2.875" style="260" customWidth="1"/>
    <col min="2" max="2" width="3" style="260" customWidth="1"/>
    <col min="3" max="3" width="16.375" style="260" customWidth="1"/>
    <col min="4" max="4" width="22.75" style="260" customWidth="1"/>
    <col min="5" max="5" width="11.5" style="260" customWidth="1"/>
    <col min="6" max="6" width="8" style="507" customWidth="1"/>
    <col min="7" max="7" width="10.25" style="507" customWidth="1"/>
    <col min="8" max="8" width="9.25" style="507" customWidth="1"/>
    <col min="9" max="9" width="8" style="507" customWidth="1"/>
    <col min="10" max="10" width="6.5" style="507" customWidth="1"/>
    <col min="11" max="21" width="9" style="260" hidden="1" customWidth="1" outlineLevel="1"/>
    <col min="22" max="22" width="9" style="260" collapsed="1"/>
    <col min="23" max="264" width="9" style="260"/>
    <col min="265" max="265" width="2.875" style="260" customWidth="1"/>
    <col min="266" max="266" width="3" style="260" customWidth="1"/>
    <col min="267" max="267" width="16.375" style="260" customWidth="1"/>
    <col min="268" max="268" width="25.5" style="260" customWidth="1"/>
    <col min="269" max="269" width="8" style="260" customWidth="1"/>
    <col min="270" max="270" width="6.125" style="260" bestFit="1" customWidth="1"/>
    <col min="271" max="271" width="7.875" style="260" bestFit="1" customWidth="1"/>
    <col min="272" max="272" width="13.25" style="260" bestFit="1" customWidth="1"/>
    <col min="273" max="273" width="9" style="260" customWidth="1"/>
    <col min="274" max="520" width="9" style="260"/>
    <col min="521" max="521" width="2.875" style="260" customWidth="1"/>
    <col min="522" max="522" width="3" style="260" customWidth="1"/>
    <col min="523" max="523" width="16.375" style="260" customWidth="1"/>
    <col min="524" max="524" width="25.5" style="260" customWidth="1"/>
    <col min="525" max="525" width="8" style="260" customWidth="1"/>
    <col min="526" max="526" width="6.125" style="260" bestFit="1" customWidth="1"/>
    <col min="527" max="527" width="7.875" style="260" bestFit="1" customWidth="1"/>
    <col min="528" max="528" width="13.25" style="260" bestFit="1" customWidth="1"/>
    <col min="529" max="529" width="9" style="260" customWidth="1"/>
    <col min="530" max="776" width="9" style="260"/>
    <col min="777" max="777" width="2.875" style="260" customWidth="1"/>
    <col min="778" max="778" width="3" style="260" customWidth="1"/>
    <col min="779" max="779" width="16.375" style="260" customWidth="1"/>
    <col min="780" max="780" width="25.5" style="260" customWidth="1"/>
    <col min="781" max="781" width="8" style="260" customWidth="1"/>
    <col min="782" max="782" width="6.125" style="260" bestFit="1" customWidth="1"/>
    <col min="783" max="783" width="7.875" style="260" bestFit="1" customWidth="1"/>
    <col min="784" max="784" width="13.25" style="260" bestFit="1" customWidth="1"/>
    <col min="785" max="785" width="9" style="260" customWidth="1"/>
    <col min="786" max="1032" width="9" style="260"/>
    <col min="1033" max="1033" width="2.875" style="260" customWidth="1"/>
    <col min="1034" max="1034" width="3" style="260" customWidth="1"/>
    <col min="1035" max="1035" width="16.375" style="260" customWidth="1"/>
    <col min="1036" max="1036" width="25.5" style="260" customWidth="1"/>
    <col min="1037" max="1037" width="8" style="260" customWidth="1"/>
    <col min="1038" max="1038" width="6.125" style="260" bestFit="1" customWidth="1"/>
    <col min="1039" max="1039" width="7.875" style="260" bestFit="1" customWidth="1"/>
    <col min="1040" max="1040" width="13.25" style="260" bestFit="1" customWidth="1"/>
    <col min="1041" max="1041" width="9" style="260" customWidth="1"/>
    <col min="1042" max="1288" width="9" style="260"/>
    <col min="1289" max="1289" width="2.875" style="260" customWidth="1"/>
    <col min="1290" max="1290" width="3" style="260" customWidth="1"/>
    <col min="1291" max="1291" width="16.375" style="260" customWidth="1"/>
    <col min="1292" max="1292" width="25.5" style="260" customWidth="1"/>
    <col min="1293" max="1293" width="8" style="260" customWidth="1"/>
    <col min="1294" max="1294" width="6.125" style="260" bestFit="1" customWidth="1"/>
    <col min="1295" max="1295" width="7.875" style="260" bestFit="1" customWidth="1"/>
    <col min="1296" max="1296" width="13.25" style="260" bestFit="1" customWidth="1"/>
    <col min="1297" max="1297" width="9" style="260" customWidth="1"/>
    <col min="1298" max="1544" width="9" style="260"/>
    <col min="1545" max="1545" width="2.875" style="260" customWidth="1"/>
    <col min="1546" max="1546" width="3" style="260" customWidth="1"/>
    <col min="1547" max="1547" width="16.375" style="260" customWidth="1"/>
    <col min="1548" max="1548" width="25.5" style="260" customWidth="1"/>
    <col min="1549" max="1549" width="8" style="260" customWidth="1"/>
    <col min="1550" max="1550" width="6.125" style="260" bestFit="1" customWidth="1"/>
    <col min="1551" max="1551" width="7.875" style="260" bestFit="1" customWidth="1"/>
    <col min="1552" max="1552" width="13.25" style="260" bestFit="1" customWidth="1"/>
    <col min="1553" max="1553" width="9" style="260" customWidth="1"/>
    <col min="1554" max="1800" width="9" style="260"/>
    <col min="1801" max="1801" width="2.875" style="260" customWidth="1"/>
    <col min="1802" max="1802" width="3" style="260" customWidth="1"/>
    <col min="1803" max="1803" width="16.375" style="260" customWidth="1"/>
    <col min="1804" max="1804" width="25.5" style="260" customWidth="1"/>
    <col min="1805" max="1805" width="8" style="260" customWidth="1"/>
    <col min="1806" max="1806" width="6.125" style="260" bestFit="1" customWidth="1"/>
    <col min="1807" max="1807" width="7.875" style="260" bestFit="1" customWidth="1"/>
    <col min="1808" max="1808" width="13.25" style="260" bestFit="1" customWidth="1"/>
    <col min="1809" max="1809" width="9" style="260" customWidth="1"/>
    <col min="1810" max="2056" width="9" style="260"/>
    <col min="2057" max="2057" width="2.875" style="260" customWidth="1"/>
    <col min="2058" max="2058" width="3" style="260" customWidth="1"/>
    <col min="2059" max="2059" width="16.375" style="260" customWidth="1"/>
    <col min="2060" max="2060" width="25.5" style="260" customWidth="1"/>
    <col min="2061" max="2061" width="8" style="260" customWidth="1"/>
    <col min="2062" max="2062" width="6.125" style="260" bestFit="1" customWidth="1"/>
    <col min="2063" max="2063" width="7.875" style="260" bestFit="1" customWidth="1"/>
    <col min="2064" max="2064" width="13.25" style="260" bestFit="1" customWidth="1"/>
    <col min="2065" max="2065" width="9" style="260" customWidth="1"/>
    <col min="2066" max="2312" width="9" style="260"/>
    <col min="2313" max="2313" width="2.875" style="260" customWidth="1"/>
    <col min="2314" max="2314" width="3" style="260" customWidth="1"/>
    <col min="2315" max="2315" width="16.375" style="260" customWidth="1"/>
    <col min="2316" max="2316" width="25.5" style="260" customWidth="1"/>
    <col min="2317" max="2317" width="8" style="260" customWidth="1"/>
    <col min="2318" max="2318" width="6.125" style="260" bestFit="1" customWidth="1"/>
    <col min="2319" max="2319" width="7.875" style="260" bestFit="1" customWidth="1"/>
    <col min="2320" max="2320" width="13.25" style="260" bestFit="1" customWidth="1"/>
    <col min="2321" max="2321" width="9" style="260" customWidth="1"/>
    <col min="2322" max="2568" width="9" style="260"/>
    <col min="2569" max="2569" width="2.875" style="260" customWidth="1"/>
    <col min="2570" max="2570" width="3" style="260" customWidth="1"/>
    <col min="2571" max="2571" width="16.375" style="260" customWidth="1"/>
    <col min="2572" max="2572" width="25.5" style="260" customWidth="1"/>
    <col min="2573" max="2573" width="8" style="260" customWidth="1"/>
    <col min="2574" max="2574" width="6.125" style="260" bestFit="1" customWidth="1"/>
    <col min="2575" max="2575" width="7.875" style="260" bestFit="1" customWidth="1"/>
    <col min="2576" max="2576" width="13.25" style="260" bestFit="1" customWidth="1"/>
    <col min="2577" max="2577" width="9" style="260" customWidth="1"/>
    <col min="2578" max="2824" width="9" style="260"/>
    <col min="2825" max="2825" width="2.875" style="260" customWidth="1"/>
    <col min="2826" max="2826" width="3" style="260" customWidth="1"/>
    <col min="2827" max="2827" width="16.375" style="260" customWidth="1"/>
    <col min="2828" max="2828" width="25.5" style="260" customWidth="1"/>
    <col min="2829" max="2829" width="8" style="260" customWidth="1"/>
    <col min="2830" max="2830" width="6.125" style="260" bestFit="1" customWidth="1"/>
    <col min="2831" max="2831" width="7.875" style="260" bestFit="1" customWidth="1"/>
    <col min="2832" max="2832" width="13.25" style="260" bestFit="1" customWidth="1"/>
    <col min="2833" max="2833" width="9" style="260" customWidth="1"/>
    <col min="2834" max="3080" width="9" style="260"/>
    <col min="3081" max="3081" width="2.875" style="260" customWidth="1"/>
    <col min="3082" max="3082" width="3" style="260" customWidth="1"/>
    <col min="3083" max="3083" width="16.375" style="260" customWidth="1"/>
    <col min="3084" max="3084" width="25.5" style="260" customWidth="1"/>
    <col min="3085" max="3085" width="8" style="260" customWidth="1"/>
    <col min="3086" max="3086" width="6.125" style="260" bestFit="1" customWidth="1"/>
    <col min="3087" max="3087" width="7.875" style="260" bestFit="1" customWidth="1"/>
    <col min="3088" max="3088" width="13.25" style="260" bestFit="1" customWidth="1"/>
    <col min="3089" max="3089" width="9" style="260" customWidth="1"/>
    <col min="3090" max="3336" width="9" style="260"/>
    <col min="3337" max="3337" width="2.875" style="260" customWidth="1"/>
    <col min="3338" max="3338" width="3" style="260" customWidth="1"/>
    <col min="3339" max="3339" width="16.375" style="260" customWidth="1"/>
    <col min="3340" max="3340" width="25.5" style="260" customWidth="1"/>
    <col min="3341" max="3341" width="8" style="260" customWidth="1"/>
    <col min="3342" max="3342" width="6.125" style="260" bestFit="1" customWidth="1"/>
    <col min="3343" max="3343" width="7.875" style="260" bestFit="1" customWidth="1"/>
    <col min="3344" max="3344" width="13.25" style="260" bestFit="1" customWidth="1"/>
    <col min="3345" max="3345" width="9" style="260" customWidth="1"/>
    <col min="3346" max="3592" width="9" style="260"/>
    <col min="3593" max="3593" width="2.875" style="260" customWidth="1"/>
    <col min="3594" max="3594" width="3" style="260" customWidth="1"/>
    <col min="3595" max="3595" width="16.375" style="260" customWidth="1"/>
    <col min="3596" max="3596" width="25.5" style="260" customWidth="1"/>
    <col min="3597" max="3597" width="8" style="260" customWidth="1"/>
    <col min="3598" max="3598" width="6.125" style="260" bestFit="1" customWidth="1"/>
    <col min="3599" max="3599" width="7.875" style="260" bestFit="1" customWidth="1"/>
    <col min="3600" max="3600" width="13.25" style="260" bestFit="1" customWidth="1"/>
    <col min="3601" max="3601" width="9" style="260" customWidth="1"/>
    <col min="3602" max="3848" width="9" style="260"/>
    <col min="3849" max="3849" width="2.875" style="260" customWidth="1"/>
    <col min="3850" max="3850" width="3" style="260" customWidth="1"/>
    <col min="3851" max="3851" width="16.375" style="260" customWidth="1"/>
    <col min="3852" max="3852" width="25.5" style="260" customWidth="1"/>
    <col min="3853" max="3853" width="8" style="260" customWidth="1"/>
    <col min="3854" max="3854" width="6.125" style="260" bestFit="1" customWidth="1"/>
    <col min="3855" max="3855" width="7.875" style="260" bestFit="1" customWidth="1"/>
    <col min="3856" max="3856" width="13.25" style="260" bestFit="1" customWidth="1"/>
    <col min="3857" max="3857" width="9" style="260" customWidth="1"/>
    <col min="3858" max="4104" width="9" style="260"/>
    <col min="4105" max="4105" width="2.875" style="260" customWidth="1"/>
    <col min="4106" max="4106" width="3" style="260" customWidth="1"/>
    <col min="4107" max="4107" width="16.375" style="260" customWidth="1"/>
    <col min="4108" max="4108" width="25.5" style="260" customWidth="1"/>
    <col min="4109" max="4109" width="8" style="260" customWidth="1"/>
    <col min="4110" max="4110" width="6.125" style="260" bestFit="1" customWidth="1"/>
    <col min="4111" max="4111" width="7.875" style="260" bestFit="1" customWidth="1"/>
    <col min="4112" max="4112" width="13.25" style="260" bestFit="1" customWidth="1"/>
    <col min="4113" max="4113" width="9" style="260" customWidth="1"/>
    <col min="4114" max="4360" width="9" style="260"/>
    <col min="4361" max="4361" width="2.875" style="260" customWidth="1"/>
    <col min="4362" max="4362" width="3" style="260" customWidth="1"/>
    <col min="4363" max="4363" width="16.375" style="260" customWidth="1"/>
    <col min="4364" max="4364" width="25.5" style="260" customWidth="1"/>
    <col min="4365" max="4365" width="8" style="260" customWidth="1"/>
    <col min="4366" max="4366" width="6.125" style="260" bestFit="1" customWidth="1"/>
    <col min="4367" max="4367" width="7.875" style="260" bestFit="1" customWidth="1"/>
    <col min="4368" max="4368" width="13.25" style="260" bestFit="1" customWidth="1"/>
    <col min="4369" max="4369" width="9" style="260" customWidth="1"/>
    <col min="4370" max="4616" width="9" style="260"/>
    <col min="4617" max="4617" width="2.875" style="260" customWidth="1"/>
    <col min="4618" max="4618" width="3" style="260" customWidth="1"/>
    <col min="4619" max="4619" width="16.375" style="260" customWidth="1"/>
    <col min="4620" max="4620" width="25.5" style="260" customWidth="1"/>
    <col min="4621" max="4621" width="8" style="260" customWidth="1"/>
    <col min="4622" max="4622" width="6.125" style="260" bestFit="1" customWidth="1"/>
    <col min="4623" max="4623" width="7.875" style="260" bestFit="1" customWidth="1"/>
    <col min="4624" max="4624" width="13.25" style="260" bestFit="1" customWidth="1"/>
    <col min="4625" max="4625" width="9" style="260" customWidth="1"/>
    <col min="4626" max="4872" width="9" style="260"/>
    <col min="4873" max="4873" width="2.875" style="260" customWidth="1"/>
    <col min="4874" max="4874" width="3" style="260" customWidth="1"/>
    <col min="4875" max="4875" width="16.375" style="260" customWidth="1"/>
    <col min="4876" max="4876" width="25.5" style="260" customWidth="1"/>
    <col min="4877" max="4877" width="8" style="260" customWidth="1"/>
    <col min="4878" max="4878" width="6.125" style="260" bestFit="1" customWidth="1"/>
    <col min="4879" max="4879" width="7.875" style="260" bestFit="1" customWidth="1"/>
    <col min="4880" max="4880" width="13.25" style="260" bestFit="1" customWidth="1"/>
    <col min="4881" max="4881" width="9" style="260" customWidth="1"/>
    <col min="4882" max="5128" width="9" style="260"/>
    <col min="5129" max="5129" width="2.875" style="260" customWidth="1"/>
    <col min="5130" max="5130" width="3" style="260" customWidth="1"/>
    <col min="5131" max="5131" width="16.375" style="260" customWidth="1"/>
    <col min="5132" max="5132" width="25.5" style="260" customWidth="1"/>
    <col min="5133" max="5133" width="8" style="260" customWidth="1"/>
    <col min="5134" max="5134" width="6.125" style="260" bestFit="1" customWidth="1"/>
    <col min="5135" max="5135" width="7.875" style="260" bestFit="1" customWidth="1"/>
    <col min="5136" max="5136" width="13.25" style="260" bestFit="1" customWidth="1"/>
    <col min="5137" max="5137" width="9" style="260" customWidth="1"/>
    <col min="5138" max="5384" width="9" style="260"/>
    <col min="5385" max="5385" width="2.875" style="260" customWidth="1"/>
    <col min="5386" max="5386" width="3" style="260" customWidth="1"/>
    <col min="5387" max="5387" width="16.375" style="260" customWidth="1"/>
    <col min="5388" max="5388" width="25.5" style="260" customWidth="1"/>
    <col min="5389" max="5389" width="8" style="260" customWidth="1"/>
    <col min="5390" max="5390" width="6.125" style="260" bestFit="1" customWidth="1"/>
    <col min="5391" max="5391" width="7.875" style="260" bestFit="1" customWidth="1"/>
    <col min="5392" max="5392" width="13.25" style="260" bestFit="1" customWidth="1"/>
    <col min="5393" max="5393" width="9" style="260" customWidth="1"/>
    <col min="5394" max="5640" width="9" style="260"/>
    <col min="5641" max="5641" width="2.875" style="260" customWidth="1"/>
    <col min="5642" max="5642" width="3" style="260" customWidth="1"/>
    <col min="5643" max="5643" width="16.375" style="260" customWidth="1"/>
    <col min="5644" max="5644" width="25.5" style="260" customWidth="1"/>
    <col min="5645" max="5645" width="8" style="260" customWidth="1"/>
    <col min="5646" max="5646" width="6.125" style="260" bestFit="1" customWidth="1"/>
    <col min="5647" max="5647" width="7.875" style="260" bestFit="1" customWidth="1"/>
    <col min="5648" max="5648" width="13.25" style="260" bestFit="1" customWidth="1"/>
    <col min="5649" max="5649" width="9" style="260" customWidth="1"/>
    <col min="5650" max="5896" width="9" style="260"/>
    <col min="5897" max="5897" width="2.875" style="260" customWidth="1"/>
    <col min="5898" max="5898" width="3" style="260" customWidth="1"/>
    <col min="5899" max="5899" width="16.375" style="260" customWidth="1"/>
    <col min="5900" max="5900" width="25.5" style="260" customWidth="1"/>
    <col min="5901" max="5901" width="8" style="260" customWidth="1"/>
    <col min="5902" max="5902" width="6.125" style="260" bestFit="1" customWidth="1"/>
    <col min="5903" max="5903" width="7.875" style="260" bestFit="1" customWidth="1"/>
    <col min="5904" max="5904" width="13.25" style="260" bestFit="1" customWidth="1"/>
    <col min="5905" max="5905" width="9" style="260" customWidth="1"/>
    <col min="5906" max="6152" width="9" style="260"/>
    <col min="6153" max="6153" width="2.875" style="260" customWidth="1"/>
    <col min="6154" max="6154" width="3" style="260" customWidth="1"/>
    <col min="6155" max="6155" width="16.375" style="260" customWidth="1"/>
    <col min="6156" max="6156" width="25.5" style="260" customWidth="1"/>
    <col min="6157" max="6157" width="8" style="260" customWidth="1"/>
    <col min="6158" max="6158" width="6.125" style="260" bestFit="1" customWidth="1"/>
    <col min="6159" max="6159" width="7.875" style="260" bestFit="1" customWidth="1"/>
    <col min="6160" max="6160" width="13.25" style="260" bestFit="1" customWidth="1"/>
    <col min="6161" max="6161" width="9" style="260" customWidth="1"/>
    <col min="6162" max="6408" width="9" style="260"/>
    <col min="6409" max="6409" width="2.875" style="260" customWidth="1"/>
    <col min="6410" max="6410" width="3" style="260" customWidth="1"/>
    <col min="6411" max="6411" width="16.375" style="260" customWidth="1"/>
    <col min="6412" max="6412" width="25.5" style="260" customWidth="1"/>
    <col min="6413" max="6413" width="8" style="260" customWidth="1"/>
    <col min="6414" max="6414" width="6.125" style="260" bestFit="1" customWidth="1"/>
    <col min="6415" max="6415" width="7.875" style="260" bestFit="1" customWidth="1"/>
    <col min="6416" max="6416" width="13.25" style="260" bestFit="1" customWidth="1"/>
    <col min="6417" max="6417" width="9" style="260" customWidth="1"/>
    <col min="6418" max="6664" width="9" style="260"/>
    <col min="6665" max="6665" width="2.875" style="260" customWidth="1"/>
    <col min="6666" max="6666" width="3" style="260" customWidth="1"/>
    <col min="6667" max="6667" width="16.375" style="260" customWidth="1"/>
    <col min="6668" max="6668" width="25.5" style="260" customWidth="1"/>
    <col min="6669" max="6669" width="8" style="260" customWidth="1"/>
    <col min="6670" max="6670" width="6.125" style="260" bestFit="1" customWidth="1"/>
    <col min="6671" max="6671" width="7.875" style="260" bestFit="1" customWidth="1"/>
    <col min="6672" max="6672" width="13.25" style="260" bestFit="1" customWidth="1"/>
    <col min="6673" max="6673" width="9" style="260" customWidth="1"/>
    <col min="6674" max="6920" width="9" style="260"/>
    <col min="6921" max="6921" width="2.875" style="260" customWidth="1"/>
    <col min="6922" max="6922" width="3" style="260" customWidth="1"/>
    <col min="6923" max="6923" width="16.375" style="260" customWidth="1"/>
    <col min="6924" max="6924" width="25.5" style="260" customWidth="1"/>
    <col min="6925" max="6925" width="8" style="260" customWidth="1"/>
    <col min="6926" max="6926" width="6.125" style="260" bestFit="1" customWidth="1"/>
    <col min="6927" max="6927" width="7.875" style="260" bestFit="1" customWidth="1"/>
    <col min="6928" max="6928" width="13.25" style="260" bestFit="1" customWidth="1"/>
    <col min="6929" max="6929" width="9" style="260" customWidth="1"/>
    <col min="6930" max="7176" width="9" style="260"/>
    <col min="7177" max="7177" width="2.875" style="260" customWidth="1"/>
    <col min="7178" max="7178" width="3" style="260" customWidth="1"/>
    <col min="7179" max="7179" width="16.375" style="260" customWidth="1"/>
    <col min="7180" max="7180" width="25.5" style="260" customWidth="1"/>
    <col min="7181" max="7181" width="8" style="260" customWidth="1"/>
    <col min="7182" max="7182" width="6.125" style="260" bestFit="1" customWidth="1"/>
    <col min="7183" max="7183" width="7.875" style="260" bestFit="1" customWidth="1"/>
    <col min="7184" max="7184" width="13.25" style="260" bestFit="1" customWidth="1"/>
    <col min="7185" max="7185" width="9" style="260" customWidth="1"/>
    <col min="7186" max="7432" width="9" style="260"/>
    <col min="7433" max="7433" width="2.875" style="260" customWidth="1"/>
    <col min="7434" max="7434" width="3" style="260" customWidth="1"/>
    <col min="7435" max="7435" width="16.375" style="260" customWidth="1"/>
    <col min="7436" max="7436" width="25.5" style="260" customWidth="1"/>
    <col min="7437" max="7437" width="8" style="260" customWidth="1"/>
    <col min="7438" max="7438" width="6.125" style="260" bestFit="1" customWidth="1"/>
    <col min="7439" max="7439" width="7.875" style="260" bestFit="1" customWidth="1"/>
    <col min="7440" max="7440" width="13.25" style="260" bestFit="1" customWidth="1"/>
    <col min="7441" max="7441" width="9" style="260" customWidth="1"/>
    <col min="7442" max="7688" width="9" style="260"/>
    <col min="7689" max="7689" width="2.875" style="260" customWidth="1"/>
    <col min="7690" max="7690" width="3" style="260" customWidth="1"/>
    <col min="7691" max="7691" width="16.375" style="260" customWidth="1"/>
    <col min="7692" max="7692" width="25.5" style="260" customWidth="1"/>
    <col min="7693" max="7693" width="8" style="260" customWidth="1"/>
    <col min="7694" max="7694" width="6.125" style="260" bestFit="1" customWidth="1"/>
    <col min="7695" max="7695" width="7.875" style="260" bestFit="1" customWidth="1"/>
    <col min="7696" max="7696" width="13.25" style="260" bestFit="1" customWidth="1"/>
    <col min="7697" max="7697" width="9" style="260" customWidth="1"/>
    <col min="7698" max="7944" width="9" style="260"/>
    <col min="7945" max="7945" width="2.875" style="260" customWidth="1"/>
    <col min="7946" max="7946" width="3" style="260" customWidth="1"/>
    <col min="7947" max="7947" width="16.375" style="260" customWidth="1"/>
    <col min="7948" max="7948" width="25.5" style="260" customWidth="1"/>
    <col min="7949" max="7949" width="8" style="260" customWidth="1"/>
    <col min="7950" max="7950" width="6.125" style="260" bestFit="1" customWidth="1"/>
    <col min="7951" max="7951" width="7.875" style="260" bestFit="1" customWidth="1"/>
    <col min="7952" max="7952" width="13.25" style="260" bestFit="1" customWidth="1"/>
    <col min="7953" max="7953" width="9" style="260" customWidth="1"/>
    <col min="7954" max="8200" width="9" style="260"/>
    <col min="8201" max="8201" width="2.875" style="260" customWidth="1"/>
    <col min="8202" max="8202" width="3" style="260" customWidth="1"/>
    <col min="8203" max="8203" width="16.375" style="260" customWidth="1"/>
    <col min="8204" max="8204" width="25.5" style="260" customWidth="1"/>
    <col min="8205" max="8205" width="8" style="260" customWidth="1"/>
    <col min="8206" max="8206" width="6.125" style="260" bestFit="1" customWidth="1"/>
    <col min="8207" max="8207" width="7.875" style="260" bestFit="1" customWidth="1"/>
    <col min="8208" max="8208" width="13.25" style="260" bestFit="1" customWidth="1"/>
    <col min="8209" max="8209" width="9" style="260" customWidth="1"/>
    <col min="8210" max="8456" width="9" style="260"/>
    <col min="8457" max="8457" width="2.875" style="260" customWidth="1"/>
    <col min="8458" max="8458" width="3" style="260" customWidth="1"/>
    <col min="8459" max="8459" width="16.375" style="260" customWidth="1"/>
    <col min="8460" max="8460" width="25.5" style="260" customWidth="1"/>
    <col min="8461" max="8461" width="8" style="260" customWidth="1"/>
    <col min="8462" max="8462" width="6.125" style="260" bestFit="1" customWidth="1"/>
    <col min="8463" max="8463" width="7.875" style="260" bestFit="1" customWidth="1"/>
    <col min="8464" max="8464" width="13.25" style="260" bestFit="1" customWidth="1"/>
    <col min="8465" max="8465" width="9" style="260" customWidth="1"/>
    <col min="8466" max="8712" width="9" style="260"/>
    <col min="8713" max="8713" width="2.875" style="260" customWidth="1"/>
    <col min="8714" max="8714" width="3" style="260" customWidth="1"/>
    <col min="8715" max="8715" width="16.375" style="260" customWidth="1"/>
    <col min="8716" max="8716" width="25.5" style="260" customWidth="1"/>
    <col min="8717" max="8717" width="8" style="260" customWidth="1"/>
    <col min="8718" max="8718" width="6.125" style="260" bestFit="1" customWidth="1"/>
    <col min="8719" max="8719" width="7.875" style="260" bestFit="1" customWidth="1"/>
    <col min="8720" max="8720" width="13.25" style="260" bestFit="1" customWidth="1"/>
    <col min="8721" max="8721" width="9" style="260" customWidth="1"/>
    <col min="8722" max="8968" width="9" style="260"/>
    <col min="8969" max="8969" width="2.875" style="260" customWidth="1"/>
    <col min="8970" max="8970" width="3" style="260" customWidth="1"/>
    <col min="8971" max="8971" width="16.375" style="260" customWidth="1"/>
    <col min="8972" max="8972" width="25.5" style="260" customWidth="1"/>
    <col min="8973" max="8973" width="8" style="260" customWidth="1"/>
    <col min="8974" max="8974" width="6.125" style="260" bestFit="1" customWidth="1"/>
    <col min="8975" max="8975" width="7.875" style="260" bestFit="1" customWidth="1"/>
    <col min="8976" max="8976" width="13.25" style="260" bestFit="1" customWidth="1"/>
    <col min="8977" max="8977" width="9" style="260" customWidth="1"/>
    <col min="8978" max="9224" width="9" style="260"/>
    <col min="9225" max="9225" width="2.875" style="260" customWidth="1"/>
    <col min="9226" max="9226" width="3" style="260" customWidth="1"/>
    <col min="9227" max="9227" width="16.375" style="260" customWidth="1"/>
    <col min="9228" max="9228" width="25.5" style="260" customWidth="1"/>
    <col min="9229" max="9229" width="8" style="260" customWidth="1"/>
    <col min="9230" max="9230" width="6.125" style="260" bestFit="1" customWidth="1"/>
    <col min="9231" max="9231" width="7.875" style="260" bestFit="1" customWidth="1"/>
    <col min="9232" max="9232" width="13.25" style="260" bestFit="1" customWidth="1"/>
    <col min="9233" max="9233" width="9" style="260" customWidth="1"/>
    <col min="9234" max="9480" width="9" style="260"/>
    <col min="9481" max="9481" width="2.875" style="260" customWidth="1"/>
    <col min="9482" max="9482" width="3" style="260" customWidth="1"/>
    <col min="9483" max="9483" width="16.375" style="260" customWidth="1"/>
    <col min="9484" max="9484" width="25.5" style="260" customWidth="1"/>
    <col min="9485" max="9485" width="8" style="260" customWidth="1"/>
    <col min="9486" max="9486" width="6.125" style="260" bestFit="1" customWidth="1"/>
    <col min="9487" max="9487" width="7.875" style="260" bestFit="1" customWidth="1"/>
    <col min="9488" max="9488" width="13.25" style="260" bestFit="1" customWidth="1"/>
    <col min="9489" max="9489" width="9" style="260" customWidth="1"/>
    <col min="9490" max="9736" width="9" style="260"/>
    <col min="9737" max="9737" width="2.875" style="260" customWidth="1"/>
    <col min="9738" max="9738" width="3" style="260" customWidth="1"/>
    <col min="9739" max="9739" width="16.375" style="260" customWidth="1"/>
    <col min="9740" max="9740" width="25.5" style="260" customWidth="1"/>
    <col min="9741" max="9741" width="8" style="260" customWidth="1"/>
    <col min="9742" max="9742" width="6.125" style="260" bestFit="1" customWidth="1"/>
    <col min="9743" max="9743" width="7.875" style="260" bestFit="1" customWidth="1"/>
    <col min="9744" max="9744" width="13.25" style="260" bestFit="1" customWidth="1"/>
    <col min="9745" max="9745" width="9" style="260" customWidth="1"/>
    <col min="9746" max="9992" width="9" style="260"/>
    <col min="9993" max="9993" width="2.875" style="260" customWidth="1"/>
    <col min="9994" max="9994" width="3" style="260" customWidth="1"/>
    <col min="9995" max="9995" width="16.375" style="260" customWidth="1"/>
    <col min="9996" max="9996" width="25.5" style="260" customWidth="1"/>
    <col min="9997" max="9997" width="8" style="260" customWidth="1"/>
    <col min="9998" max="9998" width="6.125" style="260" bestFit="1" customWidth="1"/>
    <col min="9999" max="9999" width="7.875" style="260" bestFit="1" customWidth="1"/>
    <col min="10000" max="10000" width="13.25" style="260" bestFit="1" customWidth="1"/>
    <col min="10001" max="10001" width="9" style="260" customWidth="1"/>
    <col min="10002" max="10248" width="9" style="260"/>
    <col min="10249" max="10249" width="2.875" style="260" customWidth="1"/>
    <col min="10250" max="10250" width="3" style="260" customWidth="1"/>
    <col min="10251" max="10251" width="16.375" style="260" customWidth="1"/>
    <col min="10252" max="10252" width="25.5" style="260" customWidth="1"/>
    <col min="10253" max="10253" width="8" style="260" customWidth="1"/>
    <col min="10254" max="10254" width="6.125" style="260" bestFit="1" customWidth="1"/>
    <col min="10255" max="10255" width="7.875" style="260" bestFit="1" customWidth="1"/>
    <col min="10256" max="10256" width="13.25" style="260" bestFit="1" customWidth="1"/>
    <col min="10257" max="10257" width="9" style="260" customWidth="1"/>
    <col min="10258" max="10504" width="9" style="260"/>
    <col min="10505" max="10505" width="2.875" style="260" customWidth="1"/>
    <col min="10506" max="10506" width="3" style="260" customWidth="1"/>
    <col min="10507" max="10507" width="16.375" style="260" customWidth="1"/>
    <col min="10508" max="10508" width="25.5" style="260" customWidth="1"/>
    <col min="10509" max="10509" width="8" style="260" customWidth="1"/>
    <col min="10510" max="10510" width="6.125" style="260" bestFit="1" customWidth="1"/>
    <col min="10511" max="10511" width="7.875" style="260" bestFit="1" customWidth="1"/>
    <col min="10512" max="10512" width="13.25" style="260" bestFit="1" customWidth="1"/>
    <col min="10513" max="10513" width="9" style="260" customWidth="1"/>
    <col min="10514" max="10760" width="9" style="260"/>
    <col min="10761" max="10761" width="2.875" style="260" customWidth="1"/>
    <col min="10762" max="10762" width="3" style="260" customWidth="1"/>
    <col min="10763" max="10763" width="16.375" style="260" customWidth="1"/>
    <col min="10764" max="10764" width="25.5" style="260" customWidth="1"/>
    <col min="10765" max="10765" width="8" style="260" customWidth="1"/>
    <col min="10766" max="10766" width="6.125" style="260" bestFit="1" customWidth="1"/>
    <col min="10767" max="10767" width="7.875" style="260" bestFit="1" customWidth="1"/>
    <col min="10768" max="10768" width="13.25" style="260" bestFit="1" customWidth="1"/>
    <col min="10769" max="10769" width="9" style="260" customWidth="1"/>
    <col min="10770" max="11016" width="9" style="260"/>
    <col min="11017" max="11017" width="2.875" style="260" customWidth="1"/>
    <col min="11018" max="11018" width="3" style="260" customWidth="1"/>
    <col min="11019" max="11019" width="16.375" style="260" customWidth="1"/>
    <col min="11020" max="11020" width="25.5" style="260" customWidth="1"/>
    <col min="11021" max="11021" width="8" style="260" customWidth="1"/>
    <col min="11022" max="11022" width="6.125" style="260" bestFit="1" customWidth="1"/>
    <col min="11023" max="11023" width="7.875" style="260" bestFit="1" customWidth="1"/>
    <col min="11024" max="11024" width="13.25" style="260" bestFit="1" customWidth="1"/>
    <col min="11025" max="11025" width="9" style="260" customWidth="1"/>
    <col min="11026" max="11272" width="9" style="260"/>
    <col min="11273" max="11273" width="2.875" style="260" customWidth="1"/>
    <col min="11274" max="11274" width="3" style="260" customWidth="1"/>
    <col min="11275" max="11275" width="16.375" style="260" customWidth="1"/>
    <col min="11276" max="11276" width="25.5" style="260" customWidth="1"/>
    <col min="11277" max="11277" width="8" style="260" customWidth="1"/>
    <col min="11278" max="11278" width="6.125" style="260" bestFit="1" customWidth="1"/>
    <col min="11279" max="11279" width="7.875" style="260" bestFit="1" customWidth="1"/>
    <col min="11280" max="11280" width="13.25" style="260" bestFit="1" customWidth="1"/>
    <col min="11281" max="11281" width="9" style="260" customWidth="1"/>
    <col min="11282" max="11528" width="9" style="260"/>
    <col min="11529" max="11529" width="2.875" style="260" customWidth="1"/>
    <col min="11530" max="11530" width="3" style="260" customWidth="1"/>
    <col min="11531" max="11531" width="16.375" style="260" customWidth="1"/>
    <col min="11532" max="11532" width="25.5" style="260" customWidth="1"/>
    <col min="11533" max="11533" width="8" style="260" customWidth="1"/>
    <col min="11534" max="11534" width="6.125" style="260" bestFit="1" customWidth="1"/>
    <col min="11535" max="11535" width="7.875" style="260" bestFit="1" customWidth="1"/>
    <col min="11536" max="11536" width="13.25" style="260" bestFit="1" customWidth="1"/>
    <col min="11537" max="11537" width="9" style="260" customWidth="1"/>
    <col min="11538" max="11784" width="9" style="260"/>
    <col min="11785" max="11785" width="2.875" style="260" customWidth="1"/>
    <col min="11786" max="11786" width="3" style="260" customWidth="1"/>
    <col min="11787" max="11787" width="16.375" style="260" customWidth="1"/>
    <col min="11788" max="11788" width="25.5" style="260" customWidth="1"/>
    <col min="11789" max="11789" width="8" style="260" customWidth="1"/>
    <col min="11790" max="11790" width="6.125" style="260" bestFit="1" customWidth="1"/>
    <col min="11791" max="11791" width="7.875" style="260" bestFit="1" customWidth="1"/>
    <col min="11792" max="11792" width="13.25" style="260" bestFit="1" customWidth="1"/>
    <col min="11793" max="11793" width="9" style="260" customWidth="1"/>
    <col min="11794" max="12040" width="9" style="260"/>
    <col min="12041" max="12041" width="2.875" style="260" customWidth="1"/>
    <col min="12042" max="12042" width="3" style="260" customWidth="1"/>
    <col min="12043" max="12043" width="16.375" style="260" customWidth="1"/>
    <col min="12044" max="12044" width="25.5" style="260" customWidth="1"/>
    <col min="12045" max="12045" width="8" style="260" customWidth="1"/>
    <col min="12046" max="12046" width="6.125" style="260" bestFit="1" customWidth="1"/>
    <col min="12047" max="12047" width="7.875" style="260" bestFit="1" customWidth="1"/>
    <col min="12048" max="12048" width="13.25" style="260" bestFit="1" customWidth="1"/>
    <col min="12049" max="12049" width="9" style="260" customWidth="1"/>
    <col min="12050" max="12296" width="9" style="260"/>
    <col min="12297" max="12297" width="2.875" style="260" customWidth="1"/>
    <col min="12298" max="12298" width="3" style="260" customWidth="1"/>
    <col min="12299" max="12299" width="16.375" style="260" customWidth="1"/>
    <col min="12300" max="12300" width="25.5" style="260" customWidth="1"/>
    <col min="12301" max="12301" width="8" style="260" customWidth="1"/>
    <col min="12302" max="12302" width="6.125" style="260" bestFit="1" customWidth="1"/>
    <col min="12303" max="12303" width="7.875" style="260" bestFit="1" customWidth="1"/>
    <col min="12304" max="12304" width="13.25" style="260" bestFit="1" customWidth="1"/>
    <col min="12305" max="12305" width="9" style="260" customWidth="1"/>
    <col min="12306" max="12552" width="9" style="260"/>
    <col min="12553" max="12553" width="2.875" style="260" customWidth="1"/>
    <col min="12554" max="12554" width="3" style="260" customWidth="1"/>
    <col min="12555" max="12555" width="16.375" style="260" customWidth="1"/>
    <col min="12556" max="12556" width="25.5" style="260" customWidth="1"/>
    <col min="12557" max="12557" width="8" style="260" customWidth="1"/>
    <col min="12558" max="12558" width="6.125" style="260" bestFit="1" customWidth="1"/>
    <col min="12559" max="12559" width="7.875" style="260" bestFit="1" customWidth="1"/>
    <col min="12560" max="12560" width="13.25" style="260" bestFit="1" customWidth="1"/>
    <col min="12561" max="12561" width="9" style="260" customWidth="1"/>
    <col min="12562" max="12808" width="9" style="260"/>
    <col min="12809" max="12809" width="2.875" style="260" customWidth="1"/>
    <col min="12810" max="12810" width="3" style="260" customWidth="1"/>
    <col min="12811" max="12811" width="16.375" style="260" customWidth="1"/>
    <col min="12812" max="12812" width="25.5" style="260" customWidth="1"/>
    <col min="12813" max="12813" width="8" style="260" customWidth="1"/>
    <col min="12814" max="12814" width="6.125" style="260" bestFit="1" customWidth="1"/>
    <col min="12815" max="12815" width="7.875" style="260" bestFit="1" customWidth="1"/>
    <col min="12816" max="12816" width="13.25" style="260" bestFit="1" customWidth="1"/>
    <col min="12817" max="12817" width="9" style="260" customWidth="1"/>
    <col min="12818" max="13064" width="9" style="260"/>
    <col min="13065" max="13065" width="2.875" style="260" customWidth="1"/>
    <col min="13066" max="13066" width="3" style="260" customWidth="1"/>
    <col min="13067" max="13067" width="16.375" style="260" customWidth="1"/>
    <col min="13068" max="13068" width="25.5" style="260" customWidth="1"/>
    <col min="13069" max="13069" width="8" style="260" customWidth="1"/>
    <col min="13070" max="13070" width="6.125" style="260" bestFit="1" customWidth="1"/>
    <col min="13071" max="13071" width="7.875" style="260" bestFit="1" customWidth="1"/>
    <col min="13072" max="13072" width="13.25" style="260" bestFit="1" customWidth="1"/>
    <col min="13073" max="13073" width="9" style="260" customWidth="1"/>
    <col min="13074" max="13320" width="9" style="260"/>
    <col min="13321" max="13321" width="2.875" style="260" customWidth="1"/>
    <col min="13322" max="13322" width="3" style="260" customWidth="1"/>
    <col min="13323" max="13323" width="16.375" style="260" customWidth="1"/>
    <col min="13324" max="13324" width="25.5" style="260" customWidth="1"/>
    <col min="13325" max="13325" width="8" style="260" customWidth="1"/>
    <col min="13326" max="13326" width="6.125" style="260" bestFit="1" customWidth="1"/>
    <col min="13327" max="13327" width="7.875" style="260" bestFit="1" customWidth="1"/>
    <col min="13328" max="13328" width="13.25" style="260" bestFit="1" customWidth="1"/>
    <col min="13329" max="13329" width="9" style="260" customWidth="1"/>
    <col min="13330" max="13576" width="9" style="260"/>
    <col min="13577" max="13577" width="2.875" style="260" customWidth="1"/>
    <col min="13578" max="13578" width="3" style="260" customWidth="1"/>
    <col min="13579" max="13579" width="16.375" style="260" customWidth="1"/>
    <col min="13580" max="13580" width="25.5" style="260" customWidth="1"/>
    <col min="13581" max="13581" width="8" style="260" customWidth="1"/>
    <col min="13582" max="13582" width="6.125" style="260" bestFit="1" customWidth="1"/>
    <col min="13583" max="13583" width="7.875" style="260" bestFit="1" customWidth="1"/>
    <col min="13584" max="13584" width="13.25" style="260" bestFit="1" customWidth="1"/>
    <col min="13585" max="13585" width="9" style="260" customWidth="1"/>
    <col min="13586" max="13832" width="9" style="260"/>
    <col min="13833" max="13833" width="2.875" style="260" customWidth="1"/>
    <col min="13834" max="13834" width="3" style="260" customWidth="1"/>
    <col min="13835" max="13835" width="16.375" style="260" customWidth="1"/>
    <col min="13836" max="13836" width="25.5" style="260" customWidth="1"/>
    <col min="13837" max="13837" width="8" style="260" customWidth="1"/>
    <col min="13838" max="13838" width="6.125" style="260" bestFit="1" customWidth="1"/>
    <col min="13839" max="13839" width="7.875" style="260" bestFit="1" customWidth="1"/>
    <col min="13840" max="13840" width="13.25" style="260" bestFit="1" customWidth="1"/>
    <col min="13841" max="13841" width="9" style="260" customWidth="1"/>
    <col min="13842" max="14088" width="9" style="260"/>
    <col min="14089" max="14089" width="2.875" style="260" customWidth="1"/>
    <col min="14090" max="14090" width="3" style="260" customWidth="1"/>
    <col min="14091" max="14091" width="16.375" style="260" customWidth="1"/>
    <col min="14092" max="14092" width="25.5" style="260" customWidth="1"/>
    <col min="14093" max="14093" width="8" style="260" customWidth="1"/>
    <col min="14094" max="14094" width="6.125" style="260" bestFit="1" customWidth="1"/>
    <col min="14095" max="14095" width="7.875" style="260" bestFit="1" customWidth="1"/>
    <col min="14096" max="14096" width="13.25" style="260" bestFit="1" customWidth="1"/>
    <col min="14097" max="14097" width="9" style="260" customWidth="1"/>
    <col min="14098" max="14344" width="9" style="260"/>
    <col min="14345" max="14345" width="2.875" style="260" customWidth="1"/>
    <col min="14346" max="14346" width="3" style="260" customWidth="1"/>
    <col min="14347" max="14347" width="16.375" style="260" customWidth="1"/>
    <col min="14348" max="14348" width="25.5" style="260" customWidth="1"/>
    <col min="14349" max="14349" width="8" style="260" customWidth="1"/>
    <col min="14350" max="14350" width="6.125" style="260" bestFit="1" customWidth="1"/>
    <col min="14351" max="14351" width="7.875" style="260" bestFit="1" customWidth="1"/>
    <col min="14352" max="14352" width="13.25" style="260" bestFit="1" customWidth="1"/>
    <col min="14353" max="14353" width="9" style="260" customWidth="1"/>
    <col min="14354" max="14600" width="9" style="260"/>
    <col min="14601" max="14601" width="2.875" style="260" customWidth="1"/>
    <col min="14602" max="14602" width="3" style="260" customWidth="1"/>
    <col min="14603" max="14603" width="16.375" style="260" customWidth="1"/>
    <col min="14604" max="14604" width="25.5" style="260" customWidth="1"/>
    <col min="14605" max="14605" width="8" style="260" customWidth="1"/>
    <col min="14606" max="14606" width="6.125" style="260" bestFit="1" customWidth="1"/>
    <col min="14607" max="14607" width="7.875" style="260" bestFit="1" customWidth="1"/>
    <col min="14608" max="14608" width="13.25" style="260" bestFit="1" customWidth="1"/>
    <col min="14609" max="14609" width="9" style="260" customWidth="1"/>
    <col min="14610" max="14856" width="9" style="260"/>
    <col min="14857" max="14857" width="2.875" style="260" customWidth="1"/>
    <col min="14858" max="14858" width="3" style="260" customWidth="1"/>
    <col min="14859" max="14859" width="16.375" style="260" customWidth="1"/>
    <col min="14860" max="14860" width="25.5" style="260" customWidth="1"/>
    <col min="14861" max="14861" width="8" style="260" customWidth="1"/>
    <col min="14862" max="14862" width="6.125" style="260" bestFit="1" customWidth="1"/>
    <col min="14863" max="14863" width="7.875" style="260" bestFit="1" customWidth="1"/>
    <col min="14864" max="14864" width="13.25" style="260" bestFit="1" customWidth="1"/>
    <col min="14865" max="14865" width="9" style="260" customWidth="1"/>
    <col min="14866" max="15112" width="9" style="260"/>
    <col min="15113" max="15113" width="2.875" style="260" customWidth="1"/>
    <col min="15114" max="15114" width="3" style="260" customWidth="1"/>
    <col min="15115" max="15115" width="16.375" style="260" customWidth="1"/>
    <col min="15116" max="15116" width="25.5" style="260" customWidth="1"/>
    <col min="15117" max="15117" width="8" style="260" customWidth="1"/>
    <col min="15118" max="15118" width="6.125" style="260" bestFit="1" customWidth="1"/>
    <col min="15119" max="15119" width="7.875" style="260" bestFit="1" customWidth="1"/>
    <col min="15120" max="15120" width="13.25" style="260" bestFit="1" customWidth="1"/>
    <col min="15121" max="15121" width="9" style="260" customWidth="1"/>
    <col min="15122" max="15368" width="9" style="260"/>
    <col min="15369" max="15369" width="2.875" style="260" customWidth="1"/>
    <col min="15370" max="15370" width="3" style="260" customWidth="1"/>
    <col min="15371" max="15371" width="16.375" style="260" customWidth="1"/>
    <col min="15372" max="15372" width="25.5" style="260" customWidth="1"/>
    <col min="15373" max="15373" width="8" style="260" customWidth="1"/>
    <col min="15374" max="15374" width="6.125" style="260" bestFit="1" customWidth="1"/>
    <col min="15375" max="15375" width="7.875" style="260" bestFit="1" customWidth="1"/>
    <col min="15376" max="15376" width="13.25" style="260" bestFit="1" customWidth="1"/>
    <col min="15377" max="15377" width="9" style="260" customWidth="1"/>
    <col min="15378" max="15624" width="9" style="260"/>
    <col min="15625" max="15625" width="2.875" style="260" customWidth="1"/>
    <col min="15626" max="15626" width="3" style="260" customWidth="1"/>
    <col min="15627" max="15627" width="16.375" style="260" customWidth="1"/>
    <col min="15628" max="15628" width="25.5" style="260" customWidth="1"/>
    <col min="15629" max="15629" width="8" style="260" customWidth="1"/>
    <col min="15630" max="15630" width="6.125" style="260" bestFit="1" customWidth="1"/>
    <col min="15631" max="15631" width="7.875" style="260" bestFit="1" customWidth="1"/>
    <col min="15632" max="15632" width="13.25" style="260" bestFit="1" customWidth="1"/>
    <col min="15633" max="15633" width="9" style="260" customWidth="1"/>
    <col min="15634" max="15880" width="9" style="260"/>
    <col min="15881" max="15881" width="2.875" style="260" customWidth="1"/>
    <col min="15882" max="15882" width="3" style="260" customWidth="1"/>
    <col min="15883" max="15883" width="16.375" style="260" customWidth="1"/>
    <col min="15884" max="15884" width="25.5" style="260" customWidth="1"/>
    <col min="15885" max="15885" width="8" style="260" customWidth="1"/>
    <col min="15886" max="15886" width="6.125" style="260" bestFit="1" customWidth="1"/>
    <col min="15887" max="15887" width="7.875" style="260" bestFit="1" customWidth="1"/>
    <col min="15888" max="15888" width="13.25" style="260" bestFit="1" customWidth="1"/>
    <col min="15889" max="15889" width="9" style="260" customWidth="1"/>
    <col min="15890" max="16136" width="9" style="260"/>
    <col min="16137" max="16137" width="2.875" style="260" customWidth="1"/>
    <col min="16138" max="16138" width="3" style="260" customWidth="1"/>
    <col min="16139" max="16139" width="16.375" style="260" customWidth="1"/>
    <col min="16140" max="16140" width="25.5" style="260" customWidth="1"/>
    <col min="16141" max="16141" width="8" style="260" customWidth="1"/>
    <col min="16142" max="16142" width="6.125" style="260" bestFit="1" customWidth="1"/>
    <col min="16143" max="16143" width="7.875" style="260" bestFit="1" customWidth="1"/>
    <col min="16144" max="16144" width="13.25" style="260" bestFit="1" customWidth="1"/>
    <col min="16145" max="16145" width="9" style="260" customWidth="1"/>
    <col min="16146" max="16384" width="9" style="260"/>
  </cols>
  <sheetData>
    <row r="1" spans="1:22" ht="14.25">
      <c r="A1" s="392" t="s">
        <v>798</v>
      </c>
      <c r="B1" s="262"/>
      <c r="C1" s="262"/>
      <c r="D1" s="262"/>
      <c r="E1" s="262"/>
      <c r="F1" s="443"/>
      <c r="G1" s="1818" t="str">
        <f>CONCATENATE('入力（基本)'!G11)</f>
        <v/>
      </c>
      <c r="H1" s="1818"/>
      <c r="I1" s="1818"/>
      <c r="J1" s="987"/>
    </row>
    <row r="2" spans="1:22" s="294" customFormat="1" ht="31.5" customHeight="1">
      <c r="A2" s="1769" t="s">
        <v>1350</v>
      </c>
      <c r="B2" s="1769"/>
      <c r="C2" s="1769"/>
      <c r="D2" s="1769"/>
      <c r="E2" s="1769"/>
      <c r="F2" s="1769"/>
      <c r="G2" s="1769"/>
      <c r="H2" s="1769"/>
      <c r="I2" s="1769"/>
      <c r="J2" s="984"/>
      <c r="L2" s="261" t="s">
        <v>182</v>
      </c>
      <c r="M2" s="261" t="s">
        <v>697</v>
      </c>
      <c r="O2" s="261" t="s">
        <v>785</v>
      </c>
      <c r="P2" s="261" t="s">
        <v>897</v>
      </c>
      <c r="Q2" s="261" t="s">
        <v>898</v>
      </c>
      <c r="R2" s="261" t="s">
        <v>784</v>
      </c>
      <c r="S2" s="261" t="s">
        <v>781</v>
      </c>
      <c r="T2" s="261" t="s">
        <v>782</v>
      </c>
      <c r="U2" s="261" t="s">
        <v>783</v>
      </c>
      <c r="V2" s="261" t="s">
        <v>1320</v>
      </c>
    </row>
    <row r="3" spans="1:22" s="294" customFormat="1" ht="20.100000000000001" customHeight="1">
      <c r="A3" s="584"/>
      <c r="B3" s="584"/>
      <c r="C3" s="584"/>
      <c r="D3" s="584"/>
      <c r="E3" s="584"/>
      <c r="F3" s="584"/>
      <c r="G3" s="584"/>
      <c r="H3" s="584"/>
      <c r="I3" s="584"/>
      <c r="J3" s="984"/>
      <c r="L3" s="261"/>
      <c r="M3" s="261"/>
      <c r="O3" s="261"/>
      <c r="P3" s="261"/>
      <c r="Q3" s="261"/>
      <c r="R3" s="261"/>
      <c r="S3" s="261"/>
      <c r="T3" s="261"/>
      <c r="U3" s="261"/>
      <c r="V3" s="261"/>
    </row>
    <row r="4" spans="1:22" s="294" customFormat="1" ht="20.100000000000001" customHeight="1">
      <c r="A4" s="584"/>
      <c r="B4" s="584"/>
      <c r="C4" s="584"/>
      <c r="D4" s="584"/>
      <c r="E4" s="1901" t="s">
        <v>786</v>
      </c>
      <c r="F4" s="1902"/>
      <c r="G4" s="1905"/>
      <c r="H4" s="1906"/>
      <c r="I4" s="1907"/>
      <c r="J4" s="1046"/>
      <c r="L4" s="261"/>
      <c r="M4" s="261"/>
      <c r="O4" s="261"/>
      <c r="P4" s="261"/>
      <c r="Q4" s="261"/>
      <c r="R4" s="261"/>
      <c r="S4" s="261"/>
      <c r="T4" s="261"/>
      <c r="U4" s="261"/>
      <c r="V4" s="261"/>
    </row>
    <row r="5" spans="1:22" s="294" customFormat="1" ht="20.100000000000001" customHeight="1">
      <c r="A5" s="584"/>
      <c r="B5" s="584"/>
      <c r="C5" s="584"/>
      <c r="D5" s="584"/>
      <c r="E5" s="1903"/>
      <c r="F5" s="1904"/>
      <c r="G5" s="1908"/>
      <c r="H5" s="1909"/>
      <c r="I5" s="1910"/>
      <c r="J5" s="1046"/>
      <c r="L5" s="261"/>
      <c r="M5" s="261"/>
      <c r="O5" s="261"/>
      <c r="P5" s="261"/>
      <c r="Q5" s="261"/>
      <c r="R5" s="261"/>
      <c r="S5" s="261"/>
      <c r="T5" s="261"/>
      <c r="U5" s="261"/>
      <c r="V5" s="261"/>
    </row>
    <row r="6" spans="1:22" ht="20.100000000000001" customHeight="1">
      <c r="A6" s="1899"/>
      <c r="B6" s="1899"/>
      <c r="C6" s="1899"/>
      <c r="D6" s="1899"/>
      <c r="E6" s="1046"/>
      <c r="F6" s="1046"/>
      <c r="G6" s="1046"/>
      <c r="H6" s="1046"/>
      <c r="I6" s="1046"/>
      <c r="J6" s="1046"/>
      <c r="L6" s="261"/>
      <c r="M6" s="261"/>
      <c r="N6" s="634" t="s">
        <v>235</v>
      </c>
      <c r="O6" s="381">
        <f>SUM('入力（加算）A'!Q24,'入力（加算）A'!Q29)</f>
        <v>0</v>
      </c>
      <c r="P6" s="381">
        <f>SUM('入力（加算）A'!Q22,'入力（加算）A'!Q27)</f>
        <v>0</v>
      </c>
      <c r="Q6" s="381">
        <f>SUM('入力（加算）A'!Q23,'入力（加算）A'!Q28)</f>
        <v>0</v>
      </c>
      <c r="R6" s="381" t="str">
        <f>CONCATENATE('入力（加算）A'!E18)</f>
        <v/>
      </c>
      <c r="S6" s="261">
        <f>'入力（加算）A'!F18</f>
        <v>0</v>
      </c>
      <c r="T6" s="261">
        <f>'入力（加算）A'!L18</f>
        <v>0</v>
      </c>
      <c r="U6" s="261" t="str">
        <f>CONCATENATE('入力（加算）A'!H18)</f>
        <v/>
      </c>
      <c r="V6" s="261" t="str">
        <f>CONCATENATE('入力（加算）A'!I18)</f>
        <v/>
      </c>
    </row>
    <row r="7" spans="1:22" ht="19.5" customHeight="1" thickBot="1">
      <c r="A7" s="1900"/>
      <c r="B7" s="1900"/>
      <c r="C7" s="1900"/>
      <c r="D7" s="1900"/>
      <c r="E7" s="399"/>
      <c r="F7" s="443"/>
      <c r="G7" s="443"/>
      <c r="H7" s="443"/>
      <c r="I7" s="443"/>
      <c r="J7" s="443"/>
      <c r="L7" s="261" t="s">
        <v>587</v>
      </c>
      <c r="M7" s="261">
        <v>1</v>
      </c>
      <c r="N7" s="635" t="s">
        <v>237</v>
      </c>
      <c r="O7" s="382">
        <f>SUM('入力（加算）事19'!Q20,'入力（加算）事19'!Q25)</f>
        <v>0</v>
      </c>
      <c r="P7" s="382">
        <f>SUM('入力（加算）事19'!Q18,'入力（加算）事19'!Q23)</f>
        <v>0</v>
      </c>
      <c r="Q7" s="382">
        <f>SUM('入力（加算）事19'!Q19,'入力（加算）事19'!Q24)</f>
        <v>0</v>
      </c>
      <c r="R7" s="382" t="str">
        <f>CONCATENATE('入力（加算）事19'!E30)</f>
        <v/>
      </c>
      <c r="S7" s="383">
        <f>'入力（加算）事19'!F30</f>
        <v>0</v>
      </c>
      <c r="T7" s="383">
        <f>'入力（加算）事19'!L30</f>
        <v>0</v>
      </c>
      <c r="U7" s="383" t="str">
        <f>CONCATENATE('入力（加算）事19'!H30)</f>
        <v/>
      </c>
      <c r="V7" s="383" t="str">
        <f>CONCATENATE('入力（加算）事19'!I30)</f>
        <v/>
      </c>
    </row>
    <row r="8" spans="1:22" ht="20.100000000000001" customHeight="1" thickBot="1">
      <c r="A8" s="619"/>
      <c r="B8" s="262"/>
      <c r="C8" s="510" t="s">
        <v>698</v>
      </c>
      <c r="D8" s="387">
        <f>IF('入力（加算）A'!D7="",'入力（加算）事19'!D8,'入力（加算）A'!D7)</f>
        <v>0</v>
      </c>
      <c r="E8" s="262"/>
      <c r="F8" s="443"/>
      <c r="G8" s="443"/>
      <c r="H8" s="462" t="s">
        <v>789</v>
      </c>
      <c r="I8" s="463">
        <v>12</v>
      </c>
      <c r="J8" s="620"/>
      <c r="L8" s="261" t="s">
        <v>589</v>
      </c>
      <c r="M8" s="297">
        <v>2</v>
      </c>
      <c r="N8" s="384" t="str">
        <f>G1</f>
        <v/>
      </c>
      <c r="O8" s="385">
        <f>IFERROR(VLOOKUP($N$8,$N$6:$V$7,2,FALSE),0)</f>
        <v>0</v>
      </c>
      <c r="P8" s="385">
        <f>IFERROR(VLOOKUP($N$8,$N$6:$V$7,3,FALSE),0)</f>
        <v>0</v>
      </c>
      <c r="Q8" s="385">
        <f>IFERROR(VLOOKUP($N$8,$N$6:$V$7,4,FALSE),0)</f>
        <v>0</v>
      </c>
      <c r="R8" s="385" t="str">
        <f>IFERROR(VLOOKUP($N$8,$N$6:$V$7,5,FALSE),"")</f>
        <v/>
      </c>
      <c r="S8" s="385">
        <f>IFERROR(VLOOKUP($N$8,$N$6:$V$7,6,FALSE),0)</f>
        <v>0</v>
      </c>
      <c r="T8" s="385">
        <f>IFERROR(VLOOKUP($N$8,$N$6:$V$7,7,FALSE),0)</f>
        <v>0</v>
      </c>
      <c r="U8" s="1430" t="str">
        <f>IFERROR(VLOOKUP($N$8,$N$6:$V$7,8,FALSE),"")</f>
        <v/>
      </c>
      <c r="V8" s="386" t="str">
        <f>IFERROR(VLOOKUP($N$8,$N$6:$V$7,9,FALSE),"")</f>
        <v/>
      </c>
    </row>
    <row r="9" spans="1:22" ht="19.5" customHeight="1">
      <c r="A9" s="262"/>
      <c r="B9" s="262"/>
      <c r="C9" s="262"/>
      <c r="D9" s="262"/>
      <c r="E9" s="1686" t="str">
        <f>IF(OR(SUM(F13:F16)&gt;D8*1.2),"↓警告：定員の120％を超過しています。","")</f>
        <v/>
      </c>
      <c r="F9" s="1686"/>
      <c r="G9" s="1686"/>
      <c r="H9" s="1686"/>
      <c r="I9" s="1686"/>
      <c r="J9" s="983"/>
      <c r="M9" s="261">
        <v>3</v>
      </c>
      <c r="N9" s="352"/>
      <c r="O9" s="352"/>
      <c r="P9" s="352"/>
      <c r="Q9" s="352"/>
      <c r="R9" s="352"/>
      <c r="S9" s="352"/>
      <c r="T9" s="352"/>
      <c r="U9" s="352"/>
    </row>
    <row r="10" spans="1:22" ht="19.5" customHeight="1" thickBot="1">
      <c r="A10" s="1044" t="s">
        <v>669</v>
      </c>
      <c r="B10" s="262"/>
      <c r="C10" s="262"/>
      <c r="D10" s="262"/>
      <c r="E10" s="1686"/>
      <c r="F10" s="1686"/>
      <c r="G10" s="1686"/>
      <c r="H10" s="1686"/>
      <c r="I10" s="1686"/>
      <c r="J10" s="983"/>
      <c r="M10" s="261">
        <v>4</v>
      </c>
      <c r="N10" s="352"/>
      <c r="O10" s="352"/>
      <c r="P10" s="352"/>
      <c r="Q10" s="352"/>
      <c r="R10" s="352"/>
      <c r="S10" s="352"/>
      <c r="T10" s="352"/>
      <c r="U10" s="352"/>
    </row>
    <row r="11" spans="1:22" ht="26.25" customHeight="1">
      <c r="A11" s="262"/>
      <c r="B11" s="1661"/>
      <c r="C11" s="1662"/>
      <c r="D11" s="1878"/>
      <c r="E11" s="463" t="s">
        <v>600</v>
      </c>
      <c r="F11" s="595" t="s">
        <v>601</v>
      </c>
      <c r="G11" s="1879" t="s">
        <v>602</v>
      </c>
      <c r="H11" s="1880"/>
      <c r="I11" s="443"/>
      <c r="J11" s="443"/>
      <c r="M11" s="261">
        <v>5</v>
      </c>
      <c r="N11" s="352"/>
      <c r="O11" s="352"/>
      <c r="P11" s="352"/>
      <c r="Q11" s="352"/>
      <c r="R11" s="352"/>
      <c r="S11" s="352"/>
      <c r="T11" s="352"/>
      <c r="U11" s="352"/>
    </row>
    <row r="12" spans="1:22" ht="24.75" customHeight="1" thickBot="1">
      <c r="A12" s="273"/>
      <c r="B12" s="580" t="s">
        <v>603</v>
      </c>
      <c r="C12" s="596" t="s">
        <v>671</v>
      </c>
      <c r="D12" s="596"/>
      <c r="E12" s="597"/>
      <c r="F12" s="598"/>
      <c r="G12" s="599"/>
      <c r="H12" s="600"/>
      <c r="I12" s="443"/>
      <c r="J12" s="443"/>
    </row>
    <row r="13" spans="1:22" ht="24.75" customHeight="1" thickBot="1">
      <c r="A13" s="273"/>
      <c r="B13" s="484"/>
      <c r="C13" s="1881" t="s">
        <v>870</v>
      </c>
      <c r="D13" s="1882"/>
      <c r="E13" s="621"/>
      <c r="F13" s="622">
        <f>'入力（児童数-本園)'!AB3</f>
        <v>0</v>
      </c>
      <c r="G13" s="478">
        <f>F13*1/30</f>
        <v>0</v>
      </c>
      <c r="H13" s="479">
        <f>ROUNDDOWN(G13,1)</f>
        <v>0</v>
      </c>
      <c r="I13" s="443"/>
      <c r="J13" s="443"/>
    </row>
    <row r="14" spans="1:22" ht="24.75" customHeight="1" thickBot="1">
      <c r="A14" s="273"/>
      <c r="B14" s="484"/>
      <c r="C14" s="1883" t="s">
        <v>871</v>
      </c>
      <c r="D14" s="1884"/>
      <c r="E14" s="623"/>
      <c r="F14" s="622">
        <f>'入力（児童数-本園)'!AB4</f>
        <v>0</v>
      </c>
      <c r="G14" s="478">
        <f>F14*1/20</f>
        <v>0</v>
      </c>
      <c r="H14" s="479">
        <f>ROUNDDOWN(G14,1)</f>
        <v>0</v>
      </c>
      <c r="I14" s="443"/>
      <c r="J14" s="443"/>
    </row>
    <row r="15" spans="1:22" ht="24.75" customHeight="1" thickBot="1">
      <c r="A15" s="273"/>
      <c r="B15" s="470"/>
      <c r="C15" s="1885" t="s">
        <v>872</v>
      </c>
      <c r="D15" s="1886"/>
      <c r="E15" s="475"/>
      <c r="F15" s="622">
        <f>'入力（児童数-本園)'!AB6-Q8</f>
        <v>0</v>
      </c>
      <c r="G15" s="478">
        <f>F15*1/6</f>
        <v>0</v>
      </c>
      <c r="H15" s="479">
        <f>ROUNDDOWN(G15,1)</f>
        <v>0</v>
      </c>
      <c r="I15" s="443"/>
      <c r="J15" s="443"/>
    </row>
    <row r="16" spans="1:22" ht="24.75" customHeight="1" thickBot="1">
      <c r="A16" s="273"/>
      <c r="B16" s="470"/>
      <c r="C16" s="1885" t="s">
        <v>873</v>
      </c>
      <c r="D16" s="1886"/>
      <c r="E16" s="475"/>
      <c r="F16" s="622">
        <f>'入力（児童数-本園)'!AB7-P8</f>
        <v>0</v>
      </c>
      <c r="G16" s="478">
        <f>F16*1/3</f>
        <v>0</v>
      </c>
      <c r="H16" s="479">
        <f>ROUNDDOWN(G16,1)</f>
        <v>0</v>
      </c>
      <c r="I16" s="443"/>
      <c r="J16" s="443"/>
      <c r="K16" s="624"/>
    </row>
    <row r="17" spans="1:11" ht="24.75" customHeight="1" thickBot="1">
      <c r="A17" s="273"/>
      <c r="B17" s="470"/>
      <c r="C17" s="1887" t="s">
        <v>699</v>
      </c>
      <c r="D17" s="1888"/>
      <c r="E17" s="603" t="str">
        <f>IF(O8&gt;0,R8,"なし")</f>
        <v>なし</v>
      </c>
      <c r="F17" s="608">
        <f>IF(E17="あり",O8,0)</f>
        <v>0</v>
      </c>
      <c r="G17" s="478">
        <f>IF(E17="あり",F17*1/2,0)</f>
        <v>0</v>
      </c>
      <c r="H17" s="479">
        <f>ROUNDDOWN(G17,1)</f>
        <v>0</v>
      </c>
      <c r="I17" s="443"/>
      <c r="J17" s="443"/>
      <c r="K17" s="624"/>
    </row>
    <row r="18" spans="1:11" ht="24.75" customHeight="1" thickBot="1">
      <c r="A18" s="273"/>
      <c r="B18" s="484"/>
      <c r="C18" s="1876" t="s">
        <v>700</v>
      </c>
      <c r="D18" s="1877"/>
      <c r="E18" s="636"/>
      <c r="F18" s="637"/>
      <c r="G18" s="638"/>
      <c r="H18" s="639">
        <v>1</v>
      </c>
      <c r="I18" s="443"/>
      <c r="J18" s="443"/>
      <c r="K18" s="624"/>
    </row>
    <row r="19" spans="1:11" ht="24.75" customHeight="1" thickTop="1">
      <c r="A19" s="273"/>
      <c r="B19" s="484"/>
      <c r="C19" s="1893" t="s">
        <v>1383</v>
      </c>
      <c r="D19" s="1894"/>
      <c r="E19" s="627"/>
      <c r="F19" s="605"/>
      <c r="G19" s="485"/>
      <c r="H19" s="486">
        <f>ROUND(SUM(H15:H18),0)*1.3</f>
        <v>1.3</v>
      </c>
      <c r="I19" s="443"/>
      <c r="J19" s="443"/>
      <c r="K19" s="624"/>
    </row>
    <row r="20" spans="1:11" ht="24.75" customHeight="1">
      <c r="A20" s="273"/>
      <c r="B20" s="464" t="s">
        <v>640</v>
      </c>
      <c r="C20" s="1662" t="s">
        <v>678</v>
      </c>
      <c r="D20" s="1878"/>
      <c r="E20" s="607" t="str">
        <f>IF(SUM('入力（児童数-本園)'!Y3:Y6)&gt;0,"あり","なし")</f>
        <v>なし</v>
      </c>
      <c r="F20" s="606"/>
      <c r="G20" s="487"/>
      <c r="H20" s="488">
        <f>IF(E20="あり",0.4,0)</f>
        <v>0</v>
      </c>
      <c r="I20" s="443"/>
      <c r="J20" s="443"/>
      <c r="K20" s="624"/>
    </row>
    <row r="21" spans="1:11" ht="24.75" customHeight="1">
      <c r="A21" s="273"/>
      <c r="B21" s="464" t="s">
        <v>642</v>
      </c>
      <c r="C21" s="1895" t="s">
        <v>647</v>
      </c>
      <c r="D21" s="1896"/>
      <c r="E21" s="607" t="str">
        <f>IF(AND(S8&gt;0,ISNUMBER(S8)),"あり","なし")</f>
        <v>なし</v>
      </c>
      <c r="F21" s="606"/>
      <c r="G21" s="487"/>
      <c r="H21" s="488" cm="1">
        <f t="array" ref="H21">IF(E21="あり",INDEX({0.5,0.5,0.6,0.7,0.8,0.8,0.9,1,1.1,1.1,1.2,1.3,1.4,1.5},MATCH(S8,{1,211,280,350,420,490,560,630,700,770,840,910,980,1050},1)),0)</f>
        <v>0</v>
      </c>
      <c r="I21" s="443"/>
      <c r="J21" s="443"/>
    </row>
    <row r="22" spans="1:11" ht="24.75" customHeight="1">
      <c r="A22" s="1400"/>
      <c r="B22" s="464" t="s">
        <v>1315</v>
      </c>
      <c r="C22" s="1397" t="s">
        <v>1318</v>
      </c>
      <c r="D22" s="1404"/>
      <c r="E22" s="1442"/>
      <c r="F22" s="606"/>
      <c r="G22" s="487"/>
      <c r="H22" s="488">
        <f>IF(E22="あり",2.7,0)</f>
        <v>0</v>
      </c>
      <c r="I22" s="443"/>
      <c r="J22" s="443"/>
    </row>
    <row r="23" spans="1:11" ht="24.75" customHeight="1">
      <c r="A23" s="273"/>
      <c r="B23" s="464" t="s">
        <v>1316</v>
      </c>
      <c r="C23" s="923" t="s">
        <v>622</v>
      </c>
      <c r="D23" s="628"/>
      <c r="E23" s="607" t="str">
        <f>IF(T8="配置","あり","なし")</f>
        <v>なし</v>
      </c>
      <c r="F23" s="606"/>
      <c r="G23" s="487"/>
      <c r="H23" s="924">
        <f>IF(E23="あり",0.6,0)</f>
        <v>0</v>
      </c>
      <c r="I23" s="443"/>
      <c r="J23" s="443"/>
    </row>
    <row r="24" spans="1:11" ht="24.75" customHeight="1">
      <c r="A24" s="273"/>
      <c r="B24" s="464" t="s">
        <v>1317</v>
      </c>
      <c r="C24" s="1897" t="s">
        <v>701</v>
      </c>
      <c r="D24" s="1898"/>
      <c r="E24" s="607" t="str">
        <f>CONCATENATE(U8)</f>
        <v/>
      </c>
      <c r="F24" s="606"/>
      <c r="G24" s="487"/>
      <c r="H24" s="1440">
        <f>IF(E24="あり",-1.2,0)</f>
        <v>0</v>
      </c>
      <c r="I24" s="443"/>
      <c r="J24" s="443"/>
    </row>
    <row r="25" spans="1:11" ht="24.75" customHeight="1">
      <c r="A25" s="1400"/>
      <c r="B25" s="1423" t="s">
        <v>1304</v>
      </c>
      <c r="C25" s="1428" t="s">
        <v>1319</v>
      </c>
      <c r="D25" s="1429"/>
      <c r="E25" s="1424" t="str">
        <f>CONCATENATE(V8)</f>
        <v/>
      </c>
      <c r="F25" s="1425"/>
      <c r="G25" s="1426"/>
      <c r="H25" s="1441">
        <f>IF(E25="あり",-0.4,0)</f>
        <v>0</v>
      </c>
      <c r="I25" s="443"/>
      <c r="J25" s="443"/>
    </row>
    <row r="26" spans="1:11" ht="24.75" customHeight="1" thickBot="1">
      <c r="A26" s="273"/>
      <c r="B26" s="629" t="s">
        <v>1389</v>
      </c>
      <c r="C26" s="630"/>
      <c r="D26" s="630"/>
      <c r="E26" s="631"/>
      <c r="F26" s="632"/>
      <c r="G26" s="633"/>
      <c r="H26" s="612">
        <v>3.1</v>
      </c>
      <c r="I26" s="443"/>
      <c r="J26" s="443"/>
    </row>
    <row r="27" spans="1:11" ht="24.75" customHeight="1" thickTop="1" thickBot="1">
      <c r="A27" s="273"/>
      <c r="B27" s="495" t="s">
        <v>625</v>
      </c>
      <c r="C27" s="273"/>
      <c r="D27" s="273"/>
      <c r="E27" s="273"/>
      <c r="F27" s="613"/>
      <c r="G27" s="496"/>
      <c r="H27" s="497">
        <f>SUM(H19:H26)</f>
        <v>4.4000000000000004</v>
      </c>
      <c r="I27" s="443"/>
      <c r="J27" s="443"/>
    </row>
    <row r="28" spans="1:11" ht="24.75" customHeight="1" thickBot="1">
      <c r="A28" s="273"/>
      <c r="B28" s="1045" t="s">
        <v>1298</v>
      </c>
      <c r="C28" s="640"/>
      <c r="D28" s="640"/>
      <c r="E28" s="640"/>
      <c r="F28" s="641"/>
      <c r="G28" s="498"/>
      <c r="H28" s="614">
        <f>ROUND(H27,0)</f>
        <v>4</v>
      </c>
      <c r="I28" s="443"/>
      <c r="J28" s="443"/>
    </row>
    <row r="29" spans="1:11" ht="24.75" customHeight="1">
      <c r="A29" s="273"/>
      <c r="B29" s="279"/>
      <c r="C29" s="273"/>
      <c r="D29" s="273"/>
      <c r="E29" s="273"/>
      <c r="F29" s="500"/>
      <c r="G29" s="501"/>
      <c r="H29" s="502"/>
      <c r="I29" s="500"/>
      <c r="J29" s="500"/>
    </row>
    <row r="30" spans="1:11" ht="24.75" customHeight="1" thickBot="1">
      <c r="A30" s="993" t="s">
        <v>1314</v>
      </c>
      <c r="B30" s="982"/>
      <c r="C30" s="982"/>
      <c r="D30" s="982"/>
      <c r="E30" s="273"/>
      <c r="F30" s="273"/>
      <c r="G30" s="501"/>
      <c r="H30" s="502"/>
      <c r="I30" s="500"/>
      <c r="J30" s="500"/>
    </row>
    <row r="31" spans="1:11" ht="24.75" customHeight="1" thickBot="1">
      <c r="A31" s="982"/>
      <c r="B31" s="1889"/>
      <c r="C31" s="1889"/>
      <c r="D31" s="1889"/>
      <c r="E31" s="1874" t="s">
        <v>1296</v>
      </c>
      <c r="F31" s="1875"/>
      <c r="G31" s="1703" t="s">
        <v>1297</v>
      </c>
      <c r="H31" s="1704"/>
      <c r="I31" s="500"/>
      <c r="J31" s="500"/>
    </row>
    <row r="32" spans="1:11" ht="24.75" customHeight="1" thickBot="1">
      <c r="A32" s="982"/>
      <c r="B32" s="1890">
        <v>11000</v>
      </c>
      <c r="C32" s="1891"/>
      <c r="D32" s="1892"/>
      <c r="E32" s="1821">
        <f>B32*H28</f>
        <v>44000</v>
      </c>
      <c r="F32" s="1822"/>
      <c r="G32" s="1705">
        <f>E32*I8</f>
        <v>528000</v>
      </c>
      <c r="H32" s="1706"/>
      <c r="I32" s="500"/>
      <c r="J32" s="500"/>
    </row>
    <row r="33" spans="1:10" ht="24.75" customHeight="1">
      <c r="A33" s="273"/>
      <c r="B33" s="642"/>
      <c r="C33" s="642"/>
      <c r="D33" s="642"/>
      <c r="E33" s="642"/>
      <c r="F33" s="642"/>
      <c r="G33" s="643"/>
      <c r="H33" s="644"/>
      <c r="I33" s="262"/>
      <c r="J33" s="262"/>
    </row>
    <row r="34" spans="1:10" ht="24.75" customHeight="1">
      <c r="F34" s="260"/>
      <c r="G34" s="260"/>
      <c r="H34" s="260"/>
      <c r="I34" s="260"/>
      <c r="J34" s="260"/>
    </row>
    <row r="35" spans="1:10" ht="24.75" customHeight="1">
      <c r="F35" s="260"/>
      <c r="G35" s="260"/>
      <c r="H35" s="260"/>
      <c r="I35" s="260"/>
      <c r="J35" s="260"/>
    </row>
    <row r="36" spans="1:10" ht="33.75" customHeight="1">
      <c r="F36" s="260"/>
      <c r="G36" s="260"/>
      <c r="H36" s="260"/>
      <c r="I36" s="260"/>
      <c r="J36" s="260"/>
    </row>
    <row r="37" spans="1:10" ht="33.75" customHeight="1">
      <c r="F37" s="260"/>
      <c r="G37" s="260"/>
      <c r="H37" s="260"/>
      <c r="I37" s="260"/>
      <c r="J37" s="260"/>
    </row>
    <row r="38" spans="1:10" ht="33.75" customHeight="1">
      <c r="F38" s="260"/>
      <c r="G38" s="260"/>
      <c r="H38" s="260"/>
      <c r="I38" s="260"/>
      <c r="J38" s="260"/>
    </row>
    <row r="39" spans="1:10" ht="33.75" customHeight="1">
      <c r="F39" s="260"/>
      <c r="G39" s="260"/>
      <c r="H39" s="260"/>
      <c r="I39" s="260"/>
      <c r="J39" s="260"/>
    </row>
    <row r="40" spans="1:10" ht="33.75" customHeight="1">
      <c r="F40" s="260"/>
      <c r="G40" s="260"/>
      <c r="H40" s="260"/>
      <c r="I40" s="260"/>
      <c r="J40" s="260"/>
    </row>
    <row r="41" spans="1:10" ht="33.75" customHeight="1">
      <c r="F41" s="260"/>
      <c r="G41" s="260"/>
      <c r="H41" s="260"/>
      <c r="I41" s="260"/>
      <c r="J41" s="260"/>
    </row>
    <row r="42" spans="1:10" ht="33.75" customHeight="1">
      <c r="F42" s="260"/>
      <c r="G42" s="260"/>
      <c r="H42" s="260"/>
      <c r="I42" s="260"/>
      <c r="J42" s="260"/>
    </row>
    <row r="43" spans="1:10" ht="33.75" customHeight="1">
      <c r="F43" s="260"/>
      <c r="G43" s="260"/>
      <c r="H43" s="260"/>
      <c r="I43" s="260"/>
      <c r="J43" s="260"/>
    </row>
    <row r="44" spans="1:10" ht="33.75" customHeight="1">
      <c r="F44" s="260"/>
      <c r="G44" s="260"/>
      <c r="H44" s="260"/>
      <c r="I44" s="260"/>
      <c r="J44" s="260"/>
    </row>
    <row r="45" spans="1:10" ht="33.75" customHeight="1">
      <c r="F45" s="260"/>
      <c r="G45" s="260"/>
      <c r="H45" s="260"/>
      <c r="I45" s="260"/>
      <c r="J45" s="260"/>
    </row>
    <row r="46" spans="1:10" ht="20.25" customHeight="1">
      <c r="F46" s="260"/>
      <c r="G46" s="260"/>
      <c r="H46" s="260"/>
      <c r="I46" s="260"/>
      <c r="J46" s="260"/>
    </row>
    <row r="47" spans="1:10" ht="20.25" customHeight="1">
      <c r="F47" s="260"/>
      <c r="G47" s="260"/>
      <c r="H47" s="260"/>
      <c r="I47" s="260"/>
      <c r="J47" s="260"/>
    </row>
    <row r="48" spans="1:10" ht="20.25" customHeight="1">
      <c r="F48" s="260"/>
      <c r="G48" s="260"/>
      <c r="H48" s="260"/>
      <c r="I48" s="260"/>
      <c r="J48" s="260"/>
    </row>
    <row r="49" s="260" customFormat="1" ht="20.25" customHeight="1"/>
    <row r="50" s="260" customFormat="1" ht="20.25" customHeight="1"/>
    <row r="51" s="260" customFormat="1" ht="20.25" customHeight="1"/>
    <row r="52" s="260" customFormat="1" ht="20.25" customHeight="1"/>
    <row r="53" s="260" customFormat="1" ht="20.25" customHeight="1"/>
    <row r="54" s="260" customFormat="1" ht="20.25" customHeight="1"/>
    <row r="55" s="260" customFormat="1" ht="20.25" customHeight="1"/>
    <row r="56" s="260" customFormat="1" ht="20.25" customHeight="1"/>
    <row r="57" s="260" customFormat="1" ht="20.25" customHeight="1"/>
    <row r="58" s="260" customFormat="1" ht="20.25" customHeight="1"/>
    <row r="59" s="260" customFormat="1" ht="20.25" customHeight="1"/>
    <row r="60" s="260" customFormat="1" ht="20.25" customHeight="1"/>
    <row r="61" s="260" customFormat="1" ht="20.25" customHeight="1"/>
    <row r="62" s="260" customFormat="1" ht="20.25" customHeight="1"/>
    <row r="63" s="260" customFormat="1" ht="20.25" customHeight="1"/>
    <row r="64" s="260" customFormat="1" ht="20.25" customHeight="1"/>
    <row r="65" s="260" customFormat="1" ht="20.25" customHeight="1"/>
    <row r="66" s="260" customFormat="1" ht="20.25" customHeight="1"/>
    <row r="67" s="260" customFormat="1" ht="20.25" customHeight="1"/>
    <row r="68" s="260" customFormat="1" ht="20.25" customHeight="1"/>
    <row r="69" s="260" customFormat="1" ht="20.25" customHeight="1"/>
    <row r="70" s="260" customFormat="1" ht="20.25" customHeight="1"/>
    <row r="71" s="260" customFormat="1" ht="20.25" customHeight="1"/>
    <row r="72" s="260" customFormat="1" ht="20.25" customHeight="1"/>
    <row r="73" s="260" customFormat="1" ht="20.25" customHeight="1"/>
    <row r="74" s="260" customFormat="1" ht="20.25" customHeight="1"/>
    <row r="75" s="260" customFormat="1" ht="20.25" customHeight="1"/>
    <row r="76" s="260" customFormat="1" ht="20.25" customHeight="1"/>
    <row r="77" s="260" customFormat="1" ht="20.25" customHeight="1"/>
    <row r="78" s="260" customFormat="1" ht="20.25" customHeight="1"/>
    <row r="79" s="260" customFormat="1" ht="20.25" customHeight="1"/>
    <row r="80" s="260" customFormat="1" ht="20.25" customHeight="1"/>
    <row r="81" s="260" customFormat="1" ht="20.25" customHeight="1"/>
    <row r="82" s="260" customFormat="1" ht="20.25" customHeight="1"/>
    <row r="83" s="260" customFormat="1" ht="20.25" customHeight="1"/>
    <row r="84" s="260" customFormat="1" ht="20.25" customHeight="1"/>
    <row r="85" s="260" customFormat="1" ht="20.25" customHeight="1"/>
    <row r="86" s="260" customFormat="1" ht="20.25" customHeight="1"/>
    <row r="87" s="260" customFormat="1" ht="20.25" customHeight="1"/>
    <row r="88" s="260" customFormat="1" ht="20.25" customHeight="1"/>
    <row r="89" s="260" customFormat="1" ht="20.25" customHeight="1"/>
    <row r="90" s="260" customFormat="1" ht="20.25" customHeight="1"/>
    <row r="91" s="260" customFormat="1" ht="20.25" customHeight="1"/>
    <row r="92" s="260" customFormat="1" ht="20.25" customHeight="1"/>
    <row r="93" s="260" customFormat="1" ht="20.25" customHeight="1"/>
    <row r="94" s="260" customFormat="1" ht="20.25" customHeight="1"/>
    <row r="95" s="260" customFormat="1" ht="20.25" customHeight="1"/>
    <row r="96" s="260" customFormat="1" ht="20.25" customHeight="1"/>
    <row r="97" spans="6:10" ht="20.25" customHeight="1">
      <c r="F97" s="260"/>
      <c r="G97" s="260"/>
      <c r="H97" s="260"/>
      <c r="I97" s="260"/>
      <c r="J97" s="260"/>
    </row>
    <row r="98" spans="6:10" ht="20.25" customHeight="1"/>
    <row r="99" spans="6:10" ht="20.25" customHeight="1"/>
    <row r="100" spans="6:10" ht="20.25" customHeight="1"/>
    <row r="101" spans="6:10" ht="20.25" customHeight="1"/>
    <row r="102" spans="6:10" ht="20.25" customHeight="1"/>
    <row r="103" spans="6:10" ht="20.25" customHeight="1"/>
    <row r="104" spans="6:10" ht="20.25" customHeight="1"/>
    <row r="105" spans="6:10" ht="20.25" customHeight="1"/>
    <row r="106" spans="6:10" ht="20.25" customHeight="1"/>
  </sheetData>
  <sheetProtection algorithmName="SHA-512" hashValue="0omWsb18At+jatWTVNdrWeWcnusd20xjTZTM1i4G1xjE5gHmNHvd9rwKTLH93ChNcHkmIWYhtns5kLLacZNM5Q==" saltValue="W4MmqV/168Qfvc4/+AWbvA==" spinCount="100000" sheet="1" objects="1" scenarios="1"/>
  <customSheetViews>
    <customSheetView guid="{2E52E5FF-9846-4DC5-A671-268FE925398C}" showPageBreaks="1" printArea="1" view="pageBreakPreview">
      <selection activeCell="I24" sqref="I24"/>
      <pageMargins left="0.7" right="0.7" top="0.75" bottom="0.75" header="0.3" footer="0.3"/>
      <pageSetup paperSize="9" scale="87" orientation="portrait" r:id="rId1"/>
    </customSheetView>
    <customSheetView guid="{BADA99B3-B36A-4925-87A7-F72FC97D3DBA}" showPageBreaks="1" printArea="1" view="pageBreakPreview">
      <selection activeCell="I24" sqref="I24"/>
      <pageMargins left="0.7" right="0.7" top="0.75" bottom="0.75" header="0.3" footer="0.3"/>
      <pageSetup paperSize="9" scale="87" orientation="portrait" r:id="rId2"/>
    </customSheetView>
  </customSheetViews>
  <mergeCells count="24">
    <mergeCell ref="A2:I2"/>
    <mergeCell ref="A6:D7"/>
    <mergeCell ref="E4:F5"/>
    <mergeCell ref="G4:I5"/>
    <mergeCell ref="G1:I1"/>
    <mergeCell ref="C15:D15"/>
    <mergeCell ref="C16:D16"/>
    <mergeCell ref="C17:D17"/>
    <mergeCell ref="B31:D31"/>
    <mergeCell ref="B32:D32"/>
    <mergeCell ref="C19:D19"/>
    <mergeCell ref="C20:D20"/>
    <mergeCell ref="C21:D21"/>
    <mergeCell ref="C24:D24"/>
    <mergeCell ref="E9:I10"/>
    <mergeCell ref="B11:D11"/>
    <mergeCell ref="G11:H11"/>
    <mergeCell ref="C13:D13"/>
    <mergeCell ref="C14:D14"/>
    <mergeCell ref="E31:F31"/>
    <mergeCell ref="G31:H31"/>
    <mergeCell ref="E32:F32"/>
    <mergeCell ref="G32:H32"/>
    <mergeCell ref="C18:D18"/>
  </mergeCells>
  <phoneticPr fontId="60"/>
  <dataValidations count="3">
    <dataValidation type="list" errorStyle="warning" showInputMessage="1" showErrorMessage="1" sqref="F17" xr:uid="{00000000-0002-0000-2B00-000000000000}">
      <formula1>$M$6:$M$11</formula1>
    </dataValidation>
    <dataValidation type="list" errorStyle="warning" showInputMessage="1" showErrorMessage="1" sqref="E17 E20:E25" xr:uid="{00000000-0002-0000-2B00-000001000000}">
      <formula1>$L$6:$L$8</formula1>
    </dataValidation>
    <dataValidation type="list" allowBlank="1" showInputMessage="1" showErrorMessage="1" sqref="WVU983060:WVU983062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E65544 JI65553 TE65553 ADA65553 AMW65553 AWS65553 BGO65553 BQK65553 CAG65553 CKC65553 CTY65553 DDU65553 DNQ65553 DXM65553 EHI65553 ERE65553 FBA65553 FKW65553 FUS65553 GEO65553 GOK65553 GYG65553 HIC65553 HRY65553 IBU65553 ILQ65553 IVM65553 JFI65553 JPE65553 JZA65553 KIW65553 KSS65553 LCO65553 LMK65553 LWG65553 MGC65553 MPY65553 MZU65553 NJQ65553 NTM65553 ODI65553 ONE65553 OXA65553 PGW65553 PQS65553 QAO65553 QKK65553 QUG65553 REC65553 RNY65553 RXU65553 SHQ65553 SRM65553 TBI65553 TLE65553 TVA65553 UEW65553 UOS65553 UYO65553 VIK65553 VSG65553 WCC65553 WLY65553 WVU65553 E131080 JI131089 TE131089 ADA131089 AMW131089 AWS131089 BGO131089 BQK131089 CAG131089 CKC131089 CTY131089 DDU131089 DNQ131089 DXM131089 EHI131089 ERE131089 FBA131089 FKW131089 FUS131089 GEO131089 GOK131089 GYG131089 HIC131089 HRY131089 IBU131089 ILQ131089 IVM131089 JFI131089 JPE131089 JZA131089 KIW131089 KSS131089 LCO131089 LMK131089 LWG131089 MGC131089 MPY131089 MZU131089 NJQ131089 NTM131089 ODI131089 ONE131089 OXA131089 PGW131089 PQS131089 QAO131089 QKK131089 QUG131089 REC131089 RNY131089 RXU131089 SHQ131089 SRM131089 TBI131089 TLE131089 TVA131089 UEW131089 UOS131089 UYO131089 VIK131089 VSG131089 WCC131089 WLY131089 WVU131089 E196616 JI196625 TE196625 ADA196625 AMW196625 AWS196625 BGO196625 BQK196625 CAG196625 CKC196625 CTY196625 DDU196625 DNQ196625 DXM196625 EHI196625 ERE196625 FBA196625 FKW196625 FUS196625 GEO196625 GOK196625 GYG196625 HIC196625 HRY196625 IBU196625 ILQ196625 IVM196625 JFI196625 JPE196625 JZA196625 KIW196625 KSS196625 LCO196625 LMK196625 LWG196625 MGC196625 MPY196625 MZU196625 NJQ196625 NTM196625 ODI196625 ONE196625 OXA196625 PGW196625 PQS196625 QAO196625 QKK196625 QUG196625 REC196625 RNY196625 RXU196625 SHQ196625 SRM196625 TBI196625 TLE196625 TVA196625 UEW196625 UOS196625 UYO196625 VIK196625 VSG196625 WCC196625 WLY196625 WVU196625 E262152 JI262161 TE262161 ADA262161 AMW262161 AWS262161 BGO262161 BQK262161 CAG262161 CKC262161 CTY262161 DDU262161 DNQ262161 DXM262161 EHI262161 ERE262161 FBA262161 FKW262161 FUS262161 GEO262161 GOK262161 GYG262161 HIC262161 HRY262161 IBU262161 ILQ262161 IVM262161 JFI262161 JPE262161 JZA262161 KIW262161 KSS262161 LCO262161 LMK262161 LWG262161 MGC262161 MPY262161 MZU262161 NJQ262161 NTM262161 ODI262161 ONE262161 OXA262161 PGW262161 PQS262161 QAO262161 QKK262161 QUG262161 REC262161 RNY262161 RXU262161 SHQ262161 SRM262161 TBI262161 TLE262161 TVA262161 UEW262161 UOS262161 UYO262161 VIK262161 VSG262161 WCC262161 WLY262161 WVU262161 E327688 JI327697 TE327697 ADA327697 AMW327697 AWS327697 BGO327697 BQK327697 CAG327697 CKC327697 CTY327697 DDU327697 DNQ327697 DXM327697 EHI327697 ERE327697 FBA327697 FKW327697 FUS327697 GEO327697 GOK327697 GYG327697 HIC327697 HRY327697 IBU327697 ILQ327697 IVM327697 JFI327697 JPE327697 JZA327697 KIW327697 KSS327697 LCO327697 LMK327697 LWG327697 MGC327697 MPY327697 MZU327697 NJQ327697 NTM327697 ODI327697 ONE327697 OXA327697 PGW327697 PQS327697 QAO327697 QKK327697 QUG327697 REC327697 RNY327697 RXU327697 SHQ327697 SRM327697 TBI327697 TLE327697 TVA327697 UEW327697 UOS327697 UYO327697 VIK327697 VSG327697 WCC327697 WLY327697 WVU327697 E393224 JI393233 TE393233 ADA393233 AMW393233 AWS393233 BGO393233 BQK393233 CAG393233 CKC393233 CTY393233 DDU393233 DNQ393233 DXM393233 EHI393233 ERE393233 FBA393233 FKW393233 FUS393233 GEO393233 GOK393233 GYG393233 HIC393233 HRY393233 IBU393233 ILQ393233 IVM393233 JFI393233 JPE393233 JZA393233 KIW393233 KSS393233 LCO393233 LMK393233 LWG393233 MGC393233 MPY393233 MZU393233 NJQ393233 NTM393233 ODI393233 ONE393233 OXA393233 PGW393233 PQS393233 QAO393233 QKK393233 QUG393233 REC393233 RNY393233 RXU393233 SHQ393233 SRM393233 TBI393233 TLE393233 TVA393233 UEW393233 UOS393233 UYO393233 VIK393233 VSG393233 WCC393233 WLY393233 WVU393233 E458760 JI458769 TE458769 ADA458769 AMW458769 AWS458769 BGO458769 BQK458769 CAG458769 CKC458769 CTY458769 DDU458769 DNQ458769 DXM458769 EHI458769 ERE458769 FBA458769 FKW458769 FUS458769 GEO458769 GOK458769 GYG458769 HIC458769 HRY458769 IBU458769 ILQ458769 IVM458769 JFI458769 JPE458769 JZA458769 KIW458769 KSS458769 LCO458769 LMK458769 LWG458769 MGC458769 MPY458769 MZU458769 NJQ458769 NTM458769 ODI458769 ONE458769 OXA458769 PGW458769 PQS458769 QAO458769 QKK458769 QUG458769 REC458769 RNY458769 RXU458769 SHQ458769 SRM458769 TBI458769 TLE458769 TVA458769 UEW458769 UOS458769 UYO458769 VIK458769 VSG458769 WCC458769 WLY458769 WVU458769 E524296 JI524305 TE524305 ADA524305 AMW524305 AWS524305 BGO524305 BQK524305 CAG524305 CKC524305 CTY524305 DDU524305 DNQ524305 DXM524305 EHI524305 ERE524305 FBA524305 FKW524305 FUS524305 GEO524305 GOK524305 GYG524305 HIC524305 HRY524305 IBU524305 ILQ524305 IVM524305 JFI524305 JPE524305 JZA524305 KIW524305 KSS524305 LCO524305 LMK524305 LWG524305 MGC524305 MPY524305 MZU524305 NJQ524305 NTM524305 ODI524305 ONE524305 OXA524305 PGW524305 PQS524305 QAO524305 QKK524305 QUG524305 REC524305 RNY524305 RXU524305 SHQ524305 SRM524305 TBI524305 TLE524305 TVA524305 UEW524305 UOS524305 UYO524305 VIK524305 VSG524305 WCC524305 WLY524305 WVU524305 E589832 JI589841 TE589841 ADA589841 AMW589841 AWS589841 BGO589841 BQK589841 CAG589841 CKC589841 CTY589841 DDU589841 DNQ589841 DXM589841 EHI589841 ERE589841 FBA589841 FKW589841 FUS589841 GEO589841 GOK589841 GYG589841 HIC589841 HRY589841 IBU589841 ILQ589841 IVM589841 JFI589841 JPE589841 JZA589841 KIW589841 KSS589841 LCO589841 LMK589841 LWG589841 MGC589841 MPY589841 MZU589841 NJQ589841 NTM589841 ODI589841 ONE589841 OXA589841 PGW589841 PQS589841 QAO589841 QKK589841 QUG589841 REC589841 RNY589841 RXU589841 SHQ589841 SRM589841 TBI589841 TLE589841 TVA589841 UEW589841 UOS589841 UYO589841 VIK589841 VSG589841 WCC589841 WLY589841 WVU589841 E655368 JI655377 TE655377 ADA655377 AMW655377 AWS655377 BGO655377 BQK655377 CAG655377 CKC655377 CTY655377 DDU655377 DNQ655377 DXM655377 EHI655377 ERE655377 FBA655377 FKW655377 FUS655377 GEO655377 GOK655377 GYG655377 HIC655377 HRY655377 IBU655377 ILQ655377 IVM655377 JFI655377 JPE655377 JZA655377 KIW655377 KSS655377 LCO655377 LMK655377 LWG655377 MGC655377 MPY655377 MZU655377 NJQ655377 NTM655377 ODI655377 ONE655377 OXA655377 PGW655377 PQS655377 QAO655377 QKK655377 QUG655377 REC655377 RNY655377 RXU655377 SHQ655377 SRM655377 TBI655377 TLE655377 TVA655377 UEW655377 UOS655377 UYO655377 VIK655377 VSG655377 WCC655377 WLY655377 WVU655377 E720904 JI720913 TE720913 ADA720913 AMW720913 AWS720913 BGO720913 BQK720913 CAG720913 CKC720913 CTY720913 DDU720913 DNQ720913 DXM720913 EHI720913 ERE720913 FBA720913 FKW720913 FUS720913 GEO720913 GOK720913 GYG720913 HIC720913 HRY720913 IBU720913 ILQ720913 IVM720913 JFI720913 JPE720913 JZA720913 KIW720913 KSS720913 LCO720913 LMK720913 LWG720913 MGC720913 MPY720913 MZU720913 NJQ720913 NTM720913 ODI720913 ONE720913 OXA720913 PGW720913 PQS720913 QAO720913 QKK720913 QUG720913 REC720913 RNY720913 RXU720913 SHQ720913 SRM720913 TBI720913 TLE720913 TVA720913 UEW720913 UOS720913 UYO720913 VIK720913 VSG720913 WCC720913 WLY720913 WVU720913 E786440 JI786449 TE786449 ADA786449 AMW786449 AWS786449 BGO786449 BQK786449 CAG786449 CKC786449 CTY786449 DDU786449 DNQ786449 DXM786449 EHI786449 ERE786449 FBA786449 FKW786449 FUS786449 GEO786449 GOK786449 GYG786449 HIC786449 HRY786449 IBU786449 ILQ786449 IVM786449 JFI786449 JPE786449 JZA786449 KIW786449 KSS786449 LCO786449 LMK786449 LWG786449 MGC786449 MPY786449 MZU786449 NJQ786449 NTM786449 ODI786449 ONE786449 OXA786449 PGW786449 PQS786449 QAO786449 QKK786449 QUG786449 REC786449 RNY786449 RXU786449 SHQ786449 SRM786449 TBI786449 TLE786449 TVA786449 UEW786449 UOS786449 UYO786449 VIK786449 VSG786449 WCC786449 WLY786449 WVU786449 E851976 JI851985 TE851985 ADA851985 AMW851985 AWS851985 BGO851985 BQK851985 CAG851985 CKC851985 CTY851985 DDU851985 DNQ851985 DXM851985 EHI851985 ERE851985 FBA851985 FKW851985 FUS851985 GEO851985 GOK851985 GYG851985 HIC851985 HRY851985 IBU851985 ILQ851985 IVM851985 JFI851985 JPE851985 JZA851985 KIW851985 KSS851985 LCO851985 LMK851985 LWG851985 MGC851985 MPY851985 MZU851985 NJQ851985 NTM851985 ODI851985 ONE851985 OXA851985 PGW851985 PQS851985 QAO851985 QKK851985 QUG851985 REC851985 RNY851985 RXU851985 SHQ851985 SRM851985 TBI851985 TLE851985 TVA851985 UEW851985 UOS851985 UYO851985 VIK851985 VSG851985 WCC851985 WLY851985 WVU851985 E917512 JI917521 TE917521 ADA917521 AMW917521 AWS917521 BGO917521 BQK917521 CAG917521 CKC917521 CTY917521 DDU917521 DNQ917521 DXM917521 EHI917521 ERE917521 FBA917521 FKW917521 FUS917521 GEO917521 GOK917521 GYG917521 HIC917521 HRY917521 IBU917521 ILQ917521 IVM917521 JFI917521 JPE917521 JZA917521 KIW917521 KSS917521 LCO917521 LMK917521 LWG917521 MGC917521 MPY917521 MZU917521 NJQ917521 NTM917521 ODI917521 ONE917521 OXA917521 PGW917521 PQS917521 QAO917521 QKK917521 QUG917521 REC917521 RNY917521 RXU917521 SHQ917521 SRM917521 TBI917521 TLE917521 TVA917521 UEW917521 UOS917521 UYO917521 VIK917521 VSG917521 WCC917521 WLY917521 WVU917521 E983048 JI983057 TE983057 ADA983057 AMW983057 AWS983057 BGO983057 BQK983057 CAG983057 CKC983057 CTY983057 DDU983057 DNQ983057 DXM983057 EHI983057 ERE983057 FBA983057 FKW983057 FUS983057 GEO983057 GOK983057 GYG983057 HIC983057 HRY983057 IBU983057 ILQ983057 IVM983057 JFI983057 JPE983057 JZA983057 KIW983057 KSS983057 LCO983057 LMK983057 LWG983057 MGC983057 MPY983057 MZU983057 NJQ983057 NTM983057 ODI983057 ONE983057 OXA983057 PGW983057 PQS983057 QAO983057 QKK983057 QUG983057 REC983057 RNY983057 RXU983057 SHQ983057 SRM983057 TBI983057 TLE983057 TVA983057 UEW983057 UOS983057 UYO983057 VIK983057 VSG983057 WCC983057 WLY983057 WVU983057 WLY983060:WLY983062 JI21:JI26 TE21:TE26 ADA21:ADA26 AMW21:AMW26 AWS21:AWS26 BGO21:BGO26 BQK21:BQK26 CAG21:CAG26 CKC21:CKC26 CTY21:CTY26 DDU21:DDU26 DNQ21:DNQ26 DXM21:DXM26 EHI21:EHI26 ERE21:ERE26 FBA21:FBA26 FKW21:FKW26 FUS21:FUS26 GEO21:GEO26 GOK21:GOK26 GYG21:GYG26 HIC21:HIC26 HRY21:HRY26 IBU21:IBU26 ILQ21:ILQ26 IVM21:IVM26 JFI21:JFI26 JPE21:JPE26 JZA21:JZA26 KIW21:KIW26 KSS21:KSS26 LCO21:LCO26 LMK21:LMK26 LWG21:LWG26 MGC21:MGC26 MPY21:MPY26 MZU21:MZU26 NJQ21:NJQ26 NTM21:NTM26 ODI21:ODI26 ONE21:ONE26 OXA21:OXA26 PGW21:PGW26 PQS21:PQS26 QAO21:QAO26 QKK21:QKK26 QUG21:QUG26 REC21:REC26 RNY21:RNY26 RXU21:RXU26 SHQ21:SHQ26 SRM21:SRM26 TBI21:TBI26 TLE21:TLE26 TVA21:TVA26 UEW21:UEW26 UOS21:UOS26 UYO21:UYO26 VIK21:VIK26 VSG21:VSG26 WCC21:WCC26 WLY21:WLY26 WVU21:WVU26 E65547:E65549 JI65556:JI65558 TE65556:TE65558 ADA65556:ADA65558 AMW65556:AMW65558 AWS65556:AWS65558 BGO65556:BGO65558 BQK65556:BQK65558 CAG65556:CAG65558 CKC65556:CKC65558 CTY65556:CTY65558 DDU65556:DDU65558 DNQ65556:DNQ65558 DXM65556:DXM65558 EHI65556:EHI65558 ERE65556:ERE65558 FBA65556:FBA65558 FKW65556:FKW65558 FUS65556:FUS65558 GEO65556:GEO65558 GOK65556:GOK65558 GYG65556:GYG65558 HIC65556:HIC65558 HRY65556:HRY65558 IBU65556:IBU65558 ILQ65556:ILQ65558 IVM65556:IVM65558 JFI65556:JFI65558 JPE65556:JPE65558 JZA65556:JZA65558 KIW65556:KIW65558 KSS65556:KSS65558 LCO65556:LCO65558 LMK65556:LMK65558 LWG65556:LWG65558 MGC65556:MGC65558 MPY65556:MPY65558 MZU65556:MZU65558 NJQ65556:NJQ65558 NTM65556:NTM65558 ODI65556:ODI65558 ONE65556:ONE65558 OXA65556:OXA65558 PGW65556:PGW65558 PQS65556:PQS65558 QAO65556:QAO65558 QKK65556:QKK65558 QUG65556:QUG65558 REC65556:REC65558 RNY65556:RNY65558 RXU65556:RXU65558 SHQ65556:SHQ65558 SRM65556:SRM65558 TBI65556:TBI65558 TLE65556:TLE65558 TVA65556:TVA65558 UEW65556:UEW65558 UOS65556:UOS65558 UYO65556:UYO65558 VIK65556:VIK65558 VSG65556:VSG65558 WCC65556:WCC65558 WLY65556:WLY65558 WVU65556:WVU65558 E131083:E131085 JI131092:JI131094 TE131092:TE131094 ADA131092:ADA131094 AMW131092:AMW131094 AWS131092:AWS131094 BGO131092:BGO131094 BQK131092:BQK131094 CAG131092:CAG131094 CKC131092:CKC131094 CTY131092:CTY131094 DDU131092:DDU131094 DNQ131092:DNQ131094 DXM131092:DXM131094 EHI131092:EHI131094 ERE131092:ERE131094 FBA131092:FBA131094 FKW131092:FKW131094 FUS131092:FUS131094 GEO131092:GEO131094 GOK131092:GOK131094 GYG131092:GYG131094 HIC131092:HIC131094 HRY131092:HRY131094 IBU131092:IBU131094 ILQ131092:ILQ131094 IVM131092:IVM131094 JFI131092:JFI131094 JPE131092:JPE131094 JZA131092:JZA131094 KIW131092:KIW131094 KSS131092:KSS131094 LCO131092:LCO131094 LMK131092:LMK131094 LWG131092:LWG131094 MGC131092:MGC131094 MPY131092:MPY131094 MZU131092:MZU131094 NJQ131092:NJQ131094 NTM131092:NTM131094 ODI131092:ODI131094 ONE131092:ONE131094 OXA131092:OXA131094 PGW131092:PGW131094 PQS131092:PQS131094 QAO131092:QAO131094 QKK131092:QKK131094 QUG131092:QUG131094 REC131092:REC131094 RNY131092:RNY131094 RXU131092:RXU131094 SHQ131092:SHQ131094 SRM131092:SRM131094 TBI131092:TBI131094 TLE131092:TLE131094 TVA131092:TVA131094 UEW131092:UEW131094 UOS131092:UOS131094 UYO131092:UYO131094 VIK131092:VIK131094 VSG131092:VSG131094 WCC131092:WCC131094 WLY131092:WLY131094 WVU131092:WVU131094 E196619:E196621 JI196628:JI196630 TE196628:TE196630 ADA196628:ADA196630 AMW196628:AMW196630 AWS196628:AWS196630 BGO196628:BGO196630 BQK196628:BQK196630 CAG196628:CAG196630 CKC196628:CKC196630 CTY196628:CTY196630 DDU196628:DDU196630 DNQ196628:DNQ196630 DXM196628:DXM196630 EHI196628:EHI196630 ERE196628:ERE196630 FBA196628:FBA196630 FKW196628:FKW196630 FUS196628:FUS196630 GEO196628:GEO196630 GOK196628:GOK196630 GYG196628:GYG196630 HIC196628:HIC196630 HRY196628:HRY196630 IBU196628:IBU196630 ILQ196628:ILQ196630 IVM196628:IVM196630 JFI196628:JFI196630 JPE196628:JPE196630 JZA196628:JZA196630 KIW196628:KIW196630 KSS196628:KSS196630 LCO196628:LCO196630 LMK196628:LMK196630 LWG196628:LWG196630 MGC196628:MGC196630 MPY196628:MPY196630 MZU196628:MZU196630 NJQ196628:NJQ196630 NTM196628:NTM196630 ODI196628:ODI196630 ONE196628:ONE196630 OXA196628:OXA196630 PGW196628:PGW196630 PQS196628:PQS196630 QAO196628:QAO196630 QKK196628:QKK196630 QUG196628:QUG196630 REC196628:REC196630 RNY196628:RNY196630 RXU196628:RXU196630 SHQ196628:SHQ196630 SRM196628:SRM196630 TBI196628:TBI196630 TLE196628:TLE196630 TVA196628:TVA196630 UEW196628:UEW196630 UOS196628:UOS196630 UYO196628:UYO196630 VIK196628:VIK196630 VSG196628:VSG196630 WCC196628:WCC196630 WLY196628:WLY196630 WVU196628:WVU196630 E262155:E262157 JI262164:JI262166 TE262164:TE262166 ADA262164:ADA262166 AMW262164:AMW262166 AWS262164:AWS262166 BGO262164:BGO262166 BQK262164:BQK262166 CAG262164:CAG262166 CKC262164:CKC262166 CTY262164:CTY262166 DDU262164:DDU262166 DNQ262164:DNQ262166 DXM262164:DXM262166 EHI262164:EHI262166 ERE262164:ERE262166 FBA262164:FBA262166 FKW262164:FKW262166 FUS262164:FUS262166 GEO262164:GEO262166 GOK262164:GOK262166 GYG262164:GYG262166 HIC262164:HIC262166 HRY262164:HRY262166 IBU262164:IBU262166 ILQ262164:ILQ262166 IVM262164:IVM262166 JFI262164:JFI262166 JPE262164:JPE262166 JZA262164:JZA262166 KIW262164:KIW262166 KSS262164:KSS262166 LCO262164:LCO262166 LMK262164:LMK262166 LWG262164:LWG262166 MGC262164:MGC262166 MPY262164:MPY262166 MZU262164:MZU262166 NJQ262164:NJQ262166 NTM262164:NTM262166 ODI262164:ODI262166 ONE262164:ONE262166 OXA262164:OXA262166 PGW262164:PGW262166 PQS262164:PQS262166 QAO262164:QAO262166 QKK262164:QKK262166 QUG262164:QUG262166 REC262164:REC262166 RNY262164:RNY262166 RXU262164:RXU262166 SHQ262164:SHQ262166 SRM262164:SRM262166 TBI262164:TBI262166 TLE262164:TLE262166 TVA262164:TVA262166 UEW262164:UEW262166 UOS262164:UOS262166 UYO262164:UYO262166 VIK262164:VIK262166 VSG262164:VSG262166 WCC262164:WCC262166 WLY262164:WLY262166 WVU262164:WVU262166 E327691:E327693 JI327700:JI327702 TE327700:TE327702 ADA327700:ADA327702 AMW327700:AMW327702 AWS327700:AWS327702 BGO327700:BGO327702 BQK327700:BQK327702 CAG327700:CAG327702 CKC327700:CKC327702 CTY327700:CTY327702 DDU327700:DDU327702 DNQ327700:DNQ327702 DXM327700:DXM327702 EHI327700:EHI327702 ERE327700:ERE327702 FBA327700:FBA327702 FKW327700:FKW327702 FUS327700:FUS327702 GEO327700:GEO327702 GOK327700:GOK327702 GYG327700:GYG327702 HIC327700:HIC327702 HRY327700:HRY327702 IBU327700:IBU327702 ILQ327700:ILQ327702 IVM327700:IVM327702 JFI327700:JFI327702 JPE327700:JPE327702 JZA327700:JZA327702 KIW327700:KIW327702 KSS327700:KSS327702 LCO327700:LCO327702 LMK327700:LMK327702 LWG327700:LWG327702 MGC327700:MGC327702 MPY327700:MPY327702 MZU327700:MZU327702 NJQ327700:NJQ327702 NTM327700:NTM327702 ODI327700:ODI327702 ONE327700:ONE327702 OXA327700:OXA327702 PGW327700:PGW327702 PQS327700:PQS327702 QAO327700:QAO327702 QKK327700:QKK327702 QUG327700:QUG327702 REC327700:REC327702 RNY327700:RNY327702 RXU327700:RXU327702 SHQ327700:SHQ327702 SRM327700:SRM327702 TBI327700:TBI327702 TLE327700:TLE327702 TVA327700:TVA327702 UEW327700:UEW327702 UOS327700:UOS327702 UYO327700:UYO327702 VIK327700:VIK327702 VSG327700:VSG327702 WCC327700:WCC327702 WLY327700:WLY327702 WVU327700:WVU327702 E393227:E393229 JI393236:JI393238 TE393236:TE393238 ADA393236:ADA393238 AMW393236:AMW393238 AWS393236:AWS393238 BGO393236:BGO393238 BQK393236:BQK393238 CAG393236:CAG393238 CKC393236:CKC393238 CTY393236:CTY393238 DDU393236:DDU393238 DNQ393236:DNQ393238 DXM393236:DXM393238 EHI393236:EHI393238 ERE393236:ERE393238 FBA393236:FBA393238 FKW393236:FKW393238 FUS393236:FUS393238 GEO393236:GEO393238 GOK393236:GOK393238 GYG393236:GYG393238 HIC393236:HIC393238 HRY393236:HRY393238 IBU393236:IBU393238 ILQ393236:ILQ393238 IVM393236:IVM393238 JFI393236:JFI393238 JPE393236:JPE393238 JZA393236:JZA393238 KIW393236:KIW393238 KSS393236:KSS393238 LCO393236:LCO393238 LMK393236:LMK393238 LWG393236:LWG393238 MGC393236:MGC393238 MPY393236:MPY393238 MZU393236:MZU393238 NJQ393236:NJQ393238 NTM393236:NTM393238 ODI393236:ODI393238 ONE393236:ONE393238 OXA393236:OXA393238 PGW393236:PGW393238 PQS393236:PQS393238 QAO393236:QAO393238 QKK393236:QKK393238 QUG393236:QUG393238 REC393236:REC393238 RNY393236:RNY393238 RXU393236:RXU393238 SHQ393236:SHQ393238 SRM393236:SRM393238 TBI393236:TBI393238 TLE393236:TLE393238 TVA393236:TVA393238 UEW393236:UEW393238 UOS393236:UOS393238 UYO393236:UYO393238 VIK393236:VIK393238 VSG393236:VSG393238 WCC393236:WCC393238 WLY393236:WLY393238 WVU393236:WVU393238 E458763:E458765 JI458772:JI458774 TE458772:TE458774 ADA458772:ADA458774 AMW458772:AMW458774 AWS458772:AWS458774 BGO458772:BGO458774 BQK458772:BQK458774 CAG458772:CAG458774 CKC458772:CKC458774 CTY458772:CTY458774 DDU458772:DDU458774 DNQ458772:DNQ458774 DXM458772:DXM458774 EHI458772:EHI458774 ERE458772:ERE458774 FBA458772:FBA458774 FKW458772:FKW458774 FUS458772:FUS458774 GEO458772:GEO458774 GOK458772:GOK458774 GYG458772:GYG458774 HIC458772:HIC458774 HRY458772:HRY458774 IBU458772:IBU458774 ILQ458772:ILQ458774 IVM458772:IVM458774 JFI458772:JFI458774 JPE458772:JPE458774 JZA458772:JZA458774 KIW458772:KIW458774 KSS458772:KSS458774 LCO458772:LCO458774 LMK458772:LMK458774 LWG458772:LWG458774 MGC458772:MGC458774 MPY458772:MPY458774 MZU458772:MZU458774 NJQ458772:NJQ458774 NTM458772:NTM458774 ODI458772:ODI458774 ONE458772:ONE458774 OXA458772:OXA458774 PGW458772:PGW458774 PQS458772:PQS458774 QAO458772:QAO458774 QKK458772:QKK458774 QUG458772:QUG458774 REC458772:REC458774 RNY458772:RNY458774 RXU458772:RXU458774 SHQ458772:SHQ458774 SRM458772:SRM458774 TBI458772:TBI458774 TLE458772:TLE458774 TVA458772:TVA458774 UEW458772:UEW458774 UOS458772:UOS458774 UYO458772:UYO458774 VIK458772:VIK458774 VSG458772:VSG458774 WCC458772:WCC458774 WLY458772:WLY458774 WVU458772:WVU458774 E524299:E524301 JI524308:JI524310 TE524308:TE524310 ADA524308:ADA524310 AMW524308:AMW524310 AWS524308:AWS524310 BGO524308:BGO524310 BQK524308:BQK524310 CAG524308:CAG524310 CKC524308:CKC524310 CTY524308:CTY524310 DDU524308:DDU524310 DNQ524308:DNQ524310 DXM524308:DXM524310 EHI524308:EHI524310 ERE524308:ERE524310 FBA524308:FBA524310 FKW524308:FKW524310 FUS524308:FUS524310 GEO524308:GEO524310 GOK524308:GOK524310 GYG524308:GYG524310 HIC524308:HIC524310 HRY524308:HRY524310 IBU524308:IBU524310 ILQ524308:ILQ524310 IVM524308:IVM524310 JFI524308:JFI524310 JPE524308:JPE524310 JZA524308:JZA524310 KIW524308:KIW524310 KSS524308:KSS524310 LCO524308:LCO524310 LMK524308:LMK524310 LWG524308:LWG524310 MGC524308:MGC524310 MPY524308:MPY524310 MZU524308:MZU524310 NJQ524308:NJQ524310 NTM524308:NTM524310 ODI524308:ODI524310 ONE524308:ONE524310 OXA524308:OXA524310 PGW524308:PGW524310 PQS524308:PQS524310 QAO524308:QAO524310 QKK524308:QKK524310 QUG524308:QUG524310 REC524308:REC524310 RNY524308:RNY524310 RXU524308:RXU524310 SHQ524308:SHQ524310 SRM524308:SRM524310 TBI524308:TBI524310 TLE524308:TLE524310 TVA524308:TVA524310 UEW524308:UEW524310 UOS524308:UOS524310 UYO524308:UYO524310 VIK524308:VIK524310 VSG524308:VSG524310 WCC524308:WCC524310 WLY524308:WLY524310 WVU524308:WVU524310 E589835:E589837 JI589844:JI589846 TE589844:TE589846 ADA589844:ADA589846 AMW589844:AMW589846 AWS589844:AWS589846 BGO589844:BGO589846 BQK589844:BQK589846 CAG589844:CAG589846 CKC589844:CKC589846 CTY589844:CTY589846 DDU589844:DDU589846 DNQ589844:DNQ589846 DXM589844:DXM589846 EHI589844:EHI589846 ERE589844:ERE589846 FBA589844:FBA589846 FKW589844:FKW589846 FUS589844:FUS589846 GEO589844:GEO589846 GOK589844:GOK589846 GYG589844:GYG589846 HIC589844:HIC589846 HRY589844:HRY589846 IBU589844:IBU589846 ILQ589844:ILQ589846 IVM589844:IVM589846 JFI589844:JFI589846 JPE589844:JPE589846 JZA589844:JZA589846 KIW589844:KIW589846 KSS589844:KSS589846 LCO589844:LCO589846 LMK589844:LMK589846 LWG589844:LWG589846 MGC589844:MGC589846 MPY589844:MPY589846 MZU589844:MZU589846 NJQ589844:NJQ589846 NTM589844:NTM589846 ODI589844:ODI589846 ONE589844:ONE589846 OXA589844:OXA589846 PGW589844:PGW589846 PQS589844:PQS589846 QAO589844:QAO589846 QKK589844:QKK589846 QUG589844:QUG589846 REC589844:REC589846 RNY589844:RNY589846 RXU589844:RXU589846 SHQ589844:SHQ589846 SRM589844:SRM589846 TBI589844:TBI589846 TLE589844:TLE589846 TVA589844:TVA589846 UEW589844:UEW589846 UOS589844:UOS589846 UYO589844:UYO589846 VIK589844:VIK589846 VSG589844:VSG589846 WCC589844:WCC589846 WLY589844:WLY589846 WVU589844:WVU589846 E655371:E655373 JI655380:JI655382 TE655380:TE655382 ADA655380:ADA655382 AMW655380:AMW655382 AWS655380:AWS655382 BGO655380:BGO655382 BQK655380:BQK655382 CAG655380:CAG655382 CKC655380:CKC655382 CTY655380:CTY655382 DDU655380:DDU655382 DNQ655380:DNQ655382 DXM655380:DXM655382 EHI655380:EHI655382 ERE655380:ERE655382 FBA655380:FBA655382 FKW655380:FKW655382 FUS655380:FUS655382 GEO655380:GEO655382 GOK655380:GOK655382 GYG655380:GYG655382 HIC655380:HIC655382 HRY655380:HRY655382 IBU655380:IBU655382 ILQ655380:ILQ655382 IVM655380:IVM655382 JFI655380:JFI655382 JPE655380:JPE655382 JZA655380:JZA655382 KIW655380:KIW655382 KSS655380:KSS655382 LCO655380:LCO655382 LMK655380:LMK655382 LWG655380:LWG655382 MGC655380:MGC655382 MPY655380:MPY655382 MZU655380:MZU655382 NJQ655380:NJQ655382 NTM655380:NTM655382 ODI655380:ODI655382 ONE655380:ONE655382 OXA655380:OXA655382 PGW655380:PGW655382 PQS655380:PQS655382 QAO655380:QAO655382 QKK655380:QKK655382 QUG655380:QUG655382 REC655380:REC655382 RNY655380:RNY655382 RXU655380:RXU655382 SHQ655380:SHQ655382 SRM655380:SRM655382 TBI655380:TBI655382 TLE655380:TLE655382 TVA655380:TVA655382 UEW655380:UEW655382 UOS655380:UOS655382 UYO655380:UYO655382 VIK655380:VIK655382 VSG655380:VSG655382 WCC655380:WCC655382 WLY655380:WLY655382 WVU655380:WVU655382 E720907:E720909 JI720916:JI720918 TE720916:TE720918 ADA720916:ADA720918 AMW720916:AMW720918 AWS720916:AWS720918 BGO720916:BGO720918 BQK720916:BQK720918 CAG720916:CAG720918 CKC720916:CKC720918 CTY720916:CTY720918 DDU720916:DDU720918 DNQ720916:DNQ720918 DXM720916:DXM720918 EHI720916:EHI720918 ERE720916:ERE720918 FBA720916:FBA720918 FKW720916:FKW720918 FUS720916:FUS720918 GEO720916:GEO720918 GOK720916:GOK720918 GYG720916:GYG720918 HIC720916:HIC720918 HRY720916:HRY720918 IBU720916:IBU720918 ILQ720916:ILQ720918 IVM720916:IVM720918 JFI720916:JFI720918 JPE720916:JPE720918 JZA720916:JZA720918 KIW720916:KIW720918 KSS720916:KSS720918 LCO720916:LCO720918 LMK720916:LMK720918 LWG720916:LWG720918 MGC720916:MGC720918 MPY720916:MPY720918 MZU720916:MZU720918 NJQ720916:NJQ720918 NTM720916:NTM720918 ODI720916:ODI720918 ONE720916:ONE720918 OXA720916:OXA720918 PGW720916:PGW720918 PQS720916:PQS720918 QAO720916:QAO720918 QKK720916:QKK720918 QUG720916:QUG720918 REC720916:REC720918 RNY720916:RNY720918 RXU720916:RXU720918 SHQ720916:SHQ720918 SRM720916:SRM720918 TBI720916:TBI720918 TLE720916:TLE720918 TVA720916:TVA720918 UEW720916:UEW720918 UOS720916:UOS720918 UYO720916:UYO720918 VIK720916:VIK720918 VSG720916:VSG720918 WCC720916:WCC720918 WLY720916:WLY720918 WVU720916:WVU720918 E786443:E786445 JI786452:JI786454 TE786452:TE786454 ADA786452:ADA786454 AMW786452:AMW786454 AWS786452:AWS786454 BGO786452:BGO786454 BQK786452:BQK786454 CAG786452:CAG786454 CKC786452:CKC786454 CTY786452:CTY786454 DDU786452:DDU786454 DNQ786452:DNQ786454 DXM786452:DXM786454 EHI786452:EHI786454 ERE786452:ERE786454 FBA786452:FBA786454 FKW786452:FKW786454 FUS786452:FUS786454 GEO786452:GEO786454 GOK786452:GOK786454 GYG786452:GYG786454 HIC786452:HIC786454 HRY786452:HRY786454 IBU786452:IBU786454 ILQ786452:ILQ786454 IVM786452:IVM786454 JFI786452:JFI786454 JPE786452:JPE786454 JZA786452:JZA786454 KIW786452:KIW786454 KSS786452:KSS786454 LCO786452:LCO786454 LMK786452:LMK786454 LWG786452:LWG786454 MGC786452:MGC786454 MPY786452:MPY786454 MZU786452:MZU786454 NJQ786452:NJQ786454 NTM786452:NTM786454 ODI786452:ODI786454 ONE786452:ONE786454 OXA786452:OXA786454 PGW786452:PGW786454 PQS786452:PQS786454 QAO786452:QAO786454 QKK786452:QKK786454 QUG786452:QUG786454 REC786452:REC786454 RNY786452:RNY786454 RXU786452:RXU786454 SHQ786452:SHQ786454 SRM786452:SRM786454 TBI786452:TBI786454 TLE786452:TLE786454 TVA786452:TVA786454 UEW786452:UEW786454 UOS786452:UOS786454 UYO786452:UYO786454 VIK786452:VIK786454 VSG786452:VSG786454 WCC786452:WCC786454 WLY786452:WLY786454 WVU786452:WVU786454 E851979:E851981 JI851988:JI851990 TE851988:TE851990 ADA851988:ADA851990 AMW851988:AMW851990 AWS851988:AWS851990 BGO851988:BGO851990 BQK851988:BQK851990 CAG851988:CAG851990 CKC851988:CKC851990 CTY851988:CTY851990 DDU851988:DDU851990 DNQ851988:DNQ851990 DXM851988:DXM851990 EHI851988:EHI851990 ERE851988:ERE851990 FBA851988:FBA851990 FKW851988:FKW851990 FUS851988:FUS851990 GEO851988:GEO851990 GOK851988:GOK851990 GYG851988:GYG851990 HIC851988:HIC851990 HRY851988:HRY851990 IBU851988:IBU851990 ILQ851988:ILQ851990 IVM851988:IVM851990 JFI851988:JFI851990 JPE851988:JPE851990 JZA851988:JZA851990 KIW851988:KIW851990 KSS851988:KSS851990 LCO851988:LCO851990 LMK851988:LMK851990 LWG851988:LWG851990 MGC851988:MGC851990 MPY851988:MPY851990 MZU851988:MZU851990 NJQ851988:NJQ851990 NTM851988:NTM851990 ODI851988:ODI851990 ONE851988:ONE851990 OXA851988:OXA851990 PGW851988:PGW851990 PQS851988:PQS851990 QAO851988:QAO851990 QKK851988:QKK851990 QUG851988:QUG851990 REC851988:REC851990 RNY851988:RNY851990 RXU851988:RXU851990 SHQ851988:SHQ851990 SRM851988:SRM851990 TBI851988:TBI851990 TLE851988:TLE851990 TVA851988:TVA851990 UEW851988:UEW851990 UOS851988:UOS851990 UYO851988:UYO851990 VIK851988:VIK851990 VSG851988:VSG851990 WCC851988:WCC851990 WLY851988:WLY851990 WVU851988:WVU851990 E917515:E917517 JI917524:JI917526 TE917524:TE917526 ADA917524:ADA917526 AMW917524:AMW917526 AWS917524:AWS917526 BGO917524:BGO917526 BQK917524:BQK917526 CAG917524:CAG917526 CKC917524:CKC917526 CTY917524:CTY917526 DDU917524:DDU917526 DNQ917524:DNQ917526 DXM917524:DXM917526 EHI917524:EHI917526 ERE917524:ERE917526 FBA917524:FBA917526 FKW917524:FKW917526 FUS917524:FUS917526 GEO917524:GEO917526 GOK917524:GOK917526 GYG917524:GYG917526 HIC917524:HIC917526 HRY917524:HRY917526 IBU917524:IBU917526 ILQ917524:ILQ917526 IVM917524:IVM917526 JFI917524:JFI917526 JPE917524:JPE917526 JZA917524:JZA917526 KIW917524:KIW917526 KSS917524:KSS917526 LCO917524:LCO917526 LMK917524:LMK917526 LWG917524:LWG917526 MGC917524:MGC917526 MPY917524:MPY917526 MZU917524:MZU917526 NJQ917524:NJQ917526 NTM917524:NTM917526 ODI917524:ODI917526 ONE917524:ONE917526 OXA917524:OXA917526 PGW917524:PGW917526 PQS917524:PQS917526 QAO917524:QAO917526 QKK917524:QKK917526 QUG917524:QUG917526 REC917524:REC917526 RNY917524:RNY917526 RXU917524:RXU917526 SHQ917524:SHQ917526 SRM917524:SRM917526 TBI917524:TBI917526 TLE917524:TLE917526 TVA917524:TVA917526 UEW917524:UEW917526 UOS917524:UOS917526 UYO917524:UYO917526 VIK917524:VIK917526 VSG917524:VSG917526 WCC917524:WCC917526 WLY917524:WLY917526 WVU917524:WVU917526 E983051:E983053 JI983060:JI983062 TE983060:TE983062 ADA983060:ADA983062 AMW983060:AMW983062 AWS983060:AWS983062 BGO983060:BGO983062 BQK983060:BQK983062 CAG983060:CAG983062 CKC983060:CKC983062 CTY983060:CTY983062 DDU983060:DDU983062 DNQ983060:DNQ983062 DXM983060:DXM983062 EHI983060:EHI983062 ERE983060:ERE983062 FBA983060:FBA983062 FKW983060:FKW983062 FUS983060:FUS983062 GEO983060:GEO983062 GOK983060:GOK983062 GYG983060:GYG983062 HIC983060:HIC983062 HRY983060:HRY983062 IBU983060:IBU983062 ILQ983060:ILQ983062 IVM983060:IVM983062 JFI983060:JFI983062 JPE983060:JPE983062 JZA983060:JZA983062 KIW983060:KIW983062 KSS983060:KSS983062 LCO983060:LCO983062 LMK983060:LMK983062 LWG983060:LWG983062 MGC983060:MGC983062 MPY983060:MPY983062 MZU983060:MZU983062 NJQ983060:NJQ983062 NTM983060:NTM983062 ODI983060:ODI983062 ONE983060:ONE983062 OXA983060:OXA983062 PGW983060:PGW983062 PQS983060:PQS983062 QAO983060:QAO983062 QKK983060:QKK983062 QUG983060:QUG983062 REC983060:REC983062 RNY983060:RNY983062 RXU983060:RXU983062 SHQ983060:SHQ983062 SRM983060:SRM983062 TBI983060:TBI983062 TLE983060:TLE983062 TVA983060:TVA983062 UEW983060:UEW983062 UOS983060:UOS983062 UYO983060:UYO983062 VIK983060:VIK983062 VSG983060:VSG983062 WCC983060:WCC983062" xr:uid="{00000000-0002-0000-2B00-000002000000}">
      <formula1>"　,あり,なし"</formula1>
    </dataValidation>
  </dataValidations>
  <pageMargins left="0.7" right="0.7" top="0.75" bottom="0.75" header="0.3" footer="0.3"/>
  <pageSetup paperSize="9" scale="85"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E0A6D-9128-47A8-83A4-6F042800EFC5}">
  <sheetPr>
    <tabColor theme="1"/>
  </sheetPr>
  <dimension ref="A1"/>
  <sheetViews>
    <sheetView workbookViewId="0">
      <selection activeCell="U33" sqref="U33"/>
    </sheetView>
  </sheetViews>
  <sheetFormatPr defaultRowHeight="13.5"/>
  <sheetData/>
  <sheetProtection algorithmName="SHA-512" hashValue="Z84ZZp5D43ellQDW480xiKdHsmQ5tRNq4HPuc1K/N3FzXqSM+6sTEQfe6Q/842wLZvomibgCVgZh2Rss1GZV4A==" saltValue="qyg7myNYHPeHwqZkhjwMQA==" spinCount="100000" sheet="1" objects="1" scenarios="1"/>
  <phoneticPr fontId="60"/>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tabColor theme="6" tint="0.59999389629810485"/>
    <pageSetUpPr fitToPage="1"/>
  </sheetPr>
  <dimension ref="A1:AE63"/>
  <sheetViews>
    <sheetView view="pageBreakPreview" zoomScale="70" zoomScaleNormal="70" zoomScaleSheetLayoutView="70" workbookViewId="0">
      <selection activeCell="E30" sqref="E30"/>
    </sheetView>
  </sheetViews>
  <sheetFormatPr defaultColWidth="8.875" defaultRowHeight="17.25" outlineLevelCol="1"/>
  <cols>
    <col min="1" max="1" width="8.875" style="659"/>
    <col min="2" max="3" width="11.875" style="659" customWidth="1"/>
    <col min="4" max="16" width="15.75" style="659" customWidth="1"/>
    <col min="17" max="17" width="15.875" style="659" customWidth="1"/>
    <col min="18" max="20" width="15.625" style="659" hidden="1" customWidth="1" outlineLevel="1"/>
    <col min="21" max="23" width="8.875" style="659" hidden="1" customWidth="1" outlineLevel="1"/>
    <col min="24" max="24" width="10.25" style="659" hidden="1" customWidth="1" outlineLevel="1"/>
    <col min="25" max="30" width="8.875" style="659" hidden="1" customWidth="1" outlineLevel="1"/>
    <col min="31" max="31" width="8.875" style="659" collapsed="1"/>
    <col min="32" max="16384" width="8.875" style="659"/>
  </cols>
  <sheetData>
    <row r="1" spans="1:30" ht="18" thickBot="1">
      <c r="A1" s="796" t="str">
        <f ca="1">RIGHT(CELL("filename",A4),LEN(CELL("filename",A4))-FIND("]",CELL("filename",A4)))</f>
        <v>入力（加算）事20</v>
      </c>
      <c r="B1" s="658"/>
      <c r="C1" s="658"/>
      <c r="D1" s="658"/>
      <c r="E1" s="658"/>
      <c r="F1" s="658"/>
      <c r="G1" s="658"/>
      <c r="H1" s="658"/>
      <c r="I1" s="658"/>
      <c r="J1" s="658"/>
      <c r="K1" s="658"/>
      <c r="L1" s="658"/>
      <c r="M1" s="658"/>
      <c r="N1" s="1777" t="str">
        <f>CONCATENATE('入力（基本)'!G11)</f>
        <v/>
      </c>
      <c r="O1" s="1777"/>
      <c r="P1" s="1777"/>
      <c r="Q1" s="1777"/>
      <c r="W1" s="663" t="s">
        <v>134</v>
      </c>
      <c r="X1" s="795" t="s">
        <v>184</v>
      </c>
      <c r="Y1" s="662" t="s">
        <v>182</v>
      </c>
      <c r="Z1" s="662" t="s">
        <v>505</v>
      </c>
      <c r="AA1" s="663" t="s">
        <v>521</v>
      </c>
      <c r="AB1" s="663" t="s">
        <v>181</v>
      </c>
      <c r="AC1" s="662" t="s">
        <v>180</v>
      </c>
      <c r="AD1" s="663" t="s">
        <v>527</v>
      </c>
    </row>
    <row r="2" spans="1:30" ht="18.75" customHeight="1" thickBot="1">
      <c r="A2" s="1850" t="s">
        <v>869</v>
      </c>
      <c r="B2" s="1850"/>
      <c r="C2" s="1850"/>
      <c r="D2" s="1850"/>
      <c r="E2" s="1850"/>
      <c r="F2" s="1850"/>
      <c r="G2" s="1850"/>
      <c r="H2" s="1850"/>
      <c r="I2" s="1850"/>
      <c r="J2" s="1850"/>
      <c r="K2" s="1850"/>
      <c r="L2" s="1850"/>
      <c r="M2" s="1850"/>
      <c r="N2" s="1850"/>
      <c r="O2" s="1850"/>
      <c r="P2" s="1850"/>
      <c r="Q2" s="1850"/>
      <c r="W2" s="797"/>
      <c r="X2" s="798">
        <f>IF(ISERROR(VLOOKUP($D$10,$W$3:$X$14,2,FALSE)+1-VLOOKUP($D$9,$W$3:$X$14,2,FALSE)),0,VLOOKUP($D$10,$W$3:$X$14,2,FALSE)+1-VLOOKUP($D$9,$W$3:$X$14,2,FALSE))</f>
        <v>12</v>
      </c>
      <c r="Y2" s="662"/>
      <c r="Z2" s="662"/>
      <c r="AA2" s="663"/>
      <c r="AB2" s="663"/>
      <c r="AC2" s="662"/>
      <c r="AD2" s="875">
        <f>IF($K$30="あり",VLOOKUP($D$8,'事業所内保育事業（20人以上）'!$B$50:$BG$54,58,TRUE),1)</f>
        <v>1</v>
      </c>
    </row>
    <row r="3" spans="1:30" ht="18" customHeight="1">
      <c r="A3" s="1850"/>
      <c r="B3" s="1850"/>
      <c r="C3" s="1850"/>
      <c r="D3" s="1850"/>
      <c r="E3" s="1850"/>
      <c r="F3" s="1850"/>
      <c r="G3" s="1850"/>
      <c r="H3" s="1850"/>
      <c r="I3" s="1850"/>
      <c r="J3" s="1850"/>
      <c r="K3" s="1850"/>
      <c r="L3" s="1850"/>
      <c r="M3" s="1850"/>
      <c r="N3" s="1850"/>
      <c r="O3" s="1850"/>
      <c r="P3" s="1850"/>
      <c r="Q3" s="1850"/>
      <c r="W3" s="660">
        <v>4</v>
      </c>
      <c r="X3" s="661">
        <v>1</v>
      </c>
      <c r="Y3" s="662" t="s">
        <v>18</v>
      </c>
      <c r="Z3" s="173" t="s">
        <v>189</v>
      </c>
      <c r="AA3" s="663" t="s">
        <v>519</v>
      </c>
      <c r="AB3" s="172">
        <v>3</v>
      </c>
      <c r="AC3" s="173">
        <v>6.3</v>
      </c>
    </row>
    <row r="4" spans="1:30">
      <c r="A4" s="658"/>
      <c r="B4" s="658"/>
      <c r="C4" s="658"/>
      <c r="D4" s="658"/>
      <c r="E4" s="658"/>
      <c r="F4" s="658"/>
      <c r="G4" s="658"/>
      <c r="H4" s="658"/>
      <c r="I4" s="658"/>
      <c r="J4" s="658"/>
      <c r="K4" s="658"/>
      <c r="L4" s="658"/>
      <c r="M4" s="658"/>
      <c r="N4" s="658"/>
      <c r="O4" s="658"/>
      <c r="P4" s="658"/>
      <c r="Q4" s="658"/>
      <c r="W4" s="660">
        <v>5</v>
      </c>
      <c r="X4" s="661">
        <v>2</v>
      </c>
      <c r="Y4" s="662" t="s">
        <v>19</v>
      </c>
      <c r="Z4" s="173" t="s">
        <v>507</v>
      </c>
      <c r="AA4" s="663" t="s">
        <v>522</v>
      </c>
      <c r="AB4" s="172">
        <v>4</v>
      </c>
      <c r="AC4" s="173">
        <v>4.3</v>
      </c>
    </row>
    <row r="5" spans="1:30" ht="21">
      <c r="A5" s="658"/>
      <c r="B5" s="1718" t="s">
        <v>829</v>
      </c>
      <c r="C5" s="1718"/>
      <c r="D5" s="1718"/>
      <c r="E5" s="658"/>
      <c r="F5" s="973"/>
      <c r="G5" s="973"/>
      <c r="H5" s="973"/>
      <c r="I5" s="973"/>
      <c r="J5" s="973"/>
      <c r="K5" s="973"/>
      <c r="L5" s="973"/>
      <c r="M5" s="973"/>
      <c r="N5" s="973"/>
      <c r="O5" s="973"/>
      <c r="P5" s="973"/>
      <c r="Q5" s="973"/>
      <c r="W5" s="660">
        <v>6</v>
      </c>
      <c r="X5" s="661">
        <v>3</v>
      </c>
      <c r="Z5" s="175" t="s">
        <v>508</v>
      </c>
      <c r="AA5" s="663" t="s">
        <v>520</v>
      </c>
      <c r="AB5" s="174">
        <v>5</v>
      </c>
      <c r="AC5" s="175">
        <v>2.4</v>
      </c>
    </row>
    <row r="6" spans="1:30" ht="32.25" customHeight="1">
      <c r="A6" s="658"/>
      <c r="B6" s="1849" t="s">
        <v>3</v>
      </c>
      <c r="C6" s="1849"/>
      <c r="D6" s="1534"/>
      <c r="E6" s="1534"/>
      <c r="F6" s="973"/>
      <c r="G6" s="973"/>
      <c r="H6" s="973"/>
      <c r="I6" s="973"/>
      <c r="J6" s="973"/>
      <c r="K6" s="973"/>
      <c r="L6" s="973"/>
      <c r="M6" s="973"/>
      <c r="N6" s="973"/>
      <c r="O6" s="973"/>
      <c r="P6" s="973"/>
      <c r="Q6" s="973"/>
      <c r="W6" s="660">
        <v>7</v>
      </c>
      <c r="X6" s="661">
        <v>4</v>
      </c>
      <c r="Z6" s="175" t="s">
        <v>509</v>
      </c>
      <c r="AB6" s="172">
        <v>6</v>
      </c>
      <c r="AC6" s="173">
        <v>1.1000000000000001</v>
      </c>
    </row>
    <row r="7" spans="1:30" ht="32.25" customHeight="1">
      <c r="A7" s="658"/>
      <c r="B7" s="1849" t="s">
        <v>4</v>
      </c>
      <c r="C7" s="1849"/>
      <c r="D7" s="1534" t="s">
        <v>111</v>
      </c>
      <c r="E7" s="1534"/>
      <c r="F7" s="973"/>
      <c r="G7" s="973"/>
      <c r="H7" s="973"/>
      <c r="I7" s="973"/>
      <c r="J7" s="973"/>
      <c r="K7" s="973"/>
      <c r="L7" s="973"/>
      <c r="M7" s="973"/>
      <c r="N7" s="973"/>
      <c r="O7" s="973"/>
      <c r="P7" s="973"/>
      <c r="Q7" s="973"/>
      <c r="W7" s="660">
        <v>8</v>
      </c>
      <c r="X7" s="661">
        <v>5</v>
      </c>
      <c r="Z7" s="175" t="s">
        <v>510</v>
      </c>
    </row>
    <row r="8" spans="1:30" ht="32.25" customHeight="1">
      <c r="A8" s="658"/>
      <c r="B8" s="1141" t="s">
        <v>2</v>
      </c>
      <c r="C8" s="1141" t="s">
        <v>88</v>
      </c>
      <c r="D8" s="1594">
        <f>'入力（基本)'!G14</f>
        <v>0</v>
      </c>
      <c r="E8" s="1594"/>
      <c r="F8" s="973"/>
      <c r="G8" s="973"/>
      <c r="H8" s="973"/>
      <c r="I8" s="973"/>
      <c r="J8" s="973"/>
      <c r="K8" s="973"/>
      <c r="L8" s="973"/>
      <c r="M8" s="973"/>
      <c r="N8" s="973"/>
      <c r="O8" s="973"/>
      <c r="P8" s="973"/>
      <c r="Q8" s="973"/>
      <c r="W8" s="660">
        <v>9</v>
      </c>
      <c r="X8" s="661">
        <v>6</v>
      </c>
    </row>
    <row r="9" spans="1:30" ht="32.25" customHeight="1">
      <c r="A9" s="658"/>
      <c r="B9" s="1849" t="s">
        <v>134</v>
      </c>
      <c r="C9" s="1849"/>
      <c r="D9" s="1836">
        <v>4</v>
      </c>
      <c r="E9" s="1836"/>
      <c r="F9" s="973"/>
      <c r="G9" s="973"/>
      <c r="H9" s="973"/>
      <c r="I9" s="973"/>
      <c r="J9" s="973"/>
      <c r="K9" s="973"/>
      <c r="L9" s="973"/>
      <c r="M9" s="973"/>
      <c r="N9" s="973"/>
      <c r="O9" s="973"/>
      <c r="P9" s="973"/>
      <c r="Q9" s="973"/>
      <c r="W9" s="660">
        <v>10</v>
      </c>
      <c r="X9" s="661">
        <v>7</v>
      </c>
    </row>
    <row r="10" spans="1:30" ht="32.25" customHeight="1">
      <c r="A10" s="658"/>
      <c r="B10" s="1849" t="s">
        <v>223</v>
      </c>
      <c r="C10" s="1849"/>
      <c r="D10" s="1836">
        <v>3</v>
      </c>
      <c r="E10" s="1836"/>
      <c r="F10" s="973"/>
      <c r="G10" s="973"/>
      <c r="H10" s="973"/>
      <c r="I10" s="973"/>
      <c r="J10" s="973"/>
      <c r="K10" s="973"/>
      <c r="L10" s="973"/>
      <c r="M10" s="973"/>
      <c r="N10" s="973"/>
      <c r="O10" s="973"/>
      <c r="P10" s="973"/>
      <c r="Q10" s="973"/>
      <c r="W10" s="660">
        <v>11</v>
      </c>
      <c r="X10" s="661">
        <v>8</v>
      </c>
    </row>
    <row r="11" spans="1:30">
      <c r="A11" s="658"/>
      <c r="B11" s="658"/>
      <c r="C11" s="658"/>
      <c r="D11" s="658"/>
      <c r="E11" s="658"/>
      <c r="F11" s="973"/>
      <c r="G11" s="973"/>
      <c r="H11" s="973"/>
      <c r="I11" s="973"/>
      <c r="J11" s="973"/>
      <c r="K11" s="973"/>
      <c r="L11" s="973"/>
      <c r="M11" s="973"/>
      <c r="N11" s="973"/>
      <c r="O11" s="973"/>
      <c r="P11" s="973"/>
      <c r="Q11" s="973"/>
      <c r="W11" s="660">
        <v>12</v>
      </c>
      <c r="X11" s="661">
        <v>9</v>
      </c>
    </row>
    <row r="12" spans="1:30" hidden="1">
      <c r="A12" s="658"/>
      <c r="B12" s="658"/>
      <c r="C12" s="658"/>
      <c r="D12" s="658"/>
      <c r="E12" s="658"/>
      <c r="F12" s="973"/>
      <c r="G12" s="973"/>
      <c r="H12" s="973"/>
      <c r="I12" s="973"/>
      <c r="J12" s="973"/>
      <c r="K12" s="973"/>
      <c r="L12" s="973"/>
      <c r="M12" s="973"/>
      <c r="N12" s="973"/>
      <c r="O12" s="973"/>
      <c r="P12" s="973"/>
      <c r="Q12" s="973"/>
      <c r="W12" s="660">
        <v>1</v>
      </c>
      <c r="X12" s="661">
        <v>10</v>
      </c>
    </row>
    <row r="13" spans="1:30" hidden="1">
      <c r="A13" s="658"/>
      <c r="B13" s="658"/>
      <c r="C13" s="658"/>
      <c r="D13" s="658"/>
      <c r="E13" s="658"/>
      <c r="F13" s="973"/>
      <c r="G13" s="973"/>
      <c r="H13" s="973"/>
      <c r="I13" s="973"/>
      <c r="J13" s="973"/>
      <c r="K13" s="973"/>
      <c r="L13" s="973"/>
      <c r="M13" s="973"/>
      <c r="N13" s="973"/>
      <c r="O13" s="973"/>
      <c r="P13" s="973"/>
      <c r="Q13" s="973"/>
      <c r="W13" s="660">
        <v>2</v>
      </c>
      <c r="X13" s="661">
        <v>11</v>
      </c>
    </row>
    <row r="14" spans="1:30" hidden="1">
      <c r="A14" s="658"/>
      <c r="B14" s="658"/>
      <c r="C14" s="658"/>
      <c r="D14" s="658"/>
      <c r="E14" s="658"/>
      <c r="F14" s="973"/>
      <c r="G14" s="973"/>
      <c r="H14" s="973"/>
      <c r="I14" s="973"/>
      <c r="J14" s="973"/>
      <c r="K14" s="973"/>
      <c r="L14" s="973"/>
      <c r="M14" s="973"/>
      <c r="N14" s="973"/>
      <c r="O14" s="973"/>
      <c r="P14" s="973"/>
      <c r="Q14" s="973"/>
      <c r="W14" s="660">
        <v>3</v>
      </c>
      <c r="X14" s="661">
        <v>12</v>
      </c>
    </row>
    <row r="15" spans="1:30">
      <c r="A15" s="658"/>
      <c r="B15" s="658"/>
      <c r="C15" s="658"/>
      <c r="D15" s="658"/>
      <c r="E15" s="658"/>
      <c r="F15" s="973"/>
      <c r="G15" s="973"/>
      <c r="H15" s="973"/>
      <c r="I15" s="973"/>
      <c r="J15" s="973"/>
      <c r="K15" s="973"/>
      <c r="L15" s="973"/>
      <c r="M15" s="973"/>
      <c r="N15" s="973"/>
      <c r="O15" s="973"/>
      <c r="P15" s="973"/>
      <c r="Q15" s="973"/>
    </row>
    <row r="16" spans="1:30" ht="21">
      <c r="A16" s="658"/>
      <c r="B16" s="877" t="s">
        <v>773</v>
      </c>
      <c r="C16" s="877"/>
      <c r="D16" s="877"/>
      <c r="E16" s="877"/>
      <c r="F16" s="916"/>
      <c r="G16" s="375"/>
      <c r="H16" s="375"/>
      <c r="I16" s="375"/>
      <c r="J16" s="375"/>
      <c r="K16" s="375"/>
      <c r="L16" s="375"/>
      <c r="M16" s="375"/>
      <c r="N16" s="375"/>
      <c r="O16" s="375"/>
      <c r="P16" s="658"/>
      <c r="Q16" s="658"/>
    </row>
    <row r="17" spans="1:24">
      <c r="A17" s="658"/>
      <c r="B17" s="1857" t="s">
        <v>99</v>
      </c>
      <c r="C17" s="1858"/>
      <c r="D17" s="715" t="str">
        <f>IF(AND(VLOOKUP($D$9,$W$3:$X$14,2,FALSE)&lt;=1,VLOOKUP($D$10,$W$3:$X$14,2,FALSE)&gt;=1),"4月","")</f>
        <v>4月</v>
      </c>
      <c r="E17" s="715" t="str">
        <f>IF(AND(VLOOKUP($D$9,$W$3:$X$14,2,FALSE)&lt;=2,VLOOKUP($D$10,$W$3:$X$14,2,FALSE)&gt;=2),"5月","")</f>
        <v>5月</v>
      </c>
      <c r="F17" s="715" t="str">
        <f>IF(AND(VLOOKUP($D$9,$W$3:$X$14,2,FALSE)&lt;=3,VLOOKUP($D$10,$W$3:$X$14,2,FALSE)&gt;=3),"6月","")</f>
        <v>6月</v>
      </c>
      <c r="G17" s="715" t="str">
        <f>IF(AND(VLOOKUP($D$9,$W$3:$X$14,2,FALSE)&lt;=4,VLOOKUP($D$10,$W$3:$X$14,2,FALSE)&gt;=4),"7月","")</f>
        <v>7月</v>
      </c>
      <c r="H17" s="715" t="str">
        <f>IF(AND(VLOOKUP($D$9,$W$3:$X$14,2,FALSE)&lt;=5,VLOOKUP($D$10,$W$3:$X$14,2,FALSE)&gt;=5),"8月","")</f>
        <v>8月</v>
      </c>
      <c r="I17" s="715" t="str">
        <f>IF(AND(VLOOKUP($D$9,$W$3:$X$14,2,FALSE)&lt;=6,VLOOKUP($D$10,$W$3:$X$14,2,FALSE)&gt;=6),"9月","")</f>
        <v>9月</v>
      </c>
      <c r="J17" s="715" t="str">
        <f>IF(AND(VLOOKUP($D$9,$W$3:$X$14,2,FALSE)&lt;=7,VLOOKUP($D$10,$W$3:$X$14,2,FALSE)&gt;=7),"10月","")</f>
        <v>10月</v>
      </c>
      <c r="K17" s="715" t="str">
        <f>IF(AND(VLOOKUP($D$9,$W$3:$X$14,2,FALSE)&lt;=8,VLOOKUP($D$10,$W$3:$X$14,2,FALSE)&gt;=8),"11月","")</f>
        <v>11月</v>
      </c>
      <c r="L17" s="715" t="str">
        <f>IF(AND(VLOOKUP($D$9,$W$3:$X$14,2,FALSE)&lt;=9,VLOOKUP($D$10,$W$3:$X$14,2,FALSE)&gt;=9),"12月","")</f>
        <v>12月</v>
      </c>
      <c r="M17" s="715" t="str">
        <f>IF(AND(VLOOKUP($D$9,$W$3:$X$14,2,FALSE)&lt;=10,VLOOKUP($D$10,$W$3:$X$14,2,FALSE)&gt;=10),"1月","")</f>
        <v>1月</v>
      </c>
      <c r="N17" s="715" t="str">
        <f>IF(AND(VLOOKUP($D$9,$W$3:$X$14,2,FALSE)&lt;=11,VLOOKUP($D$10,$W$3:$X$14,2,FALSE)&gt;=11),"2月","")</f>
        <v>2月</v>
      </c>
      <c r="O17" s="715" t="str">
        <f>IF(AND(VLOOKUP($D$9,$W$3:$X$14,2,FALSE)&lt;=12,VLOOKUP($D$10,$W$3:$X$14,2,FALSE)&gt;=12),"3月","")</f>
        <v>3月</v>
      </c>
      <c r="P17" s="715" t="s">
        <v>118</v>
      </c>
      <c r="Q17" s="715" t="s">
        <v>1</v>
      </c>
    </row>
    <row r="18" spans="1:24">
      <c r="A18" s="658"/>
      <c r="B18" s="1717" t="s">
        <v>107</v>
      </c>
      <c r="C18" s="1852"/>
      <c r="D18" s="879"/>
      <c r="E18" s="879"/>
      <c r="F18" s="879"/>
      <c r="G18" s="879"/>
      <c r="H18" s="879"/>
      <c r="I18" s="879"/>
      <c r="J18" s="879"/>
      <c r="K18" s="879"/>
      <c r="L18" s="879"/>
      <c r="M18" s="879"/>
      <c r="N18" s="879"/>
      <c r="O18" s="879"/>
      <c r="P18" s="817">
        <f>SUM(D18:O18)</f>
        <v>0</v>
      </c>
      <c r="Q18" s="817">
        <f>IF(ISERROR(ROUND(P18/$X$2,0)),0,ROUND(P18/$X$2,0))</f>
        <v>0</v>
      </c>
    </row>
    <row r="19" spans="1:24">
      <c r="A19" s="658"/>
      <c r="B19" s="1534" t="s">
        <v>106</v>
      </c>
      <c r="C19" s="1534"/>
      <c r="D19" s="879"/>
      <c r="E19" s="879"/>
      <c r="F19" s="879"/>
      <c r="G19" s="879"/>
      <c r="H19" s="879"/>
      <c r="I19" s="879"/>
      <c r="J19" s="879"/>
      <c r="K19" s="879"/>
      <c r="L19" s="879"/>
      <c r="M19" s="879"/>
      <c r="N19" s="879"/>
      <c r="O19" s="879"/>
      <c r="P19" s="817">
        <f>SUM(D19:O19)</f>
        <v>0</v>
      </c>
      <c r="Q19" s="817">
        <f>IF(ISERROR(ROUND(P19/$X$2,0)),0,ROUND(P19/$X$2,0))</f>
        <v>0</v>
      </c>
    </row>
    <row r="20" spans="1:24">
      <c r="A20" s="658"/>
      <c r="B20" s="1534" t="s">
        <v>0</v>
      </c>
      <c r="C20" s="1534"/>
      <c r="D20" s="817">
        <f t="shared" ref="D20:O20" si="0">SUM(D18:D19)</f>
        <v>0</v>
      </c>
      <c r="E20" s="817">
        <f t="shared" si="0"/>
        <v>0</v>
      </c>
      <c r="F20" s="817">
        <f t="shared" si="0"/>
        <v>0</v>
      </c>
      <c r="G20" s="817">
        <f t="shared" si="0"/>
        <v>0</v>
      </c>
      <c r="H20" s="817">
        <f t="shared" si="0"/>
        <v>0</v>
      </c>
      <c r="I20" s="817">
        <f t="shared" si="0"/>
        <v>0</v>
      </c>
      <c r="J20" s="817">
        <f t="shared" si="0"/>
        <v>0</v>
      </c>
      <c r="K20" s="817">
        <f t="shared" si="0"/>
        <v>0</v>
      </c>
      <c r="L20" s="817">
        <f t="shared" si="0"/>
        <v>0</v>
      </c>
      <c r="M20" s="817">
        <f t="shared" si="0"/>
        <v>0</v>
      </c>
      <c r="N20" s="817">
        <f t="shared" si="0"/>
        <v>0</v>
      </c>
      <c r="O20" s="817">
        <f t="shared" si="0"/>
        <v>0</v>
      </c>
      <c r="P20" s="817">
        <f>SUM(D20:O20)</f>
        <v>0</v>
      </c>
      <c r="Q20" s="817">
        <f>SUM(Q18:Q19)</f>
        <v>0</v>
      </c>
    </row>
    <row r="21" spans="1:24">
      <c r="A21" s="658"/>
      <c r="B21" s="1869"/>
      <c r="C21" s="1869"/>
      <c r="D21" s="658"/>
      <c r="E21" s="658"/>
      <c r="F21" s="658"/>
      <c r="G21" s="658"/>
      <c r="H21" s="658"/>
      <c r="I21" s="658"/>
      <c r="J21" s="658"/>
      <c r="K21" s="658"/>
      <c r="L21" s="658"/>
      <c r="M21" s="658"/>
      <c r="N21" s="658"/>
      <c r="O21" s="658"/>
      <c r="P21" s="658"/>
      <c r="Q21" s="658"/>
    </row>
    <row r="22" spans="1:24">
      <c r="A22" s="658"/>
      <c r="B22" s="1857" t="s">
        <v>100</v>
      </c>
      <c r="C22" s="1858"/>
      <c r="D22" s="715" t="str">
        <f t="shared" ref="D22:O22" si="1">D17</f>
        <v>4月</v>
      </c>
      <c r="E22" s="715" t="str">
        <f t="shared" si="1"/>
        <v>5月</v>
      </c>
      <c r="F22" s="715" t="str">
        <f t="shared" si="1"/>
        <v>6月</v>
      </c>
      <c r="G22" s="715" t="str">
        <f t="shared" si="1"/>
        <v>7月</v>
      </c>
      <c r="H22" s="715" t="str">
        <f t="shared" si="1"/>
        <v>8月</v>
      </c>
      <c r="I22" s="715" t="str">
        <f t="shared" si="1"/>
        <v>9月</v>
      </c>
      <c r="J22" s="715" t="str">
        <f t="shared" si="1"/>
        <v>10月</v>
      </c>
      <c r="K22" s="715" t="str">
        <f t="shared" si="1"/>
        <v>11月</v>
      </c>
      <c r="L22" s="715" t="str">
        <f t="shared" si="1"/>
        <v>12月</v>
      </c>
      <c r="M22" s="715" t="str">
        <f t="shared" si="1"/>
        <v>1月</v>
      </c>
      <c r="N22" s="715" t="str">
        <f t="shared" si="1"/>
        <v>2月</v>
      </c>
      <c r="O22" s="715" t="str">
        <f t="shared" si="1"/>
        <v>3月</v>
      </c>
      <c r="P22" s="715" t="s">
        <v>118</v>
      </c>
      <c r="Q22" s="715" t="s">
        <v>1</v>
      </c>
    </row>
    <row r="23" spans="1:24">
      <c r="A23" s="658"/>
      <c r="B23" s="1717" t="s">
        <v>107</v>
      </c>
      <c r="C23" s="1852"/>
      <c r="D23" s="879"/>
      <c r="E23" s="879"/>
      <c r="F23" s="879"/>
      <c r="G23" s="879"/>
      <c r="H23" s="879"/>
      <c r="I23" s="879"/>
      <c r="J23" s="879"/>
      <c r="K23" s="879"/>
      <c r="L23" s="879"/>
      <c r="M23" s="879"/>
      <c r="N23" s="879"/>
      <c r="O23" s="879"/>
      <c r="P23" s="817">
        <f>SUM(D23:O23)</f>
        <v>0</v>
      </c>
      <c r="Q23" s="817">
        <f>IF(ISERROR(ROUND(P23/$X$2,0)),0,ROUND(P23/$X$2,0))</f>
        <v>0</v>
      </c>
    </row>
    <row r="24" spans="1:24">
      <c r="A24" s="658"/>
      <c r="B24" s="1534" t="s">
        <v>106</v>
      </c>
      <c r="C24" s="1534"/>
      <c r="D24" s="879"/>
      <c r="E24" s="879"/>
      <c r="F24" s="879"/>
      <c r="G24" s="879"/>
      <c r="H24" s="879"/>
      <c r="I24" s="879"/>
      <c r="J24" s="879"/>
      <c r="K24" s="879"/>
      <c r="L24" s="879"/>
      <c r="M24" s="879"/>
      <c r="N24" s="879"/>
      <c r="O24" s="879"/>
      <c r="P24" s="817">
        <f>SUM(D24:O24)</f>
        <v>0</v>
      </c>
      <c r="Q24" s="817">
        <f>IF(ISERROR(ROUND(P24/$X$2,0)),0,ROUND(P24/$X$2,0))</f>
        <v>0</v>
      </c>
    </row>
    <row r="25" spans="1:24">
      <c r="A25" s="658"/>
      <c r="B25" s="1534" t="s">
        <v>0</v>
      </c>
      <c r="C25" s="1534"/>
      <c r="D25" s="817">
        <f t="shared" ref="D25:O25" si="2">SUM(D23:D24)</f>
        <v>0</v>
      </c>
      <c r="E25" s="817">
        <f t="shared" si="2"/>
        <v>0</v>
      </c>
      <c r="F25" s="817">
        <f t="shared" si="2"/>
        <v>0</v>
      </c>
      <c r="G25" s="817">
        <f t="shared" si="2"/>
        <v>0</v>
      </c>
      <c r="H25" s="817">
        <f t="shared" si="2"/>
        <v>0</v>
      </c>
      <c r="I25" s="817">
        <f t="shared" si="2"/>
        <v>0</v>
      </c>
      <c r="J25" s="817">
        <f t="shared" si="2"/>
        <v>0</v>
      </c>
      <c r="K25" s="817">
        <f t="shared" si="2"/>
        <v>0</v>
      </c>
      <c r="L25" s="817">
        <f t="shared" si="2"/>
        <v>0</v>
      </c>
      <c r="M25" s="817">
        <f t="shared" si="2"/>
        <v>0</v>
      </c>
      <c r="N25" s="817">
        <f t="shared" si="2"/>
        <v>0</v>
      </c>
      <c r="O25" s="817">
        <f t="shared" si="2"/>
        <v>0</v>
      </c>
      <c r="P25" s="817">
        <f>SUM(D25:O25)</f>
        <v>0</v>
      </c>
      <c r="Q25" s="817">
        <f>SUM(Q23:Q24)</f>
        <v>0</v>
      </c>
    </row>
    <row r="26" spans="1:24">
      <c r="A26" s="658"/>
      <c r="B26" s="858"/>
      <c r="C26" s="858"/>
      <c r="D26" s="858"/>
      <c r="E26" s="858"/>
      <c r="F26" s="858"/>
      <c r="G26" s="858"/>
      <c r="H26" s="858"/>
      <c r="I26" s="858"/>
      <c r="J26" s="858"/>
      <c r="K26" s="858"/>
      <c r="L26" s="858"/>
      <c r="M26" s="858"/>
      <c r="N26" s="880"/>
      <c r="O26" s="375"/>
      <c r="P26" s="658"/>
      <c r="Q26" s="658"/>
    </row>
    <row r="27" spans="1:24">
      <c r="A27" s="658"/>
      <c r="B27" s="403"/>
      <c r="C27" s="403"/>
      <c r="D27" s="403"/>
      <c r="E27" s="403"/>
      <c r="F27" s="403"/>
      <c r="G27" s="403"/>
      <c r="H27" s="403"/>
      <c r="I27" s="403"/>
      <c r="J27" s="403"/>
      <c r="K27" s="403"/>
      <c r="L27" s="403"/>
      <c r="M27" s="403"/>
      <c r="N27" s="375"/>
      <c r="O27" s="375"/>
      <c r="P27" s="375"/>
      <c r="Q27" s="811"/>
    </row>
    <row r="28" spans="1:24" ht="21">
      <c r="A28" s="658"/>
      <c r="B28" s="1734" t="s">
        <v>121</v>
      </c>
      <c r="C28" s="1734"/>
      <c r="D28" s="404" t="s">
        <v>538</v>
      </c>
      <c r="E28" s="405"/>
      <c r="F28" s="405"/>
      <c r="G28" s="405"/>
      <c r="H28" s="404" t="s">
        <v>228</v>
      </c>
      <c r="I28" s="405"/>
      <c r="J28" s="406"/>
      <c r="K28" s="407" t="s">
        <v>229</v>
      </c>
      <c r="L28" s="726" t="s">
        <v>230</v>
      </c>
      <c r="M28" s="375"/>
      <c r="N28" s="375"/>
      <c r="O28" s="375"/>
      <c r="P28" s="375"/>
      <c r="Q28" s="658"/>
    </row>
    <row r="29" spans="1:24" ht="118.5" customHeight="1">
      <c r="A29" s="658"/>
      <c r="B29" s="1534" t="s">
        <v>103</v>
      </c>
      <c r="C29" s="1534"/>
      <c r="D29" s="188" t="s">
        <v>9</v>
      </c>
      <c r="E29" s="188" t="s">
        <v>530</v>
      </c>
      <c r="F29" s="963" t="s">
        <v>131</v>
      </c>
      <c r="G29" s="188" t="s">
        <v>94</v>
      </c>
      <c r="H29" s="188" t="s">
        <v>105</v>
      </c>
      <c r="I29" s="235" t="s">
        <v>550</v>
      </c>
      <c r="J29" s="188" t="s">
        <v>96</v>
      </c>
      <c r="K29" s="188" t="s">
        <v>518</v>
      </c>
      <c r="L29" s="402" t="s">
        <v>511</v>
      </c>
      <c r="M29" s="229"/>
      <c r="N29" s="724"/>
      <c r="O29" s="403"/>
      <c r="P29" s="403"/>
      <c r="Q29" s="658"/>
      <c r="S29" s="843"/>
      <c r="T29" s="843"/>
      <c r="U29" s="843"/>
    </row>
    <row r="30" spans="1:24">
      <c r="A30" s="658"/>
      <c r="B30" s="1534"/>
      <c r="C30" s="1534"/>
      <c r="D30" s="715" t="s">
        <v>119</v>
      </c>
      <c r="E30" s="185"/>
      <c r="F30" s="655"/>
      <c r="G30" s="656"/>
      <c r="H30" s="185"/>
      <c r="I30" s="185"/>
      <c r="J30" s="185"/>
      <c r="K30" s="185"/>
      <c r="L30" s="185"/>
      <c r="M30" s="375"/>
      <c r="N30" s="403"/>
      <c r="O30" s="403"/>
      <c r="P30" s="403"/>
      <c r="Q30" s="658"/>
      <c r="R30" s="658"/>
      <c r="S30" s="843"/>
      <c r="T30" s="843"/>
      <c r="U30" s="843"/>
    </row>
    <row r="31" spans="1:24" ht="27.75" customHeight="1">
      <c r="A31" s="658"/>
      <c r="B31" s="403"/>
      <c r="C31" s="403"/>
      <c r="D31" s="403"/>
      <c r="E31" s="403"/>
      <c r="F31" s="403"/>
      <c r="G31" s="403"/>
      <c r="H31" s="403"/>
      <c r="I31" s="403"/>
      <c r="J31" s="403"/>
      <c r="K31" s="403"/>
      <c r="L31" s="403"/>
      <c r="M31" s="403"/>
      <c r="N31" s="403"/>
      <c r="O31" s="403"/>
      <c r="P31" s="658"/>
      <c r="Q31" s="658"/>
      <c r="R31" s="658"/>
      <c r="S31" s="815"/>
      <c r="T31" s="815"/>
      <c r="U31" s="928"/>
      <c r="W31" s="843"/>
      <c r="X31" s="843"/>
    </row>
    <row r="32" spans="1:24" ht="21.75" hidden="1" thickBot="1">
      <c r="A32" s="658"/>
      <c r="B32" s="1718" t="s">
        <v>129</v>
      </c>
      <c r="C32" s="1718"/>
      <c r="D32" s="917" t="s">
        <v>130</v>
      </c>
      <c r="E32" s="918"/>
      <c r="F32" s="918"/>
      <c r="G32" s="918"/>
      <c r="H32" s="918"/>
      <c r="I32" s="918"/>
      <c r="J32" s="918"/>
      <c r="K32" s="919"/>
      <c r="L32" s="918"/>
      <c r="M32" s="919"/>
      <c r="N32" s="658"/>
      <c r="O32" s="658"/>
      <c r="P32" s="658"/>
      <c r="Q32" s="658"/>
      <c r="R32" s="184"/>
      <c r="S32" s="375"/>
      <c r="T32" s="375"/>
      <c r="U32" s="843"/>
      <c r="W32" s="869"/>
      <c r="X32" s="869"/>
    </row>
    <row r="33" spans="1:24" ht="59.25" hidden="1" customHeight="1">
      <c r="A33" s="658"/>
      <c r="B33" s="1780" t="s">
        <v>101</v>
      </c>
      <c r="C33" s="1829"/>
      <c r="D33" s="1853" t="s">
        <v>9</v>
      </c>
      <c r="E33" s="1853" t="s">
        <v>104</v>
      </c>
      <c r="F33" s="1853" t="s">
        <v>93</v>
      </c>
      <c r="G33" s="1853" t="s">
        <v>94</v>
      </c>
      <c r="H33" s="1853" t="s">
        <v>105</v>
      </c>
      <c r="I33" s="1853" t="s">
        <v>550</v>
      </c>
      <c r="J33" s="1864" t="s">
        <v>433</v>
      </c>
      <c r="K33" s="257" t="s">
        <v>526</v>
      </c>
      <c r="L33" s="1870" t="s">
        <v>511</v>
      </c>
      <c r="M33" s="1854" t="s">
        <v>126</v>
      </c>
      <c r="N33" s="658"/>
      <c r="O33" s="658"/>
      <c r="P33" s="658"/>
      <c r="Q33" s="658"/>
      <c r="R33" s="844"/>
      <c r="S33" s="375"/>
      <c r="T33" s="375"/>
      <c r="U33" s="843"/>
      <c r="W33" s="869"/>
      <c r="X33" s="869"/>
    </row>
    <row r="34" spans="1:24" ht="59.25" hidden="1" customHeight="1">
      <c r="A34" s="658"/>
      <c r="B34" s="1782"/>
      <c r="C34" s="1830"/>
      <c r="D34" s="1832"/>
      <c r="E34" s="1832"/>
      <c r="F34" s="1832"/>
      <c r="G34" s="1832"/>
      <c r="H34" s="1832"/>
      <c r="I34" s="1832"/>
      <c r="J34" s="1862"/>
      <c r="K34" s="255" t="str">
        <f>IF($AD$2=1,"",CONCATENATE("（乗除調整",TEXT($AD$2,"##/100"),")"))</f>
        <v/>
      </c>
      <c r="L34" s="1843"/>
      <c r="M34" s="1855"/>
      <c r="N34" s="658"/>
      <c r="O34" s="658"/>
      <c r="P34" s="658"/>
      <c r="Q34" s="658"/>
      <c r="R34" s="375"/>
      <c r="S34" s="822"/>
      <c r="T34" s="845"/>
      <c r="U34" s="843"/>
      <c r="W34" s="869"/>
      <c r="X34" s="869"/>
    </row>
    <row r="35" spans="1:24" hidden="1">
      <c r="A35" s="658"/>
      <c r="B35" s="1534" t="s">
        <v>90</v>
      </c>
      <c r="C35" s="1717"/>
      <c r="D35" s="817" t="e">
        <f>IF($D$30="あり",VLOOKUP($D$8,'事業所内保育事業（20人以上）'!$B$56:$BG$60,12,TRUE),0)</f>
        <v>#N/A</v>
      </c>
      <c r="E35" s="821"/>
      <c r="F35" s="817">
        <f>IF(ISERROR('事業所内保育事業（20人以上）'!$A$63),0,'事業所内保育事業（20人以上）'!$A$63)</f>
        <v>0</v>
      </c>
      <c r="G35" s="817">
        <f>IF($G$30="あり",VLOOKUP($D$8,'事業所内保育事業（20人以上）'!$B$50:$BG$54,36,TRUE),0)</f>
        <v>0</v>
      </c>
      <c r="H35" s="817">
        <f>IF(H$30="あり",IF(ISERROR(-ROUNDDOWN(SUM($D35,$G35)*VLOOKUP($D$8,'事業所内保育事業（20人以上）'!$B$50:$BG$54,47,TRUE),-1)),0,-ROUNDDOWN(SUM($D35,$G35)*VLOOKUP($D$8,'事業所内保育事業（20人以上）'!$B$50:$BG$54,47,TRUE),-1)),0)</f>
        <v>0</v>
      </c>
      <c r="I35" s="817">
        <f>IF($I$30="あり",-VLOOKUP($D$8,'事業所内保育事業（20人以上）'!$B$50:$BG$54,51,TRUE),0)</f>
        <v>0</v>
      </c>
      <c r="J35" s="817">
        <f>-IFERROR(IF(ROUNDDOWN(SUM($D35,$E35,$G35)*VLOOKUP($J$30,'事業所内保育事業（20人以上）'!$B$77:$C$81,2,FALSE),-1)&lt;10,ROUNDDOWN(SUM($D35,$E35,$G35)*VLOOKUP($J$30,'事業所内保育事業（20人以上）'!$B$77:$C$81,2,FALSE),0),ROUNDDOWN(SUM($D35,$E35,$G35)*VLOOKUP($J$30,'事業所内保育事業（20人以上）'!$B$77:$C$81,2,FALSE),-1)),0)</f>
        <v>0</v>
      </c>
      <c r="K35" s="857" t="e">
        <f>IF($AD$2=1,SUM($D35:$J35),(IF(ROUNDDOWN(SUM($D35:$J35)*$AD$2,-1)&lt;10,ROUNDDOWN(SUM($D35:$J35)*$AD$2,0),(ROUNDDOWN(SUM($D35:$J35)*$AD$2,-1)))))</f>
        <v>#N/A</v>
      </c>
      <c r="L35" s="899">
        <f>IF(L$30="配置",IF(ROUNDDOWN(事業所20②!$K$21/$I$62,-1)&lt;10,ROUNDDOWN(事業所20②!$K$21/$I$62,0),ROUNDDOWN(事業所20②!$K$21/$I$62,-1)),IF(L$30="兼務",IF(ROUNDDOWN(事業所20②!$K$24/$I$62,-1)&lt;10,ROUNDDOWN(事業所20②!$K$24/$I$62,0),ROUNDDOWN(事業所20②!$K$24/$I$62,-1)),0))</f>
        <v>0</v>
      </c>
      <c r="M35" s="826">
        <f>IF(ISERROR(SUM(K35:L35)),0,SUM(K35:L35))</f>
        <v>0</v>
      </c>
      <c r="N35" s="658"/>
      <c r="O35" s="658"/>
      <c r="P35" s="658"/>
      <c r="Q35" s="658"/>
      <c r="R35" s="375"/>
      <c r="S35" s="822"/>
      <c r="T35" s="184"/>
      <c r="U35" s="843"/>
      <c r="W35" s="869"/>
      <c r="X35" s="869"/>
    </row>
    <row r="36" spans="1:24" hidden="1">
      <c r="A36" s="658"/>
      <c r="B36" s="1534" t="s">
        <v>89</v>
      </c>
      <c r="C36" s="1717"/>
      <c r="D36" s="817" t="e">
        <f>IF($D$30="あり",VLOOKUP($D$8,'事業所内保育事業（20人以上）'!$B$50:$BG$54,12,TRUE),0)</f>
        <v>#N/A</v>
      </c>
      <c r="E36" s="821"/>
      <c r="F36" s="817">
        <f t="shared" ref="F36:G38" si="3">F35</f>
        <v>0</v>
      </c>
      <c r="G36" s="817">
        <f t="shared" si="3"/>
        <v>0</v>
      </c>
      <c r="H36" s="817">
        <f>IF(H$30="あり",IF(ISERROR(-ROUNDDOWN(SUM($D36,$G36)*VLOOKUP($D$8,'事業所内保育事業（20人以上）'!$B$50:$BG$54,47,TRUE),-1)),0,-ROUNDDOWN(SUM($D36,$G36)*VLOOKUP($D$8,'事業所内保育事業（20人以上）'!$B$50:$BG$54,47,TRUE),-1)),0)</f>
        <v>0</v>
      </c>
      <c r="I36" s="817">
        <f>I35</f>
        <v>0</v>
      </c>
      <c r="J36" s="817">
        <f>-IFERROR(IF(ROUNDDOWN(SUM($D36,$E36,$G36)*VLOOKUP($J$30,'事業所内保育事業（20人以上）'!$B$77:$C$81,2,FALSE),-1)&lt;10,ROUNDDOWN(SUM($D36,$E36,$G36)*VLOOKUP($J$30,'事業所内保育事業（20人以上）'!$B$77:$C$81,2,FALSE),0),ROUNDDOWN(SUM($D36,$E36,$G36)*VLOOKUP($J$30,'事業所内保育事業（20人以上）'!$B$77:$C$81,2,FALSE),-1)),0)</f>
        <v>0</v>
      </c>
      <c r="K36" s="857" t="e">
        <f>IF($AD$2=1,SUM($D36:$J36),(IF(ROUNDDOWN(SUM($D36:$J36)*$AD$2,-1)&lt;10,ROUNDDOWN(SUM($D36:$J36)*$AD$2,0),(ROUNDDOWN(SUM($D36:$J36)*$AD$2,-1)))))</f>
        <v>#N/A</v>
      </c>
      <c r="L36" s="899">
        <f>L35</f>
        <v>0</v>
      </c>
      <c r="M36" s="826">
        <f>IF(ISERROR(SUM(K36:L36)),0,SUM(K36:L36))</f>
        <v>0</v>
      </c>
      <c r="N36" s="658"/>
      <c r="O36" s="658"/>
      <c r="P36" s="658"/>
      <c r="Q36" s="658"/>
      <c r="R36" s="375"/>
      <c r="S36" s="815"/>
      <c r="T36" s="815"/>
      <c r="U36" s="928"/>
      <c r="W36" s="869"/>
      <c r="X36" s="869"/>
    </row>
    <row r="37" spans="1:24" hidden="1">
      <c r="A37" s="658"/>
      <c r="B37" s="1534" t="s">
        <v>107</v>
      </c>
      <c r="C37" s="1717"/>
      <c r="D37" s="817" t="e">
        <f>D35</f>
        <v>#N/A</v>
      </c>
      <c r="E37" s="817">
        <f>IF(AND($E$30="あり",$Q18&gt;=1),VLOOKUP($D$8,'事業所内保育事業（20人以上）'!$B$56:$BG$60,21,TRUE),0)</f>
        <v>0</v>
      </c>
      <c r="F37" s="817">
        <f t="shared" si="3"/>
        <v>0</v>
      </c>
      <c r="G37" s="817">
        <f t="shared" si="3"/>
        <v>0</v>
      </c>
      <c r="H37" s="817">
        <f>IF(H$30="あり",IF(ISERROR(-ROUNDDOWN(SUM($D37,$G37)*VLOOKUP($D$8,'事業所内保育事業（20人以上）'!$B$50:$BG$54,47,TRUE),-1)),0,-ROUNDDOWN(SUM($D37,$G37)*VLOOKUP($D$8,'事業所内保育事業（20人以上）'!$B$50:$BG$54,47,TRUE),-1)),0)</f>
        <v>0</v>
      </c>
      <c r="I37" s="817">
        <f>I35</f>
        <v>0</v>
      </c>
      <c r="J37" s="817">
        <f>-IFERROR(IF(ROUNDDOWN(SUM($D37,$E37,$G37)*VLOOKUP($J$30,'事業所内保育事業（20人以上）'!$B$77:$C$81,2,FALSE),-1)&lt;10,ROUNDDOWN(SUM($D37,$E37,$G37)*VLOOKUP($J$30,'事業所内保育事業（20人以上）'!$B$77:$C$81,2,FALSE),0),ROUNDDOWN(SUM($D37,$E37,$G37)*VLOOKUP($J$30,'事業所内保育事業（20人以上）'!$B$77:$C$81,2,FALSE),-1)),0)</f>
        <v>0</v>
      </c>
      <c r="K37" s="857" t="e">
        <f>IF($AD$2=1,SUM($D37:$J37),(IF(ROUNDDOWN(SUM($D37:$J37)*$AD$2,-1)&lt;10,ROUNDDOWN(SUM($D37:$J37)*$AD$2,0),(ROUNDDOWN(SUM($D37:$J37)*$AD$2,-1)))))</f>
        <v>#N/A</v>
      </c>
      <c r="L37" s="899">
        <f>L35</f>
        <v>0</v>
      </c>
      <c r="M37" s="826">
        <f>IF(ISERROR(SUM(K37:L37)),0,SUM(K37:L37))</f>
        <v>0</v>
      </c>
      <c r="N37" s="658"/>
      <c r="O37" s="658"/>
      <c r="P37" s="658"/>
      <c r="Q37" s="658"/>
      <c r="R37" s="375"/>
      <c r="S37" s="375"/>
      <c r="T37" s="375"/>
      <c r="U37" s="843"/>
      <c r="W37" s="869"/>
      <c r="X37" s="869"/>
    </row>
    <row r="38" spans="1:24" hidden="1">
      <c r="A38" s="658"/>
      <c r="B38" s="1534" t="s">
        <v>106</v>
      </c>
      <c r="C38" s="1717"/>
      <c r="D38" s="817" t="e">
        <f>D36</f>
        <v>#N/A</v>
      </c>
      <c r="E38" s="817">
        <f>IF(AND($E$30="あり",$Q19&gt;=1),VLOOKUP($D$8,'事業所内保育事業（20人以上）'!$B$50:$BG$54,21,TRUE),0)</f>
        <v>0</v>
      </c>
      <c r="F38" s="817">
        <f t="shared" si="3"/>
        <v>0</v>
      </c>
      <c r="G38" s="817">
        <f t="shared" si="3"/>
        <v>0</v>
      </c>
      <c r="H38" s="817">
        <f>IF(H$30="あり",IF(ISERROR(-ROUNDDOWN(SUM($D38,$G38)*VLOOKUP($D$8,'事業所内保育事業（20人以上）'!$B$50:$BG$54,47,TRUE),-1)),0,-ROUNDDOWN(SUM($D38,$G38)*VLOOKUP($D$8,'事業所内保育事業（20人以上）'!$B$50:$BG$54,47,TRUE),-1)),0)</f>
        <v>0</v>
      </c>
      <c r="I38" s="817">
        <f>I35</f>
        <v>0</v>
      </c>
      <c r="J38" s="817">
        <f>-IFERROR(IF(ROUNDDOWN(SUM($D38,$E38,$G38)*VLOOKUP($J$30,'事業所内保育事業（20人以上）'!$B$77:$C$81,2,FALSE),-1)&lt;10,ROUNDDOWN(SUM($D38,$E38,$G38)*VLOOKUP($J$30,'事業所内保育事業（20人以上）'!$B$77:$C$81,2,FALSE),0),ROUNDDOWN(SUM($D38,$E38,$G38)*VLOOKUP($J$30,'事業所内保育事業（20人以上）'!$B$77:$C$81,2,FALSE),-1)),0)</f>
        <v>0</v>
      </c>
      <c r="K38" s="857" t="e">
        <f>IF($AD$2=1,SUM($D38:$J38),(IF(ROUNDDOWN(SUM($D38:$J38)*$AD$2,-1)&lt;10,ROUNDDOWN(SUM($D38:$J38)*$AD$2,0),(ROUNDDOWN(SUM($D38:$J38)*$AD$2,-1)))))</f>
        <v>#N/A</v>
      </c>
      <c r="L38" s="899">
        <f>L35</f>
        <v>0</v>
      </c>
      <c r="M38" s="826">
        <f>IF(ISERROR(SUM(K38:L38)),0,SUM(K38:L38))</f>
        <v>0</v>
      </c>
      <c r="N38" s="658"/>
      <c r="O38" s="658"/>
      <c r="P38" s="658"/>
      <c r="Q38" s="658"/>
      <c r="R38" s="375"/>
      <c r="S38" s="375"/>
      <c r="T38" s="375"/>
      <c r="U38" s="843"/>
      <c r="W38" s="869"/>
      <c r="X38" s="869"/>
    </row>
    <row r="39" spans="1:24" hidden="1">
      <c r="A39" s="658"/>
      <c r="B39" s="794"/>
      <c r="C39" s="794"/>
      <c r="D39" s="794"/>
      <c r="E39" s="794"/>
      <c r="F39" s="794"/>
      <c r="G39" s="794"/>
      <c r="H39" s="794"/>
      <c r="I39" s="794"/>
      <c r="J39" s="794"/>
      <c r="K39" s="794"/>
      <c r="L39" s="658"/>
      <c r="M39" s="887"/>
      <c r="N39" s="658"/>
      <c r="O39" s="658"/>
      <c r="P39" s="658"/>
      <c r="Q39" s="658"/>
      <c r="R39" s="375"/>
      <c r="S39" s="843"/>
      <c r="T39" s="881"/>
      <c r="U39" s="843"/>
      <c r="W39" s="869"/>
      <c r="X39" s="869"/>
    </row>
    <row r="40" spans="1:24" ht="59.25" hidden="1" customHeight="1">
      <c r="A40" s="658"/>
      <c r="B40" s="1780" t="s">
        <v>102</v>
      </c>
      <c r="C40" s="1829"/>
      <c r="D40" s="1831" t="s">
        <v>9</v>
      </c>
      <c r="E40" s="1831" t="s">
        <v>104</v>
      </c>
      <c r="F40" s="1831" t="s">
        <v>93</v>
      </c>
      <c r="G40" s="1831" t="s">
        <v>94</v>
      </c>
      <c r="H40" s="1831" t="s">
        <v>105</v>
      </c>
      <c r="I40" s="1831" t="s">
        <v>551</v>
      </c>
      <c r="J40" s="1911" t="s">
        <v>433</v>
      </c>
      <c r="K40" s="256" t="s">
        <v>526</v>
      </c>
      <c r="L40" s="1871" t="s">
        <v>511</v>
      </c>
      <c r="M40" s="1863" t="s">
        <v>127</v>
      </c>
      <c r="N40" s="658"/>
      <c r="O40" s="658"/>
      <c r="P40" s="658"/>
      <c r="Q40" s="658"/>
      <c r="R40" s="794"/>
      <c r="S40" s="843"/>
      <c r="T40" s="843"/>
      <c r="U40" s="843"/>
      <c r="W40" s="869"/>
      <c r="X40" s="869"/>
    </row>
    <row r="41" spans="1:24" ht="59.25" hidden="1" customHeight="1">
      <c r="A41" s="658"/>
      <c r="B41" s="1782"/>
      <c r="C41" s="1830"/>
      <c r="D41" s="1832"/>
      <c r="E41" s="1832"/>
      <c r="F41" s="1832"/>
      <c r="G41" s="1832"/>
      <c r="H41" s="1832"/>
      <c r="I41" s="1832"/>
      <c r="J41" s="1912"/>
      <c r="K41" s="255" t="str">
        <f>IF($AD$2=1,"",CONCATENATE("（乗除調整",TEXT($AD$2,"##/100"),")"))</f>
        <v/>
      </c>
      <c r="L41" s="1872"/>
      <c r="M41" s="1855"/>
      <c r="N41" s="658"/>
      <c r="O41" s="658"/>
      <c r="P41" s="658"/>
      <c r="Q41" s="658"/>
      <c r="R41" s="375"/>
      <c r="S41" s="843"/>
      <c r="T41" s="843"/>
      <c r="U41" s="843"/>
      <c r="W41" s="843"/>
      <c r="X41" s="869"/>
    </row>
    <row r="42" spans="1:24" hidden="1">
      <c r="A42" s="658"/>
      <c r="B42" s="1534" t="s">
        <v>90</v>
      </c>
      <c r="C42" s="1717"/>
      <c r="D42" s="817" t="e">
        <f>IF($D$30="あり",VLOOKUP($D$8,'事業所内保育事業（20人以上）'!$B$56:$BG$60,15,TRUE),0)</f>
        <v>#N/A</v>
      </c>
      <c r="E42" s="821"/>
      <c r="F42" s="817">
        <f>IF(ISERROR('事業所内保育事業（20人以上）'!$A$63),0,'事業所内保育事業（20人以上）'!$A$63)</f>
        <v>0</v>
      </c>
      <c r="G42" s="817">
        <f>IF($G$30="あり",VLOOKUP($D$8,'事業所内保育事業（20人以上）'!$B$50:$BG$54,36,TRUE),0)</f>
        <v>0</v>
      </c>
      <c r="H42" s="817">
        <f>IF(H$30="あり",IF(ISERROR(-ROUNDDOWN(SUM($D42,$G42)*VLOOKUP($D$8,'事業所内保育事業（20人以上）'!$B$50:$BG$54,47,TRUE),-1)),0,-ROUNDDOWN(SUM($D42,$G42)*VLOOKUP($D$8,'事業所内保育事業（20人以上）'!$B$50:$BG$54,47,TRUE),-1)),0)</f>
        <v>0</v>
      </c>
      <c r="I42" s="817">
        <f>IF($I$30="あり",-VLOOKUP($D$8,'事業所内保育事業（20人以上）'!$B$50:$BG$54,51,TRUE),0)</f>
        <v>0</v>
      </c>
      <c r="J42" s="817">
        <f>-IFERROR(IF(ROUNDDOWN(SUM($D42,$E42,$G42)*VLOOKUP($J$30,'事業所内保育事業（20人以上）'!$B$77:$C$81,2,FALSE),-1)&lt;10,ROUNDDOWN(SUM($D42,$E42,$G42)*VLOOKUP($J$30,'事業所内保育事業（20人以上）'!$B$77:$C$81,2,FALSE),0),ROUNDDOWN(SUM($D42,$E42,$G42)*VLOOKUP($J$30,'事業所内保育事業（20人以上）'!$B$77:$C$81,2,FALSE),-1)),0)</f>
        <v>0</v>
      </c>
      <c r="K42" s="857" t="e">
        <f>IF($AD$2=1,SUM($D42:$J42),(IF(ROUNDDOWN(SUM($D42:$J42)*$AD$2,-1)&lt;10,ROUNDDOWN(SUM($D42:$J42)*$AD$2,0),(ROUNDDOWN(SUM($D42:$J42)*$AD$2,-1)))))</f>
        <v>#N/A</v>
      </c>
      <c r="L42" s="899">
        <f>IF(L$30="配置",IF(ROUNDDOWN(事業所20②!$K$21/$I$62,-1)&lt;10,ROUNDDOWN(事業所20②!$K$21/$I$62,0),ROUNDDOWN(事業所20②!$K$21/$I$62,-1)),IF(L$30="兼務",IF(ROUNDDOWN(事業所20②!$K$24/$I$62,-1)&lt;10,ROUNDDOWN(事業所20②!$K$24/$I$62,0),ROUNDDOWN(事業所20②!$K$24/$I$62,-1)),0))</f>
        <v>0</v>
      </c>
      <c r="M42" s="826">
        <f>IF(ISERROR(SUM(D42:J42)),0,SUM(D42:J42))</f>
        <v>0</v>
      </c>
      <c r="N42" s="658"/>
      <c r="O42" s="658"/>
      <c r="P42" s="658"/>
      <c r="Q42" s="658"/>
      <c r="R42" s="375"/>
      <c r="W42" s="843"/>
      <c r="X42" s="845"/>
    </row>
    <row r="43" spans="1:24" hidden="1">
      <c r="A43" s="658"/>
      <c r="B43" s="1534" t="s">
        <v>89</v>
      </c>
      <c r="C43" s="1717"/>
      <c r="D43" s="817" t="e">
        <f>IF($D$30="あり",VLOOKUP($D$8,'事業所内保育事業（20人以上）'!$B$50:$BG$54,15,TRUE),0)</f>
        <v>#N/A</v>
      </c>
      <c r="E43" s="821"/>
      <c r="F43" s="817">
        <f t="shared" ref="F43:G45" si="4">F42</f>
        <v>0</v>
      </c>
      <c r="G43" s="817">
        <f t="shared" si="4"/>
        <v>0</v>
      </c>
      <c r="H43" s="817">
        <f>IF(H$30="あり",IF(ISERROR(-ROUNDDOWN(SUM($D43,$G43)*VLOOKUP($D$8,'事業所内保育事業（20人以上）'!$B$50:$BG$54,47,TRUE),-1)),0,-ROUNDDOWN(SUM($D43,$G43)*VLOOKUP($D$8,'事業所内保育事業（20人以上）'!$B$50:$BG$54,47,TRUE),-1)),0)</f>
        <v>0</v>
      </c>
      <c r="I43" s="817">
        <f>I42</f>
        <v>0</v>
      </c>
      <c r="J43" s="817">
        <f>-IFERROR(IF(ROUNDDOWN(SUM($D43,$E43,$G43)*VLOOKUP($J$30,'事業所内保育事業（20人以上）'!$B$77:$C$81,2,FALSE),-1)&lt;10,ROUNDDOWN(SUM($D43,$E43,$G43)*VLOOKUP($J$30,'事業所内保育事業（20人以上）'!$B$77:$C$81,2,FALSE),0),ROUNDDOWN(SUM($D43,$E43,$G43)*VLOOKUP($J$30,'事業所内保育事業（20人以上）'!$B$77:$C$81,2,FALSE),-1)),0)</f>
        <v>0</v>
      </c>
      <c r="K43" s="857" t="e">
        <f>IF($AD$2=1,SUM($D43:$J43),(IF(ROUNDDOWN(SUM($D43:$J43)*$AD$2,-1)&lt;10,ROUNDDOWN(SUM($D43:$J43)*$AD$2,0),(ROUNDDOWN(SUM($D43:$J43)*$AD$2,-1)))))</f>
        <v>#N/A</v>
      </c>
      <c r="L43" s="899">
        <f>L42</f>
        <v>0</v>
      </c>
      <c r="M43" s="826">
        <f>IF(ISERROR(SUM(D43:J43)),0,SUM(D43:J43))</f>
        <v>0</v>
      </c>
      <c r="N43" s="658"/>
      <c r="O43" s="658"/>
      <c r="P43" s="658"/>
      <c r="Q43" s="658"/>
      <c r="R43" s="375"/>
      <c r="S43" s="822"/>
      <c r="T43" s="844"/>
    </row>
    <row r="44" spans="1:24" hidden="1">
      <c r="A44" s="658"/>
      <c r="B44" s="1534" t="s">
        <v>107</v>
      </c>
      <c r="C44" s="1717"/>
      <c r="D44" s="817" t="e">
        <f>D42</f>
        <v>#N/A</v>
      </c>
      <c r="E44" s="817">
        <f>IF(AND($E$30="あり",$Q23&gt;=1),VLOOKUP($D$8,'事業所内保育事業（20人以上）'!$B$56:$BG$60,21,TRUE),0)</f>
        <v>0</v>
      </c>
      <c r="F44" s="817">
        <f t="shared" si="4"/>
        <v>0</v>
      </c>
      <c r="G44" s="817">
        <f t="shared" si="4"/>
        <v>0</v>
      </c>
      <c r="H44" s="817">
        <f>IF(H$30="あり",IF(ISERROR(-ROUNDDOWN(SUM($D44,$G44)*VLOOKUP($D$8,'事業所内保育事業（20人以上）'!$B$50:$BG$54,47,TRUE),-1)),0,-ROUNDDOWN(SUM($D44,$G44)*VLOOKUP($D$8,'事業所内保育事業（20人以上）'!$B$50:$BG$54,47,TRUE),-1)),0)</f>
        <v>0</v>
      </c>
      <c r="I44" s="817">
        <f>I42</f>
        <v>0</v>
      </c>
      <c r="J44" s="817">
        <f>-IFERROR(IF(ROUNDDOWN(SUM($D44,$E44,$G44)*VLOOKUP($J$30,'事業所内保育事業（20人以上）'!$B$77:$C$81,2,FALSE),-1)&lt;10,ROUNDDOWN(SUM($D44,$E44,$G44)*VLOOKUP($J$30,'事業所内保育事業（20人以上）'!$B$77:$C$81,2,FALSE),0),ROUNDDOWN(SUM($D44,$E44,$G44)*VLOOKUP($J$30,'事業所内保育事業（20人以上）'!$B$77:$C$81,2,FALSE),-1)),0)</f>
        <v>0</v>
      </c>
      <c r="K44" s="857" t="e">
        <f>IF($AD$2=1,SUM($D44:$J44),(IF(ROUNDDOWN(SUM($D44:$J44)*$AD$2,-1)&lt;10,ROUNDDOWN(SUM($D44:$J44)*$AD$2,0),(ROUNDDOWN(SUM($D44:$J44)*$AD$2,-1)))))</f>
        <v>#N/A</v>
      </c>
      <c r="L44" s="899">
        <f>L42</f>
        <v>0</v>
      </c>
      <c r="M44" s="826">
        <f>IF(ISERROR(SUM(D44:J44)),0,SUM(D44:J44))</f>
        <v>0</v>
      </c>
      <c r="N44" s="658"/>
      <c r="O44" s="658"/>
      <c r="P44" s="658"/>
      <c r="Q44" s="658"/>
      <c r="R44" s="375"/>
      <c r="S44" s="822"/>
      <c r="T44" s="844"/>
      <c r="W44" s="715">
        <v>2015</v>
      </c>
      <c r="X44" s="175">
        <v>6.1</v>
      </c>
    </row>
    <row r="45" spans="1:24" ht="18" hidden="1" thickBot="1">
      <c r="A45" s="658"/>
      <c r="B45" s="1534" t="s">
        <v>106</v>
      </c>
      <c r="C45" s="1717"/>
      <c r="D45" s="817" t="e">
        <f>D43</f>
        <v>#N/A</v>
      </c>
      <c r="E45" s="817">
        <f>IF(AND($E$30="あり",$Q24&gt;=1),VLOOKUP($D$8,'事業所内保育事業（20人以上）'!$B$50:$BG$54,21,TRUE),0)</f>
        <v>0</v>
      </c>
      <c r="F45" s="817">
        <f t="shared" si="4"/>
        <v>0</v>
      </c>
      <c r="G45" s="817">
        <f t="shared" si="4"/>
        <v>0</v>
      </c>
      <c r="H45" s="817">
        <f>IF(H$30="あり",IF(ISERROR(-ROUNDDOWN(SUM($D45,$G45)*VLOOKUP($D$8,'事業所内保育事業（20人以上）'!$B$50:$BG$54,47,TRUE),-1)),0,-ROUNDDOWN(SUM($D45,$G45)*VLOOKUP($D$8,'事業所内保育事業（20人以上）'!$B$50:$BG$54,47,TRUE),-1)),0)</f>
        <v>0</v>
      </c>
      <c r="I45" s="817">
        <f>I42</f>
        <v>0</v>
      </c>
      <c r="J45" s="817">
        <f>-IFERROR(IF(ROUNDDOWN(SUM($D45,$E45,$G45)*VLOOKUP($J$30,'事業所内保育事業（20人以上）'!$B$77:$C$81,2,FALSE),-1)&lt;10,ROUNDDOWN(SUM($D45,$E45,$G45)*VLOOKUP($J$30,'事業所内保育事業（20人以上）'!$B$77:$C$81,2,FALSE),0),ROUNDDOWN(SUM($D45,$E45,$G45)*VLOOKUP($J$30,'事業所内保育事業（20人以上）'!$B$77:$C$81,2,FALSE),-1)),0)</f>
        <v>0</v>
      </c>
      <c r="K45" s="857" t="e">
        <f>IF($AD$2=1,SUM($D45:$J45),(IF(ROUNDDOWN(SUM($D45:$J45)*$AD$2,-1)&lt;10,ROUNDDOWN(SUM($D45:$J45)*$AD$2,0),(ROUNDDOWN(SUM($D45:$J45)*$AD$2,-1)))))</f>
        <v>#N/A</v>
      </c>
      <c r="L45" s="899">
        <f>L42</f>
        <v>0</v>
      </c>
      <c r="M45" s="830">
        <f>IF(ISERROR(SUM(D45:J45)),0,SUM(D45:J45))</f>
        <v>0</v>
      </c>
      <c r="N45" s="658"/>
      <c r="O45" s="658"/>
      <c r="P45" s="658"/>
      <c r="Q45" s="658"/>
      <c r="R45" s="375"/>
      <c r="S45" s="822"/>
      <c r="T45" s="845"/>
      <c r="W45" s="715">
        <v>2016</v>
      </c>
      <c r="X45" s="173">
        <v>4.2</v>
      </c>
    </row>
    <row r="46" spans="1:24" hidden="1">
      <c r="A46" s="658"/>
      <c r="B46" s="794"/>
      <c r="C46" s="794"/>
      <c r="D46" s="794"/>
      <c r="E46" s="794"/>
      <c r="F46" s="794"/>
      <c r="G46" s="794"/>
      <c r="H46" s="794"/>
      <c r="I46" s="794"/>
      <c r="J46" s="794"/>
      <c r="K46" s="794"/>
      <c r="L46" s="794"/>
      <c r="M46" s="794"/>
      <c r="N46" s="658"/>
      <c r="O46" s="658"/>
      <c r="P46" s="658"/>
      <c r="Q46" s="658"/>
      <c r="R46" s="375"/>
      <c r="S46" s="822"/>
      <c r="T46" s="845"/>
      <c r="W46" s="715">
        <v>2017</v>
      </c>
      <c r="X46" s="173">
        <v>2.9</v>
      </c>
    </row>
    <row r="47" spans="1:24" ht="18" hidden="1" thickBot="1">
      <c r="A47" s="658"/>
      <c r="B47" s="794"/>
      <c r="C47" s="794"/>
      <c r="D47" s="375"/>
      <c r="E47" s="375"/>
      <c r="F47" s="375"/>
      <c r="G47" s="375"/>
      <c r="H47" s="375"/>
      <c r="I47" s="375"/>
      <c r="J47" s="375"/>
      <c r="K47" s="836"/>
      <c r="L47" s="403"/>
      <c r="M47" s="836"/>
      <c r="N47" s="403"/>
      <c r="O47" s="836"/>
      <c r="P47" s="375"/>
      <c r="Q47" s="403"/>
      <c r="R47" s="375"/>
      <c r="S47" s="403"/>
      <c r="W47" s="715">
        <v>2018</v>
      </c>
      <c r="X47" s="173">
        <v>1.8</v>
      </c>
    </row>
    <row r="48" spans="1:24" ht="40.5" hidden="1" customHeight="1" thickBot="1">
      <c r="A48" s="658"/>
      <c r="B48" s="824" t="s">
        <v>128</v>
      </c>
      <c r="C48" s="794"/>
      <c r="D48" s="794"/>
      <c r="E48" s="794"/>
      <c r="F48" s="794"/>
      <c r="G48" s="794"/>
      <c r="H48" s="824" t="s">
        <v>832</v>
      </c>
      <c r="I48" s="824"/>
      <c r="J48" s="1796" t="s">
        <v>114</v>
      </c>
      <c r="K48" s="1797"/>
      <c r="L48" s="1576" t="s">
        <v>817</v>
      </c>
      <c r="M48" s="1577"/>
      <c r="N48" s="1578" t="s">
        <v>867</v>
      </c>
      <c r="O48" s="1579"/>
      <c r="P48" s="1578" t="s">
        <v>868</v>
      </c>
      <c r="Q48" s="1579"/>
      <c r="W48" s="715">
        <v>2019</v>
      </c>
      <c r="X48" s="173">
        <v>1</v>
      </c>
    </row>
    <row r="49" spans="1:24" ht="27.75" hidden="1" customHeight="1">
      <c r="A49" s="658"/>
      <c r="B49" s="658"/>
      <c r="C49" s="658"/>
      <c r="D49" s="658"/>
      <c r="E49" s="658"/>
      <c r="F49" s="658"/>
      <c r="G49" s="658"/>
      <c r="H49" s="1833" t="s">
        <v>101</v>
      </c>
      <c r="I49" s="1846" t="s">
        <v>892</v>
      </c>
      <c r="J49" s="1844" t="str">
        <f>"A×賃金改善率（"&amp;$I$6&amp;"％）"</f>
        <v>A×賃金改善率（％）</v>
      </c>
      <c r="K49" s="1841" t="str">
        <f>CONCATENATE("×利用児童数×",$X$2,"月")</f>
        <v>×利用児童数×12月</v>
      </c>
      <c r="L49" s="1844" t="str">
        <f>"A×加算Ⅰ新規事由に係る率（"&amp;$I$7&amp;"％）"</f>
        <v>A×加算Ⅰ新規事由に係る率（％）</v>
      </c>
      <c r="M49" s="1841" t="str">
        <f>CONCATENATE("×利用児童数×",$X$2,"月")</f>
        <v>×利用児童数×12月</v>
      </c>
      <c r="N49" s="1844" t="str">
        <f>"A×人勧影響率（"&amp;$I$9&amp;"％）"</f>
        <v>A×人勧影響率（％）</v>
      </c>
      <c r="O49" s="1841" t="str">
        <f>CONCATENATE("×利用児童数×",$X$2,"月")</f>
        <v>×利用児童数×12月</v>
      </c>
      <c r="P49" s="1844" t="str">
        <f>"A×人勧影響率（"&amp;$I$11&amp;"％）"</f>
        <v>A×人勧影響率（％）</v>
      </c>
      <c r="Q49" s="1841" t="str">
        <f>CONCATENATE("×利用児童数×",$X$2,"月")</f>
        <v>×利用児童数×12月</v>
      </c>
    </row>
    <row r="50" spans="1:24" ht="27.75" hidden="1" customHeight="1">
      <c r="A50" s="1725" t="s">
        <v>915</v>
      </c>
      <c r="B50" s="1725"/>
      <c r="C50" s="1725"/>
      <c r="D50" s="1725"/>
      <c r="E50" s="1774">
        <f>$K$62</f>
        <v>0</v>
      </c>
      <c r="F50" s="1774"/>
      <c r="G50" s="658"/>
      <c r="H50" s="1826"/>
      <c r="I50" s="1847"/>
      <c r="J50" s="1838"/>
      <c r="K50" s="1840"/>
      <c r="L50" s="1838"/>
      <c r="M50" s="1840"/>
      <c r="N50" s="1838"/>
      <c r="O50" s="1840"/>
      <c r="P50" s="1838"/>
      <c r="Q50" s="1840"/>
      <c r="X50" s="840"/>
    </row>
    <row r="51" spans="1:24" ht="24" hidden="1" customHeight="1">
      <c r="A51" s="1860" t="str">
        <f>CONCATENATE("（賃金改善要件（",I6,"％）分）")</f>
        <v>（賃金改善要件（％）分）</v>
      </c>
      <c r="B51" s="1860"/>
      <c r="C51" s="1860"/>
      <c r="D51" s="1860"/>
      <c r="E51" s="829"/>
      <c r="F51" s="658"/>
      <c r="G51" s="658"/>
      <c r="H51" s="941" t="s">
        <v>90</v>
      </c>
      <c r="I51" s="954">
        <f>'入力（児童数-本園)'!Y3-I53</f>
        <v>0</v>
      </c>
      <c r="J51" s="827">
        <f>M35*$I$6</f>
        <v>0</v>
      </c>
      <c r="K51" s="828">
        <f>J51*$I51*$X$2</f>
        <v>0</v>
      </c>
      <c r="L51" s="827" t="e">
        <f>ROUNDDOWN($K35*$I$7,0)</f>
        <v>#N/A</v>
      </c>
      <c r="M51" s="828" t="e">
        <f>L51*$I51*$X$2</f>
        <v>#N/A</v>
      </c>
      <c r="N51" s="847" t="e">
        <f>ROUNDDOWN($K35*$I$9,0)</f>
        <v>#N/A</v>
      </c>
      <c r="O51" s="848" t="e">
        <f>N51*$I51*$X$2</f>
        <v>#N/A</v>
      </c>
      <c r="P51" s="827" t="e">
        <f>ROUNDDOWN($K35*$I$11,0)</f>
        <v>#N/A</v>
      </c>
      <c r="Q51" s="828" t="e">
        <f>P51*$I51*$X$2</f>
        <v>#N/A</v>
      </c>
    </row>
    <row r="52" spans="1:24" ht="18.75" hidden="1" customHeight="1">
      <c r="A52" s="1913" t="s">
        <v>964</v>
      </c>
      <c r="B52" s="1913"/>
      <c r="C52" s="1913"/>
      <c r="D52" s="1913"/>
      <c r="E52" s="1913"/>
      <c r="F52" s="1913"/>
      <c r="G52" s="1914"/>
      <c r="H52" s="941" t="s">
        <v>89</v>
      </c>
      <c r="I52" s="954">
        <f>SUM('入力（児童数-本園)'!Y4:Y6)-I54</f>
        <v>0</v>
      </c>
      <c r="J52" s="827">
        <f>M36*$I$6</f>
        <v>0</v>
      </c>
      <c r="K52" s="828">
        <f>J52*$I52*$X$2</f>
        <v>0</v>
      </c>
      <c r="L52" s="827" t="e">
        <f>ROUNDDOWN($K36*$I$7,0)</f>
        <v>#N/A</v>
      </c>
      <c r="M52" s="828" t="e">
        <f>L52*$I52*$X$2</f>
        <v>#N/A</v>
      </c>
      <c r="N52" s="847" t="e">
        <f>ROUNDDOWN($K36*$I$9,0)</f>
        <v>#N/A</v>
      </c>
      <c r="O52" s="848" t="e">
        <f>N52*$I52*$X$2</f>
        <v>#N/A</v>
      </c>
      <c r="P52" s="827" t="e">
        <f>ROUNDDOWN($K36*$I$11,0)</f>
        <v>#N/A</v>
      </c>
      <c r="Q52" s="828" t="e">
        <f>P52*$I52*$X$2</f>
        <v>#N/A</v>
      </c>
    </row>
    <row r="53" spans="1:24" ht="18.75" hidden="1">
      <c r="A53" s="835"/>
      <c r="B53" s="835"/>
      <c r="C53" s="835"/>
      <c r="D53" s="835"/>
      <c r="E53" s="835"/>
      <c r="F53" s="658"/>
      <c r="G53" s="658"/>
      <c r="H53" s="941" t="s">
        <v>107</v>
      </c>
      <c r="I53" s="955">
        <f>Q18</f>
        <v>0</v>
      </c>
      <c r="J53" s="827">
        <f>M37*$I$6</f>
        <v>0</v>
      </c>
      <c r="K53" s="828">
        <f>J53*$Q18*$X$2</f>
        <v>0</v>
      </c>
      <c r="L53" s="827" t="e">
        <f>ROUNDDOWN($K37*$I$7,0)</f>
        <v>#N/A</v>
      </c>
      <c r="M53" s="828" t="e">
        <f>L53*$Q18*$X$2</f>
        <v>#N/A</v>
      </c>
      <c r="N53" s="847" t="e">
        <f>ROUNDDOWN($K37*$I$9,0)</f>
        <v>#N/A</v>
      </c>
      <c r="O53" s="848" t="e">
        <f>N53*$Q18*$X$2</f>
        <v>#N/A</v>
      </c>
      <c r="P53" s="827" t="e">
        <f>ROUNDDOWN($K37*$I$11,0)</f>
        <v>#N/A</v>
      </c>
      <c r="Q53" s="828" t="e">
        <f>P53*$Q18*$X$2</f>
        <v>#N/A</v>
      </c>
    </row>
    <row r="54" spans="1:24" ht="24" hidden="1" customHeight="1">
      <c r="A54" s="1725" t="s">
        <v>814</v>
      </c>
      <c r="B54" s="1725"/>
      <c r="C54" s="1725"/>
      <c r="D54" s="1725"/>
      <c r="E54" s="1756" t="e">
        <f>$M$62</f>
        <v>#N/A</v>
      </c>
      <c r="F54" s="1756"/>
      <c r="G54" s="658"/>
      <c r="H54" s="941" t="s">
        <v>106</v>
      </c>
      <c r="I54" s="955">
        <f>Q19</f>
        <v>0</v>
      </c>
      <c r="J54" s="827">
        <f>M38*$I$6</f>
        <v>0</v>
      </c>
      <c r="K54" s="828">
        <f>J54*$Q19*$X$2</f>
        <v>0</v>
      </c>
      <c r="L54" s="827" t="e">
        <f>ROUNDDOWN($K38*$I$7,0)</f>
        <v>#N/A</v>
      </c>
      <c r="M54" s="828" t="e">
        <f>L54*$Q19*$X$2</f>
        <v>#N/A</v>
      </c>
      <c r="N54" s="847" t="e">
        <f>ROUNDDOWN($K38*$I$9,0)</f>
        <v>#N/A</v>
      </c>
      <c r="O54" s="848" t="e">
        <f>N54*$Q19*$X$2</f>
        <v>#N/A</v>
      </c>
      <c r="P54" s="827" t="e">
        <f>ROUNDDOWN($K38*$I$11,0)</f>
        <v>#N/A</v>
      </c>
      <c r="Q54" s="828" t="e">
        <f>P54*$Q19*$X$2</f>
        <v>#N/A</v>
      </c>
    </row>
    <row r="55" spans="1:24" ht="22.5" hidden="1" customHeight="1" thickBot="1">
      <c r="A55" s="1860" t="str">
        <f>CONCATENATE("（加算Ⅰ新規事由に係る加算率（",I7,"％）分）")</f>
        <v>（加算Ⅰ新規事由に係る加算率（％）分）</v>
      </c>
      <c r="B55" s="1860"/>
      <c r="C55" s="1860"/>
      <c r="D55" s="1860"/>
      <c r="E55" s="829"/>
      <c r="F55" s="658"/>
      <c r="G55" s="658"/>
      <c r="H55" s="890"/>
      <c r="I55" s="909"/>
      <c r="J55" s="794"/>
      <c r="K55" s="794"/>
      <c r="L55" s="794"/>
      <c r="M55" s="794"/>
      <c r="N55" s="794"/>
      <c r="O55" s="794"/>
      <c r="P55" s="794"/>
      <c r="Q55" s="794"/>
    </row>
    <row r="56" spans="1:24" ht="27.75" hidden="1" customHeight="1">
      <c r="A56" s="658"/>
      <c r="B56" s="658"/>
      <c r="C56" s="658"/>
      <c r="D56" s="658"/>
      <c r="E56" s="658"/>
      <c r="F56" s="658"/>
      <c r="G56" s="658"/>
      <c r="H56" s="1825" t="s">
        <v>102</v>
      </c>
      <c r="I56" s="1848" t="s">
        <v>892</v>
      </c>
      <c r="J56" s="1844" t="str">
        <f>"B×賃金改善率（"&amp;$I$6&amp;"％）"</f>
        <v>B×賃金改善率（％）</v>
      </c>
      <c r="K56" s="1841" t="str">
        <f>CONCATENATE("×利用児童数×",$X$2,"月")</f>
        <v>×利用児童数×12月</v>
      </c>
      <c r="L56" s="1844" t="str">
        <f>"B×加算Ⅰ新規事由に係る率（"&amp;$I$7&amp;"％）"</f>
        <v>B×加算Ⅰ新規事由に係る率（％）</v>
      </c>
      <c r="M56" s="1841" t="str">
        <f>CONCATENATE("×利用児童数×",$X$2,"月")</f>
        <v>×利用児童数×12月</v>
      </c>
      <c r="N56" s="1844" t="str">
        <f>"B×人勧影響率（"&amp;$I$9&amp;"％）"</f>
        <v>B×人勧影響率（％）</v>
      </c>
      <c r="O56" s="1841" t="str">
        <f>CONCATENATE("×利用児童数×",$X$2,"月")</f>
        <v>×利用児童数×12月</v>
      </c>
      <c r="P56" s="1844" t="str">
        <f>"B×人勧影響率（"&amp;$I$11&amp;"％）"</f>
        <v>B×人勧影響率（％）</v>
      </c>
      <c r="Q56" s="1841" t="str">
        <f>CONCATENATE("×利用児童数×",$X$2,"月")</f>
        <v>×利用児童数×12月</v>
      </c>
    </row>
    <row r="57" spans="1:24" ht="27.75" hidden="1" customHeight="1">
      <c r="A57" s="1725" t="s">
        <v>813</v>
      </c>
      <c r="B57" s="1725"/>
      <c r="C57" s="1725"/>
      <c r="D57" s="1725"/>
      <c r="E57" s="1795" t="e">
        <f>$O$62</f>
        <v>#N/A</v>
      </c>
      <c r="F57" s="1795"/>
      <c r="G57" s="658"/>
      <c r="H57" s="1826"/>
      <c r="I57" s="1847"/>
      <c r="J57" s="1838"/>
      <c r="K57" s="1840"/>
      <c r="L57" s="1838"/>
      <c r="M57" s="1840"/>
      <c r="N57" s="1838"/>
      <c r="O57" s="1840"/>
      <c r="P57" s="1838"/>
      <c r="Q57" s="1840"/>
    </row>
    <row r="58" spans="1:24" ht="17.25" hidden="1" customHeight="1">
      <c r="A58" s="1860" t="str">
        <f>CONCATENATE("（処遇Ⅰの基準年度の翌年～当年度まで（",I9,"％）分）")</f>
        <v>（処遇Ⅰの基準年度の翌年～当年度まで（％）分）</v>
      </c>
      <c r="B58" s="1860"/>
      <c r="C58" s="1860"/>
      <c r="D58" s="1860"/>
      <c r="E58" s="829"/>
      <c r="F58" s="658"/>
      <c r="G58" s="658"/>
      <c r="H58" s="941" t="s">
        <v>90</v>
      </c>
      <c r="I58" s="954">
        <f>'入力（児童数-本園)'!Z3-I60</f>
        <v>0</v>
      </c>
      <c r="J58" s="827">
        <f>M42*$I$6</f>
        <v>0</v>
      </c>
      <c r="K58" s="828">
        <f>J58*$I58*$X$2</f>
        <v>0</v>
      </c>
      <c r="L58" s="827" t="e">
        <f>ROUNDDOWN($K42*$I$7,0)</f>
        <v>#N/A</v>
      </c>
      <c r="M58" s="828" t="e">
        <f>L58*$I58*$X$2</f>
        <v>#N/A</v>
      </c>
      <c r="N58" s="847" t="e">
        <f>ROUNDDOWN($K42*$I$9,0)</f>
        <v>#N/A</v>
      </c>
      <c r="O58" s="848" t="e">
        <f>N58*$I58*$X$2</f>
        <v>#N/A</v>
      </c>
      <c r="P58" s="827" t="e">
        <f>ROUNDDOWN($K42*$I$11,0)</f>
        <v>#N/A</v>
      </c>
      <c r="Q58" s="828" t="e">
        <f>P58*$I58*$X$2</f>
        <v>#N/A</v>
      </c>
    </row>
    <row r="59" spans="1:24" hidden="1">
      <c r="A59" s="1860"/>
      <c r="B59" s="1860"/>
      <c r="C59" s="1860"/>
      <c r="D59" s="1860"/>
      <c r="E59" s="658"/>
      <c r="F59" s="658"/>
      <c r="G59" s="658"/>
      <c r="H59" s="941" t="s">
        <v>89</v>
      </c>
      <c r="I59" s="954">
        <f>SUM('入力（児童数-本園)'!Z4:Z6)-I61</f>
        <v>0</v>
      </c>
      <c r="J59" s="827">
        <f>M43*$I$6</f>
        <v>0</v>
      </c>
      <c r="K59" s="828">
        <f>J59*$I59*$X$2</f>
        <v>0</v>
      </c>
      <c r="L59" s="827" t="e">
        <f>ROUNDDOWN($K43*$I$7,0)</f>
        <v>#N/A</v>
      </c>
      <c r="M59" s="828" t="e">
        <f>L59*$I59*$X$2</f>
        <v>#N/A</v>
      </c>
      <c r="N59" s="847" t="e">
        <f>ROUNDDOWN($K43*$I$9,0)</f>
        <v>#N/A</v>
      </c>
      <c r="O59" s="848" t="e">
        <f>N59*$I59*$X$2</f>
        <v>#N/A</v>
      </c>
      <c r="P59" s="827" t="e">
        <f>ROUNDDOWN($K43*$I$11,0)</f>
        <v>#N/A</v>
      </c>
      <c r="Q59" s="828" t="e">
        <f>P59*$I59*$X$2</f>
        <v>#N/A</v>
      </c>
    </row>
    <row r="60" spans="1:24" ht="24" hidden="1" customHeight="1">
      <c r="A60" s="1725" t="s">
        <v>813</v>
      </c>
      <c r="B60" s="1725"/>
      <c r="C60" s="1725"/>
      <c r="D60" s="1725"/>
      <c r="E60" s="1795" t="e">
        <f>$Q$62</f>
        <v>#N/A</v>
      </c>
      <c r="F60" s="1795"/>
      <c r="G60" s="658"/>
      <c r="H60" s="941" t="s">
        <v>107</v>
      </c>
      <c r="I60" s="955">
        <f>Q23</f>
        <v>0</v>
      </c>
      <c r="J60" s="827">
        <f>M44*$I$6</f>
        <v>0</v>
      </c>
      <c r="K60" s="828">
        <f>J60*$Q23*$X$2</f>
        <v>0</v>
      </c>
      <c r="L60" s="827" t="e">
        <f>ROUNDDOWN($K44*$I$7,0)</f>
        <v>#N/A</v>
      </c>
      <c r="M60" s="828" t="e">
        <f>L60*$Q23*$X$2</f>
        <v>#N/A</v>
      </c>
      <c r="N60" s="847" t="e">
        <f>ROUNDDOWN($K44*$I$9,0)</f>
        <v>#N/A</v>
      </c>
      <c r="O60" s="848" t="e">
        <f>N60*$Q23*$X$2</f>
        <v>#N/A</v>
      </c>
      <c r="P60" s="827" t="e">
        <f>ROUNDDOWN($K44*$I$11,0)</f>
        <v>#N/A</v>
      </c>
      <c r="Q60" s="828" t="e">
        <f>P60*$Q23*$X$2</f>
        <v>#N/A</v>
      </c>
    </row>
    <row r="61" spans="1:24" ht="18" hidden="1" customHeight="1" thickBot="1">
      <c r="A61" s="1860" t="str">
        <f>CONCATENATE("（処遇Ⅱの基準年度の翌年～当年度まで（",I11,"％）分）")</f>
        <v>（処遇Ⅱの基準年度の翌年～当年度まで（％）分）</v>
      </c>
      <c r="B61" s="1860"/>
      <c r="C61" s="1860"/>
      <c r="D61" s="1860"/>
      <c r="E61" s="658"/>
      <c r="F61" s="658"/>
      <c r="G61" s="658"/>
      <c r="H61" s="941" t="s">
        <v>106</v>
      </c>
      <c r="I61" s="956">
        <f>Q24</f>
        <v>0</v>
      </c>
      <c r="J61" s="827">
        <f>M45*$I$6</f>
        <v>0</v>
      </c>
      <c r="K61" s="894">
        <f>J61*$Q24*$X$2</f>
        <v>0</v>
      </c>
      <c r="L61" s="827" t="e">
        <f>ROUNDDOWN($K45*$I$7,0)</f>
        <v>#N/A</v>
      </c>
      <c r="M61" s="894" t="e">
        <f>L61*$Q24*$X$2</f>
        <v>#N/A</v>
      </c>
      <c r="N61" s="847" t="e">
        <f>ROUNDDOWN($K45*$I$9,0)</f>
        <v>#N/A</v>
      </c>
      <c r="O61" s="896" t="e">
        <f>N61*$Q24*$X$2</f>
        <v>#N/A</v>
      </c>
      <c r="P61" s="827" t="e">
        <f>ROUNDDOWN($K45*$I$11,0)</f>
        <v>#N/A</v>
      </c>
      <c r="Q61" s="894" t="e">
        <f>P61*$Q24*$X$2</f>
        <v>#N/A</v>
      </c>
    </row>
    <row r="62" spans="1:24" ht="18.75" hidden="1" thickTop="1" thickBot="1">
      <c r="A62" s="1860"/>
      <c r="B62" s="1860"/>
      <c r="C62" s="1860"/>
      <c r="D62" s="1860"/>
      <c r="E62" s="839"/>
      <c r="F62" s="658"/>
      <c r="G62" s="658"/>
      <c r="H62" s="832" t="s">
        <v>0</v>
      </c>
      <c r="I62" s="888">
        <f>SUM(Q20,Q25,I51:I52,I58:I59)</f>
        <v>0</v>
      </c>
      <c r="J62" s="832" t="s">
        <v>148</v>
      </c>
      <c r="K62" s="868">
        <f>ROUNDDOWN(SUM(K51:K54,K58:K61),-3)</f>
        <v>0</v>
      </c>
      <c r="L62" s="834" t="s">
        <v>148</v>
      </c>
      <c r="M62" s="868" t="e">
        <f>ROUNDDOWN(SUM(M51:M54,M58:M61),-3)</f>
        <v>#N/A</v>
      </c>
      <c r="N62" s="834" t="s">
        <v>0</v>
      </c>
      <c r="O62" s="872" t="e">
        <f>ROUNDDOWN(SUM(O51:O54,O58:O61),-3)</f>
        <v>#N/A</v>
      </c>
      <c r="P62" s="834" t="s">
        <v>0</v>
      </c>
      <c r="Q62" s="868" t="e">
        <f>ROUNDDOWN(SUM(Q51:Q54,Q58:Q61),-3)</f>
        <v>#N/A</v>
      </c>
    </row>
    <row r="63" spans="1:24" hidden="1">
      <c r="C63" s="843"/>
      <c r="D63" s="195"/>
    </row>
  </sheetData>
  <sheetProtection algorithmName="SHA-512" hashValue="aZ1yCQXpiZcJqvcmeBNcm/pWN2QAk47oR6ih1vIZXfFcQfFxkAw6e4l7XrZ26Gj9+3MZKoL0zu/RLpc9HZ+cYw==" saltValue="jH5N71Xide1wNt7JgKVzLw==" spinCount="100000" sheet="1" objects="1" scenarios="1"/>
  <customSheetViews>
    <customSheetView guid="{2E52E5FF-9846-4DC5-A671-268FE925398C}" scale="80" showPageBreaks="1" fitToPage="1" printArea="1" hiddenColumns="1" view="pageBreakPreview">
      <selection activeCell="D15" sqref="D15"/>
      <pageMargins left="0.70866141732283472" right="0.70866141732283472" top="0.74803149606299213" bottom="0.74803149606299213" header="0.31496062992125984" footer="0.31496062992125984"/>
      <pageSetup paperSize="9" scale="50" orientation="landscape" r:id="rId1"/>
    </customSheetView>
    <customSheetView guid="{BADA99B3-B36A-4925-87A7-F72FC97D3DBA}" scale="80" showPageBreaks="1" fitToPage="1" printArea="1" view="pageBreakPreview" topLeftCell="A27">
      <selection activeCell="T43" sqref="T43"/>
      <pageMargins left="0.70866141732283472" right="0.70866141732283472" top="0.74803149606299213" bottom="0.74803149606299213" header="0.31496062992125984" footer="0.31496062992125984"/>
      <pageSetup paperSize="9" scale="50" orientation="landscape" r:id="rId2"/>
    </customSheetView>
  </customSheetViews>
  <mergeCells count="89">
    <mergeCell ref="H56:H57"/>
    <mergeCell ref="F33:F34"/>
    <mergeCell ref="G33:G34"/>
    <mergeCell ref="H33:H34"/>
    <mergeCell ref="A52:G52"/>
    <mergeCell ref="H49:H50"/>
    <mergeCell ref="F40:F41"/>
    <mergeCell ref="H40:H41"/>
    <mergeCell ref="G40:G41"/>
    <mergeCell ref="E40:E41"/>
    <mergeCell ref="D33:D34"/>
    <mergeCell ref="E33:E34"/>
    <mergeCell ref="B44:C44"/>
    <mergeCell ref="B45:C45"/>
    <mergeCell ref="A61:D62"/>
    <mergeCell ref="A55:D55"/>
    <mergeCell ref="A57:D57"/>
    <mergeCell ref="E57:F57"/>
    <mergeCell ref="A50:D50"/>
    <mergeCell ref="E50:F50"/>
    <mergeCell ref="A51:D51"/>
    <mergeCell ref="A54:D54"/>
    <mergeCell ref="E54:F54"/>
    <mergeCell ref="A60:D60"/>
    <mergeCell ref="E60:F60"/>
    <mergeCell ref="P49:P50"/>
    <mergeCell ref="Q49:Q50"/>
    <mergeCell ref="N48:O48"/>
    <mergeCell ref="P48:Q48"/>
    <mergeCell ref="L48:M48"/>
    <mergeCell ref="J48:K48"/>
    <mergeCell ref="M49:M50"/>
    <mergeCell ref="I33:I34"/>
    <mergeCell ref="I40:I41"/>
    <mergeCell ref="J40:J41"/>
    <mergeCell ref="L40:L41"/>
    <mergeCell ref="M33:M34"/>
    <mergeCell ref="L33:L34"/>
    <mergeCell ref="J33:J34"/>
    <mergeCell ref="M40:M41"/>
    <mergeCell ref="P56:P57"/>
    <mergeCell ref="Q56:Q57"/>
    <mergeCell ref="A58:D59"/>
    <mergeCell ref="N49:N50"/>
    <mergeCell ref="O49:O50"/>
    <mergeCell ref="N56:N57"/>
    <mergeCell ref="O56:O57"/>
    <mergeCell ref="J56:J57"/>
    <mergeCell ref="K56:K57"/>
    <mergeCell ref="M56:M57"/>
    <mergeCell ref="L56:L57"/>
    <mergeCell ref="J49:J50"/>
    <mergeCell ref="K49:K50"/>
    <mergeCell ref="L49:L50"/>
    <mergeCell ref="I49:I50"/>
    <mergeCell ref="I56:I57"/>
    <mergeCell ref="B7:C7"/>
    <mergeCell ref="A2:Q3"/>
    <mergeCell ref="B6:C6"/>
    <mergeCell ref="B5:D5"/>
    <mergeCell ref="D6:E6"/>
    <mergeCell ref="D7:E7"/>
    <mergeCell ref="B24:C24"/>
    <mergeCell ref="B25:C25"/>
    <mergeCell ref="B28:C28"/>
    <mergeCell ref="B29:C30"/>
    <mergeCell ref="D10:E10"/>
    <mergeCell ref="B10:C10"/>
    <mergeCell ref="B23:C23"/>
    <mergeCell ref="B17:C17"/>
    <mergeCell ref="B18:C18"/>
    <mergeCell ref="B19:C19"/>
    <mergeCell ref="B20:C20"/>
    <mergeCell ref="N1:Q1"/>
    <mergeCell ref="B43:C43"/>
    <mergeCell ref="B9:C9"/>
    <mergeCell ref="B22:C22"/>
    <mergeCell ref="B38:C38"/>
    <mergeCell ref="D9:E9"/>
    <mergeCell ref="B37:C37"/>
    <mergeCell ref="B35:C35"/>
    <mergeCell ref="B33:C34"/>
    <mergeCell ref="B40:C41"/>
    <mergeCell ref="B21:C21"/>
    <mergeCell ref="B36:C36"/>
    <mergeCell ref="B42:C42"/>
    <mergeCell ref="D40:D41"/>
    <mergeCell ref="B32:C32"/>
    <mergeCell ref="D8:E8"/>
  </mergeCells>
  <phoneticPr fontId="4"/>
  <conditionalFormatting sqref="D18:O19 D23:O24">
    <cfRule type="expression" dxfId="316" priority="1">
      <formula>D$17=""</formula>
    </cfRule>
  </conditionalFormatting>
  <dataValidations count="5">
    <dataValidation type="list" allowBlank="1" showInputMessage="1" showErrorMessage="1" sqref="D30:E30 G30:I30" xr:uid="{00000000-0002-0000-1000-000000000000}">
      <formula1>$Y$3:$Y$4</formula1>
    </dataValidation>
    <dataValidation type="list" allowBlank="1" showInputMessage="1" showErrorMessage="1" sqref="K30" xr:uid="{00000000-0002-0000-1000-000001000000}">
      <formula1>$Y$2:$Y$4</formula1>
    </dataValidation>
    <dataValidation type="list" allowBlank="1" showInputMessage="1" showErrorMessage="1" sqref="J30" xr:uid="{00000000-0002-0000-1000-000002000000}">
      <formula1>$Z$2:$Z$7</formula1>
    </dataValidation>
    <dataValidation type="list" allowBlank="1" showInputMessage="1" showErrorMessage="1" sqref="L30" xr:uid="{00000000-0002-0000-1000-000003000000}">
      <formula1>$AA$2:$AA$5</formula1>
    </dataValidation>
    <dataValidation type="whole" operator="greaterThanOrEqual" allowBlank="1" showInputMessage="1" showErrorMessage="1" sqref="F30" xr:uid="{00000000-0002-0000-1000-000004000000}">
      <formula1>0</formula1>
    </dataValidation>
  </dataValidations>
  <printOptions horizontalCentered="1"/>
  <pageMargins left="0.70866141732283472" right="0.70866141732283472" top="0.74803149606299213" bottom="0.74803149606299213" header="0.31496062992125984" footer="0.31496062992125984"/>
  <pageSetup paperSize="9" scale="52" orientation="landscap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rgb="FFFFC000"/>
  </sheetPr>
  <dimension ref="A1:P103"/>
  <sheetViews>
    <sheetView view="pageBreakPreview" topLeftCell="A2" zoomScale="85" zoomScaleNormal="100" zoomScaleSheetLayoutView="85" workbookViewId="0">
      <selection activeCell="A2" sqref="A2:I2"/>
    </sheetView>
  </sheetViews>
  <sheetFormatPr defaultRowHeight="13.5" outlineLevelCol="1"/>
  <cols>
    <col min="1" max="1" width="2.875" style="260" customWidth="1"/>
    <col min="2" max="2" width="3" style="260" customWidth="1"/>
    <col min="3" max="3" width="16.375" style="260" customWidth="1"/>
    <col min="4" max="4" width="22.75" style="260" customWidth="1"/>
    <col min="5" max="5" width="10.25" style="260" customWidth="1"/>
    <col min="6" max="6" width="8.5" style="507" customWidth="1"/>
    <col min="7" max="7" width="9.5" style="507" customWidth="1"/>
    <col min="8" max="8" width="9.625" style="507" customWidth="1"/>
    <col min="9" max="9" width="8.125" style="507" customWidth="1"/>
    <col min="10" max="10" width="6.5" style="507" customWidth="1"/>
    <col min="11" max="15" width="9" style="260" hidden="1" customWidth="1" outlineLevel="1"/>
    <col min="16" max="16" width="9" style="260" collapsed="1"/>
    <col min="17" max="257" width="9" style="260"/>
    <col min="258" max="258" width="2.875" style="260" customWidth="1"/>
    <col min="259" max="259" width="3" style="260" customWidth="1"/>
    <col min="260" max="260" width="17.75" style="260" customWidth="1"/>
    <col min="261" max="261" width="22.625" style="260" customWidth="1"/>
    <col min="262" max="262" width="8" style="260" customWidth="1"/>
    <col min="263" max="263" width="6.125" style="260" bestFit="1" customWidth="1"/>
    <col min="264" max="264" width="7.875" style="260" bestFit="1" customWidth="1"/>
    <col min="265" max="265" width="13.25" style="260" bestFit="1" customWidth="1"/>
    <col min="266" max="266" width="9" style="260" customWidth="1"/>
    <col min="267" max="513" width="9" style="260"/>
    <col min="514" max="514" width="2.875" style="260" customWidth="1"/>
    <col min="515" max="515" width="3" style="260" customWidth="1"/>
    <col min="516" max="516" width="17.75" style="260" customWidth="1"/>
    <col min="517" max="517" width="22.625" style="260" customWidth="1"/>
    <col min="518" max="518" width="8" style="260" customWidth="1"/>
    <col min="519" max="519" width="6.125" style="260" bestFit="1" customWidth="1"/>
    <col min="520" max="520" width="7.875" style="260" bestFit="1" customWidth="1"/>
    <col min="521" max="521" width="13.25" style="260" bestFit="1" customWidth="1"/>
    <col min="522" max="522" width="9" style="260" customWidth="1"/>
    <col min="523" max="769" width="9" style="260"/>
    <col min="770" max="770" width="2.875" style="260" customWidth="1"/>
    <col min="771" max="771" width="3" style="260" customWidth="1"/>
    <col min="772" max="772" width="17.75" style="260" customWidth="1"/>
    <col min="773" max="773" width="22.625" style="260" customWidth="1"/>
    <col min="774" max="774" width="8" style="260" customWidth="1"/>
    <col min="775" max="775" width="6.125" style="260" bestFit="1" customWidth="1"/>
    <col min="776" max="776" width="7.875" style="260" bestFit="1" customWidth="1"/>
    <col min="777" max="777" width="13.25" style="260" bestFit="1" customWidth="1"/>
    <col min="778" max="778" width="9" style="260" customWidth="1"/>
    <col min="779" max="1025" width="9" style="260"/>
    <col min="1026" max="1026" width="2.875" style="260" customWidth="1"/>
    <col min="1027" max="1027" width="3" style="260" customWidth="1"/>
    <col min="1028" max="1028" width="17.75" style="260" customWidth="1"/>
    <col min="1029" max="1029" width="22.625" style="260" customWidth="1"/>
    <col min="1030" max="1030" width="8" style="260" customWidth="1"/>
    <col min="1031" max="1031" width="6.125" style="260" bestFit="1" customWidth="1"/>
    <col min="1032" max="1032" width="7.875" style="260" bestFit="1" customWidth="1"/>
    <col min="1033" max="1033" width="13.25" style="260" bestFit="1" customWidth="1"/>
    <col min="1034" max="1034" width="9" style="260" customWidth="1"/>
    <col min="1035" max="1281" width="9" style="260"/>
    <col min="1282" max="1282" width="2.875" style="260" customWidth="1"/>
    <col min="1283" max="1283" width="3" style="260" customWidth="1"/>
    <col min="1284" max="1284" width="17.75" style="260" customWidth="1"/>
    <col min="1285" max="1285" width="22.625" style="260" customWidth="1"/>
    <col min="1286" max="1286" width="8" style="260" customWidth="1"/>
    <col min="1287" max="1287" width="6.125" style="260" bestFit="1" customWidth="1"/>
    <col min="1288" max="1288" width="7.875" style="260" bestFit="1" customWidth="1"/>
    <col min="1289" max="1289" width="13.25" style="260" bestFit="1" customWidth="1"/>
    <col min="1290" max="1290" width="9" style="260" customWidth="1"/>
    <col min="1291" max="1537" width="9" style="260"/>
    <col min="1538" max="1538" width="2.875" style="260" customWidth="1"/>
    <col min="1539" max="1539" width="3" style="260" customWidth="1"/>
    <col min="1540" max="1540" width="17.75" style="260" customWidth="1"/>
    <col min="1541" max="1541" width="22.625" style="260" customWidth="1"/>
    <col min="1542" max="1542" width="8" style="260" customWidth="1"/>
    <col min="1543" max="1543" width="6.125" style="260" bestFit="1" customWidth="1"/>
    <col min="1544" max="1544" width="7.875" style="260" bestFit="1" customWidth="1"/>
    <col min="1545" max="1545" width="13.25" style="260" bestFit="1" customWidth="1"/>
    <col min="1546" max="1546" width="9" style="260" customWidth="1"/>
    <col min="1547" max="1793" width="9" style="260"/>
    <col min="1794" max="1794" width="2.875" style="260" customWidth="1"/>
    <col min="1795" max="1795" width="3" style="260" customWidth="1"/>
    <col min="1796" max="1796" width="17.75" style="260" customWidth="1"/>
    <col min="1797" max="1797" width="22.625" style="260" customWidth="1"/>
    <col min="1798" max="1798" width="8" style="260" customWidth="1"/>
    <col min="1799" max="1799" width="6.125" style="260" bestFit="1" customWidth="1"/>
    <col min="1800" max="1800" width="7.875" style="260" bestFit="1" customWidth="1"/>
    <col min="1801" max="1801" width="13.25" style="260" bestFit="1" customWidth="1"/>
    <col min="1802" max="1802" width="9" style="260" customWidth="1"/>
    <col min="1803" max="2049" width="9" style="260"/>
    <col min="2050" max="2050" width="2.875" style="260" customWidth="1"/>
    <col min="2051" max="2051" width="3" style="260" customWidth="1"/>
    <col min="2052" max="2052" width="17.75" style="260" customWidth="1"/>
    <col min="2053" max="2053" width="22.625" style="260" customWidth="1"/>
    <col min="2054" max="2054" width="8" style="260" customWidth="1"/>
    <col min="2055" max="2055" width="6.125" style="260" bestFit="1" customWidth="1"/>
    <col min="2056" max="2056" width="7.875" style="260" bestFit="1" customWidth="1"/>
    <col min="2057" max="2057" width="13.25" style="260" bestFit="1" customWidth="1"/>
    <col min="2058" max="2058" width="9" style="260" customWidth="1"/>
    <col min="2059" max="2305" width="9" style="260"/>
    <col min="2306" max="2306" width="2.875" style="260" customWidth="1"/>
    <col min="2307" max="2307" width="3" style="260" customWidth="1"/>
    <col min="2308" max="2308" width="17.75" style="260" customWidth="1"/>
    <col min="2309" max="2309" width="22.625" style="260" customWidth="1"/>
    <col min="2310" max="2310" width="8" style="260" customWidth="1"/>
    <col min="2311" max="2311" width="6.125" style="260" bestFit="1" customWidth="1"/>
    <col min="2312" max="2312" width="7.875" style="260" bestFit="1" customWidth="1"/>
    <col min="2313" max="2313" width="13.25" style="260" bestFit="1" customWidth="1"/>
    <col min="2314" max="2314" width="9" style="260" customWidth="1"/>
    <col min="2315" max="2561" width="9" style="260"/>
    <col min="2562" max="2562" width="2.875" style="260" customWidth="1"/>
    <col min="2563" max="2563" width="3" style="260" customWidth="1"/>
    <col min="2564" max="2564" width="17.75" style="260" customWidth="1"/>
    <col min="2565" max="2565" width="22.625" style="260" customWidth="1"/>
    <col min="2566" max="2566" width="8" style="260" customWidth="1"/>
    <col min="2567" max="2567" width="6.125" style="260" bestFit="1" customWidth="1"/>
    <col min="2568" max="2568" width="7.875" style="260" bestFit="1" customWidth="1"/>
    <col min="2569" max="2569" width="13.25" style="260" bestFit="1" customWidth="1"/>
    <col min="2570" max="2570" width="9" style="260" customWidth="1"/>
    <col min="2571" max="2817" width="9" style="260"/>
    <col min="2818" max="2818" width="2.875" style="260" customWidth="1"/>
    <col min="2819" max="2819" width="3" style="260" customWidth="1"/>
    <col min="2820" max="2820" width="17.75" style="260" customWidth="1"/>
    <col min="2821" max="2821" width="22.625" style="260" customWidth="1"/>
    <col min="2822" max="2822" width="8" style="260" customWidth="1"/>
    <col min="2823" max="2823" width="6.125" style="260" bestFit="1" customWidth="1"/>
    <col min="2824" max="2824" width="7.875" style="260" bestFit="1" customWidth="1"/>
    <col min="2825" max="2825" width="13.25" style="260" bestFit="1" customWidth="1"/>
    <col min="2826" max="2826" width="9" style="260" customWidth="1"/>
    <col min="2827" max="3073" width="9" style="260"/>
    <col min="3074" max="3074" width="2.875" style="260" customWidth="1"/>
    <col min="3075" max="3075" width="3" style="260" customWidth="1"/>
    <col min="3076" max="3076" width="17.75" style="260" customWidth="1"/>
    <col min="3077" max="3077" width="22.625" style="260" customWidth="1"/>
    <col min="3078" max="3078" width="8" style="260" customWidth="1"/>
    <col min="3079" max="3079" width="6.125" style="260" bestFit="1" customWidth="1"/>
    <col min="3080" max="3080" width="7.875" style="260" bestFit="1" customWidth="1"/>
    <col min="3081" max="3081" width="13.25" style="260" bestFit="1" customWidth="1"/>
    <col min="3082" max="3082" width="9" style="260" customWidth="1"/>
    <col min="3083" max="3329" width="9" style="260"/>
    <col min="3330" max="3330" width="2.875" style="260" customWidth="1"/>
    <col min="3331" max="3331" width="3" style="260" customWidth="1"/>
    <col min="3332" max="3332" width="17.75" style="260" customWidth="1"/>
    <col min="3333" max="3333" width="22.625" style="260" customWidth="1"/>
    <col min="3334" max="3334" width="8" style="260" customWidth="1"/>
    <col min="3335" max="3335" width="6.125" style="260" bestFit="1" customWidth="1"/>
    <col min="3336" max="3336" width="7.875" style="260" bestFit="1" customWidth="1"/>
    <col min="3337" max="3337" width="13.25" style="260" bestFit="1" customWidth="1"/>
    <col min="3338" max="3338" width="9" style="260" customWidth="1"/>
    <col min="3339" max="3585" width="9" style="260"/>
    <col min="3586" max="3586" width="2.875" style="260" customWidth="1"/>
    <col min="3587" max="3587" width="3" style="260" customWidth="1"/>
    <col min="3588" max="3588" width="17.75" style="260" customWidth="1"/>
    <col min="3589" max="3589" width="22.625" style="260" customWidth="1"/>
    <col min="3590" max="3590" width="8" style="260" customWidth="1"/>
    <col min="3591" max="3591" width="6.125" style="260" bestFit="1" customWidth="1"/>
    <col min="3592" max="3592" width="7.875" style="260" bestFit="1" customWidth="1"/>
    <col min="3593" max="3593" width="13.25" style="260" bestFit="1" customWidth="1"/>
    <col min="3594" max="3594" width="9" style="260" customWidth="1"/>
    <col min="3595" max="3841" width="9" style="260"/>
    <col min="3842" max="3842" width="2.875" style="260" customWidth="1"/>
    <col min="3843" max="3843" width="3" style="260" customWidth="1"/>
    <col min="3844" max="3844" width="17.75" style="260" customWidth="1"/>
    <col min="3845" max="3845" width="22.625" style="260" customWidth="1"/>
    <col min="3846" max="3846" width="8" style="260" customWidth="1"/>
    <col min="3847" max="3847" width="6.125" style="260" bestFit="1" customWidth="1"/>
    <col min="3848" max="3848" width="7.875" style="260" bestFit="1" customWidth="1"/>
    <col min="3849" max="3849" width="13.25" style="260" bestFit="1" customWidth="1"/>
    <col min="3850" max="3850" width="9" style="260" customWidth="1"/>
    <col min="3851" max="4097" width="9" style="260"/>
    <col min="4098" max="4098" width="2.875" style="260" customWidth="1"/>
    <col min="4099" max="4099" width="3" style="260" customWidth="1"/>
    <col min="4100" max="4100" width="17.75" style="260" customWidth="1"/>
    <col min="4101" max="4101" width="22.625" style="260" customWidth="1"/>
    <col min="4102" max="4102" width="8" style="260" customWidth="1"/>
    <col min="4103" max="4103" width="6.125" style="260" bestFit="1" customWidth="1"/>
    <col min="4104" max="4104" width="7.875" style="260" bestFit="1" customWidth="1"/>
    <col min="4105" max="4105" width="13.25" style="260" bestFit="1" customWidth="1"/>
    <col min="4106" max="4106" width="9" style="260" customWidth="1"/>
    <col min="4107" max="4353" width="9" style="260"/>
    <col min="4354" max="4354" width="2.875" style="260" customWidth="1"/>
    <col min="4355" max="4355" width="3" style="260" customWidth="1"/>
    <col min="4356" max="4356" width="17.75" style="260" customWidth="1"/>
    <col min="4357" max="4357" width="22.625" style="260" customWidth="1"/>
    <col min="4358" max="4358" width="8" style="260" customWidth="1"/>
    <col min="4359" max="4359" width="6.125" style="260" bestFit="1" customWidth="1"/>
    <col min="4360" max="4360" width="7.875" style="260" bestFit="1" customWidth="1"/>
    <col min="4361" max="4361" width="13.25" style="260" bestFit="1" customWidth="1"/>
    <col min="4362" max="4362" width="9" style="260" customWidth="1"/>
    <col min="4363" max="4609" width="9" style="260"/>
    <col min="4610" max="4610" width="2.875" style="260" customWidth="1"/>
    <col min="4611" max="4611" width="3" style="260" customWidth="1"/>
    <col min="4612" max="4612" width="17.75" style="260" customWidth="1"/>
    <col min="4613" max="4613" width="22.625" style="260" customWidth="1"/>
    <col min="4614" max="4614" width="8" style="260" customWidth="1"/>
    <col min="4615" max="4615" width="6.125" style="260" bestFit="1" customWidth="1"/>
    <col min="4616" max="4616" width="7.875" style="260" bestFit="1" customWidth="1"/>
    <col min="4617" max="4617" width="13.25" style="260" bestFit="1" customWidth="1"/>
    <col min="4618" max="4618" width="9" style="260" customWidth="1"/>
    <col min="4619" max="4865" width="9" style="260"/>
    <col min="4866" max="4866" width="2.875" style="260" customWidth="1"/>
    <col min="4867" max="4867" width="3" style="260" customWidth="1"/>
    <col min="4868" max="4868" width="17.75" style="260" customWidth="1"/>
    <col min="4869" max="4869" width="22.625" style="260" customWidth="1"/>
    <col min="4870" max="4870" width="8" style="260" customWidth="1"/>
    <col min="4871" max="4871" width="6.125" style="260" bestFit="1" customWidth="1"/>
    <col min="4872" max="4872" width="7.875" style="260" bestFit="1" customWidth="1"/>
    <col min="4873" max="4873" width="13.25" style="260" bestFit="1" customWidth="1"/>
    <col min="4874" max="4874" width="9" style="260" customWidth="1"/>
    <col min="4875" max="5121" width="9" style="260"/>
    <col min="5122" max="5122" width="2.875" style="260" customWidth="1"/>
    <col min="5123" max="5123" width="3" style="260" customWidth="1"/>
    <col min="5124" max="5124" width="17.75" style="260" customWidth="1"/>
    <col min="5125" max="5125" width="22.625" style="260" customWidth="1"/>
    <col min="5126" max="5126" width="8" style="260" customWidth="1"/>
    <col min="5127" max="5127" width="6.125" style="260" bestFit="1" customWidth="1"/>
    <col min="5128" max="5128" width="7.875" style="260" bestFit="1" customWidth="1"/>
    <col min="5129" max="5129" width="13.25" style="260" bestFit="1" customWidth="1"/>
    <col min="5130" max="5130" width="9" style="260" customWidth="1"/>
    <col min="5131" max="5377" width="9" style="260"/>
    <col min="5378" max="5378" width="2.875" style="260" customWidth="1"/>
    <col min="5379" max="5379" width="3" style="260" customWidth="1"/>
    <col min="5380" max="5380" width="17.75" style="260" customWidth="1"/>
    <col min="5381" max="5381" width="22.625" style="260" customWidth="1"/>
    <col min="5382" max="5382" width="8" style="260" customWidth="1"/>
    <col min="5383" max="5383" width="6.125" style="260" bestFit="1" customWidth="1"/>
    <col min="5384" max="5384" width="7.875" style="260" bestFit="1" customWidth="1"/>
    <col min="5385" max="5385" width="13.25" style="260" bestFit="1" customWidth="1"/>
    <col min="5386" max="5386" width="9" style="260" customWidth="1"/>
    <col min="5387" max="5633" width="9" style="260"/>
    <col min="5634" max="5634" width="2.875" style="260" customWidth="1"/>
    <col min="5635" max="5635" width="3" style="260" customWidth="1"/>
    <col min="5636" max="5636" width="17.75" style="260" customWidth="1"/>
    <col min="5637" max="5637" width="22.625" style="260" customWidth="1"/>
    <col min="5638" max="5638" width="8" style="260" customWidth="1"/>
    <col min="5639" max="5639" width="6.125" style="260" bestFit="1" customWidth="1"/>
    <col min="5640" max="5640" width="7.875" style="260" bestFit="1" customWidth="1"/>
    <col min="5641" max="5641" width="13.25" style="260" bestFit="1" customWidth="1"/>
    <col min="5642" max="5642" width="9" style="260" customWidth="1"/>
    <col min="5643" max="5889" width="9" style="260"/>
    <col min="5890" max="5890" width="2.875" style="260" customWidth="1"/>
    <col min="5891" max="5891" width="3" style="260" customWidth="1"/>
    <col min="5892" max="5892" width="17.75" style="260" customWidth="1"/>
    <col min="5893" max="5893" width="22.625" style="260" customWidth="1"/>
    <col min="5894" max="5894" width="8" style="260" customWidth="1"/>
    <col min="5895" max="5895" width="6.125" style="260" bestFit="1" customWidth="1"/>
    <col min="5896" max="5896" width="7.875" style="260" bestFit="1" customWidth="1"/>
    <col min="5897" max="5897" width="13.25" style="260" bestFit="1" customWidth="1"/>
    <col min="5898" max="5898" width="9" style="260" customWidth="1"/>
    <col min="5899" max="6145" width="9" style="260"/>
    <col min="6146" max="6146" width="2.875" style="260" customWidth="1"/>
    <col min="6147" max="6147" width="3" style="260" customWidth="1"/>
    <col min="6148" max="6148" width="17.75" style="260" customWidth="1"/>
    <col min="6149" max="6149" width="22.625" style="260" customWidth="1"/>
    <col min="6150" max="6150" width="8" style="260" customWidth="1"/>
    <col min="6151" max="6151" width="6.125" style="260" bestFit="1" customWidth="1"/>
    <col min="6152" max="6152" width="7.875" style="260" bestFit="1" customWidth="1"/>
    <col min="6153" max="6153" width="13.25" style="260" bestFit="1" customWidth="1"/>
    <col min="6154" max="6154" width="9" style="260" customWidth="1"/>
    <col min="6155" max="6401" width="9" style="260"/>
    <col min="6402" max="6402" width="2.875" style="260" customWidth="1"/>
    <col min="6403" max="6403" width="3" style="260" customWidth="1"/>
    <col min="6404" max="6404" width="17.75" style="260" customWidth="1"/>
    <col min="6405" max="6405" width="22.625" style="260" customWidth="1"/>
    <col min="6406" max="6406" width="8" style="260" customWidth="1"/>
    <col min="6407" max="6407" width="6.125" style="260" bestFit="1" customWidth="1"/>
    <col min="6408" max="6408" width="7.875" style="260" bestFit="1" customWidth="1"/>
    <col min="6409" max="6409" width="13.25" style="260" bestFit="1" customWidth="1"/>
    <col min="6410" max="6410" width="9" style="260" customWidth="1"/>
    <col min="6411" max="6657" width="9" style="260"/>
    <col min="6658" max="6658" width="2.875" style="260" customWidth="1"/>
    <col min="6659" max="6659" width="3" style="260" customWidth="1"/>
    <col min="6660" max="6660" width="17.75" style="260" customWidth="1"/>
    <col min="6661" max="6661" width="22.625" style="260" customWidth="1"/>
    <col min="6662" max="6662" width="8" style="260" customWidth="1"/>
    <col min="6663" max="6663" width="6.125" style="260" bestFit="1" customWidth="1"/>
    <col min="6664" max="6664" width="7.875" style="260" bestFit="1" customWidth="1"/>
    <col min="6665" max="6665" width="13.25" style="260" bestFit="1" customWidth="1"/>
    <col min="6666" max="6666" width="9" style="260" customWidth="1"/>
    <col min="6667" max="6913" width="9" style="260"/>
    <col min="6914" max="6914" width="2.875" style="260" customWidth="1"/>
    <col min="6915" max="6915" width="3" style="260" customWidth="1"/>
    <col min="6916" max="6916" width="17.75" style="260" customWidth="1"/>
    <col min="6917" max="6917" width="22.625" style="260" customWidth="1"/>
    <col min="6918" max="6918" width="8" style="260" customWidth="1"/>
    <col min="6919" max="6919" width="6.125" style="260" bestFit="1" customWidth="1"/>
    <col min="6920" max="6920" width="7.875" style="260" bestFit="1" customWidth="1"/>
    <col min="6921" max="6921" width="13.25" style="260" bestFit="1" customWidth="1"/>
    <col min="6922" max="6922" width="9" style="260" customWidth="1"/>
    <col min="6923" max="7169" width="9" style="260"/>
    <col min="7170" max="7170" width="2.875" style="260" customWidth="1"/>
    <col min="7171" max="7171" width="3" style="260" customWidth="1"/>
    <col min="7172" max="7172" width="17.75" style="260" customWidth="1"/>
    <col min="7173" max="7173" width="22.625" style="260" customWidth="1"/>
    <col min="7174" max="7174" width="8" style="260" customWidth="1"/>
    <col min="7175" max="7175" width="6.125" style="260" bestFit="1" customWidth="1"/>
    <col min="7176" max="7176" width="7.875" style="260" bestFit="1" customWidth="1"/>
    <col min="7177" max="7177" width="13.25" style="260" bestFit="1" customWidth="1"/>
    <col min="7178" max="7178" width="9" style="260" customWidth="1"/>
    <col min="7179" max="7425" width="9" style="260"/>
    <col min="7426" max="7426" width="2.875" style="260" customWidth="1"/>
    <col min="7427" max="7427" width="3" style="260" customWidth="1"/>
    <col min="7428" max="7428" width="17.75" style="260" customWidth="1"/>
    <col min="7429" max="7429" width="22.625" style="260" customWidth="1"/>
    <col min="7430" max="7430" width="8" style="260" customWidth="1"/>
    <col min="7431" max="7431" width="6.125" style="260" bestFit="1" customWidth="1"/>
    <col min="7432" max="7432" width="7.875" style="260" bestFit="1" customWidth="1"/>
    <col min="7433" max="7433" width="13.25" style="260" bestFit="1" customWidth="1"/>
    <col min="7434" max="7434" width="9" style="260" customWidth="1"/>
    <col min="7435" max="7681" width="9" style="260"/>
    <col min="7682" max="7682" width="2.875" style="260" customWidth="1"/>
    <col min="7683" max="7683" width="3" style="260" customWidth="1"/>
    <col min="7684" max="7684" width="17.75" style="260" customWidth="1"/>
    <col min="7685" max="7685" width="22.625" style="260" customWidth="1"/>
    <col min="7686" max="7686" width="8" style="260" customWidth="1"/>
    <col min="7687" max="7687" width="6.125" style="260" bestFit="1" customWidth="1"/>
    <col min="7688" max="7688" width="7.875" style="260" bestFit="1" customWidth="1"/>
    <col min="7689" max="7689" width="13.25" style="260" bestFit="1" customWidth="1"/>
    <col min="7690" max="7690" width="9" style="260" customWidth="1"/>
    <col min="7691" max="7937" width="9" style="260"/>
    <col min="7938" max="7938" width="2.875" style="260" customWidth="1"/>
    <col min="7939" max="7939" width="3" style="260" customWidth="1"/>
    <col min="7940" max="7940" width="17.75" style="260" customWidth="1"/>
    <col min="7941" max="7941" width="22.625" style="260" customWidth="1"/>
    <col min="7942" max="7942" width="8" style="260" customWidth="1"/>
    <col min="7943" max="7943" width="6.125" style="260" bestFit="1" customWidth="1"/>
    <col min="7944" max="7944" width="7.875" style="260" bestFit="1" customWidth="1"/>
    <col min="7945" max="7945" width="13.25" style="260" bestFit="1" customWidth="1"/>
    <col min="7946" max="7946" width="9" style="260" customWidth="1"/>
    <col min="7947" max="8193" width="9" style="260"/>
    <col min="8194" max="8194" width="2.875" style="260" customWidth="1"/>
    <col min="8195" max="8195" width="3" style="260" customWidth="1"/>
    <col min="8196" max="8196" width="17.75" style="260" customWidth="1"/>
    <col min="8197" max="8197" width="22.625" style="260" customWidth="1"/>
    <col min="8198" max="8198" width="8" style="260" customWidth="1"/>
    <col min="8199" max="8199" width="6.125" style="260" bestFit="1" customWidth="1"/>
    <col min="8200" max="8200" width="7.875" style="260" bestFit="1" customWidth="1"/>
    <col min="8201" max="8201" width="13.25" style="260" bestFit="1" customWidth="1"/>
    <col min="8202" max="8202" width="9" style="260" customWidth="1"/>
    <col min="8203" max="8449" width="9" style="260"/>
    <col min="8450" max="8450" width="2.875" style="260" customWidth="1"/>
    <col min="8451" max="8451" width="3" style="260" customWidth="1"/>
    <col min="8452" max="8452" width="17.75" style="260" customWidth="1"/>
    <col min="8453" max="8453" width="22.625" style="260" customWidth="1"/>
    <col min="8454" max="8454" width="8" style="260" customWidth="1"/>
    <col min="8455" max="8455" width="6.125" style="260" bestFit="1" customWidth="1"/>
    <col min="8456" max="8456" width="7.875" style="260" bestFit="1" customWidth="1"/>
    <col min="8457" max="8457" width="13.25" style="260" bestFit="1" customWidth="1"/>
    <col min="8458" max="8458" width="9" style="260" customWidth="1"/>
    <col min="8459" max="8705" width="9" style="260"/>
    <col min="8706" max="8706" width="2.875" style="260" customWidth="1"/>
    <col min="8707" max="8707" width="3" style="260" customWidth="1"/>
    <col min="8708" max="8708" width="17.75" style="260" customWidth="1"/>
    <col min="8709" max="8709" width="22.625" style="260" customWidth="1"/>
    <col min="8710" max="8710" width="8" style="260" customWidth="1"/>
    <col min="8711" max="8711" width="6.125" style="260" bestFit="1" customWidth="1"/>
    <col min="8712" max="8712" width="7.875" style="260" bestFit="1" customWidth="1"/>
    <col min="8713" max="8713" width="13.25" style="260" bestFit="1" customWidth="1"/>
    <col min="8714" max="8714" width="9" style="260" customWidth="1"/>
    <col min="8715" max="8961" width="9" style="260"/>
    <col min="8962" max="8962" width="2.875" style="260" customWidth="1"/>
    <col min="8963" max="8963" width="3" style="260" customWidth="1"/>
    <col min="8964" max="8964" width="17.75" style="260" customWidth="1"/>
    <col min="8965" max="8965" width="22.625" style="260" customWidth="1"/>
    <col min="8966" max="8966" width="8" style="260" customWidth="1"/>
    <col min="8967" max="8967" width="6.125" style="260" bestFit="1" customWidth="1"/>
    <col min="8968" max="8968" width="7.875" style="260" bestFit="1" customWidth="1"/>
    <col min="8969" max="8969" width="13.25" style="260" bestFit="1" customWidth="1"/>
    <col min="8970" max="8970" width="9" style="260" customWidth="1"/>
    <col min="8971" max="9217" width="9" style="260"/>
    <col min="9218" max="9218" width="2.875" style="260" customWidth="1"/>
    <col min="9219" max="9219" width="3" style="260" customWidth="1"/>
    <col min="9220" max="9220" width="17.75" style="260" customWidth="1"/>
    <col min="9221" max="9221" width="22.625" style="260" customWidth="1"/>
    <col min="9222" max="9222" width="8" style="260" customWidth="1"/>
    <col min="9223" max="9223" width="6.125" style="260" bestFit="1" customWidth="1"/>
    <col min="9224" max="9224" width="7.875" style="260" bestFit="1" customWidth="1"/>
    <col min="9225" max="9225" width="13.25" style="260" bestFit="1" customWidth="1"/>
    <col min="9226" max="9226" width="9" style="260" customWidth="1"/>
    <col min="9227" max="9473" width="9" style="260"/>
    <col min="9474" max="9474" width="2.875" style="260" customWidth="1"/>
    <col min="9475" max="9475" width="3" style="260" customWidth="1"/>
    <col min="9476" max="9476" width="17.75" style="260" customWidth="1"/>
    <col min="9477" max="9477" width="22.625" style="260" customWidth="1"/>
    <col min="9478" max="9478" width="8" style="260" customWidth="1"/>
    <col min="9479" max="9479" width="6.125" style="260" bestFit="1" customWidth="1"/>
    <col min="9480" max="9480" width="7.875" style="260" bestFit="1" customWidth="1"/>
    <col min="9481" max="9481" width="13.25" style="260" bestFit="1" customWidth="1"/>
    <col min="9482" max="9482" width="9" style="260" customWidth="1"/>
    <col min="9483" max="9729" width="9" style="260"/>
    <col min="9730" max="9730" width="2.875" style="260" customWidth="1"/>
    <col min="9731" max="9731" width="3" style="260" customWidth="1"/>
    <col min="9732" max="9732" width="17.75" style="260" customWidth="1"/>
    <col min="9733" max="9733" width="22.625" style="260" customWidth="1"/>
    <col min="9734" max="9734" width="8" style="260" customWidth="1"/>
    <col min="9735" max="9735" width="6.125" style="260" bestFit="1" customWidth="1"/>
    <col min="9736" max="9736" width="7.875" style="260" bestFit="1" customWidth="1"/>
    <col min="9737" max="9737" width="13.25" style="260" bestFit="1" customWidth="1"/>
    <col min="9738" max="9738" width="9" style="260" customWidth="1"/>
    <col min="9739" max="9985" width="9" style="260"/>
    <col min="9986" max="9986" width="2.875" style="260" customWidth="1"/>
    <col min="9987" max="9987" width="3" style="260" customWidth="1"/>
    <col min="9988" max="9988" width="17.75" style="260" customWidth="1"/>
    <col min="9989" max="9989" width="22.625" style="260" customWidth="1"/>
    <col min="9990" max="9990" width="8" style="260" customWidth="1"/>
    <col min="9991" max="9991" width="6.125" style="260" bestFit="1" customWidth="1"/>
    <col min="9992" max="9992" width="7.875" style="260" bestFit="1" customWidth="1"/>
    <col min="9993" max="9993" width="13.25" style="260" bestFit="1" customWidth="1"/>
    <col min="9994" max="9994" width="9" style="260" customWidth="1"/>
    <col min="9995" max="10241" width="9" style="260"/>
    <col min="10242" max="10242" width="2.875" style="260" customWidth="1"/>
    <col min="10243" max="10243" width="3" style="260" customWidth="1"/>
    <col min="10244" max="10244" width="17.75" style="260" customWidth="1"/>
    <col min="10245" max="10245" width="22.625" style="260" customWidth="1"/>
    <col min="10246" max="10246" width="8" style="260" customWidth="1"/>
    <col min="10247" max="10247" width="6.125" style="260" bestFit="1" customWidth="1"/>
    <col min="10248" max="10248" width="7.875" style="260" bestFit="1" customWidth="1"/>
    <col min="10249" max="10249" width="13.25" style="260" bestFit="1" customWidth="1"/>
    <col min="10250" max="10250" width="9" style="260" customWidth="1"/>
    <col min="10251" max="10497" width="9" style="260"/>
    <col min="10498" max="10498" width="2.875" style="260" customWidth="1"/>
    <col min="10499" max="10499" width="3" style="260" customWidth="1"/>
    <col min="10500" max="10500" width="17.75" style="260" customWidth="1"/>
    <col min="10501" max="10501" width="22.625" style="260" customWidth="1"/>
    <col min="10502" max="10502" width="8" style="260" customWidth="1"/>
    <col min="10503" max="10503" width="6.125" style="260" bestFit="1" customWidth="1"/>
    <col min="10504" max="10504" width="7.875" style="260" bestFit="1" customWidth="1"/>
    <col min="10505" max="10505" width="13.25" style="260" bestFit="1" customWidth="1"/>
    <col min="10506" max="10506" width="9" style="260" customWidth="1"/>
    <col min="10507" max="10753" width="9" style="260"/>
    <col min="10754" max="10754" width="2.875" style="260" customWidth="1"/>
    <col min="10755" max="10755" width="3" style="260" customWidth="1"/>
    <col min="10756" max="10756" width="17.75" style="260" customWidth="1"/>
    <col min="10757" max="10757" width="22.625" style="260" customWidth="1"/>
    <col min="10758" max="10758" width="8" style="260" customWidth="1"/>
    <col min="10759" max="10759" width="6.125" style="260" bestFit="1" customWidth="1"/>
    <col min="10760" max="10760" width="7.875" style="260" bestFit="1" customWidth="1"/>
    <col min="10761" max="10761" width="13.25" style="260" bestFit="1" customWidth="1"/>
    <col min="10762" max="10762" width="9" style="260" customWidth="1"/>
    <col min="10763" max="11009" width="9" style="260"/>
    <col min="11010" max="11010" width="2.875" style="260" customWidth="1"/>
    <col min="11011" max="11011" width="3" style="260" customWidth="1"/>
    <col min="11012" max="11012" width="17.75" style="260" customWidth="1"/>
    <col min="11013" max="11013" width="22.625" style="260" customWidth="1"/>
    <col min="11014" max="11014" width="8" style="260" customWidth="1"/>
    <col min="11015" max="11015" width="6.125" style="260" bestFit="1" customWidth="1"/>
    <col min="11016" max="11016" width="7.875" style="260" bestFit="1" customWidth="1"/>
    <col min="11017" max="11017" width="13.25" style="260" bestFit="1" customWidth="1"/>
    <col min="11018" max="11018" width="9" style="260" customWidth="1"/>
    <col min="11019" max="11265" width="9" style="260"/>
    <col min="11266" max="11266" width="2.875" style="260" customWidth="1"/>
    <col min="11267" max="11267" width="3" style="260" customWidth="1"/>
    <col min="11268" max="11268" width="17.75" style="260" customWidth="1"/>
    <col min="11269" max="11269" width="22.625" style="260" customWidth="1"/>
    <col min="11270" max="11270" width="8" style="260" customWidth="1"/>
    <col min="11271" max="11271" width="6.125" style="260" bestFit="1" customWidth="1"/>
    <col min="11272" max="11272" width="7.875" style="260" bestFit="1" customWidth="1"/>
    <col min="11273" max="11273" width="13.25" style="260" bestFit="1" customWidth="1"/>
    <col min="11274" max="11274" width="9" style="260" customWidth="1"/>
    <col min="11275" max="11521" width="9" style="260"/>
    <col min="11522" max="11522" width="2.875" style="260" customWidth="1"/>
    <col min="11523" max="11523" width="3" style="260" customWidth="1"/>
    <col min="11524" max="11524" width="17.75" style="260" customWidth="1"/>
    <col min="11525" max="11525" width="22.625" style="260" customWidth="1"/>
    <col min="11526" max="11526" width="8" style="260" customWidth="1"/>
    <col min="11527" max="11527" width="6.125" style="260" bestFit="1" customWidth="1"/>
    <col min="11528" max="11528" width="7.875" style="260" bestFit="1" customWidth="1"/>
    <col min="11529" max="11529" width="13.25" style="260" bestFit="1" customWidth="1"/>
    <col min="11530" max="11530" width="9" style="260" customWidth="1"/>
    <col min="11531" max="11777" width="9" style="260"/>
    <col min="11778" max="11778" width="2.875" style="260" customWidth="1"/>
    <col min="11779" max="11779" width="3" style="260" customWidth="1"/>
    <col min="11780" max="11780" width="17.75" style="260" customWidth="1"/>
    <col min="11781" max="11781" width="22.625" style="260" customWidth="1"/>
    <col min="11782" max="11782" width="8" style="260" customWidth="1"/>
    <col min="11783" max="11783" width="6.125" style="260" bestFit="1" customWidth="1"/>
    <col min="11784" max="11784" width="7.875" style="260" bestFit="1" customWidth="1"/>
    <col min="11785" max="11785" width="13.25" style="260" bestFit="1" customWidth="1"/>
    <col min="11786" max="11786" width="9" style="260" customWidth="1"/>
    <col min="11787" max="12033" width="9" style="260"/>
    <col min="12034" max="12034" width="2.875" style="260" customWidth="1"/>
    <col min="12035" max="12035" width="3" style="260" customWidth="1"/>
    <col min="12036" max="12036" width="17.75" style="260" customWidth="1"/>
    <col min="12037" max="12037" width="22.625" style="260" customWidth="1"/>
    <col min="12038" max="12038" width="8" style="260" customWidth="1"/>
    <col min="12039" max="12039" width="6.125" style="260" bestFit="1" customWidth="1"/>
    <col min="12040" max="12040" width="7.875" style="260" bestFit="1" customWidth="1"/>
    <col min="12041" max="12041" width="13.25" style="260" bestFit="1" customWidth="1"/>
    <col min="12042" max="12042" width="9" style="260" customWidth="1"/>
    <col min="12043" max="12289" width="9" style="260"/>
    <col min="12290" max="12290" width="2.875" style="260" customWidth="1"/>
    <col min="12291" max="12291" width="3" style="260" customWidth="1"/>
    <col min="12292" max="12292" width="17.75" style="260" customWidth="1"/>
    <col min="12293" max="12293" width="22.625" style="260" customWidth="1"/>
    <col min="12294" max="12294" width="8" style="260" customWidth="1"/>
    <col min="12295" max="12295" width="6.125" style="260" bestFit="1" customWidth="1"/>
    <col min="12296" max="12296" width="7.875" style="260" bestFit="1" customWidth="1"/>
    <col min="12297" max="12297" width="13.25" style="260" bestFit="1" customWidth="1"/>
    <col min="12298" max="12298" width="9" style="260" customWidth="1"/>
    <col min="12299" max="12545" width="9" style="260"/>
    <col min="12546" max="12546" width="2.875" style="260" customWidth="1"/>
    <col min="12547" max="12547" width="3" style="260" customWidth="1"/>
    <col min="12548" max="12548" width="17.75" style="260" customWidth="1"/>
    <col min="12549" max="12549" width="22.625" style="260" customWidth="1"/>
    <col min="12550" max="12550" width="8" style="260" customWidth="1"/>
    <col min="12551" max="12551" width="6.125" style="260" bestFit="1" customWidth="1"/>
    <col min="12552" max="12552" width="7.875" style="260" bestFit="1" customWidth="1"/>
    <col min="12553" max="12553" width="13.25" style="260" bestFit="1" customWidth="1"/>
    <col min="12554" max="12554" width="9" style="260" customWidth="1"/>
    <col min="12555" max="12801" width="9" style="260"/>
    <col min="12802" max="12802" width="2.875" style="260" customWidth="1"/>
    <col min="12803" max="12803" width="3" style="260" customWidth="1"/>
    <col min="12804" max="12804" width="17.75" style="260" customWidth="1"/>
    <col min="12805" max="12805" width="22.625" style="260" customWidth="1"/>
    <col min="12806" max="12806" width="8" style="260" customWidth="1"/>
    <col min="12807" max="12807" width="6.125" style="260" bestFit="1" customWidth="1"/>
    <col min="12808" max="12808" width="7.875" style="260" bestFit="1" customWidth="1"/>
    <col min="12809" max="12809" width="13.25" style="260" bestFit="1" customWidth="1"/>
    <col min="12810" max="12810" width="9" style="260" customWidth="1"/>
    <col min="12811" max="13057" width="9" style="260"/>
    <col min="13058" max="13058" width="2.875" style="260" customWidth="1"/>
    <col min="13059" max="13059" width="3" style="260" customWidth="1"/>
    <col min="13060" max="13060" width="17.75" style="260" customWidth="1"/>
    <col min="13061" max="13061" width="22.625" style="260" customWidth="1"/>
    <col min="13062" max="13062" width="8" style="260" customWidth="1"/>
    <col min="13063" max="13063" width="6.125" style="260" bestFit="1" customWidth="1"/>
    <col min="13064" max="13064" width="7.875" style="260" bestFit="1" customWidth="1"/>
    <col min="13065" max="13065" width="13.25" style="260" bestFit="1" customWidth="1"/>
    <col min="13066" max="13066" width="9" style="260" customWidth="1"/>
    <col min="13067" max="13313" width="9" style="260"/>
    <col min="13314" max="13314" width="2.875" style="260" customWidth="1"/>
    <col min="13315" max="13315" width="3" style="260" customWidth="1"/>
    <col min="13316" max="13316" width="17.75" style="260" customWidth="1"/>
    <col min="13317" max="13317" width="22.625" style="260" customWidth="1"/>
    <col min="13318" max="13318" width="8" style="260" customWidth="1"/>
    <col min="13319" max="13319" width="6.125" style="260" bestFit="1" customWidth="1"/>
    <col min="13320" max="13320" width="7.875" style="260" bestFit="1" customWidth="1"/>
    <col min="13321" max="13321" width="13.25" style="260" bestFit="1" customWidth="1"/>
    <col min="13322" max="13322" width="9" style="260" customWidth="1"/>
    <col min="13323" max="13569" width="9" style="260"/>
    <col min="13570" max="13570" width="2.875" style="260" customWidth="1"/>
    <col min="13571" max="13571" width="3" style="260" customWidth="1"/>
    <col min="13572" max="13572" width="17.75" style="260" customWidth="1"/>
    <col min="13573" max="13573" width="22.625" style="260" customWidth="1"/>
    <col min="13574" max="13574" width="8" style="260" customWidth="1"/>
    <col min="13575" max="13575" width="6.125" style="260" bestFit="1" customWidth="1"/>
    <col min="13576" max="13576" width="7.875" style="260" bestFit="1" customWidth="1"/>
    <col min="13577" max="13577" width="13.25" style="260" bestFit="1" customWidth="1"/>
    <col min="13578" max="13578" width="9" style="260" customWidth="1"/>
    <col min="13579" max="13825" width="9" style="260"/>
    <col min="13826" max="13826" width="2.875" style="260" customWidth="1"/>
    <col min="13827" max="13827" width="3" style="260" customWidth="1"/>
    <col min="13828" max="13828" width="17.75" style="260" customWidth="1"/>
    <col min="13829" max="13829" width="22.625" style="260" customWidth="1"/>
    <col min="13830" max="13830" width="8" style="260" customWidth="1"/>
    <col min="13831" max="13831" width="6.125" style="260" bestFit="1" customWidth="1"/>
    <col min="13832" max="13832" width="7.875" style="260" bestFit="1" customWidth="1"/>
    <col min="13833" max="13833" width="13.25" style="260" bestFit="1" customWidth="1"/>
    <col min="13834" max="13834" width="9" style="260" customWidth="1"/>
    <col min="13835" max="14081" width="9" style="260"/>
    <col min="14082" max="14082" width="2.875" style="260" customWidth="1"/>
    <col min="14083" max="14083" width="3" style="260" customWidth="1"/>
    <col min="14084" max="14084" width="17.75" style="260" customWidth="1"/>
    <col min="14085" max="14085" width="22.625" style="260" customWidth="1"/>
    <col min="14086" max="14086" width="8" style="260" customWidth="1"/>
    <col min="14087" max="14087" width="6.125" style="260" bestFit="1" customWidth="1"/>
    <col min="14088" max="14088" width="7.875" style="260" bestFit="1" customWidth="1"/>
    <col min="14089" max="14089" width="13.25" style="260" bestFit="1" customWidth="1"/>
    <col min="14090" max="14090" width="9" style="260" customWidth="1"/>
    <col min="14091" max="14337" width="9" style="260"/>
    <col min="14338" max="14338" width="2.875" style="260" customWidth="1"/>
    <col min="14339" max="14339" width="3" style="260" customWidth="1"/>
    <col min="14340" max="14340" width="17.75" style="260" customWidth="1"/>
    <col min="14341" max="14341" width="22.625" style="260" customWidth="1"/>
    <col min="14342" max="14342" width="8" style="260" customWidth="1"/>
    <col min="14343" max="14343" width="6.125" style="260" bestFit="1" customWidth="1"/>
    <col min="14344" max="14344" width="7.875" style="260" bestFit="1" customWidth="1"/>
    <col min="14345" max="14345" width="13.25" style="260" bestFit="1" customWidth="1"/>
    <col min="14346" max="14346" width="9" style="260" customWidth="1"/>
    <col min="14347" max="14593" width="9" style="260"/>
    <col min="14594" max="14594" width="2.875" style="260" customWidth="1"/>
    <col min="14595" max="14595" width="3" style="260" customWidth="1"/>
    <col min="14596" max="14596" width="17.75" style="260" customWidth="1"/>
    <col min="14597" max="14597" width="22.625" style="260" customWidth="1"/>
    <col min="14598" max="14598" width="8" style="260" customWidth="1"/>
    <col min="14599" max="14599" width="6.125" style="260" bestFit="1" customWidth="1"/>
    <col min="14600" max="14600" width="7.875" style="260" bestFit="1" customWidth="1"/>
    <col min="14601" max="14601" width="13.25" style="260" bestFit="1" customWidth="1"/>
    <col min="14602" max="14602" width="9" style="260" customWidth="1"/>
    <col min="14603" max="14849" width="9" style="260"/>
    <col min="14850" max="14850" width="2.875" style="260" customWidth="1"/>
    <col min="14851" max="14851" width="3" style="260" customWidth="1"/>
    <col min="14852" max="14852" width="17.75" style="260" customWidth="1"/>
    <col min="14853" max="14853" width="22.625" style="260" customWidth="1"/>
    <col min="14854" max="14854" width="8" style="260" customWidth="1"/>
    <col min="14855" max="14855" width="6.125" style="260" bestFit="1" customWidth="1"/>
    <col min="14856" max="14856" width="7.875" style="260" bestFit="1" customWidth="1"/>
    <col min="14857" max="14857" width="13.25" style="260" bestFit="1" customWidth="1"/>
    <col min="14858" max="14858" width="9" style="260" customWidth="1"/>
    <col min="14859" max="15105" width="9" style="260"/>
    <col min="15106" max="15106" width="2.875" style="260" customWidth="1"/>
    <col min="15107" max="15107" width="3" style="260" customWidth="1"/>
    <col min="15108" max="15108" width="17.75" style="260" customWidth="1"/>
    <col min="15109" max="15109" width="22.625" style="260" customWidth="1"/>
    <col min="15110" max="15110" width="8" style="260" customWidth="1"/>
    <col min="15111" max="15111" width="6.125" style="260" bestFit="1" customWidth="1"/>
    <col min="15112" max="15112" width="7.875" style="260" bestFit="1" customWidth="1"/>
    <col min="15113" max="15113" width="13.25" style="260" bestFit="1" customWidth="1"/>
    <col min="15114" max="15114" width="9" style="260" customWidth="1"/>
    <col min="15115" max="15361" width="9" style="260"/>
    <col min="15362" max="15362" width="2.875" style="260" customWidth="1"/>
    <col min="15363" max="15363" width="3" style="260" customWidth="1"/>
    <col min="15364" max="15364" width="17.75" style="260" customWidth="1"/>
    <col min="15365" max="15365" width="22.625" style="260" customWidth="1"/>
    <col min="15366" max="15366" width="8" style="260" customWidth="1"/>
    <col min="15367" max="15367" width="6.125" style="260" bestFit="1" customWidth="1"/>
    <col min="15368" max="15368" width="7.875" style="260" bestFit="1" customWidth="1"/>
    <col min="15369" max="15369" width="13.25" style="260" bestFit="1" customWidth="1"/>
    <col min="15370" max="15370" width="9" style="260" customWidth="1"/>
    <col min="15371" max="15617" width="9" style="260"/>
    <col min="15618" max="15618" width="2.875" style="260" customWidth="1"/>
    <col min="15619" max="15619" width="3" style="260" customWidth="1"/>
    <col min="15620" max="15620" width="17.75" style="260" customWidth="1"/>
    <col min="15621" max="15621" width="22.625" style="260" customWidth="1"/>
    <col min="15622" max="15622" width="8" style="260" customWidth="1"/>
    <col min="15623" max="15623" width="6.125" style="260" bestFit="1" customWidth="1"/>
    <col min="15624" max="15624" width="7.875" style="260" bestFit="1" customWidth="1"/>
    <col min="15625" max="15625" width="13.25" style="260" bestFit="1" customWidth="1"/>
    <col min="15626" max="15626" width="9" style="260" customWidth="1"/>
    <col min="15627" max="15873" width="9" style="260"/>
    <col min="15874" max="15874" width="2.875" style="260" customWidth="1"/>
    <col min="15875" max="15875" width="3" style="260" customWidth="1"/>
    <col min="15876" max="15876" width="17.75" style="260" customWidth="1"/>
    <col min="15877" max="15877" width="22.625" style="260" customWidth="1"/>
    <col min="15878" max="15878" width="8" style="260" customWidth="1"/>
    <col min="15879" max="15879" width="6.125" style="260" bestFit="1" customWidth="1"/>
    <col min="15880" max="15880" width="7.875" style="260" bestFit="1" customWidth="1"/>
    <col min="15881" max="15881" width="13.25" style="260" bestFit="1" customWidth="1"/>
    <col min="15882" max="15882" width="9" style="260" customWidth="1"/>
    <col min="15883" max="16129" width="9" style="260"/>
    <col min="16130" max="16130" width="2.875" style="260" customWidth="1"/>
    <col min="16131" max="16131" width="3" style="260" customWidth="1"/>
    <col min="16132" max="16132" width="17.75" style="260" customWidth="1"/>
    <col min="16133" max="16133" width="22.625" style="260" customWidth="1"/>
    <col min="16134" max="16134" width="8" style="260" customWidth="1"/>
    <col min="16135" max="16135" width="6.125" style="260" bestFit="1" customWidth="1"/>
    <col min="16136" max="16136" width="7.875" style="260" bestFit="1" customWidth="1"/>
    <col min="16137" max="16137" width="13.25" style="260" bestFit="1" customWidth="1"/>
    <col min="16138" max="16138" width="9" style="260" customWidth="1"/>
    <col min="16139" max="16384" width="9" style="260"/>
  </cols>
  <sheetData>
    <row r="1" spans="1:13" ht="23.25" customHeight="1">
      <c r="A1" s="262" t="s">
        <v>798</v>
      </c>
      <c r="B1" s="262"/>
      <c r="C1" s="262"/>
      <c r="D1" s="262"/>
      <c r="E1" s="262"/>
      <c r="F1" s="443"/>
      <c r="G1" s="443"/>
      <c r="H1" s="1818" t="str">
        <f>CONCATENATE('入力（基本)'!G11)</f>
        <v/>
      </c>
      <c r="I1" s="1818"/>
      <c r="J1" s="987"/>
      <c r="L1" s="261" t="s">
        <v>182</v>
      </c>
      <c r="M1" s="261" t="s">
        <v>697</v>
      </c>
    </row>
    <row r="2" spans="1:13" s="294" customFormat="1" ht="31.5" customHeight="1">
      <c r="A2" s="1769" t="s">
        <v>1351</v>
      </c>
      <c r="B2" s="1769"/>
      <c r="C2" s="1769"/>
      <c r="D2" s="1769"/>
      <c r="E2" s="1769"/>
      <c r="F2" s="1769"/>
      <c r="G2" s="1769"/>
      <c r="H2" s="1769"/>
      <c r="I2" s="1769"/>
      <c r="J2" s="984"/>
      <c r="L2" s="261" t="s">
        <v>119</v>
      </c>
      <c r="M2" s="261">
        <v>1</v>
      </c>
    </row>
    <row r="3" spans="1:13" ht="19.5" customHeight="1">
      <c r="A3" s="619"/>
      <c r="B3" s="262"/>
      <c r="C3" s="262"/>
      <c r="D3" s="262"/>
      <c r="E3" s="262"/>
      <c r="F3" s="443"/>
      <c r="G3" s="443"/>
      <c r="H3" s="443"/>
      <c r="I3" s="443"/>
      <c r="J3" s="443"/>
      <c r="L3" s="261" t="s">
        <v>523</v>
      </c>
      <c r="M3" s="261">
        <v>2</v>
      </c>
    </row>
    <row r="4" spans="1:13" ht="19.5" customHeight="1">
      <c r="A4" s="619"/>
      <c r="B4" s="262"/>
      <c r="C4" s="262"/>
      <c r="D4" s="262"/>
      <c r="E4" s="1917" t="s">
        <v>792</v>
      </c>
      <c r="F4" s="1918"/>
      <c r="G4" s="1921"/>
      <c r="H4" s="1922"/>
      <c r="I4" s="1923"/>
      <c r="J4" s="991"/>
      <c r="L4" s="261"/>
      <c r="M4" s="261">
        <v>3</v>
      </c>
    </row>
    <row r="5" spans="1:13" ht="19.5" customHeight="1">
      <c r="A5" s="619"/>
      <c r="B5" s="262"/>
      <c r="C5" s="262"/>
      <c r="D5" s="262"/>
      <c r="E5" s="1919"/>
      <c r="F5" s="1920"/>
      <c r="G5" s="1924"/>
      <c r="H5" s="1925"/>
      <c r="I5" s="1926"/>
      <c r="J5" s="991"/>
      <c r="L5" s="261"/>
      <c r="M5" s="261">
        <v>4</v>
      </c>
    </row>
    <row r="6" spans="1:13" ht="19.5" customHeight="1">
      <c r="A6" s="619"/>
      <c r="B6" s="262"/>
      <c r="C6" s="262"/>
      <c r="D6" s="262"/>
      <c r="E6" s="991"/>
      <c r="F6" s="991"/>
      <c r="G6" s="991"/>
      <c r="H6" s="991"/>
      <c r="I6" s="991"/>
      <c r="J6" s="991"/>
      <c r="L6" s="261"/>
      <c r="M6" s="261">
        <v>5</v>
      </c>
    </row>
    <row r="7" spans="1:13" ht="19.5" customHeight="1">
      <c r="A7" s="619"/>
      <c r="B7" s="262"/>
      <c r="C7" s="262"/>
      <c r="D7" s="262"/>
      <c r="E7" s="262"/>
      <c r="F7" s="443"/>
      <c r="G7" s="443"/>
      <c r="H7" s="443"/>
      <c r="I7" s="443"/>
      <c r="J7" s="443"/>
    </row>
    <row r="8" spans="1:13" ht="19.5" customHeight="1">
      <c r="A8" s="445"/>
      <c r="B8" s="1927" t="s">
        <v>593</v>
      </c>
      <c r="C8" s="1928"/>
      <c r="D8" s="387">
        <f>'入力（加算）事20'!D8</f>
        <v>0</v>
      </c>
      <c r="E8" s="982"/>
      <c r="F8" s="620"/>
      <c r="G8" s="989"/>
      <c r="H8" s="462" t="s">
        <v>789</v>
      </c>
      <c r="I8" s="463">
        <v>12</v>
      </c>
      <c r="J8" s="620"/>
    </row>
    <row r="9" spans="1:13" ht="19.5" customHeight="1">
      <c r="A9" s="444"/>
      <c r="B9" s="264"/>
      <c r="C9" s="264"/>
      <c r="D9" s="264"/>
      <c r="E9" s="264"/>
      <c r="F9" s="1929" t="str">
        <f>IF(OR(SUM(F13:F16)&gt;D8*1.2),"↓警告：定員の120％を超過しています。","")</f>
        <v/>
      </c>
      <c r="G9" s="1929"/>
      <c r="H9" s="1929"/>
      <c r="I9" s="1929"/>
      <c r="J9" s="990"/>
      <c r="K9" s="507"/>
    </row>
    <row r="10" spans="1:13" ht="19.5" customHeight="1" thickBot="1">
      <c r="A10" s="1044" t="s">
        <v>669</v>
      </c>
      <c r="B10" s="262"/>
      <c r="C10" s="262"/>
      <c r="D10" s="262"/>
      <c r="E10" s="262"/>
      <c r="F10" s="1929"/>
      <c r="G10" s="1929"/>
      <c r="H10" s="1929"/>
      <c r="I10" s="1929"/>
      <c r="J10" s="990"/>
      <c r="K10" s="507"/>
    </row>
    <row r="11" spans="1:13" ht="36" customHeight="1">
      <c r="A11" s="262"/>
      <c r="B11" s="464"/>
      <c r="C11" s="1662"/>
      <c r="D11" s="1878"/>
      <c r="E11" s="463" t="s">
        <v>600</v>
      </c>
      <c r="F11" s="595" t="s">
        <v>601</v>
      </c>
      <c r="G11" s="1879" t="s">
        <v>602</v>
      </c>
      <c r="H11" s="1880"/>
      <c r="I11" s="443"/>
      <c r="J11" s="443"/>
    </row>
    <row r="12" spans="1:13" ht="33.75" customHeight="1" thickBot="1">
      <c r="A12" s="982"/>
      <c r="B12" s="986" t="s">
        <v>702</v>
      </c>
      <c r="C12" s="1662" t="s">
        <v>671</v>
      </c>
      <c r="D12" s="1878"/>
      <c r="E12" s="597"/>
      <c r="F12" s="598"/>
      <c r="G12" s="599"/>
      <c r="H12" s="600"/>
      <c r="I12" s="443"/>
      <c r="J12" s="443"/>
    </row>
    <row r="13" spans="1:13" ht="25.5" customHeight="1" thickBot="1">
      <c r="A13" s="982"/>
      <c r="B13" s="484"/>
      <c r="C13" s="1881" t="s">
        <v>870</v>
      </c>
      <c r="D13" s="1882"/>
      <c r="E13" s="621"/>
      <c r="F13" s="622">
        <f>'入力（児童数-本園)'!AB3</f>
        <v>0</v>
      </c>
      <c r="G13" s="478">
        <f>F13*1/30</f>
        <v>0</v>
      </c>
      <c r="H13" s="479">
        <f>ROUNDDOWN(G13,1)</f>
        <v>0</v>
      </c>
      <c r="I13" s="443"/>
      <c r="J13" s="443"/>
    </row>
    <row r="14" spans="1:13" ht="25.5" customHeight="1" thickBot="1">
      <c r="A14" s="982"/>
      <c r="B14" s="484"/>
      <c r="C14" s="1883" t="s">
        <v>871</v>
      </c>
      <c r="D14" s="1884"/>
      <c r="E14" s="623"/>
      <c r="F14" s="622">
        <f>'入力（児童数-本園)'!AB4</f>
        <v>0</v>
      </c>
      <c r="G14" s="478">
        <f>F14*1/20</f>
        <v>0</v>
      </c>
      <c r="H14" s="479">
        <f>ROUNDDOWN(G14,1)</f>
        <v>0</v>
      </c>
      <c r="I14" s="443"/>
      <c r="J14" s="443"/>
    </row>
    <row r="15" spans="1:13" ht="25.5" customHeight="1" thickBot="1">
      <c r="A15" s="982"/>
      <c r="B15" s="470"/>
      <c r="C15" s="1885" t="s">
        <v>872</v>
      </c>
      <c r="D15" s="1886"/>
      <c r="E15" s="475"/>
      <c r="F15" s="622">
        <f>'入力（児童数-本園)'!AB6-'入力（加算）事20'!Q19-'入力（加算）事20'!Q24</f>
        <v>0</v>
      </c>
      <c r="G15" s="478">
        <f>F15*1/6</f>
        <v>0</v>
      </c>
      <c r="H15" s="479">
        <f>ROUNDDOWN(G15,1)</f>
        <v>0</v>
      </c>
      <c r="I15" s="443"/>
      <c r="J15" s="443"/>
    </row>
    <row r="16" spans="1:13" ht="25.5" customHeight="1" thickBot="1">
      <c r="A16" s="982"/>
      <c r="B16" s="470"/>
      <c r="C16" s="1885" t="s">
        <v>873</v>
      </c>
      <c r="D16" s="1886"/>
      <c r="E16" s="475"/>
      <c r="F16" s="622">
        <f>'入力（児童数-本園)'!AB7-'入力（加算）事20'!Q18-'入力（加算）事20'!Q23</f>
        <v>0</v>
      </c>
      <c r="G16" s="478">
        <f>F16*1/3</f>
        <v>0</v>
      </c>
      <c r="H16" s="479">
        <f>ROUNDDOWN(G16,1)</f>
        <v>0</v>
      </c>
      <c r="I16" s="443"/>
      <c r="J16" s="443"/>
      <c r="K16" s="624"/>
    </row>
    <row r="17" spans="1:11" ht="25.5" customHeight="1" thickBot="1">
      <c r="A17" s="982"/>
      <c r="B17" s="470"/>
      <c r="C17" s="1876" t="s">
        <v>699</v>
      </c>
      <c r="D17" s="1877"/>
      <c r="E17" s="625" t="str">
        <f>IF(SUM('入力（加算）事20'!Q20,'入力（加算）事20'!Q25)&gt;0,CONCATENATE('入力（加算）事20'!E30),"なし")</f>
        <v>なし</v>
      </c>
      <c r="F17" s="626">
        <f>IF(E17="あり",SUM('入力（加算）事20'!Q20,'入力（加算）事20'!Q25),0)</f>
        <v>0</v>
      </c>
      <c r="G17" s="482">
        <f>IF(E17="あり",F17*1/2,0)</f>
        <v>0</v>
      </c>
      <c r="H17" s="483">
        <f>ROUNDDOWN(G17,1)</f>
        <v>0</v>
      </c>
      <c r="I17" s="443"/>
      <c r="J17" s="443"/>
      <c r="K17" s="624"/>
    </row>
    <row r="18" spans="1:11" ht="25.5" customHeight="1" thickTop="1">
      <c r="A18" s="982"/>
      <c r="B18" s="484"/>
      <c r="C18" s="1893" t="s">
        <v>1383</v>
      </c>
      <c r="D18" s="1894"/>
      <c r="E18" s="627"/>
      <c r="F18" s="605"/>
      <c r="G18" s="485"/>
      <c r="H18" s="486">
        <f>ROUND(SUM(H15:H17),0)*1.3</f>
        <v>0</v>
      </c>
      <c r="I18" s="443"/>
      <c r="J18" s="443"/>
      <c r="K18" s="624"/>
    </row>
    <row r="19" spans="1:11" ht="25.5" customHeight="1">
      <c r="A19" s="982"/>
      <c r="B19" s="981" t="s">
        <v>703</v>
      </c>
      <c r="C19" s="1662" t="s">
        <v>678</v>
      </c>
      <c r="D19" s="1878"/>
      <c r="E19" s="607" t="str">
        <f>IF(SUM('入力（児童数-本園)'!Y3:Y6)&gt;0,"あり","なし")</f>
        <v>なし</v>
      </c>
      <c r="F19" s="606"/>
      <c r="G19" s="487"/>
      <c r="H19" s="488">
        <f>IF(E19="あり",1.7,0)</f>
        <v>0</v>
      </c>
      <c r="I19" s="443"/>
      <c r="J19" s="443"/>
      <c r="K19" s="624"/>
    </row>
    <row r="20" spans="1:11" ht="25.5" customHeight="1">
      <c r="A20" s="982"/>
      <c r="B20" s="981" t="s">
        <v>704</v>
      </c>
      <c r="C20" s="1895" t="s">
        <v>647</v>
      </c>
      <c r="D20" s="1896"/>
      <c r="E20" s="607" t="str">
        <f>IF(AND('入力（加算）事20'!F30&gt;0,ISNUMBER('入力（加算）事20'!F30)),"あり","なし")</f>
        <v>なし</v>
      </c>
      <c r="F20" s="606"/>
      <c r="G20" s="487"/>
      <c r="H20" s="488" cm="1">
        <f t="array" ref="H20">IF(E20="あり",INDEX({0.5,0.5,0.6,0.7,0.8,0.8,0.9,1,1.1,1.1,1.2,1.3,1.4,1.5},MATCH('入力（加算）事20'!F30,{1,211,280,350,420,490,560,630,700,770,840,910,980,1050},1)),0)</f>
        <v>0</v>
      </c>
      <c r="I20" s="443"/>
      <c r="J20" s="443"/>
    </row>
    <row r="21" spans="1:11" ht="25.5" customHeight="1">
      <c r="A21" s="1411"/>
      <c r="B21" s="1410" t="s">
        <v>1321</v>
      </c>
      <c r="C21" s="1397" t="s">
        <v>1324</v>
      </c>
      <c r="D21" s="1412"/>
      <c r="E21" s="1442"/>
      <c r="F21" s="606"/>
      <c r="G21" s="487"/>
      <c r="H21" s="488">
        <v>0</v>
      </c>
      <c r="I21" s="443"/>
      <c r="J21" s="443"/>
    </row>
    <row r="22" spans="1:11" ht="25.5" customHeight="1">
      <c r="A22" s="982"/>
      <c r="B22" s="981" t="s">
        <v>1322</v>
      </c>
      <c r="C22" s="923" t="s">
        <v>622</v>
      </c>
      <c r="D22" s="988"/>
      <c r="E22" s="607" t="str">
        <f>IF('入力（加算）事20'!L30="配置","あり","なし")</f>
        <v>なし</v>
      </c>
      <c r="F22" s="606"/>
      <c r="G22" s="487"/>
      <c r="H22" s="924">
        <f>IF(E22="あり",0.6,0)</f>
        <v>0</v>
      </c>
      <c r="I22" s="443"/>
      <c r="J22" s="443"/>
    </row>
    <row r="23" spans="1:11" ht="25.5" customHeight="1">
      <c r="A23" s="982"/>
      <c r="B23" s="981" t="s">
        <v>682</v>
      </c>
      <c r="C23" s="1897" t="s">
        <v>701</v>
      </c>
      <c r="D23" s="1898"/>
      <c r="E23" s="607" t="str">
        <f>CONCATENATE('入力（加算）事20'!H30)</f>
        <v/>
      </c>
      <c r="F23" s="606"/>
      <c r="G23" s="487"/>
      <c r="H23" s="609">
        <f>IF(E23="あり",IF(D8&lt;=40,-1.3,-2.6),0)</f>
        <v>0</v>
      </c>
      <c r="I23" s="443"/>
      <c r="J23" s="443"/>
    </row>
    <row r="24" spans="1:11" ht="25.5" customHeight="1">
      <c r="A24" s="1411"/>
      <c r="B24" s="1413" t="s">
        <v>1323</v>
      </c>
      <c r="C24" s="1428" t="s">
        <v>1325</v>
      </c>
      <c r="D24" s="1431"/>
      <c r="E24" s="1424" t="str">
        <f>CONCATENATE('入力（加算）事20'!I30)</f>
        <v/>
      </c>
      <c r="F24" s="1425"/>
      <c r="G24" s="1426"/>
      <c r="H24" s="1427">
        <f>IF(E24="あり",-1,0)</f>
        <v>0</v>
      </c>
      <c r="I24" s="443"/>
      <c r="J24" s="443"/>
    </row>
    <row r="25" spans="1:11" ht="25.5" customHeight="1" thickBot="1">
      <c r="A25" s="982"/>
      <c r="B25" s="629" t="s">
        <v>705</v>
      </c>
      <c r="C25" s="630"/>
      <c r="D25" s="630"/>
      <c r="E25" s="631"/>
      <c r="F25" s="632"/>
      <c r="G25" s="633"/>
      <c r="H25" s="612">
        <f>IF(D8&lt;=30,4.5,IF(D8&lt;=40,4.2,5.4))</f>
        <v>4.5</v>
      </c>
      <c r="I25" s="443"/>
      <c r="J25" s="443"/>
    </row>
    <row r="26" spans="1:11" ht="25.5" customHeight="1" thickTop="1" thickBot="1">
      <c r="A26" s="982"/>
      <c r="B26" s="495" t="s">
        <v>625</v>
      </c>
      <c r="C26" s="982"/>
      <c r="D26" s="982"/>
      <c r="E26" s="982"/>
      <c r="F26" s="613"/>
      <c r="G26" s="496"/>
      <c r="H26" s="497">
        <f>SUM(H18:H25)</f>
        <v>4.5</v>
      </c>
      <c r="I26" s="443"/>
      <c r="J26" s="443"/>
    </row>
    <row r="27" spans="1:11" ht="25.5" customHeight="1" thickBot="1">
      <c r="A27" s="982"/>
      <c r="B27" s="1050" t="s">
        <v>1298</v>
      </c>
      <c r="C27" s="499"/>
      <c r="D27" s="499"/>
      <c r="E27" s="499"/>
      <c r="F27" s="576"/>
      <c r="G27" s="498"/>
      <c r="H27" s="614">
        <f>ROUND(H26,0)</f>
        <v>5</v>
      </c>
      <c r="I27" s="443"/>
      <c r="J27" s="443"/>
    </row>
    <row r="28" spans="1:11" ht="25.5" customHeight="1">
      <c r="A28" s="982"/>
      <c r="B28" s="279"/>
      <c r="C28" s="982"/>
      <c r="D28" s="982"/>
      <c r="E28" s="982"/>
      <c r="F28" s="500"/>
      <c r="G28" s="982"/>
      <c r="H28" s="982"/>
      <c r="I28" s="500"/>
      <c r="J28" s="500"/>
    </row>
    <row r="29" spans="1:11" ht="25.5" customHeight="1" thickBot="1">
      <c r="A29" s="993" t="s">
        <v>1314</v>
      </c>
      <c r="B29" s="982"/>
      <c r="C29" s="982"/>
      <c r="D29" s="982"/>
      <c r="E29" s="982"/>
      <c r="F29" s="982"/>
      <c r="G29" s="982"/>
      <c r="H29" s="982"/>
      <c r="I29" s="501"/>
      <c r="J29" s="501"/>
    </row>
    <row r="30" spans="1:11" ht="25.5" customHeight="1" thickBot="1">
      <c r="A30" s="982"/>
      <c r="B30" s="1432"/>
      <c r="C30" s="1433"/>
      <c r="D30" s="1433"/>
      <c r="E30" s="1874" t="s">
        <v>1296</v>
      </c>
      <c r="F30" s="1875"/>
      <c r="G30" s="1703" t="s">
        <v>1297</v>
      </c>
      <c r="H30" s="1704"/>
      <c r="I30" s="262"/>
      <c r="J30" s="262"/>
    </row>
    <row r="31" spans="1:11" ht="25.5" customHeight="1" thickBot="1">
      <c r="A31" s="982"/>
      <c r="B31" s="1051"/>
      <c r="C31" s="1915">
        <v>11000</v>
      </c>
      <c r="D31" s="1916"/>
      <c r="E31" s="1821">
        <f>C31*H27</f>
        <v>55000</v>
      </c>
      <c r="F31" s="1822"/>
      <c r="G31" s="1705">
        <f>E31*I8</f>
        <v>660000</v>
      </c>
      <c r="H31" s="1706"/>
      <c r="I31" s="262"/>
      <c r="J31" s="262"/>
    </row>
    <row r="32" spans="1:11" ht="25.5" customHeight="1">
      <c r="A32" s="982"/>
      <c r="B32" s="982"/>
      <c r="C32" s="982"/>
      <c r="D32" s="982"/>
      <c r="E32" s="982"/>
      <c r="F32" s="982"/>
      <c r="G32" s="982"/>
      <c r="H32" s="982"/>
      <c r="I32" s="505"/>
      <c r="J32" s="505"/>
    </row>
    <row r="33" spans="1:11" ht="25.5" customHeight="1">
      <c r="A33" s="993"/>
      <c r="B33" s="262"/>
      <c r="C33" s="262"/>
      <c r="D33" s="262"/>
      <c r="E33" s="262"/>
      <c r="F33" s="443"/>
      <c r="G33" s="443"/>
      <c r="H33" s="443"/>
      <c r="I33" s="443"/>
      <c r="J33" s="443"/>
    </row>
    <row r="34" spans="1:11" ht="33.75" customHeight="1">
      <c r="F34" s="260"/>
      <c r="G34" s="260"/>
      <c r="H34" s="260"/>
      <c r="I34" s="260"/>
      <c r="J34" s="260"/>
      <c r="K34" s="443"/>
    </row>
    <row r="35" spans="1:11" ht="33.75" customHeight="1">
      <c r="F35" s="260"/>
      <c r="G35" s="260"/>
      <c r="H35" s="260"/>
      <c r="I35" s="260"/>
      <c r="J35" s="260"/>
      <c r="K35" s="262"/>
    </row>
    <row r="36" spans="1:11" ht="33.75" customHeight="1">
      <c r="F36" s="260"/>
      <c r="G36" s="260"/>
      <c r="H36" s="260"/>
      <c r="I36" s="260"/>
      <c r="J36" s="260"/>
    </row>
    <row r="37" spans="1:11" ht="33.75" customHeight="1">
      <c r="F37" s="260"/>
      <c r="G37" s="260"/>
      <c r="H37" s="260"/>
      <c r="I37" s="260"/>
      <c r="J37" s="260"/>
    </row>
    <row r="38" spans="1:11" ht="33.75" customHeight="1">
      <c r="F38" s="260"/>
      <c r="G38" s="260"/>
      <c r="H38" s="260"/>
      <c r="I38" s="260"/>
      <c r="J38" s="260"/>
    </row>
    <row r="39" spans="1:11" ht="33.75" customHeight="1">
      <c r="F39" s="260"/>
      <c r="G39" s="260"/>
      <c r="H39" s="260"/>
      <c r="I39" s="260"/>
      <c r="J39" s="260"/>
    </row>
    <row r="40" spans="1:11" ht="33.75" customHeight="1">
      <c r="F40" s="260"/>
      <c r="G40" s="260"/>
      <c r="H40" s="260"/>
      <c r="I40" s="260"/>
      <c r="J40" s="260"/>
    </row>
    <row r="41" spans="1:11" ht="33.75" customHeight="1">
      <c r="F41" s="260"/>
      <c r="G41" s="260"/>
      <c r="H41" s="260"/>
      <c r="I41" s="260"/>
      <c r="J41" s="260"/>
    </row>
    <row r="42" spans="1:11" ht="33.75" customHeight="1">
      <c r="F42" s="260"/>
      <c r="G42" s="260"/>
      <c r="H42" s="260"/>
      <c r="I42" s="260"/>
      <c r="J42" s="260"/>
    </row>
    <row r="43" spans="1:11" ht="20.25" customHeight="1">
      <c r="F43" s="260"/>
      <c r="G43" s="260"/>
      <c r="H43" s="260"/>
      <c r="I43" s="260"/>
      <c r="J43" s="260"/>
    </row>
    <row r="44" spans="1:11" ht="20.25" customHeight="1">
      <c r="F44" s="260"/>
      <c r="G44" s="260"/>
      <c r="H44" s="260"/>
      <c r="I44" s="260"/>
      <c r="J44" s="260"/>
    </row>
    <row r="45" spans="1:11" ht="20.25" customHeight="1">
      <c r="F45" s="260"/>
      <c r="G45" s="260"/>
      <c r="H45" s="260"/>
      <c r="I45" s="260"/>
      <c r="J45" s="260"/>
    </row>
    <row r="46" spans="1:11" ht="20.25" customHeight="1">
      <c r="F46" s="260"/>
      <c r="G46" s="260"/>
      <c r="H46" s="260"/>
      <c r="I46" s="260"/>
      <c r="J46" s="260"/>
    </row>
    <row r="47" spans="1:11" ht="20.25" customHeight="1">
      <c r="F47" s="260"/>
      <c r="G47" s="260"/>
      <c r="H47" s="260"/>
      <c r="I47" s="260"/>
      <c r="J47" s="260"/>
    </row>
    <row r="48" spans="1:11" ht="20.25" customHeight="1">
      <c r="F48" s="260"/>
      <c r="G48" s="260"/>
      <c r="H48" s="260"/>
      <c r="I48" s="260"/>
      <c r="J48" s="260"/>
    </row>
    <row r="49" s="260" customFormat="1" ht="20.25" customHeight="1"/>
    <row r="50" s="260" customFormat="1" ht="20.25" customHeight="1"/>
    <row r="51" s="260" customFormat="1" ht="20.25" customHeight="1"/>
    <row r="52" s="260" customFormat="1" ht="20.25" customHeight="1"/>
    <row r="53" s="260" customFormat="1" ht="20.25" customHeight="1"/>
    <row r="54" s="260" customFormat="1" ht="20.25" customHeight="1"/>
    <row r="55" s="260" customFormat="1" ht="20.25" customHeight="1"/>
    <row r="56" s="260" customFormat="1" ht="20.25" customHeight="1"/>
    <row r="57" s="260" customFormat="1" ht="20.25" customHeight="1"/>
    <row r="58" s="260" customFormat="1" ht="20.25" customHeight="1"/>
    <row r="59" s="260" customFormat="1" ht="20.25" customHeight="1"/>
    <row r="60" s="260" customFormat="1" ht="20.25" customHeight="1"/>
    <row r="61" s="260" customFormat="1" ht="20.25" customHeight="1"/>
    <row r="62" s="260" customFormat="1" ht="20.25" customHeight="1"/>
    <row r="63" s="260" customFormat="1" ht="20.25" customHeight="1"/>
    <row r="64" s="260" customFormat="1" ht="20.25" customHeight="1"/>
    <row r="65" s="260" customFormat="1" ht="20.25" customHeight="1"/>
    <row r="66" s="260" customFormat="1" ht="20.25" customHeight="1"/>
    <row r="67" s="260" customFormat="1" ht="20.25" customHeight="1"/>
    <row r="68" s="260" customFormat="1" ht="20.25" customHeight="1"/>
    <row r="69" s="260" customFormat="1" ht="20.25" customHeight="1"/>
    <row r="70" s="260" customFormat="1" ht="20.25" customHeight="1"/>
    <row r="71" s="260" customFormat="1" ht="20.25" customHeight="1"/>
    <row r="72" s="260" customFormat="1" ht="20.25" customHeight="1"/>
    <row r="73" s="260" customFormat="1" ht="20.25" customHeight="1"/>
    <row r="74" s="260" customFormat="1" ht="20.25" customHeight="1"/>
    <row r="75" s="260" customFormat="1" ht="20.25" customHeight="1"/>
    <row r="76" s="260" customFormat="1" ht="20.25" customHeight="1"/>
    <row r="77" s="260" customFormat="1" ht="20.25" customHeight="1"/>
    <row r="78" s="260" customFormat="1" ht="20.25" customHeight="1"/>
    <row r="79" s="260" customFormat="1" ht="20.25" customHeight="1"/>
    <row r="80" s="260" customFormat="1" ht="20.25" customHeight="1"/>
    <row r="81" s="260" customFormat="1" ht="20.25" customHeight="1"/>
    <row r="82" s="260" customFormat="1" ht="20.25" customHeight="1"/>
    <row r="83" s="260" customFormat="1" ht="20.25" customHeight="1"/>
    <row r="84" s="260" customFormat="1" ht="20.25" customHeight="1"/>
    <row r="85" s="260" customFormat="1" ht="20.25" customHeight="1"/>
    <row r="86" s="260" customFormat="1" ht="20.25" customHeight="1"/>
    <row r="87" s="260" customFormat="1" ht="20.25" customHeight="1"/>
    <row r="88" s="260" customFormat="1" ht="20.25" customHeight="1"/>
    <row r="89" s="260" customFormat="1" ht="20.25" customHeight="1"/>
    <row r="90" s="260" customFormat="1" ht="20.25" customHeight="1"/>
    <row r="91" s="260" customFormat="1" ht="20.25" customHeight="1"/>
    <row r="92" s="260" customFormat="1" ht="20.25" customHeight="1"/>
    <row r="93" s="260" customFormat="1" ht="20.25" customHeight="1"/>
    <row r="94" s="260" customFormat="1" ht="20.25" customHeight="1"/>
    <row r="95" s="260" customFormat="1" ht="20.25" customHeight="1"/>
    <row r="96" s="260" customFormat="1" ht="20.25" customHeight="1"/>
    <row r="97" spans="6:10" ht="20.25" customHeight="1">
      <c r="F97" s="260"/>
      <c r="G97" s="260"/>
      <c r="H97" s="260"/>
      <c r="I97" s="260"/>
      <c r="J97" s="260"/>
    </row>
    <row r="98" spans="6:10" ht="20.25" customHeight="1">
      <c r="F98" s="260"/>
      <c r="G98" s="260"/>
      <c r="H98" s="260"/>
      <c r="I98" s="260"/>
      <c r="J98" s="260"/>
    </row>
    <row r="99" spans="6:10" ht="20.25" customHeight="1"/>
    <row r="100" spans="6:10" ht="20.25" customHeight="1"/>
    <row r="101" spans="6:10" ht="20.25" customHeight="1"/>
    <row r="102" spans="6:10" ht="20.25" customHeight="1"/>
    <row r="103" spans="6:10" ht="20.25" customHeight="1"/>
  </sheetData>
  <sheetProtection algorithmName="SHA-512" hashValue="BD+F35Lq/SmP8BhXwyUFWisVoLmWatvt0fjFmHzWPi8Gj30L+iFrCSaqZhGoKsTdZHUkJ7fZe8lfJYN1gYDh+A==" saltValue="zaDkhxT9aDWwC6XwiotcUg==" spinCount="100000" sheet="1" objects="1" scenarios="1"/>
  <customSheetViews>
    <customSheetView guid="{2E52E5FF-9846-4DC5-A671-268FE925398C}" scale="90" showPageBreaks="1" printArea="1" view="pageBreakPreview" topLeftCell="A19">
      <selection activeCell="J40" sqref="J40"/>
      <pageMargins left="0.7" right="0.7" top="0.75" bottom="0.75" header="0.3" footer="0.3"/>
      <pageSetup paperSize="9" scale="85" orientation="portrait" r:id="rId1"/>
    </customSheetView>
    <customSheetView guid="{BADA99B3-B36A-4925-87A7-F72FC97D3DBA}" scale="90" showPageBreaks="1" printArea="1" view="pageBreakPreview" topLeftCell="A19">
      <selection activeCell="J40" sqref="J40"/>
      <pageMargins left="0.7" right="0.7" top="0.75" bottom="0.75" header="0.3" footer="0.3"/>
      <pageSetup paperSize="9" scale="85" orientation="portrait" r:id="rId2"/>
    </customSheetView>
  </customSheetViews>
  <mergeCells count="23">
    <mergeCell ref="H1:I1"/>
    <mergeCell ref="A2:I2"/>
    <mergeCell ref="E4:F5"/>
    <mergeCell ref="G4:I5"/>
    <mergeCell ref="C23:D23"/>
    <mergeCell ref="B8:C8"/>
    <mergeCell ref="C15:D15"/>
    <mergeCell ref="F9:I10"/>
    <mergeCell ref="C11:D11"/>
    <mergeCell ref="G11:H11"/>
    <mergeCell ref="C12:D12"/>
    <mergeCell ref="C13:D13"/>
    <mergeCell ref="C14:D14"/>
    <mergeCell ref="C16:D16"/>
    <mergeCell ref="C17:D17"/>
    <mergeCell ref="C18:D18"/>
    <mergeCell ref="C19:D19"/>
    <mergeCell ref="C20:D20"/>
    <mergeCell ref="E30:F30"/>
    <mergeCell ref="G30:H30"/>
    <mergeCell ref="E31:F31"/>
    <mergeCell ref="G31:H31"/>
    <mergeCell ref="C31:D31"/>
  </mergeCells>
  <phoneticPr fontId="60"/>
  <dataValidations count="3">
    <dataValidation type="list" allowBlank="1" showInputMessage="1" showErrorMessage="1" sqref="WLR983057:WLR983059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E65546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E131082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E196618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E262154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E327690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E393226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E458762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E524298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E589834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E655370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E720906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E786442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E851978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E917514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E983050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WVN983057:WVN983059 JB20:JB25 SX20:SX25 ACT20:ACT25 AMP20:AMP25 AWL20:AWL25 BGH20:BGH25 BQD20:BQD25 BZZ20:BZZ25 CJV20:CJV25 CTR20:CTR25 DDN20:DDN25 DNJ20:DNJ25 DXF20:DXF25 EHB20:EHB25 EQX20:EQX25 FAT20:FAT25 FKP20:FKP25 FUL20:FUL25 GEH20:GEH25 GOD20:GOD25 GXZ20:GXZ25 HHV20:HHV25 HRR20:HRR25 IBN20:IBN25 ILJ20:ILJ25 IVF20:IVF25 JFB20:JFB25 JOX20:JOX25 JYT20:JYT25 KIP20:KIP25 KSL20:KSL25 LCH20:LCH25 LMD20:LMD25 LVZ20:LVZ25 MFV20:MFV25 MPR20:MPR25 MZN20:MZN25 NJJ20:NJJ25 NTF20:NTF25 ODB20:ODB25 OMX20:OMX25 OWT20:OWT25 PGP20:PGP25 PQL20:PQL25 QAH20:QAH25 QKD20:QKD25 QTZ20:QTZ25 RDV20:RDV25 RNR20:RNR25 RXN20:RXN25 SHJ20:SHJ25 SRF20:SRF25 TBB20:TBB25 TKX20:TKX25 TUT20:TUT25 UEP20:UEP25 UOL20:UOL25 UYH20:UYH25 VID20:VID25 VRZ20:VRZ25 WBV20:WBV25 WLR20:WLR25 WVN20:WVN25 E65548:E65550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E131084:E131086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E196620:E196622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E262156:E262158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E327692:E327694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E393228:E393230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E458764:E458766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E524300:E524302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E589836:E589838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E655372:E655374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E720908:E720910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E786444:E786446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E851980:E851982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E917516:E917518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E983052:E983054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xr:uid="{00000000-0002-0000-2C00-000000000000}">
      <formula1>"　,あり,なし"</formula1>
    </dataValidation>
    <dataValidation type="list" errorStyle="warning" showInputMessage="1" showErrorMessage="1" sqref="F17" xr:uid="{00000000-0002-0000-2C00-000001000000}">
      <formula1>$M$2:$M$6</formula1>
    </dataValidation>
    <dataValidation type="list" errorStyle="warning" showInputMessage="1" showErrorMessage="1" sqref="E19:E24 E17" xr:uid="{00000000-0002-0000-2C00-000002000000}">
      <formula1>$L$2:$L$6</formula1>
    </dataValidation>
  </dataValidations>
  <pageMargins left="0.7" right="0.7" top="0.75" bottom="0.75" header="0.3" footer="0.3"/>
  <pageSetup paperSize="9" scale="83"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7B57C-73E0-4BAA-A90B-383A8F9C5F67}">
  <sheetPr>
    <tabColor theme="1"/>
  </sheetPr>
  <dimension ref="A1"/>
  <sheetViews>
    <sheetView workbookViewId="0">
      <selection activeCell="U33" sqref="U33"/>
    </sheetView>
  </sheetViews>
  <sheetFormatPr defaultRowHeight="13.5"/>
  <sheetData/>
  <sheetProtection algorithmName="SHA-512" hashValue="eGjCcrrLILESlygGh7BZmYhhjTziY1DRfs+LDMGgU3k4eQTsOLwh1g5gCRSktjjwMPf0xHT4q1nCxqRim9A0/Q==" saltValue="nN3G5U30LOcfbB2q8I2pyA==" spinCount="100000" sheet="1" objects="1" scenarios="1"/>
  <phoneticPr fontId="6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theme="6" tint="0.59999389629810485"/>
  </sheetPr>
  <dimension ref="A1:AC58"/>
  <sheetViews>
    <sheetView view="pageBreakPreview" zoomScale="55" zoomScaleNormal="70" zoomScaleSheetLayoutView="55" workbookViewId="0">
      <selection activeCell="E17" sqref="E17"/>
    </sheetView>
  </sheetViews>
  <sheetFormatPr defaultColWidth="8.875" defaultRowHeight="17.25" outlineLevelCol="1"/>
  <cols>
    <col min="1" max="1" width="11.875" style="659" customWidth="1"/>
    <col min="2" max="17" width="15.625" style="659" customWidth="1"/>
    <col min="18" max="20" width="15.625" style="659" hidden="1" customWidth="1" outlineLevel="1"/>
    <col min="21" max="28" width="8.875" style="659" hidden="1" customWidth="1" outlineLevel="1"/>
    <col min="29" max="29" width="8.875" style="659" collapsed="1"/>
    <col min="30" max="16384" width="8.875" style="659"/>
  </cols>
  <sheetData>
    <row r="1" spans="1:28" ht="20.100000000000001" customHeight="1" thickBot="1">
      <c r="A1" s="796" t="str">
        <f ca="1">RIGHT(CELL("filename",A4),LEN(CELL("filename",A4))-FIND("]",CELL("filename",A4)))</f>
        <v>入力（加算）家</v>
      </c>
      <c r="B1" s="658"/>
      <c r="C1" s="658"/>
      <c r="D1" s="658"/>
      <c r="E1" s="658"/>
      <c r="F1" s="658"/>
      <c r="G1" s="658"/>
      <c r="H1" s="658"/>
      <c r="I1" s="658"/>
      <c r="J1" s="658"/>
      <c r="K1" s="658"/>
      <c r="L1" s="658"/>
      <c r="M1" s="658"/>
      <c r="N1" s="1777" t="str">
        <f>CONCATENATE('入力（基本)'!G11)</f>
        <v/>
      </c>
      <c r="O1" s="1777"/>
      <c r="P1" s="1777"/>
      <c r="Q1" s="1777"/>
      <c r="W1" s="663" t="s">
        <v>134</v>
      </c>
      <c r="X1" s="795" t="s">
        <v>184</v>
      </c>
      <c r="Y1" s="662" t="s">
        <v>182</v>
      </c>
      <c r="Z1" s="663" t="s">
        <v>521</v>
      </c>
      <c r="AA1" s="663" t="s">
        <v>181</v>
      </c>
      <c r="AB1" s="662" t="s">
        <v>180</v>
      </c>
    </row>
    <row r="2" spans="1:28" ht="20.100000000000001" customHeight="1" thickBot="1">
      <c r="A2" s="1850" t="s">
        <v>869</v>
      </c>
      <c r="B2" s="1850"/>
      <c r="C2" s="1850"/>
      <c r="D2" s="1850"/>
      <c r="E2" s="1850"/>
      <c r="F2" s="1850"/>
      <c r="G2" s="1850"/>
      <c r="H2" s="1850"/>
      <c r="I2" s="1850"/>
      <c r="J2" s="1850"/>
      <c r="K2" s="1850"/>
      <c r="L2" s="1850"/>
      <c r="M2" s="1850"/>
      <c r="N2" s="1850"/>
      <c r="O2" s="1850"/>
      <c r="P2" s="1850"/>
      <c r="Q2" s="1850"/>
      <c r="W2" s="797"/>
      <c r="X2" s="798">
        <f>IF(ISERROR(VLOOKUP($D$10,$W$3:$X$14,2,FALSE)+1-VLOOKUP($D$9,$W$3:$X$14,2,FALSE)),0,VLOOKUP($D$10,$W$3:$X$14,2,FALSE)+1-VLOOKUP($D$9,$W$3:$X$14,2,FALSE))</f>
        <v>12</v>
      </c>
      <c r="Y2" s="662"/>
      <c r="Z2" s="663"/>
      <c r="AA2" s="663"/>
      <c r="AB2" s="662"/>
    </row>
    <row r="3" spans="1:28" ht="20.100000000000001" customHeight="1">
      <c r="A3" s="1850"/>
      <c r="B3" s="1850"/>
      <c r="C3" s="1850"/>
      <c r="D3" s="1850"/>
      <c r="E3" s="1850"/>
      <c r="F3" s="1850"/>
      <c r="G3" s="1850"/>
      <c r="H3" s="1850"/>
      <c r="I3" s="1850"/>
      <c r="J3" s="1850"/>
      <c r="K3" s="1850"/>
      <c r="L3" s="1850"/>
      <c r="M3" s="1850"/>
      <c r="N3" s="1850"/>
      <c r="O3" s="1850"/>
      <c r="P3" s="1850"/>
      <c r="Q3" s="1850"/>
      <c r="W3" s="660">
        <v>4</v>
      </c>
      <c r="X3" s="661">
        <v>1</v>
      </c>
      <c r="Y3" s="662" t="s">
        <v>18</v>
      </c>
      <c r="Z3" s="663" t="s">
        <v>519</v>
      </c>
      <c r="AA3" s="172">
        <v>3</v>
      </c>
      <c r="AB3" s="173">
        <v>6.3</v>
      </c>
    </row>
    <row r="4" spans="1:28" ht="20.100000000000001" customHeight="1">
      <c r="A4" s="658"/>
      <c r="B4" s="658"/>
      <c r="C4" s="658"/>
      <c r="D4" s="658"/>
      <c r="E4" s="658"/>
      <c r="F4" s="658"/>
      <c r="G4" s="658"/>
      <c r="H4" s="658"/>
      <c r="I4" s="658"/>
      <c r="J4" s="658"/>
      <c r="K4" s="658"/>
      <c r="L4" s="658"/>
      <c r="M4" s="658"/>
      <c r="N4" s="658"/>
      <c r="O4" s="658"/>
      <c r="P4" s="658"/>
      <c r="Q4" s="658"/>
      <c r="W4" s="660">
        <v>5</v>
      </c>
      <c r="X4" s="661">
        <v>2</v>
      </c>
      <c r="Y4" s="662" t="s">
        <v>19</v>
      </c>
      <c r="Z4" s="663" t="s">
        <v>522</v>
      </c>
      <c r="AA4" s="172">
        <v>4</v>
      </c>
      <c r="AB4" s="173">
        <v>4.3</v>
      </c>
    </row>
    <row r="5" spans="1:28" ht="20.100000000000001" customHeight="1">
      <c r="A5" s="658"/>
      <c r="B5" s="1718" t="s">
        <v>831</v>
      </c>
      <c r="C5" s="1718"/>
      <c r="D5" s="1718"/>
      <c r="E5" s="658"/>
      <c r="F5" s="973"/>
      <c r="G5" s="973"/>
      <c r="H5" s="973"/>
      <c r="I5" s="973"/>
      <c r="J5" s="973"/>
      <c r="K5" s="853" t="s">
        <v>122</v>
      </c>
      <c r="L5" s="658"/>
      <c r="N5" s="973"/>
      <c r="O5" s="973"/>
      <c r="P5" s="973"/>
      <c r="Q5" s="973"/>
      <c r="W5" s="660">
        <v>6</v>
      </c>
      <c r="X5" s="661">
        <v>3</v>
      </c>
      <c r="Z5" s="663" t="s">
        <v>520</v>
      </c>
      <c r="AA5" s="174">
        <v>5</v>
      </c>
      <c r="AB5" s="175">
        <v>2.4</v>
      </c>
    </row>
    <row r="6" spans="1:28" ht="27.75" customHeight="1">
      <c r="A6" s="658"/>
      <c r="B6" s="1849" t="s">
        <v>3</v>
      </c>
      <c r="C6" s="1849"/>
      <c r="D6" s="1534"/>
      <c r="E6" s="1534"/>
      <c r="F6" s="973"/>
      <c r="G6" s="973"/>
      <c r="H6" s="973"/>
      <c r="I6" s="973"/>
      <c r="J6" s="973"/>
      <c r="K6" s="806" t="s">
        <v>123</v>
      </c>
      <c r="L6" s="658" t="s">
        <v>120</v>
      </c>
      <c r="M6" s="658"/>
      <c r="N6" s="973"/>
      <c r="O6" s="973"/>
      <c r="P6" s="973"/>
      <c r="Q6" s="973"/>
      <c r="W6" s="660">
        <v>7</v>
      </c>
      <c r="X6" s="661">
        <v>4</v>
      </c>
      <c r="AA6" s="172">
        <v>6</v>
      </c>
      <c r="AB6" s="173">
        <v>1.1000000000000001</v>
      </c>
    </row>
    <row r="7" spans="1:28" ht="27.75" customHeight="1">
      <c r="A7" s="658"/>
      <c r="B7" s="1849" t="s">
        <v>4</v>
      </c>
      <c r="C7" s="1849"/>
      <c r="D7" s="1941" t="s">
        <v>236</v>
      </c>
      <c r="E7" s="1941"/>
      <c r="F7" s="973"/>
      <c r="G7" s="973"/>
      <c r="H7" s="973"/>
      <c r="I7" s="973"/>
      <c r="J7" s="973"/>
      <c r="K7" s="807" t="s">
        <v>124</v>
      </c>
      <c r="L7" s="796" t="s">
        <v>125</v>
      </c>
      <c r="M7" s="658"/>
      <c r="N7" s="973"/>
      <c r="O7" s="973"/>
      <c r="P7" s="973"/>
      <c r="Q7" s="973"/>
      <c r="W7" s="660">
        <v>8</v>
      </c>
      <c r="X7" s="661">
        <v>5</v>
      </c>
    </row>
    <row r="8" spans="1:28" ht="27.75" customHeight="1">
      <c r="A8" s="658"/>
      <c r="B8" s="1141" t="s">
        <v>2</v>
      </c>
      <c r="C8" s="1141" t="s">
        <v>88</v>
      </c>
      <c r="D8" s="1594">
        <f>'入力（基本)'!G14</f>
        <v>0</v>
      </c>
      <c r="E8" s="1594"/>
      <c r="F8" s="973"/>
      <c r="G8" s="973"/>
      <c r="H8" s="973"/>
      <c r="I8" s="973"/>
      <c r="J8" s="973"/>
      <c r="L8" s="658"/>
      <c r="M8" s="658"/>
      <c r="N8" s="973"/>
      <c r="O8" s="973"/>
      <c r="P8" s="973"/>
      <c r="Q8" s="973"/>
      <c r="W8" s="660">
        <v>9</v>
      </c>
      <c r="X8" s="661">
        <v>6</v>
      </c>
    </row>
    <row r="9" spans="1:28" ht="27.75" customHeight="1">
      <c r="A9" s="658"/>
      <c r="B9" s="1849" t="s">
        <v>134</v>
      </c>
      <c r="C9" s="1849"/>
      <c r="D9" s="1836">
        <v>4</v>
      </c>
      <c r="E9" s="1836"/>
      <c r="F9" s="973"/>
      <c r="G9" s="973"/>
      <c r="H9" s="973"/>
      <c r="I9" s="973"/>
      <c r="J9" s="973"/>
      <c r="K9" s="658"/>
      <c r="L9" s="658"/>
      <c r="M9" s="658"/>
      <c r="N9" s="973"/>
      <c r="O9" s="973"/>
      <c r="P9" s="973"/>
      <c r="Q9" s="973"/>
      <c r="W9" s="660">
        <v>10</v>
      </c>
      <c r="X9" s="661">
        <v>7</v>
      </c>
    </row>
    <row r="10" spans="1:28" ht="27.75" customHeight="1">
      <c r="A10" s="658"/>
      <c r="B10" s="1849" t="s">
        <v>223</v>
      </c>
      <c r="C10" s="1849"/>
      <c r="D10" s="1836">
        <v>3</v>
      </c>
      <c r="E10" s="1836"/>
      <c r="F10" s="973"/>
      <c r="G10" s="973"/>
      <c r="H10" s="973"/>
      <c r="I10" s="973"/>
      <c r="J10" s="973"/>
      <c r="K10" s="658"/>
      <c r="L10" s="658"/>
      <c r="M10" s="658"/>
      <c r="N10" s="973"/>
      <c r="O10" s="973"/>
      <c r="P10" s="973"/>
      <c r="Q10" s="973"/>
      <c r="W10" s="660">
        <v>11</v>
      </c>
      <c r="X10" s="661">
        <v>8</v>
      </c>
    </row>
    <row r="11" spans="1:28" ht="20.100000000000001" customHeight="1">
      <c r="A11" s="658"/>
      <c r="B11" s="403"/>
      <c r="C11" s="403"/>
      <c r="D11" s="876"/>
      <c r="E11" s="876"/>
      <c r="F11" s="973"/>
      <c r="G11" s="973"/>
      <c r="H11" s="973"/>
      <c r="I11" s="973"/>
      <c r="J11" s="973"/>
      <c r="K11" s="658"/>
      <c r="L11" s="658"/>
      <c r="M11" s="658"/>
      <c r="N11" s="973"/>
      <c r="O11" s="973"/>
      <c r="P11" s="973"/>
      <c r="Q11" s="973"/>
      <c r="W11" s="660">
        <v>12</v>
      </c>
      <c r="X11" s="661">
        <v>9</v>
      </c>
    </row>
    <row r="12" spans="1:28" ht="20.100000000000001" customHeight="1">
      <c r="A12" s="658"/>
      <c r="B12" s="810"/>
      <c r="C12" s="810"/>
      <c r="D12" s="810"/>
      <c r="E12" s="810"/>
      <c r="F12" s="810"/>
      <c r="G12" s="810"/>
      <c r="H12" s="810"/>
      <c r="I12" s="658"/>
      <c r="J12" s="658"/>
      <c r="K12" s="658"/>
      <c r="L12" s="658"/>
      <c r="M12" s="658"/>
      <c r="N12" s="973"/>
      <c r="O12" s="973"/>
      <c r="P12" s="973"/>
      <c r="Q12" s="973"/>
      <c r="W12" s="660">
        <v>1</v>
      </c>
      <c r="X12" s="661">
        <v>10</v>
      </c>
    </row>
    <row r="13" spans="1:28" ht="20.100000000000001" customHeight="1">
      <c r="A13" s="658"/>
      <c r="B13" s="810"/>
      <c r="C13" s="810"/>
      <c r="D13" s="810"/>
      <c r="E13" s="810"/>
      <c r="F13" s="810"/>
      <c r="G13" s="810"/>
      <c r="H13" s="810"/>
      <c r="I13" s="658"/>
      <c r="J13" s="658"/>
      <c r="K13" s="658"/>
      <c r="L13" s="658"/>
      <c r="M13" s="658"/>
      <c r="N13" s="973"/>
      <c r="O13" s="973"/>
      <c r="P13" s="973"/>
      <c r="Q13" s="973"/>
      <c r="W13" s="660">
        <v>2</v>
      </c>
      <c r="X13" s="661">
        <v>11</v>
      </c>
    </row>
    <row r="14" spans="1:28" ht="20.100000000000001" customHeight="1">
      <c r="A14" s="814"/>
      <c r="B14" s="658"/>
      <c r="C14" s="658"/>
      <c r="D14" s="658"/>
      <c r="E14" s="658"/>
      <c r="F14" s="658"/>
      <c r="G14" s="658"/>
      <c r="H14" s="658"/>
      <c r="I14" s="658"/>
      <c r="J14" s="658"/>
      <c r="K14" s="814"/>
      <c r="L14" s="658"/>
      <c r="M14" s="658"/>
      <c r="N14" s="973"/>
      <c r="O14" s="973"/>
      <c r="P14" s="973"/>
      <c r="Q14" s="973"/>
      <c r="W14" s="660">
        <v>3</v>
      </c>
      <c r="X14" s="661">
        <v>12</v>
      </c>
    </row>
    <row r="15" spans="1:28" ht="21">
      <c r="A15" s="814"/>
      <c r="B15" s="1734" t="s">
        <v>121</v>
      </c>
      <c r="C15" s="1734"/>
      <c r="D15" s="404" t="s">
        <v>538</v>
      </c>
      <c r="E15" s="405"/>
      <c r="F15" s="405"/>
      <c r="G15" s="405"/>
      <c r="H15" s="1943" t="s">
        <v>548</v>
      </c>
      <c r="I15" s="1944"/>
      <c r="J15" s="726" t="s">
        <v>230</v>
      </c>
      <c r="K15" s="814"/>
      <c r="L15" s="658"/>
      <c r="M15" s="658"/>
      <c r="N15" s="973"/>
      <c r="O15" s="973"/>
      <c r="P15" s="973"/>
      <c r="Q15" s="973"/>
    </row>
    <row r="16" spans="1:28" ht="59.25" customHeight="1">
      <c r="A16" s="814"/>
      <c r="B16" s="1534" t="s">
        <v>103</v>
      </c>
      <c r="C16" s="1534"/>
      <c r="D16" s="188" t="s">
        <v>9</v>
      </c>
      <c r="E16" s="188" t="s">
        <v>109</v>
      </c>
      <c r="F16" s="188" t="s">
        <v>110</v>
      </c>
      <c r="G16" s="188" t="s">
        <v>530</v>
      </c>
      <c r="H16" s="1864" t="s">
        <v>574</v>
      </c>
      <c r="I16" s="1870"/>
      <c r="J16" s="402" t="s">
        <v>511</v>
      </c>
      <c r="K16" s="814"/>
      <c r="L16" s="658"/>
      <c r="M16" s="658"/>
      <c r="N16" s="973"/>
      <c r="O16" s="973"/>
      <c r="P16" s="973"/>
      <c r="Q16" s="973"/>
    </row>
    <row r="17" spans="1:24" ht="27.75" customHeight="1">
      <c r="A17" s="658"/>
      <c r="B17" s="1534"/>
      <c r="C17" s="1534"/>
      <c r="D17" s="715" t="s">
        <v>119</v>
      </c>
      <c r="E17" s="185"/>
      <c r="F17" s="185"/>
      <c r="G17" s="185"/>
      <c r="H17" s="1945"/>
      <c r="I17" s="1946"/>
      <c r="J17" s="185"/>
      <c r="K17" s="375"/>
      <c r="L17" s="658"/>
      <c r="M17" s="658"/>
      <c r="N17" s="658"/>
      <c r="O17" s="375"/>
      <c r="P17" s="375"/>
      <c r="Q17" s="658"/>
    </row>
    <row r="18" spans="1:24">
      <c r="A18" s="658"/>
      <c r="B18" s="658"/>
      <c r="C18" s="658"/>
      <c r="D18" s="658"/>
      <c r="E18" s="658"/>
      <c r="F18" s="658"/>
      <c r="G18" s="658"/>
      <c r="H18" s="658"/>
      <c r="I18" s="658"/>
      <c r="J18" s="658"/>
      <c r="K18" s="229"/>
      <c r="L18" s="658"/>
      <c r="M18" s="658"/>
      <c r="N18" s="658"/>
      <c r="O18" s="658"/>
      <c r="P18" s="658"/>
      <c r="Q18" s="658"/>
    </row>
    <row r="19" spans="1:24" ht="20.100000000000001" customHeight="1">
      <c r="A19" s="658"/>
      <c r="B19" s="658"/>
      <c r="C19" s="658"/>
      <c r="D19" s="658"/>
      <c r="E19" s="658"/>
      <c r="F19" s="375"/>
      <c r="G19" s="810"/>
      <c r="H19" s="810"/>
      <c r="I19" s="375"/>
      <c r="J19" s="375"/>
      <c r="K19" s="375"/>
      <c r="L19" s="375"/>
      <c r="M19" s="658"/>
      <c r="N19" s="658"/>
      <c r="O19" s="658"/>
      <c r="P19" s="658"/>
      <c r="Q19" s="658"/>
    </row>
    <row r="20" spans="1:24" ht="20.100000000000001" customHeight="1">
      <c r="A20" s="658"/>
      <c r="B20" s="1868" t="s">
        <v>773</v>
      </c>
      <c r="C20" s="1868"/>
      <c r="D20" s="1868"/>
      <c r="E20" s="1868"/>
      <c r="F20" s="1868"/>
      <c r="G20" s="375"/>
      <c r="H20" s="375"/>
      <c r="I20" s="375"/>
      <c r="J20" s="375"/>
      <c r="K20" s="375"/>
      <c r="L20" s="375"/>
      <c r="M20" s="375"/>
      <c r="N20" s="375"/>
      <c r="O20" s="375"/>
      <c r="P20" s="658"/>
      <c r="Q20" s="658"/>
    </row>
    <row r="21" spans="1:24" ht="33" customHeight="1">
      <c r="A21" s="658"/>
      <c r="B21" s="1942" t="s">
        <v>99</v>
      </c>
      <c r="C21" s="1942"/>
      <c r="D21" s="715" t="str">
        <f>IF(AND(VLOOKUP($D$9,$W$3:$X$14,2,FALSE)&lt;=1,VLOOKUP($D$10,$W$3:$X$14,2,FALSE)&gt;=1),"4月","")</f>
        <v>4月</v>
      </c>
      <c r="E21" s="715" t="str">
        <f>IF(AND(VLOOKUP($D$9,$W$3:$X$14,2,FALSE)&lt;=2,VLOOKUP($D$10,$W$3:$X$14,2,FALSE)&gt;=2),"5月","")</f>
        <v>5月</v>
      </c>
      <c r="F21" s="715" t="str">
        <f>IF(AND(VLOOKUP($D$9,$W$3:$X$14,2,FALSE)&lt;=3,VLOOKUP($D$10,$W$3:$X$14,2,FALSE)&gt;=3),"6月","")</f>
        <v>6月</v>
      </c>
      <c r="G21" s="715" t="str">
        <f>IF(AND(VLOOKUP($D$9,$W$3:$X$14,2,FALSE)&lt;=4,VLOOKUP($D$10,$W$3:$X$14,2,FALSE)&gt;=4),"7月","")</f>
        <v>7月</v>
      </c>
      <c r="H21" s="715" t="str">
        <f>IF(AND(VLOOKUP($D$9,$W$3:$X$14,2,FALSE)&lt;=5,VLOOKUP($D$10,$W$3:$X$14,2,FALSE)&gt;=5),"8月","")</f>
        <v>8月</v>
      </c>
      <c r="I21" s="715" t="str">
        <f>IF(AND(VLOOKUP($D$9,$W$3:$X$14,2,FALSE)&lt;=6,VLOOKUP($D$10,$W$3:$X$14,2,FALSE)&gt;=6),"9月","")</f>
        <v>9月</v>
      </c>
      <c r="J21" s="715" t="str">
        <f>IF(AND(VLOOKUP($D$9,$W$3:$X$14,2,FALSE)&lt;=7,VLOOKUP($D$10,$W$3:$X$14,2,FALSE)&gt;=7),"10月","")</f>
        <v>10月</v>
      </c>
      <c r="K21" s="715" t="str">
        <f>IF(AND(VLOOKUP($D$9,$W$3:$X$14,2,FALSE)&lt;=8,VLOOKUP($D$10,$W$3:$X$14,2,FALSE)&gt;=8),"11月","")</f>
        <v>11月</v>
      </c>
      <c r="L21" s="715" t="str">
        <f>IF(AND(VLOOKUP($D$9,$W$3:$X$14,2,FALSE)&lt;=9,VLOOKUP($D$10,$W$3:$X$14,2,FALSE)&gt;=9),"12月","")</f>
        <v>12月</v>
      </c>
      <c r="M21" s="715" t="str">
        <f>IF(AND(VLOOKUP($D$9,$W$3:$X$14,2,FALSE)&lt;=10,VLOOKUP($D$10,$W$3:$X$14,2,FALSE)&gt;=10),"1月","")</f>
        <v>1月</v>
      </c>
      <c r="N21" s="715" t="str">
        <f>IF(AND(VLOOKUP($D$9,$W$3:$X$14,2,FALSE)&lt;=11,VLOOKUP($D$10,$W$3:$X$14,2,FALSE)&gt;=11),"2月","")</f>
        <v>2月</v>
      </c>
      <c r="O21" s="715" t="str">
        <f>IF(AND(VLOOKUP($D$9,$W$3:$X$14,2,FALSE)&lt;=12,VLOOKUP($D$10,$W$3:$X$14,2,FALSE)&gt;=12),"3月","")</f>
        <v>3月</v>
      </c>
      <c r="P21" s="715" t="s">
        <v>118</v>
      </c>
      <c r="Q21" s="715" t="s">
        <v>1</v>
      </c>
    </row>
    <row r="22" spans="1:24" ht="33" customHeight="1">
      <c r="A22" s="658"/>
      <c r="B22" s="1717" t="s">
        <v>108</v>
      </c>
      <c r="C22" s="1852"/>
      <c r="D22" s="879"/>
      <c r="E22" s="879"/>
      <c r="F22" s="879"/>
      <c r="G22" s="879"/>
      <c r="H22" s="879"/>
      <c r="I22" s="879"/>
      <c r="J22" s="879"/>
      <c r="K22" s="879"/>
      <c r="L22" s="879"/>
      <c r="M22" s="879"/>
      <c r="N22" s="879"/>
      <c r="O22" s="879"/>
      <c r="P22" s="817">
        <f>SUM(D22:O22)</f>
        <v>0</v>
      </c>
      <c r="Q22" s="817">
        <f>IF(ISERROR(ROUND(P22/$X$2,0)),0,ROUND(P22/$X$2,0))</f>
        <v>0</v>
      </c>
      <c r="R22" s="658"/>
    </row>
    <row r="23" spans="1:24" ht="33" customHeight="1">
      <c r="A23" s="658"/>
      <c r="B23" s="1534" t="s">
        <v>0</v>
      </c>
      <c r="C23" s="1534"/>
      <c r="D23" s="817">
        <f t="shared" ref="D23:O23" si="0">SUM(D22:D22)</f>
        <v>0</v>
      </c>
      <c r="E23" s="817">
        <f t="shared" si="0"/>
        <v>0</v>
      </c>
      <c r="F23" s="817">
        <f t="shared" si="0"/>
        <v>0</v>
      </c>
      <c r="G23" s="817">
        <f t="shared" si="0"/>
        <v>0</v>
      </c>
      <c r="H23" s="817">
        <f t="shared" si="0"/>
        <v>0</v>
      </c>
      <c r="I23" s="817">
        <f t="shared" si="0"/>
        <v>0</v>
      </c>
      <c r="J23" s="817">
        <f t="shared" si="0"/>
        <v>0</v>
      </c>
      <c r="K23" s="817">
        <f t="shared" si="0"/>
        <v>0</v>
      </c>
      <c r="L23" s="817">
        <f t="shared" si="0"/>
        <v>0</v>
      </c>
      <c r="M23" s="817">
        <f t="shared" si="0"/>
        <v>0</v>
      </c>
      <c r="N23" s="817">
        <f t="shared" si="0"/>
        <v>0</v>
      </c>
      <c r="O23" s="817">
        <f t="shared" si="0"/>
        <v>0</v>
      </c>
      <c r="P23" s="817">
        <f>SUM(D23:O23)</f>
        <v>0</v>
      </c>
      <c r="Q23" s="817">
        <f>SUM(Q22:Q22)</f>
        <v>0</v>
      </c>
      <c r="S23" s="843"/>
      <c r="T23" s="843"/>
      <c r="U23" s="843"/>
      <c r="V23" s="843"/>
    </row>
    <row r="24" spans="1:24" ht="33" customHeight="1">
      <c r="A24" s="658"/>
      <c r="B24" s="1869"/>
      <c r="C24" s="1869"/>
      <c r="D24" s="658"/>
      <c r="E24" s="658"/>
      <c r="F24" s="658"/>
      <c r="G24" s="658"/>
      <c r="H24" s="658"/>
      <c r="I24" s="658"/>
      <c r="J24" s="658"/>
      <c r="K24" s="658"/>
      <c r="L24" s="658"/>
      <c r="M24" s="658"/>
      <c r="N24" s="658"/>
      <c r="O24" s="658"/>
      <c r="P24" s="658"/>
      <c r="Q24" s="658"/>
      <c r="S24" s="843"/>
      <c r="T24" s="843"/>
      <c r="U24" s="843"/>
      <c r="V24" s="843"/>
    </row>
    <row r="25" spans="1:24" ht="33" customHeight="1">
      <c r="A25" s="658"/>
      <c r="B25" s="1942" t="s">
        <v>100</v>
      </c>
      <c r="C25" s="1942"/>
      <c r="D25" s="194" t="str">
        <f t="shared" ref="D25:O25" si="1">D21</f>
        <v>4月</v>
      </c>
      <c r="E25" s="194" t="str">
        <f t="shared" si="1"/>
        <v>5月</v>
      </c>
      <c r="F25" s="194" t="str">
        <f t="shared" si="1"/>
        <v>6月</v>
      </c>
      <c r="G25" s="194" t="str">
        <f t="shared" si="1"/>
        <v>7月</v>
      </c>
      <c r="H25" s="194" t="str">
        <f t="shared" si="1"/>
        <v>8月</v>
      </c>
      <c r="I25" s="194" t="str">
        <f t="shared" si="1"/>
        <v>9月</v>
      </c>
      <c r="J25" s="194" t="str">
        <f t="shared" si="1"/>
        <v>10月</v>
      </c>
      <c r="K25" s="194" t="str">
        <f t="shared" si="1"/>
        <v>11月</v>
      </c>
      <c r="L25" s="194" t="str">
        <f t="shared" si="1"/>
        <v>12月</v>
      </c>
      <c r="M25" s="194" t="str">
        <f t="shared" si="1"/>
        <v>1月</v>
      </c>
      <c r="N25" s="194" t="str">
        <f t="shared" si="1"/>
        <v>2月</v>
      </c>
      <c r="O25" s="194" t="str">
        <f t="shared" si="1"/>
        <v>3月</v>
      </c>
      <c r="P25" s="715" t="s">
        <v>118</v>
      </c>
      <c r="Q25" s="715" t="s">
        <v>1</v>
      </c>
      <c r="R25" s="658"/>
      <c r="S25" s="843"/>
      <c r="T25" s="843"/>
      <c r="U25" s="843"/>
      <c r="V25" s="843"/>
    </row>
    <row r="26" spans="1:24" ht="33" customHeight="1">
      <c r="A26" s="658"/>
      <c r="B26" s="1534" t="s">
        <v>108</v>
      </c>
      <c r="C26" s="1534"/>
      <c r="D26" s="879"/>
      <c r="E26" s="879"/>
      <c r="F26" s="879"/>
      <c r="G26" s="879"/>
      <c r="H26" s="879"/>
      <c r="I26" s="879"/>
      <c r="J26" s="879"/>
      <c r="K26" s="879"/>
      <c r="L26" s="879"/>
      <c r="M26" s="879"/>
      <c r="N26" s="879"/>
      <c r="O26" s="879"/>
      <c r="P26" s="817">
        <f>SUM(D26:O26)</f>
        <v>0</v>
      </c>
      <c r="Q26" s="817">
        <f>IF(ISERROR(ROUND(P26/$X$2,0)),0,ROUND(P26/$X$2,0))</f>
        <v>0</v>
      </c>
      <c r="R26" s="658"/>
      <c r="S26" s="843"/>
      <c r="T26" s="843"/>
      <c r="U26" s="843"/>
      <c r="V26" s="843"/>
    </row>
    <row r="27" spans="1:24" ht="33" customHeight="1">
      <c r="A27" s="658"/>
      <c r="B27" s="1534" t="s">
        <v>0</v>
      </c>
      <c r="C27" s="1534"/>
      <c r="D27" s="817">
        <f t="shared" ref="D27:O27" si="2">SUM(D26:D26)</f>
        <v>0</v>
      </c>
      <c r="E27" s="817">
        <f t="shared" si="2"/>
        <v>0</v>
      </c>
      <c r="F27" s="817">
        <f t="shared" si="2"/>
        <v>0</v>
      </c>
      <c r="G27" s="817">
        <f t="shared" si="2"/>
        <v>0</v>
      </c>
      <c r="H27" s="817">
        <f t="shared" si="2"/>
        <v>0</v>
      </c>
      <c r="I27" s="817">
        <f t="shared" si="2"/>
        <v>0</v>
      </c>
      <c r="J27" s="817">
        <f t="shared" si="2"/>
        <v>0</v>
      </c>
      <c r="K27" s="817">
        <f t="shared" si="2"/>
        <v>0</v>
      </c>
      <c r="L27" s="817">
        <f t="shared" si="2"/>
        <v>0</v>
      </c>
      <c r="M27" s="817">
        <f t="shared" si="2"/>
        <v>0</v>
      </c>
      <c r="N27" s="817">
        <f t="shared" si="2"/>
        <v>0</v>
      </c>
      <c r="O27" s="817">
        <f t="shared" si="2"/>
        <v>0</v>
      </c>
      <c r="P27" s="817">
        <f>SUM(D27:O27)</f>
        <v>0</v>
      </c>
      <c r="Q27" s="817">
        <f>SUM(Q26:Q26)</f>
        <v>0</v>
      </c>
      <c r="S27" s="815"/>
      <c r="T27" s="815"/>
      <c r="U27" s="928"/>
      <c r="V27" s="843"/>
    </row>
    <row r="28" spans="1:24" ht="20.100000000000001" customHeight="1">
      <c r="A28" s="658"/>
      <c r="B28" s="858"/>
      <c r="C28" s="858"/>
      <c r="D28" s="880"/>
      <c r="E28" s="880"/>
      <c r="F28" s="880"/>
      <c r="G28" s="880"/>
      <c r="H28" s="880"/>
      <c r="I28" s="880"/>
      <c r="J28" s="880"/>
      <c r="K28" s="880"/>
      <c r="L28" s="880"/>
      <c r="M28" s="880"/>
      <c r="N28" s="880"/>
      <c r="O28" s="375"/>
      <c r="P28" s="658"/>
      <c r="Q28" s="658"/>
      <c r="R28" s="658"/>
      <c r="S28" s="375"/>
      <c r="T28" s="375"/>
      <c r="U28" s="843"/>
      <c r="V28" s="843"/>
      <c r="W28" s="869"/>
      <c r="X28" s="869"/>
    </row>
    <row r="29" spans="1:24" ht="29.25" hidden="1" customHeight="1" thickBot="1">
      <c r="A29" s="658"/>
      <c r="B29" s="1718" t="s">
        <v>129</v>
      </c>
      <c r="C29" s="1718"/>
      <c r="D29" s="1738" t="s">
        <v>130</v>
      </c>
      <c r="E29" s="1739"/>
      <c r="F29" s="1739"/>
      <c r="G29" s="1739"/>
      <c r="H29" s="1739"/>
      <c r="I29" s="1739"/>
      <c r="J29" s="1740"/>
      <c r="K29" s="658"/>
      <c r="L29" s="658"/>
      <c r="M29" s="658"/>
      <c r="N29" s="658"/>
      <c r="O29" s="658"/>
      <c r="P29" s="658"/>
      <c r="Q29" s="658"/>
      <c r="R29" s="658"/>
      <c r="S29" s="843"/>
      <c r="T29" s="843"/>
      <c r="U29" s="843"/>
      <c r="V29" s="843"/>
      <c r="W29" s="843"/>
      <c r="X29" s="843"/>
    </row>
    <row r="30" spans="1:24" ht="120" hidden="1" customHeight="1">
      <c r="A30" s="658"/>
      <c r="B30" s="1857" t="s">
        <v>101</v>
      </c>
      <c r="C30" s="1950"/>
      <c r="D30" s="722" t="s">
        <v>9</v>
      </c>
      <c r="E30" s="723" t="s">
        <v>109</v>
      </c>
      <c r="F30" s="723" t="s">
        <v>110</v>
      </c>
      <c r="G30" s="723" t="s">
        <v>104</v>
      </c>
      <c r="H30" s="723" t="s">
        <v>574</v>
      </c>
      <c r="I30" s="666" t="s">
        <v>511</v>
      </c>
      <c r="J30" s="667" t="s">
        <v>126</v>
      </c>
      <c r="K30" s="658"/>
      <c r="L30" s="658"/>
      <c r="M30" s="658"/>
      <c r="N30" s="658"/>
      <c r="O30" s="658"/>
      <c r="P30" s="658"/>
      <c r="Q30" s="658"/>
      <c r="R30" s="658"/>
      <c r="S30" s="843"/>
      <c r="T30" s="843"/>
      <c r="U30" s="843"/>
      <c r="V30" s="843"/>
      <c r="W30" s="843"/>
      <c r="X30" s="843"/>
    </row>
    <row r="31" spans="1:24" ht="20.100000000000001" hidden="1" customHeight="1">
      <c r="A31" s="658"/>
      <c r="B31" s="1534" t="s">
        <v>103</v>
      </c>
      <c r="C31" s="1717"/>
      <c r="D31" s="827">
        <f>IF($D$17="あり",家庭的保育事業!$G$6,0)</f>
        <v>1530</v>
      </c>
      <c r="E31" s="817">
        <f>IF($E$17="あり",家庭的保育事業!$L$6,0)</f>
        <v>0</v>
      </c>
      <c r="F31" s="817">
        <f>IF(AND($F$17="あり",$I$51&lt;=3),家庭的保育事業!$P$9,IF(AND($F$17="あり",$I$51&gt;=4),家庭的保育事業!$P$7,0))</f>
        <v>0</v>
      </c>
      <c r="G31" s="821"/>
      <c r="H31" s="817">
        <f>IF($H$17="あり",ROUNDDOWN(-D31*家庭的保育事業!$AG$7,-1),0)</f>
        <v>0</v>
      </c>
      <c r="I31" s="889">
        <f>IF(J$17="配置",IF(ROUNDDOWN(家庭的②!$K$22/$I$51,-1)&lt;10,ROUNDDOWN(家庭的②!$K$22/$I$51,0),ROUNDDOWN(家庭的②!$K$22/$I$51,-1)),IF(J$17="兼務",IF(ROUNDDOWN(家庭的②!$K$25/$I$51,-1)&lt;10,ROUNDDOWN(家庭的②!$K$25/$I$51,0),ROUNDDOWN(家庭的②!$K$25/$I$51,-1)),0))</f>
        <v>0</v>
      </c>
      <c r="J31" s="826">
        <f>SUM(D31:I31)</f>
        <v>1530</v>
      </c>
      <c r="K31" s="658"/>
      <c r="L31" s="658"/>
      <c r="M31" s="658"/>
      <c r="N31" s="658"/>
      <c r="O31" s="658"/>
      <c r="P31" s="658"/>
      <c r="Q31" s="658"/>
      <c r="R31" s="658"/>
      <c r="S31" s="815"/>
      <c r="T31" s="815"/>
      <c r="U31" s="928"/>
      <c r="V31" s="843"/>
      <c r="W31" s="843"/>
      <c r="X31" s="843"/>
    </row>
    <row r="32" spans="1:24" hidden="1">
      <c r="A32" s="658"/>
      <c r="B32" s="1534" t="s">
        <v>108</v>
      </c>
      <c r="C32" s="1717"/>
      <c r="D32" s="827">
        <f>D31</f>
        <v>1530</v>
      </c>
      <c r="E32" s="817">
        <f>E31</f>
        <v>0</v>
      </c>
      <c r="F32" s="817">
        <f>F31</f>
        <v>0</v>
      </c>
      <c r="G32" s="817">
        <f>IF(AND($G$17="あり",$Q22&gt;=1),家庭的保育事業!$U$6,0)</f>
        <v>0</v>
      </c>
      <c r="H32" s="817">
        <f>IF($H$17="あり",ROUNDDOWN(-D32*家庭的保育事業!$AG$7,-1),0)</f>
        <v>0</v>
      </c>
      <c r="I32" s="889">
        <f>I31</f>
        <v>0</v>
      </c>
      <c r="J32" s="826">
        <f>SUM(D32:I32)</f>
        <v>1530</v>
      </c>
      <c r="K32" s="658"/>
      <c r="L32" s="658"/>
      <c r="M32" s="658"/>
      <c r="N32" s="658"/>
      <c r="O32" s="658"/>
      <c r="P32" s="658"/>
      <c r="Q32" s="658"/>
      <c r="R32" s="658"/>
      <c r="S32" s="375"/>
      <c r="T32" s="375"/>
      <c r="U32" s="843"/>
      <c r="V32" s="843"/>
      <c r="W32" s="869"/>
      <c r="X32" s="869"/>
    </row>
    <row r="33" spans="1:24" ht="20.100000000000001" hidden="1" customHeight="1">
      <c r="A33" s="658"/>
      <c r="B33" s="794"/>
      <c r="C33" s="794"/>
      <c r="D33" s="892"/>
      <c r="E33" s="375"/>
      <c r="F33" s="375"/>
      <c r="G33" s="375"/>
      <c r="H33" s="375"/>
      <c r="I33" s="375"/>
      <c r="J33" s="887"/>
      <c r="K33" s="658"/>
      <c r="L33" s="658"/>
      <c r="M33" s="658"/>
      <c r="N33" s="658"/>
      <c r="O33" s="658"/>
      <c r="P33" s="658"/>
      <c r="Q33" s="658"/>
      <c r="R33" s="658"/>
      <c r="S33" s="843"/>
      <c r="T33" s="843"/>
      <c r="U33" s="843"/>
      <c r="V33" s="843"/>
      <c r="W33" s="843"/>
      <c r="X33" s="843"/>
    </row>
    <row r="34" spans="1:24" ht="120" hidden="1" customHeight="1">
      <c r="A34" s="658"/>
      <c r="B34" s="1857" t="s">
        <v>102</v>
      </c>
      <c r="C34" s="1950"/>
      <c r="D34" s="187" t="s">
        <v>9</v>
      </c>
      <c r="E34" s="188" t="s">
        <v>109</v>
      </c>
      <c r="F34" s="188" t="s">
        <v>110</v>
      </c>
      <c r="G34" s="188" t="s">
        <v>104</v>
      </c>
      <c r="H34" s="188" t="s">
        <v>574</v>
      </c>
      <c r="I34" s="666" t="s">
        <v>511</v>
      </c>
      <c r="J34" s="668" t="s">
        <v>127</v>
      </c>
      <c r="K34" s="658"/>
      <c r="L34" s="658"/>
      <c r="M34" s="658"/>
      <c r="N34" s="658"/>
      <c r="O34" s="658"/>
      <c r="P34" s="658"/>
      <c r="Q34" s="658"/>
      <c r="R34" s="658"/>
      <c r="S34" s="843"/>
      <c r="T34" s="843"/>
      <c r="U34" s="843"/>
      <c r="V34" s="843"/>
      <c r="W34" s="843"/>
      <c r="X34" s="843"/>
    </row>
    <row r="35" spans="1:24" ht="19.5" hidden="1" customHeight="1">
      <c r="A35" s="658"/>
      <c r="B35" s="1534" t="s">
        <v>103</v>
      </c>
      <c r="C35" s="1717"/>
      <c r="D35" s="827">
        <f>IF($D$17="あり",家庭的保育事業!$G$6,0)</f>
        <v>1530</v>
      </c>
      <c r="E35" s="817">
        <f>IF($E$17="あり",家庭的保育事業!$L$6,0)</f>
        <v>0</v>
      </c>
      <c r="F35" s="817">
        <f>IF(AND($F$17="あり",$I$51&lt;=3),家庭的保育事業!$P$9,IF(AND($F$17="あり",$I$51&gt;=4),家庭的保育事業!$P$7,0))</f>
        <v>0</v>
      </c>
      <c r="G35" s="821"/>
      <c r="H35" s="817">
        <f>IF($H$17="あり",ROUNDDOWN(-D35*家庭的保育事業!$AG$9,-1),0)</f>
        <v>0</v>
      </c>
      <c r="I35" s="889">
        <f>IF(J$17="配置",IF(ROUNDDOWN(家庭的②!$K$22/$I$51,-1)&lt;10,ROUNDDOWN(家庭的②!$K$22/$I$51,0),ROUNDDOWN(家庭的②!$K$22/$I$51,-1)),IF(J$17="兼務",IF(ROUNDDOWN(家庭的②!$K$25/$I$51,-1)&lt;10,ROUNDDOWN(家庭的②!$K$25/$I$51,0),ROUNDDOWN(家庭的②!$K$25/$I$51,-1)),0))</f>
        <v>0</v>
      </c>
      <c r="J35" s="826">
        <f>SUM(D35:I35)</f>
        <v>1530</v>
      </c>
      <c r="K35" s="658"/>
      <c r="L35" s="658"/>
      <c r="M35" s="658"/>
      <c r="N35" s="658"/>
      <c r="O35" s="658"/>
      <c r="P35" s="658"/>
      <c r="Q35" s="658"/>
      <c r="R35" s="658"/>
      <c r="W35" s="843"/>
      <c r="X35" s="845"/>
    </row>
    <row r="36" spans="1:24" ht="18" hidden="1" thickBot="1">
      <c r="A36" s="658"/>
      <c r="B36" s="1534" t="s">
        <v>108</v>
      </c>
      <c r="C36" s="1717"/>
      <c r="D36" s="901">
        <f>D35</f>
        <v>1530</v>
      </c>
      <c r="E36" s="902">
        <f>E35</f>
        <v>0</v>
      </c>
      <c r="F36" s="902">
        <f>F35</f>
        <v>0</v>
      </c>
      <c r="G36" s="902">
        <f>IF(AND($G$17="あり",$Q26&gt;=1),家庭的保育事業!$U$6,0)</f>
        <v>0</v>
      </c>
      <c r="H36" s="902">
        <f>IF($H$17="あり",ROUNDDOWN(-D36*家庭的保育事業!$AG$9,-1),0)</f>
        <v>0</v>
      </c>
      <c r="I36" s="903">
        <f>I35</f>
        <v>0</v>
      </c>
      <c r="J36" s="830">
        <f>SUM(D36:I36)</f>
        <v>1530</v>
      </c>
      <c r="K36" s="658"/>
      <c r="L36" s="658"/>
      <c r="M36" s="658"/>
      <c r="N36" s="658"/>
      <c r="O36" s="658"/>
      <c r="P36" s="658"/>
      <c r="Q36" s="658"/>
      <c r="R36" s="658"/>
    </row>
    <row r="37" spans="1:24" ht="20.100000000000001" hidden="1" customHeight="1">
      <c r="A37" s="658"/>
      <c r="B37" s="658"/>
      <c r="C37" s="794"/>
      <c r="D37" s="794"/>
      <c r="E37" s="794"/>
      <c r="F37" s="794"/>
      <c r="G37" s="794"/>
      <c r="H37" s="658"/>
      <c r="I37" s="658"/>
      <c r="J37" s="658"/>
      <c r="K37" s="904"/>
      <c r="L37" s="905"/>
      <c r="M37" s="904"/>
      <c r="N37" s="905"/>
      <c r="O37" s="658"/>
      <c r="P37" s="658"/>
      <c r="Q37" s="658"/>
      <c r="R37" s="658"/>
      <c r="W37" s="715">
        <v>2015</v>
      </c>
      <c r="X37" s="175">
        <v>6.1</v>
      </c>
    </row>
    <row r="38" spans="1:24" ht="20.100000000000001" hidden="1" customHeight="1">
      <c r="A38" s="658"/>
      <c r="B38" s="658"/>
      <c r="C38" s="658"/>
      <c r="D38" s="658"/>
      <c r="E38" s="658"/>
      <c r="F38" s="658"/>
      <c r="G38" s="658"/>
      <c r="H38" s="658"/>
      <c r="I38" s="658"/>
      <c r="J38" s="658"/>
      <c r="K38" s="375"/>
      <c r="L38" s="658"/>
      <c r="M38" s="658"/>
      <c r="N38" s="658"/>
      <c r="O38" s="658"/>
      <c r="P38" s="658"/>
      <c r="Q38" s="658"/>
      <c r="W38" s="715">
        <v>2016</v>
      </c>
      <c r="X38" s="173">
        <v>4.2</v>
      </c>
    </row>
    <row r="39" spans="1:24" ht="43.5" hidden="1" customHeight="1" thickBot="1">
      <c r="A39" s="658"/>
      <c r="B39" s="403"/>
      <c r="C39" s="403"/>
      <c r="D39" s="403"/>
      <c r="E39" s="403"/>
      <c r="F39" s="403"/>
      <c r="G39" s="403"/>
      <c r="H39" s="403"/>
      <c r="I39" s="403"/>
      <c r="J39" s="403"/>
      <c r="K39" s="403"/>
      <c r="L39" s="658"/>
      <c r="M39" s="658"/>
      <c r="N39" s="658"/>
      <c r="O39" s="658"/>
      <c r="P39" s="658"/>
      <c r="Q39" s="658"/>
      <c r="W39" s="715">
        <v>2019</v>
      </c>
      <c r="X39" s="173">
        <v>1</v>
      </c>
    </row>
    <row r="40" spans="1:24" ht="42" hidden="1" customHeight="1" thickBot="1">
      <c r="A40" s="658"/>
      <c r="B40" s="824" t="s">
        <v>128</v>
      </c>
      <c r="C40" s="658"/>
      <c r="D40" s="658"/>
      <c r="E40" s="658"/>
      <c r="F40" s="658"/>
      <c r="G40" s="658"/>
      <c r="H40" s="1947" t="s">
        <v>818</v>
      </c>
      <c r="I40" s="1947"/>
      <c r="J40" s="1796" t="s">
        <v>114</v>
      </c>
      <c r="K40" s="1797"/>
      <c r="L40" s="1576" t="s">
        <v>817</v>
      </c>
      <c r="M40" s="1577"/>
      <c r="N40" s="1578" t="s">
        <v>867</v>
      </c>
      <c r="O40" s="1579"/>
      <c r="P40" s="1578" t="s">
        <v>868</v>
      </c>
      <c r="Q40" s="1579"/>
    </row>
    <row r="41" spans="1:24" ht="26.25" hidden="1" customHeight="1">
      <c r="A41" s="658"/>
      <c r="B41" s="658"/>
      <c r="C41" s="658"/>
      <c r="D41" s="658"/>
      <c r="E41" s="658"/>
      <c r="F41" s="658"/>
      <c r="G41" s="658"/>
      <c r="H41" s="1948" t="s">
        <v>101</v>
      </c>
      <c r="I41" s="1846" t="s">
        <v>896</v>
      </c>
      <c r="J41" s="1938" t="str">
        <f>"A×賃金改善率（"&amp;I6&amp;"％）"</f>
        <v>A×賃金改善率（％）</v>
      </c>
      <c r="K41" s="1930" t="str">
        <f>CONCATENATE("×利用児童数×",$X$2,"月")</f>
        <v>×利用児童数×12月</v>
      </c>
      <c r="L41" s="1938" t="str">
        <f>"A×加算Ⅰ新規事由に係る率（"&amp;$I$7&amp;"％）"</f>
        <v>A×加算Ⅰ新規事由に係る率（％）</v>
      </c>
      <c r="M41" s="1930" t="str">
        <f>CONCATENATE("×利用児童数×",$X$2,"月")</f>
        <v>×利用児童数×12月</v>
      </c>
      <c r="N41" s="1932" t="str">
        <f>"A×人勧影響率（"&amp;$I$9&amp;"％）"</f>
        <v>A×人勧影響率（％）</v>
      </c>
      <c r="O41" s="1930" t="str">
        <f>CONCATENATE("×利用児童数×",$X$2,"月")</f>
        <v>×利用児童数×12月</v>
      </c>
      <c r="P41" s="1932" t="str">
        <f>"A×人勧影響率（"&amp;$I$11&amp;"％）"</f>
        <v>A×人勧影響率（％）</v>
      </c>
      <c r="Q41" s="1930" t="str">
        <f>CONCATENATE("×利用児童数×",$X$2,"月")</f>
        <v>×利用児童数×12月</v>
      </c>
      <c r="X41" s="840"/>
    </row>
    <row r="42" spans="1:24" ht="26.25" hidden="1" customHeight="1">
      <c r="A42" s="1725" t="s">
        <v>915</v>
      </c>
      <c r="B42" s="1725"/>
      <c r="C42" s="1725"/>
      <c r="D42" s="1725"/>
      <c r="E42" s="1774">
        <f>$K$51</f>
        <v>0</v>
      </c>
      <c r="F42" s="1774"/>
      <c r="G42" s="658"/>
      <c r="H42" s="1949"/>
      <c r="I42" s="1847"/>
      <c r="J42" s="1935"/>
      <c r="K42" s="1931"/>
      <c r="L42" s="1935"/>
      <c r="M42" s="1931"/>
      <c r="N42" s="1933"/>
      <c r="O42" s="1931"/>
      <c r="P42" s="1933"/>
      <c r="Q42" s="1931"/>
      <c r="X42" s="840"/>
    </row>
    <row r="43" spans="1:24" ht="24" hidden="1" customHeight="1">
      <c r="A43" s="1860" t="str">
        <f>CONCATENATE("（賃金改善要件（",I6,"％）分）")</f>
        <v>（賃金改善要件（％）分）</v>
      </c>
      <c r="B43" s="1860"/>
      <c r="C43" s="1860"/>
      <c r="D43" s="1860"/>
      <c r="E43" s="906"/>
      <c r="F43" s="658"/>
      <c r="G43" s="658"/>
      <c r="H43" s="941" t="s">
        <v>103</v>
      </c>
      <c r="I43" s="957">
        <f>SUM('入力（児童数-本園)'!Y3:Y4)-I44</f>
        <v>0</v>
      </c>
      <c r="J43" s="964">
        <f>J31*$I$6</f>
        <v>0</v>
      </c>
      <c r="K43" s="818">
        <f>J43*$I43*$X$2</f>
        <v>0</v>
      </c>
      <c r="L43" s="964">
        <f>ROUNDDOWN($J31*$I$7,0)</f>
        <v>0</v>
      </c>
      <c r="M43" s="828">
        <f>L43*$I43*$X$2</f>
        <v>0</v>
      </c>
      <c r="N43" s="820">
        <f>ROUNDDOWN($J31*$I$9,0)</f>
        <v>0</v>
      </c>
      <c r="O43" s="828">
        <f>N43*$I43*$X$2</f>
        <v>0</v>
      </c>
      <c r="P43" s="820">
        <f>ROUNDDOWN($J31*$I$11,0)</f>
        <v>0</v>
      </c>
      <c r="Q43" s="828">
        <f>P43*$I43*$X$2</f>
        <v>0</v>
      </c>
      <c r="X43" s="840"/>
    </row>
    <row r="44" spans="1:24" ht="27.75" hidden="1" customHeight="1">
      <c r="A44" s="658"/>
      <c r="B44" s="658"/>
      <c r="C44" s="658"/>
      <c r="D44" s="658"/>
      <c r="E44" s="658"/>
      <c r="F44" s="658"/>
      <c r="G44" s="658"/>
      <c r="H44" s="179" t="s">
        <v>965</v>
      </c>
      <c r="I44" s="958">
        <f>Q22</f>
        <v>0</v>
      </c>
      <c r="J44" s="964">
        <f>J32*$I$6</f>
        <v>0</v>
      </c>
      <c r="K44" s="818">
        <f>J44*$Q22*$X$2</f>
        <v>0</v>
      </c>
      <c r="L44" s="964">
        <f>ROUNDDOWN($J32*$I$7,0)</f>
        <v>0</v>
      </c>
      <c r="M44" s="828">
        <f>L44*$Q22*$X$2</f>
        <v>0</v>
      </c>
      <c r="N44" s="820">
        <f>ROUNDDOWN($J32*$I$9,0)</f>
        <v>0</v>
      </c>
      <c r="O44" s="828">
        <f>N44*$Q22*$X$2</f>
        <v>0</v>
      </c>
      <c r="P44" s="820">
        <f>ROUNDDOWN($J32*$I$11,0)</f>
        <v>0</v>
      </c>
      <c r="Q44" s="828">
        <f>P44*$Q22*$X$2</f>
        <v>0</v>
      </c>
    </row>
    <row r="45" spans="1:24" hidden="1">
      <c r="A45" s="658"/>
      <c r="B45" s="1939" t="s">
        <v>964</v>
      </c>
      <c r="C45" s="1939"/>
      <c r="D45" s="1939"/>
      <c r="E45" s="1939"/>
      <c r="F45" s="1939"/>
      <c r="G45" s="1940"/>
      <c r="H45" s="890"/>
      <c r="I45" s="909"/>
      <c r="J45" s="907"/>
      <c r="K45" s="836"/>
      <c r="L45" s="907"/>
      <c r="M45" s="908"/>
      <c r="N45" s="836"/>
      <c r="O45" s="908"/>
      <c r="P45" s="836"/>
      <c r="Q45" s="908"/>
    </row>
    <row r="46" spans="1:24" ht="24" hidden="1" customHeight="1">
      <c r="A46" s="835"/>
      <c r="B46" s="835"/>
      <c r="C46" s="835"/>
      <c r="D46" s="835"/>
      <c r="E46" s="835"/>
      <c r="F46" s="658"/>
      <c r="G46" s="658"/>
      <c r="H46" s="890"/>
      <c r="I46" s="909"/>
      <c r="J46" s="890"/>
      <c r="K46" s="403"/>
      <c r="L46" s="716"/>
      <c r="M46" s="909"/>
      <c r="N46" s="403"/>
      <c r="O46" s="909"/>
      <c r="P46" s="403"/>
      <c r="Q46" s="909"/>
    </row>
    <row r="47" spans="1:24" ht="26.25" hidden="1" customHeight="1">
      <c r="A47" s="1725" t="s">
        <v>814</v>
      </c>
      <c r="B47" s="1725"/>
      <c r="C47" s="1725"/>
      <c r="D47" s="1725"/>
      <c r="E47" s="1756">
        <f>$M$51</f>
        <v>0</v>
      </c>
      <c r="F47" s="1756"/>
      <c r="G47" s="658"/>
      <c r="H47" s="1825" t="s">
        <v>102</v>
      </c>
      <c r="I47" s="1848" t="s">
        <v>896</v>
      </c>
      <c r="J47" s="1934" t="str">
        <f>"B×賃金改善率（"&amp;$I$6&amp;"％）"</f>
        <v>B×賃金改善率（％）</v>
      </c>
      <c r="K47" s="1936" t="str">
        <f>CONCATENATE("×利用児童数×",$X$2,"月")</f>
        <v>×利用児童数×12月</v>
      </c>
      <c r="L47" s="1934" t="str">
        <f>"B×加算Ⅰ新規事由に係る率（"&amp;$I$7&amp;"％）"</f>
        <v>B×加算Ⅰ新規事由に係る率（％）</v>
      </c>
      <c r="M47" s="1936" t="str">
        <f>CONCATENATE("×利用児童数×",$X$2,"月")</f>
        <v>×利用児童数×12月</v>
      </c>
      <c r="N47" s="1937" t="str">
        <f>"B×人勧影響率（"&amp;$I$9&amp;"％）"</f>
        <v>B×人勧影響率（％）</v>
      </c>
      <c r="O47" s="1936" t="str">
        <f>CONCATENATE("×利用児童数×",$X$2,"月")</f>
        <v>×利用児童数×12月</v>
      </c>
      <c r="P47" s="1937" t="str">
        <f>"B×人勧影響率（"&amp;$I$11&amp;"％）"</f>
        <v>B×人勧影響率（％）</v>
      </c>
      <c r="Q47" s="1936" t="str">
        <f>CONCATENATE("×利用児童数×",$X$2,"月")</f>
        <v>×利用児童数×12月</v>
      </c>
    </row>
    <row r="48" spans="1:24" ht="26.25" hidden="1" customHeight="1">
      <c r="A48" s="1860" t="str">
        <f>CONCATENATE("（加算Ⅰ新規事由に係る加算率（",I7,"％）分）")</f>
        <v>（加算Ⅰ新規事由に係る加算率（％）分）</v>
      </c>
      <c r="B48" s="1860"/>
      <c r="C48" s="1860"/>
      <c r="D48" s="1860"/>
      <c r="E48" s="835"/>
      <c r="F48" s="658"/>
      <c r="G48" s="658"/>
      <c r="H48" s="1826"/>
      <c r="I48" s="1847"/>
      <c r="J48" s="1935"/>
      <c r="K48" s="1931"/>
      <c r="L48" s="1935"/>
      <c r="M48" s="1931"/>
      <c r="N48" s="1933"/>
      <c r="O48" s="1931"/>
      <c r="P48" s="1933"/>
      <c r="Q48" s="1931"/>
    </row>
    <row r="49" spans="1:18" ht="24" hidden="1" customHeight="1">
      <c r="A49" s="1860"/>
      <c r="B49" s="1860"/>
      <c r="C49" s="1860"/>
      <c r="D49" s="1860"/>
      <c r="E49" s="895"/>
      <c r="F49" s="658"/>
      <c r="G49" s="658"/>
      <c r="H49" s="941" t="s">
        <v>103</v>
      </c>
      <c r="I49" s="957">
        <f>SUM('入力（児童数-本園)'!Z3:Z4)-I50</f>
        <v>0</v>
      </c>
      <c r="J49" s="964">
        <f>J35*$I$6</f>
        <v>0</v>
      </c>
      <c r="K49" s="818">
        <f>J49*$I49*$X$2</f>
        <v>0</v>
      </c>
      <c r="L49" s="964">
        <f>ROUNDDOWN($J35*$I$7,0)</f>
        <v>0</v>
      </c>
      <c r="M49" s="828">
        <f>L49*$I49*$X$2</f>
        <v>0</v>
      </c>
      <c r="N49" s="820">
        <f>ROUNDDOWN($J35*$I$9,0)</f>
        <v>0</v>
      </c>
      <c r="O49" s="828">
        <f>N49*$I49*$X$2</f>
        <v>0</v>
      </c>
      <c r="P49" s="820">
        <f>ROUNDDOWN($J35*$I$11,0)</f>
        <v>0</v>
      </c>
      <c r="Q49" s="828">
        <f>P49*$I49*$X$2</f>
        <v>0</v>
      </c>
    </row>
    <row r="50" spans="1:18" ht="24" hidden="1" customHeight="1" thickBot="1">
      <c r="A50" s="1725" t="s">
        <v>813</v>
      </c>
      <c r="B50" s="1725"/>
      <c r="C50" s="1725"/>
      <c r="D50" s="1725"/>
      <c r="E50" s="1795">
        <f>$O$51</f>
        <v>0</v>
      </c>
      <c r="F50" s="1795"/>
      <c r="G50" s="658"/>
      <c r="H50" s="179" t="s">
        <v>965</v>
      </c>
      <c r="I50" s="956">
        <f>Q26</f>
        <v>0</v>
      </c>
      <c r="J50" s="964">
        <f>J36*$I$6</f>
        <v>0</v>
      </c>
      <c r="K50" s="910">
        <f>J50*$Q26*$X$2</f>
        <v>0</v>
      </c>
      <c r="L50" s="964">
        <f>ROUNDDOWN($J36*$I$7,0)</f>
        <v>0</v>
      </c>
      <c r="M50" s="894">
        <f>L50*$Q26*$X$2</f>
        <v>0</v>
      </c>
      <c r="N50" s="820">
        <f>ROUNDDOWN($J36*$I$9,0)</f>
        <v>0</v>
      </c>
      <c r="O50" s="894">
        <f>N50*$Q26*$X$2</f>
        <v>0</v>
      </c>
      <c r="P50" s="820">
        <f>ROUNDDOWN($J36*$I$11,0)</f>
        <v>0</v>
      </c>
      <c r="Q50" s="894">
        <f>P50*$Q26*$X$2</f>
        <v>0</v>
      </c>
    </row>
    <row r="51" spans="1:18" ht="24" hidden="1" customHeight="1" thickTop="1" thickBot="1">
      <c r="A51" s="1860" t="str">
        <f>CONCATENATE("（処遇Ⅰの基準年度の翌年～当年度まで（",I9,"％）分）")</f>
        <v>（処遇Ⅰの基準年度の翌年～当年度まで（％）分）</v>
      </c>
      <c r="B51" s="1860"/>
      <c r="C51" s="1860"/>
      <c r="D51" s="1860"/>
      <c r="E51" s="911"/>
      <c r="F51" s="822"/>
      <c r="G51" s="658"/>
      <c r="H51" s="832" t="s">
        <v>160</v>
      </c>
      <c r="I51" s="952">
        <f>SUM(Q23,Q27,I43,I49)</f>
        <v>0</v>
      </c>
      <c r="J51" s="915" t="s">
        <v>0</v>
      </c>
      <c r="K51" s="913">
        <f>ROUNDDOWN(SUM(K43,K44,K49,K50),-3)</f>
        <v>0</v>
      </c>
      <c r="L51" s="912" t="s">
        <v>0</v>
      </c>
      <c r="M51" s="914">
        <f>ROUNDDOWN(SUM(G4,M43,M44,M49,M50),-3)</f>
        <v>0</v>
      </c>
      <c r="N51" s="915" t="s">
        <v>0</v>
      </c>
      <c r="O51" s="914">
        <f>ROUNDDOWN(SUM(I4,O43,O44,O49,O50),-3)</f>
        <v>0</v>
      </c>
      <c r="P51" s="915" t="s">
        <v>0</v>
      </c>
      <c r="Q51" s="914">
        <f>ROUNDDOWN(SUM(K4,Q43,Q44,Q49,Q50),-3)</f>
        <v>0</v>
      </c>
    </row>
    <row r="52" spans="1:18" hidden="1">
      <c r="A52" s="1860"/>
      <c r="B52" s="1860"/>
      <c r="C52" s="1860"/>
      <c r="D52" s="1860"/>
      <c r="E52" s="658"/>
      <c r="F52" s="658"/>
      <c r="G52" s="658"/>
      <c r="H52" s="658"/>
      <c r="I52" s="658"/>
      <c r="J52" s="658"/>
      <c r="K52" s="658"/>
      <c r="L52" s="658"/>
      <c r="M52" s="658"/>
      <c r="N52" s="658"/>
      <c r="O52" s="658"/>
      <c r="P52" s="658"/>
      <c r="Q52" s="658"/>
    </row>
    <row r="53" spans="1:18" hidden="1">
      <c r="A53" s="658"/>
      <c r="B53" s="658"/>
      <c r="C53" s="658"/>
      <c r="D53" s="658"/>
      <c r="E53" s="658"/>
      <c r="F53" s="658"/>
      <c r="G53" s="658"/>
      <c r="H53" s="658"/>
      <c r="I53" s="658"/>
      <c r="J53" s="658"/>
      <c r="K53" s="658"/>
      <c r="L53" s="658"/>
      <c r="M53" s="658"/>
      <c r="N53" s="658"/>
      <c r="O53" s="658"/>
      <c r="P53" s="658"/>
      <c r="Q53" s="658"/>
    </row>
    <row r="54" spans="1:18" ht="24" hidden="1">
      <c r="A54" s="1725" t="s">
        <v>813</v>
      </c>
      <c r="B54" s="1725"/>
      <c r="C54" s="1725"/>
      <c r="D54" s="1725"/>
      <c r="E54" s="1795">
        <f>$Q$51</f>
        <v>0</v>
      </c>
      <c r="F54" s="1795"/>
      <c r="H54" s="658"/>
      <c r="I54" s="658"/>
      <c r="J54" s="658"/>
      <c r="K54" s="658"/>
      <c r="L54" s="658"/>
      <c r="M54" s="658"/>
      <c r="N54" s="658"/>
      <c r="O54" s="658"/>
      <c r="P54" s="658"/>
      <c r="Q54" s="658"/>
    </row>
    <row r="55" spans="1:18" ht="17.25" hidden="1" customHeight="1">
      <c r="A55" s="1860" t="str">
        <f>CONCATENATE("（処遇Ⅱの基準年度の翌年～当年度まで（",I11,"％）分）")</f>
        <v>（処遇Ⅱの基準年度の翌年～当年度まで（％）分）</v>
      </c>
      <c r="B55" s="1860"/>
      <c r="C55" s="1860"/>
      <c r="D55" s="1860"/>
      <c r="E55" s="911"/>
      <c r="F55" s="822"/>
      <c r="G55" s="658"/>
      <c r="H55" s="658"/>
      <c r="I55" s="658"/>
      <c r="J55" s="658"/>
      <c r="K55" s="658"/>
      <c r="L55" s="658"/>
      <c r="M55" s="658"/>
      <c r="N55" s="658"/>
      <c r="O55" s="658"/>
      <c r="P55" s="658"/>
      <c r="Q55" s="658"/>
      <c r="R55" s="658"/>
    </row>
    <row r="56" spans="1:18" hidden="1">
      <c r="A56" s="1860"/>
      <c r="B56" s="1860"/>
      <c r="C56" s="1860"/>
      <c r="D56" s="1860"/>
      <c r="E56" s="658"/>
      <c r="F56" s="658"/>
      <c r="G56" s="658"/>
      <c r="H56" s="658"/>
      <c r="I56" s="658"/>
      <c r="J56" s="658"/>
      <c r="K56" s="658"/>
      <c r="L56" s="658"/>
      <c r="M56" s="658"/>
      <c r="N56" s="658"/>
      <c r="O56" s="658"/>
      <c r="P56" s="658"/>
      <c r="Q56" s="658"/>
      <c r="R56" s="658"/>
    </row>
    <row r="57" spans="1:18" hidden="1">
      <c r="A57" s="658"/>
      <c r="B57" s="658"/>
      <c r="C57" s="658"/>
      <c r="D57" s="658"/>
      <c r="E57" s="658"/>
      <c r="F57" s="658"/>
      <c r="G57" s="658"/>
      <c r="H57" s="658"/>
      <c r="I57" s="658"/>
      <c r="J57" s="658"/>
      <c r="K57" s="658"/>
      <c r="L57" s="658"/>
      <c r="M57" s="658"/>
      <c r="N57" s="658"/>
      <c r="O57" s="658"/>
      <c r="P57" s="658"/>
      <c r="Q57" s="658"/>
      <c r="R57" s="658"/>
    </row>
    <row r="58" spans="1:18">
      <c r="A58" s="658"/>
      <c r="B58" s="658"/>
      <c r="C58" s="658"/>
      <c r="D58" s="658"/>
      <c r="E58" s="658"/>
      <c r="F58" s="658"/>
      <c r="G58" s="658"/>
      <c r="H58" s="658"/>
      <c r="I58" s="658"/>
      <c r="J58" s="658"/>
      <c r="K58" s="658"/>
      <c r="L58" s="658"/>
      <c r="M58" s="658"/>
      <c r="N58" s="658"/>
      <c r="O58" s="658"/>
      <c r="P58" s="658"/>
      <c r="Q58" s="658"/>
      <c r="R58" s="658"/>
    </row>
  </sheetData>
  <sheetProtection algorithmName="SHA-512" hashValue="Y3qZFPiey85E/GoZoGRj+9SdRSnBjVCekXwpMFl3OxanpOGjYWgLv56cdcoV1RvVKs+RUD9v/hK56Vyw2jIY+w==" saltValue="CwQAxY4ABa2wZWeDXSEHiQ==" spinCount="100000" sheet="1" objects="1" scenarios="1"/>
  <customSheetViews>
    <customSheetView guid="{2E52E5FF-9846-4DC5-A671-268FE925398C}" scale="80" showPageBreaks="1" printArea="1" hiddenColumns="1" view="pageBreakPreview">
      <selection activeCell="F17" sqref="F17"/>
      <pageMargins left="0.70866141732283472" right="0.70866141732283472" top="0.74803149606299213" bottom="0.74803149606299213" header="0.31496062992125984" footer="0.31496062992125984"/>
      <pageSetup paperSize="9" scale="45" orientation="landscape" r:id="rId1"/>
    </customSheetView>
    <customSheetView guid="{BADA99B3-B36A-4925-87A7-F72FC97D3DBA}" scale="80" showPageBreaks="1" printArea="1" view="pageBreakPreview" topLeftCell="A22">
      <selection activeCell="X35" sqref="X35"/>
      <pageMargins left="0.70866141732283472" right="0.70866141732283472" top="0.74803149606299213" bottom="0.74803149606299213" header="0.31496062992125984" footer="0.31496062992125984"/>
      <pageSetup paperSize="9" scale="45" orientation="landscape" r:id="rId2"/>
    </customSheetView>
  </customSheetViews>
  <mergeCells count="72">
    <mergeCell ref="B24:C24"/>
    <mergeCell ref="H40:I40"/>
    <mergeCell ref="H41:H42"/>
    <mergeCell ref="H47:H48"/>
    <mergeCell ref="I41:I42"/>
    <mergeCell ref="I47:I48"/>
    <mergeCell ref="B26:C26"/>
    <mergeCell ref="B27:C27"/>
    <mergeCell ref="B29:C29"/>
    <mergeCell ref="B30:C30"/>
    <mergeCell ref="D29:J29"/>
    <mergeCell ref="E47:F47"/>
    <mergeCell ref="B35:C35"/>
    <mergeCell ref="B36:C36"/>
    <mergeCell ref="B32:C32"/>
    <mergeCell ref="B34:C34"/>
    <mergeCell ref="A2:Q3"/>
    <mergeCell ref="D6:E6"/>
    <mergeCell ref="B20:F20"/>
    <mergeCell ref="D10:E10"/>
    <mergeCell ref="D9:E9"/>
    <mergeCell ref="B15:C15"/>
    <mergeCell ref="H15:I15"/>
    <mergeCell ref="B16:C17"/>
    <mergeCell ref="H16:I16"/>
    <mergeCell ref="H17:I17"/>
    <mergeCell ref="P40:Q40"/>
    <mergeCell ref="J40:K40"/>
    <mergeCell ref="L40:M40"/>
    <mergeCell ref="B5:D5"/>
    <mergeCell ref="B6:C6"/>
    <mergeCell ref="B7:C7"/>
    <mergeCell ref="B9:C9"/>
    <mergeCell ref="B10:C10"/>
    <mergeCell ref="D7:E7"/>
    <mergeCell ref="D8:E8"/>
    <mergeCell ref="N40:O40"/>
    <mergeCell ref="B31:C31"/>
    <mergeCell ref="B23:C23"/>
    <mergeCell ref="B22:C22"/>
    <mergeCell ref="B25:C25"/>
    <mergeCell ref="B21:C21"/>
    <mergeCell ref="E50:F50"/>
    <mergeCell ref="L41:L42"/>
    <mergeCell ref="M41:M42"/>
    <mergeCell ref="N41:N42"/>
    <mergeCell ref="B45:G45"/>
    <mergeCell ref="A48:D48"/>
    <mergeCell ref="A43:D43"/>
    <mergeCell ref="A42:D42"/>
    <mergeCell ref="E42:F42"/>
    <mergeCell ref="A54:D54"/>
    <mergeCell ref="A47:D47"/>
    <mergeCell ref="A50:D50"/>
    <mergeCell ref="A49:D49"/>
    <mergeCell ref="A51:D52"/>
    <mergeCell ref="N1:Q1"/>
    <mergeCell ref="A55:D56"/>
    <mergeCell ref="O41:O42"/>
    <mergeCell ref="P41:P42"/>
    <mergeCell ref="Q41:Q42"/>
    <mergeCell ref="J47:J48"/>
    <mergeCell ref="K47:K48"/>
    <mergeCell ref="L47:L48"/>
    <mergeCell ref="M47:M48"/>
    <mergeCell ref="N47:N48"/>
    <mergeCell ref="O47:O48"/>
    <mergeCell ref="P47:P48"/>
    <mergeCell ref="Q47:Q48"/>
    <mergeCell ref="J41:J42"/>
    <mergeCell ref="K41:K42"/>
    <mergeCell ref="E54:F54"/>
  </mergeCells>
  <phoneticPr fontId="4"/>
  <conditionalFormatting sqref="D22:O22 D26:O26">
    <cfRule type="expression" dxfId="315" priority="1">
      <formula>D$21=""</formula>
    </cfRule>
  </conditionalFormatting>
  <dataValidations count="2">
    <dataValidation type="list" allowBlank="1" showInputMessage="1" showErrorMessage="1" sqref="D17:H17" xr:uid="{00000000-0002-0000-0E00-000000000000}">
      <formula1>$Y$3:$Y$4</formula1>
    </dataValidation>
    <dataValidation type="list" allowBlank="1" showInputMessage="1" showErrorMessage="1" sqref="J17" xr:uid="{00000000-0002-0000-0E00-000001000000}">
      <formula1>$Z$2:$Z$5</formula1>
    </dataValidation>
  </dataValidations>
  <printOptions horizontalCentered="1"/>
  <pageMargins left="0.70866141732283472" right="0.70866141732283472" top="0.74803149606299213" bottom="0.74803149606299213" header="0.31496062992125984" footer="0.31496062992125984"/>
  <pageSetup paperSize="9" scale="34" orientation="landscap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FFC000"/>
  </sheetPr>
  <dimension ref="A1:P95"/>
  <sheetViews>
    <sheetView view="pageBreakPreview" zoomScaleNormal="100" zoomScaleSheetLayoutView="100" workbookViewId="0">
      <selection activeCell="E11" sqref="E11"/>
    </sheetView>
  </sheetViews>
  <sheetFormatPr defaultRowHeight="13.5" outlineLevelCol="1"/>
  <cols>
    <col min="1" max="1" width="2.875" style="260" customWidth="1"/>
    <col min="2" max="2" width="3" style="260" customWidth="1"/>
    <col min="3" max="3" width="17.75" style="260" customWidth="1"/>
    <col min="4" max="4" width="13" style="260" customWidth="1"/>
    <col min="5" max="5" width="9.375" style="260" customWidth="1"/>
    <col min="6" max="6" width="8.625" style="507" customWidth="1"/>
    <col min="7" max="7" width="15.125" style="507" customWidth="1"/>
    <col min="8" max="8" width="14.25" style="507" customWidth="1"/>
    <col min="9" max="9" width="8.125" style="507" customWidth="1"/>
    <col min="10" max="10" width="7.375" style="507" customWidth="1"/>
    <col min="11" max="12" width="9" style="260" hidden="1" customWidth="1" outlineLevel="1"/>
    <col min="13" max="13" width="9" style="260" collapsed="1"/>
    <col min="14" max="256" width="9" style="260"/>
    <col min="257" max="257" width="2.875" style="260" customWidth="1"/>
    <col min="258" max="258" width="3" style="260" customWidth="1"/>
    <col min="259" max="259" width="17.75" style="260" customWidth="1"/>
    <col min="260" max="260" width="22.625" style="260" customWidth="1"/>
    <col min="261" max="261" width="8" style="260" customWidth="1"/>
    <col min="262" max="262" width="6.125" style="260" bestFit="1" customWidth="1"/>
    <col min="263" max="263" width="7.875" style="260" bestFit="1" customWidth="1"/>
    <col min="264" max="264" width="13.25" style="260" bestFit="1" customWidth="1"/>
    <col min="265" max="265" width="9" style="260" customWidth="1"/>
    <col min="266" max="512" width="9" style="260"/>
    <col min="513" max="513" width="2.875" style="260" customWidth="1"/>
    <col min="514" max="514" width="3" style="260" customWidth="1"/>
    <col min="515" max="515" width="17.75" style="260" customWidth="1"/>
    <col min="516" max="516" width="22.625" style="260" customWidth="1"/>
    <col min="517" max="517" width="8" style="260" customWidth="1"/>
    <col min="518" max="518" width="6.125" style="260" bestFit="1" customWidth="1"/>
    <col min="519" max="519" width="7.875" style="260" bestFit="1" customWidth="1"/>
    <col min="520" max="520" width="13.25" style="260" bestFit="1" customWidth="1"/>
    <col min="521" max="521" width="9" style="260" customWidth="1"/>
    <col min="522" max="768" width="9" style="260"/>
    <col min="769" max="769" width="2.875" style="260" customWidth="1"/>
    <col min="770" max="770" width="3" style="260" customWidth="1"/>
    <col min="771" max="771" width="17.75" style="260" customWidth="1"/>
    <col min="772" max="772" width="22.625" style="260" customWidth="1"/>
    <col min="773" max="773" width="8" style="260" customWidth="1"/>
    <col min="774" max="774" width="6.125" style="260" bestFit="1" customWidth="1"/>
    <col min="775" max="775" width="7.875" style="260" bestFit="1" customWidth="1"/>
    <col min="776" max="776" width="13.25" style="260" bestFit="1" customWidth="1"/>
    <col min="777" max="777" width="9" style="260" customWidth="1"/>
    <col min="778" max="1024" width="9" style="260"/>
    <col min="1025" max="1025" width="2.875" style="260" customWidth="1"/>
    <col min="1026" max="1026" width="3" style="260" customWidth="1"/>
    <col min="1027" max="1027" width="17.75" style="260" customWidth="1"/>
    <col min="1028" max="1028" width="22.625" style="260" customWidth="1"/>
    <col min="1029" max="1029" width="8" style="260" customWidth="1"/>
    <col min="1030" max="1030" width="6.125" style="260" bestFit="1" customWidth="1"/>
    <col min="1031" max="1031" width="7.875" style="260" bestFit="1" customWidth="1"/>
    <col min="1032" max="1032" width="13.25" style="260" bestFit="1" customWidth="1"/>
    <col min="1033" max="1033" width="9" style="260" customWidth="1"/>
    <col min="1034" max="1280" width="9" style="260"/>
    <col min="1281" max="1281" width="2.875" style="260" customWidth="1"/>
    <col min="1282" max="1282" width="3" style="260" customWidth="1"/>
    <col min="1283" max="1283" width="17.75" style="260" customWidth="1"/>
    <col min="1284" max="1284" width="22.625" style="260" customWidth="1"/>
    <col min="1285" max="1285" width="8" style="260" customWidth="1"/>
    <col min="1286" max="1286" width="6.125" style="260" bestFit="1" customWidth="1"/>
    <col min="1287" max="1287" width="7.875" style="260" bestFit="1" customWidth="1"/>
    <col min="1288" max="1288" width="13.25" style="260" bestFit="1" customWidth="1"/>
    <col min="1289" max="1289" width="9" style="260" customWidth="1"/>
    <col min="1290" max="1536" width="9" style="260"/>
    <col min="1537" max="1537" width="2.875" style="260" customWidth="1"/>
    <col min="1538" max="1538" width="3" style="260" customWidth="1"/>
    <col min="1539" max="1539" width="17.75" style="260" customWidth="1"/>
    <col min="1540" max="1540" width="22.625" style="260" customWidth="1"/>
    <col min="1541" max="1541" width="8" style="260" customWidth="1"/>
    <col min="1542" max="1542" width="6.125" style="260" bestFit="1" customWidth="1"/>
    <col min="1543" max="1543" width="7.875" style="260" bestFit="1" customWidth="1"/>
    <col min="1544" max="1544" width="13.25" style="260" bestFit="1" customWidth="1"/>
    <col min="1545" max="1545" width="9" style="260" customWidth="1"/>
    <col min="1546" max="1792" width="9" style="260"/>
    <col min="1793" max="1793" width="2.875" style="260" customWidth="1"/>
    <col min="1794" max="1794" width="3" style="260" customWidth="1"/>
    <col min="1795" max="1795" width="17.75" style="260" customWidth="1"/>
    <col min="1796" max="1796" width="22.625" style="260" customWidth="1"/>
    <col min="1797" max="1797" width="8" style="260" customWidth="1"/>
    <col min="1798" max="1798" width="6.125" style="260" bestFit="1" customWidth="1"/>
    <col min="1799" max="1799" width="7.875" style="260" bestFit="1" customWidth="1"/>
    <col min="1800" max="1800" width="13.25" style="260" bestFit="1" customWidth="1"/>
    <col min="1801" max="1801" width="9" style="260" customWidth="1"/>
    <col min="1802" max="2048" width="9" style="260"/>
    <col min="2049" max="2049" width="2.875" style="260" customWidth="1"/>
    <col min="2050" max="2050" width="3" style="260" customWidth="1"/>
    <col min="2051" max="2051" width="17.75" style="260" customWidth="1"/>
    <col min="2052" max="2052" width="22.625" style="260" customWidth="1"/>
    <col min="2053" max="2053" width="8" style="260" customWidth="1"/>
    <col min="2054" max="2054" width="6.125" style="260" bestFit="1" customWidth="1"/>
    <col min="2055" max="2055" width="7.875" style="260" bestFit="1" customWidth="1"/>
    <col min="2056" max="2056" width="13.25" style="260" bestFit="1" customWidth="1"/>
    <col min="2057" max="2057" width="9" style="260" customWidth="1"/>
    <col min="2058" max="2304" width="9" style="260"/>
    <col min="2305" max="2305" width="2.875" style="260" customWidth="1"/>
    <col min="2306" max="2306" width="3" style="260" customWidth="1"/>
    <col min="2307" max="2307" width="17.75" style="260" customWidth="1"/>
    <col min="2308" max="2308" width="22.625" style="260" customWidth="1"/>
    <col min="2309" max="2309" width="8" style="260" customWidth="1"/>
    <col min="2310" max="2310" width="6.125" style="260" bestFit="1" customWidth="1"/>
    <col min="2311" max="2311" width="7.875" style="260" bestFit="1" customWidth="1"/>
    <col min="2312" max="2312" width="13.25" style="260" bestFit="1" customWidth="1"/>
    <col min="2313" max="2313" width="9" style="260" customWidth="1"/>
    <col min="2314" max="2560" width="9" style="260"/>
    <col min="2561" max="2561" width="2.875" style="260" customWidth="1"/>
    <col min="2562" max="2562" width="3" style="260" customWidth="1"/>
    <col min="2563" max="2563" width="17.75" style="260" customWidth="1"/>
    <col min="2564" max="2564" width="22.625" style="260" customWidth="1"/>
    <col min="2565" max="2565" width="8" style="260" customWidth="1"/>
    <col min="2566" max="2566" width="6.125" style="260" bestFit="1" customWidth="1"/>
    <col min="2567" max="2567" width="7.875" style="260" bestFit="1" customWidth="1"/>
    <col min="2568" max="2568" width="13.25" style="260" bestFit="1" customWidth="1"/>
    <col min="2569" max="2569" width="9" style="260" customWidth="1"/>
    <col min="2570" max="2816" width="9" style="260"/>
    <col min="2817" max="2817" width="2.875" style="260" customWidth="1"/>
    <col min="2818" max="2818" width="3" style="260" customWidth="1"/>
    <col min="2819" max="2819" width="17.75" style="260" customWidth="1"/>
    <col min="2820" max="2820" width="22.625" style="260" customWidth="1"/>
    <col min="2821" max="2821" width="8" style="260" customWidth="1"/>
    <col min="2822" max="2822" width="6.125" style="260" bestFit="1" customWidth="1"/>
    <col min="2823" max="2823" width="7.875" style="260" bestFit="1" customWidth="1"/>
    <col min="2824" max="2824" width="13.25" style="260" bestFit="1" customWidth="1"/>
    <col min="2825" max="2825" width="9" style="260" customWidth="1"/>
    <col min="2826" max="3072" width="9" style="260"/>
    <col min="3073" max="3073" width="2.875" style="260" customWidth="1"/>
    <col min="3074" max="3074" width="3" style="260" customWidth="1"/>
    <col min="3075" max="3075" width="17.75" style="260" customWidth="1"/>
    <col min="3076" max="3076" width="22.625" style="260" customWidth="1"/>
    <col min="3077" max="3077" width="8" style="260" customWidth="1"/>
    <col min="3078" max="3078" width="6.125" style="260" bestFit="1" customWidth="1"/>
    <col min="3079" max="3079" width="7.875" style="260" bestFit="1" customWidth="1"/>
    <col min="3080" max="3080" width="13.25" style="260" bestFit="1" customWidth="1"/>
    <col min="3081" max="3081" width="9" style="260" customWidth="1"/>
    <col min="3082" max="3328" width="9" style="260"/>
    <col min="3329" max="3329" width="2.875" style="260" customWidth="1"/>
    <col min="3330" max="3330" width="3" style="260" customWidth="1"/>
    <col min="3331" max="3331" width="17.75" style="260" customWidth="1"/>
    <col min="3332" max="3332" width="22.625" style="260" customWidth="1"/>
    <col min="3333" max="3333" width="8" style="260" customWidth="1"/>
    <col min="3334" max="3334" width="6.125" style="260" bestFit="1" customWidth="1"/>
    <col min="3335" max="3335" width="7.875" style="260" bestFit="1" customWidth="1"/>
    <col min="3336" max="3336" width="13.25" style="260" bestFit="1" customWidth="1"/>
    <col min="3337" max="3337" width="9" style="260" customWidth="1"/>
    <col min="3338" max="3584" width="9" style="260"/>
    <col min="3585" max="3585" width="2.875" style="260" customWidth="1"/>
    <col min="3586" max="3586" width="3" style="260" customWidth="1"/>
    <col min="3587" max="3587" width="17.75" style="260" customWidth="1"/>
    <col min="3588" max="3588" width="22.625" style="260" customWidth="1"/>
    <col min="3589" max="3589" width="8" style="260" customWidth="1"/>
    <col min="3590" max="3590" width="6.125" style="260" bestFit="1" customWidth="1"/>
    <col min="3591" max="3591" width="7.875" style="260" bestFit="1" customWidth="1"/>
    <col min="3592" max="3592" width="13.25" style="260" bestFit="1" customWidth="1"/>
    <col min="3593" max="3593" width="9" style="260" customWidth="1"/>
    <col min="3594" max="3840" width="9" style="260"/>
    <col min="3841" max="3841" width="2.875" style="260" customWidth="1"/>
    <col min="3842" max="3842" width="3" style="260" customWidth="1"/>
    <col min="3843" max="3843" width="17.75" style="260" customWidth="1"/>
    <col min="3844" max="3844" width="22.625" style="260" customWidth="1"/>
    <col min="3845" max="3845" width="8" style="260" customWidth="1"/>
    <col min="3846" max="3846" width="6.125" style="260" bestFit="1" customWidth="1"/>
    <col min="3847" max="3847" width="7.875" style="260" bestFit="1" customWidth="1"/>
    <col min="3848" max="3848" width="13.25" style="260" bestFit="1" customWidth="1"/>
    <col min="3849" max="3849" width="9" style="260" customWidth="1"/>
    <col min="3850" max="4096" width="9" style="260"/>
    <col min="4097" max="4097" width="2.875" style="260" customWidth="1"/>
    <col min="4098" max="4098" width="3" style="260" customWidth="1"/>
    <col min="4099" max="4099" width="17.75" style="260" customWidth="1"/>
    <col min="4100" max="4100" width="22.625" style="260" customWidth="1"/>
    <col min="4101" max="4101" width="8" style="260" customWidth="1"/>
    <col min="4102" max="4102" width="6.125" style="260" bestFit="1" customWidth="1"/>
    <col min="4103" max="4103" width="7.875" style="260" bestFit="1" customWidth="1"/>
    <col min="4104" max="4104" width="13.25" style="260" bestFit="1" customWidth="1"/>
    <col min="4105" max="4105" width="9" style="260" customWidth="1"/>
    <col min="4106" max="4352" width="9" style="260"/>
    <col min="4353" max="4353" width="2.875" style="260" customWidth="1"/>
    <col min="4354" max="4354" width="3" style="260" customWidth="1"/>
    <col min="4355" max="4355" width="17.75" style="260" customWidth="1"/>
    <col min="4356" max="4356" width="22.625" style="260" customWidth="1"/>
    <col min="4357" max="4357" width="8" style="260" customWidth="1"/>
    <col min="4358" max="4358" width="6.125" style="260" bestFit="1" customWidth="1"/>
    <col min="4359" max="4359" width="7.875" style="260" bestFit="1" customWidth="1"/>
    <col min="4360" max="4360" width="13.25" style="260" bestFit="1" customWidth="1"/>
    <col min="4361" max="4361" width="9" style="260" customWidth="1"/>
    <col min="4362" max="4608" width="9" style="260"/>
    <col min="4609" max="4609" width="2.875" style="260" customWidth="1"/>
    <col min="4610" max="4610" width="3" style="260" customWidth="1"/>
    <col min="4611" max="4611" width="17.75" style="260" customWidth="1"/>
    <col min="4612" max="4612" width="22.625" style="260" customWidth="1"/>
    <col min="4613" max="4613" width="8" style="260" customWidth="1"/>
    <col min="4614" max="4614" width="6.125" style="260" bestFit="1" customWidth="1"/>
    <col min="4615" max="4615" width="7.875" style="260" bestFit="1" customWidth="1"/>
    <col min="4616" max="4616" width="13.25" style="260" bestFit="1" customWidth="1"/>
    <col min="4617" max="4617" width="9" style="260" customWidth="1"/>
    <col min="4618" max="4864" width="9" style="260"/>
    <col min="4865" max="4865" width="2.875" style="260" customWidth="1"/>
    <col min="4866" max="4866" width="3" style="260" customWidth="1"/>
    <col min="4867" max="4867" width="17.75" style="260" customWidth="1"/>
    <col min="4868" max="4868" width="22.625" style="260" customWidth="1"/>
    <col min="4869" max="4869" width="8" style="260" customWidth="1"/>
    <col min="4870" max="4870" width="6.125" style="260" bestFit="1" customWidth="1"/>
    <col min="4871" max="4871" width="7.875" style="260" bestFit="1" customWidth="1"/>
    <col min="4872" max="4872" width="13.25" style="260" bestFit="1" customWidth="1"/>
    <col min="4873" max="4873" width="9" style="260" customWidth="1"/>
    <col min="4874" max="5120" width="9" style="260"/>
    <col min="5121" max="5121" width="2.875" style="260" customWidth="1"/>
    <col min="5122" max="5122" width="3" style="260" customWidth="1"/>
    <col min="5123" max="5123" width="17.75" style="260" customWidth="1"/>
    <col min="5124" max="5124" width="22.625" style="260" customWidth="1"/>
    <col min="5125" max="5125" width="8" style="260" customWidth="1"/>
    <col min="5126" max="5126" width="6.125" style="260" bestFit="1" customWidth="1"/>
    <col min="5127" max="5127" width="7.875" style="260" bestFit="1" customWidth="1"/>
    <col min="5128" max="5128" width="13.25" style="260" bestFit="1" customWidth="1"/>
    <col min="5129" max="5129" width="9" style="260" customWidth="1"/>
    <col min="5130" max="5376" width="9" style="260"/>
    <col min="5377" max="5377" width="2.875" style="260" customWidth="1"/>
    <col min="5378" max="5378" width="3" style="260" customWidth="1"/>
    <col min="5379" max="5379" width="17.75" style="260" customWidth="1"/>
    <col min="5380" max="5380" width="22.625" style="260" customWidth="1"/>
    <col min="5381" max="5381" width="8" style="260" customWidth="1"/>
    <col min="5382" max="5382" width="6.125" style="260" bestFit="1" customWidth="1"/>
    <col min="5383" max="5383" width="7.875" style="260" bestFit="1" customWidth="1"/>
    <col min="5384" max="5384" width="13.25" style="260" bestFit="1" customWidth="1"/>
    <col min="5385" max="5385" width="9" style="260" customWidth="1"/>
    <col min="5386" max="5632" width="9" style="260"/>
    <col min="5633" max="5633" width="2.875" style="260" customWidth="1"/>
    <col min="5634" max="5634" width="3" style="260" customWidth="1"/>
    <col min="5635" max="5635" width="17.75" style="260" customWidth="1"/>
    <col min="5636" max="5636" width="22.625" style="260" customWidth="1"/>
    <col min="5637" max="5637" width="8" style="260" customWidth="1"/>
    <col min="5638" max="5638" width="6.125" style="260" bestFit="1" customWidth="1"/>
    <col min="5639" max="5639" width="7.875" style="260" bestFit="1" customWidth="1"/>
    <col min="5640" max="5640" width="13.25" style="260" bestFit="1" customWidth="1"/>
    <col min="5641" max="5641" width="9" style="260" customWidth="1"/>
    <col min="5642" max="5888" width="9" style="260"/>
    <col min="5889" max="5889" width="2.875" style="260" customWidth="1"/>
    <col min="5890" max="5890" width="3" style="260" customWidth="1"/>
    <col min="5891" max="5891" width="17.75" style="260" customWidth="1"/>
    <col min="5892" max="5892" width="22.625" style="260" customWidth="1"/>
    <col min="5893" max="5893" width="8" style="260" customWidth="1"/>
    <col min="5894" max="5894" width="6.125" style="260" bestFit="1" customWidth="1"/>
    <col min="5895" max="5895" width="7.875" style="260" bestFit="1" customWidth="1"/>
    <col min="5896" max="5896" width="13.25" style="260" bestFit="1" customWidth="1"/>
    <col min="5897" max="5897" width="9" style="260" customWidth="1"/>
    <col min="5898" max="6144" width="9" style="260"/>
    <col min="6145" max="6145" width="2.875" style="260" customWidth="1"/>
    <col min="6146" max="6146" width="3" style="260" customWidth="1"/>
    <col min="6147" max="6147" width="17.75" style="260" customWidth="1"/>
    <col min="6148" max="6148" width="22.625" style="260" customWidth="1"/>
    <col min="6149" max="6149" width="8" style="260" customWidth="1"/>
    <col min="6150" max="6150" width="6.125" style="260" bestFit="1" customWidth="1"/>
    <col min="6151" max="6151" width="7.875" style="260" bestFit="1" customWidth="1"/>
    <col min="6152" max="6152" width="13.25" style="260" bestFit="1" customWidth="1"/>
    <col min="6153" max="6153" width="9" style="260" customWidth="1"/>
    <col min="6154" max="6400" width="9" style="260"/>
    <col min="6401" max="6401" width="2.875" style="260" customWidth="1"/>
    <col min="6402" max="6402" width="3" style="260" customWidth="1"/>
    <col min="6403" max="6403" width="17.75" style="260" customWidth="1"/>
    <col min="6404" max="6404" width="22.625" style="260" customWidth="1"/>
    <col min="6405" max="6405" width="8" style="260" customWidth="1"/>
    <col min="6406" max="6406" width="6.125" style="260" bestFit="1" customWidth="1"/>
    <col min="6407" max="6407" width="7.875" style="260" bestFit="1" customWidth="1"/>
    <col min="6408" max="6408" width="13.25" style="260" bestFit="1" customWidth="1"/>
    <col min="6409" max="6409" width="9" style="260" customWidth="1"/>
    <col min="6410" max="6656" width="9" style="260"/>
    <col min="6657" max="6657" width="2.875" style="260" customWidth="1"/>
    <col min="6658" max="6658" width="3" style="260" customWidth="1"/>
    <col min="6659" max="6659" width="17.75" style="260" customWidth="1"/>
    <col min="6660" max="6660" width="22.625" style="260" customWidth="1"/>
    <col min="6661" max="6661" width="8" style="260" customWidth="1"/>
    <col min="6662" max="6662" width="6.125" style="260" bestFit="1" customWidth="1"/>
    <col min="6663" max="6663" width="7.875" style="260" bestFit="1" customWidth="1"/>
    <col min="6664" max="6664" width="13.25" style="260" bestFit="1" customWidth="1"/>
    <col min="6665" max="6665" width="9" style="260" customWidth="1"/>
    <col min="6666" max="6912" width="9" style="260"/>
    <col min="6913" max="6913" width="2.875" style="260" customWidth="1"/>
    <col min="6914" max="6914" width="3" style="260" customWidth="1"/>
    <col min="6915" max="6915" width="17.75" style="260" customWidth="1"/>
    <col min="6916" max="6916" width="22.625" style="260" customWidth="1"/>
    <col min="6917" max="6917" width="8" style="260" customWidth="1"/>
    <col min="6918" max="6918" width="6.125" style="260" bestFit="1" customWidth="1"/>
    <col min="6919" max="6919" width="7.875" style="260" bestFit="1" customWidth="1"/>
    <col min="6920" max="6920" width="13.25" style="260" bestFit="1" customWidth="1"/>
    <col min="6921" max="6921" width="9" style="260" customWidth="1"/>
    <col min="6922" max="7168" width="9" style="260"/>
    <col min="7169" max="7169" width="2.875" style="260" customWidth="1"/>
    <col min="7170" max="7170" width="3" style="260" customWidth="1"/>
    <col min="7171" max="7171" width="17.75" style="260" customWidth="1"/>
    <col min="7172" max="7172" width="22.625" style="260" customWidth="1"/>
    <col min="7173" max="7173" width="8" style="260" customWidth="1"/>
    <col min="7174" max="7174" width="6.125" style="260" bestFit="1" customWidth="1"/>
    <col min="7175" max="7175" width="7.875" style="260" bestFit="1" customWidth="1"/>
    <col min="7176" max="7176" width="13.25" style="260" bestFit="1" customWidth="1"/>
    <col min="7177" max="7177" width="9" style="260" customWidth="1"/>
    <col min="7178" max="7424" width="9" style="260"/>
    <col min="7425" max="7425" width="2.875" style="260" customWidth="1"/>
    <col min="7426" max="7426" width="3" style="260" customWidth="1"/>
    <col min="7427" max="7427" width="17.75" style="260" customWidth="1"/>
    <col min="7428" max="7428" width="22.625" style="260" customWidth="1"/>
    <col min="7429" max="7429" width="8" style="260" customWidth="1"/>
    <col min="7430" max="7430" width="6.125" style="260" bestFit="1" customWidth="1"/>
    <col min="7431" max="7431" width="7.875" style="260" bestFit="1" customWidth="1"/>
    <col min="7432" max="7432" width="13.25" style="260" bestFit="1" customWidth="1"/>
    <col min="7433" max="7433" width="9" style="260" customWidth="1"/>
    <col min="7434" max="7680" width="9" style="260"/>
    <col min="7681" max="7681" width="2.875" style="260" customWidth="1"/>
    <col min="7682" max="7682" width="3" style="260" customWidth="1"/>
    <col min="7683" max="7683" width="17.75" style="260" customWidth="1"/>
    <col min="7684" max="7684" width="22.625" style="260" customWidth="1"/>
    <col min="7685" max="7685" width="8" style="260" customWidth="1"/>
    <col min="7686" max="7686" width="6.125" style="260" bestFit="1" customWidth="1"/>
    <col min="7687" max="7687" width="7.875" style="260" bestFit="1" customWidth="1"/>
    <col min="7688" max="7688" width="13.25" style="260" bestFit="1" customWidth="1"/>
    <col min="7689" max="7689" width="9" style="260" customWidth="1"/>
    <col min="7690" max="7936" width="9" style="260"/>
    <col min="7937" max="7937" width="2.875" style="260" customWidth="1"/>
    <col min="7938" max="7938" width="3" style="260" customWidth="1"/>
    <col min="7939" max="7939" width="17.75" style="260" customWidth="1"/>
    <col min="7940" max="7940" width="22.625" style="260" customWidth="1"/>
    <col min="7941" max="7941" width="8" style="260" customWidth="1"/>
    <col min="7942" max="7942" width="6.125" style="260" bestFit="1" customWidth="1"/>
    <col min="7943" max="7943" width="7.875" style="260" bestFit="1" customWidth="1"/>
    <col min="7944" max="7944" width="13.25" style="260" bestFit="1" customWidth="1"/>
    <col min="7945" max="7945" width="9" style="260" customWidth="1"/>
    <col min="7946" max="8192" width="9" style="260"/>
    <col min="8193" max="8193" width="2.875" style="260" customWidth="1"/>
    <col min="8194" max="8194" width="3" style="260" customWidth="1"/>
    <col min="8195" max="8195" width="17.75" style="260" customWidth="1"/>
    <col min="8196" max="8196" width="22.625" style="260" customWidth="1"/>
    <col min="8197" max="8197" width="8" style="260" customWidth="1"/>
    <col min="8198" max="8198" width="6.125" style="260" bestFit="1" customWidth="1"/>
    <col min="8199" max="8199" width="7.875" style="260" bestFit="1" customWidth="1"/>
    <col min="8200" max="8200" width="13.25" style="260" bestFit="1" customWidth="1"/>
    <col min="8201" max="8201" width="9" style="260" customWidth="1"/>
    <col min="8202" max="8448" width="9" style="260"/>
    <col min="8449" max="8449" width="2.875" style="260" customWidth="1"/>
    <col min="8450" max="8450" width="3" style="260" customWidth="1"/>
    <col min="8451" max="8451" width="17.75" style="260" customWidth="1"/>
    <col min="8452" max="8452" width="22.625" style="260" customWidth="1"/>
    <col min="8453" max="8453" width="8" style="260" customWidth="1"/>
    <col min="8454" max="8454" width="6.125" style="260" bestFit="1" customWidth="1"/>
    <col min="8455" max="8455" width="7.875" style="260" bestFit="1" customWidth="1"/>
    <col min="8456" max="8456" width="13.25" style="260" bestFit="1" customWidth="1"/>
    <col min="8457" max="8457" width="9" style="260" customWidth="1"/>
    <col min="8458" max="8704" width="9" style="260"/>
    <col min="8705" max="8705" width="2.875" style="260" customWidth="1"/>
    <col min="8706" max="8706" width="3" style="260" customWidth="1"/>
    <col min="8707" max="8707" width="17.75" style="260" customWidth="1"/>
    <col min="8708" max="8708" width="22.625" style="260" customWidth="1"/>
    <col min="8709" max="8709" width="8" style="260" customWidth="1"/>
    <col min="8710" max="8710" width="6.125" style="260" bestFit="1" customWidth="1"/>
    <col min="8711" max="8711" width="7.875" style="260" bestFit="1" customWidth="1"/>
    <col min="8712" max="8712" width="13.25" style="260" bestFit="1" customWidth="1"/>
    <col min="8713" max="8713" width="9" style="260" customWidth="1"/>
    <col min="8714" max="8960" width="9" style="260"/>
    <col min="8961" max="8961" width="2.875" style="260" customWidth="1"/>
    <col min="8962" max="8962" width="3" style="260" customWidth="1"/>
    <col min="8963" max="8963" width="17.75" style="260" customWidth="1"/>
    <col min="8964" max="8964" width="22.625" style="260" customWidth="1"/>
    <col min="8965" max="8965" width="8" style="260" customWidth="1"/>
    <col min="8966" max="8966" width="6.125" style="260" bestFit="1" customWidth="1"/>
    <col min="8967" max="8967" width="7.875" style="260" bestFit="1" customWidth="1"/>
    <col min="8968" max="8968" width="13.25" style="260" bestFit="1" customWidth="1"/>
    <col min="8969" max="8969" width="9" style="260" customWidth="1"/>
    <col min="8970" max="9216" width="9" style="260"/>
    <col min="9217" max="9217" width="2.875" style="260" customWidth="1"/>
    <col min="9218" max="9218" width="3" style="260" customWidth="1"/>
    <col min="9219" max="9219" width="17.75" style="260" customWidth="1"/>
    <col min="9220" max="9220" width="22.625" style="260" customWidth="1"/>
    <col min="9221" max="9221" width="8" style="260" customWidth="1"/>
    <col min="9222" max="9222" width="6.125" style="260" bestFit="1" customWidth="1"/>
    <col min="9223" max="9223" width="7.875" style="260" bestFit="1" customWidth="1"/>
    <col min="9224" max="9224" width="13.25" style="260" bestFit="1" customWidth="1"/>
    <col min="9225" max="9225" width="9" style="260" customWidth="1"/>
    <col min="9226" max="9472" width="9" style="260"/>
    <col min="9473" max="9473" width="2.875" style="260" customWidth="1"/>
    <col min="9474" max="9474" width="3" style="260" customWidth="1"/>
    <col min="9475" max="9475" width="17.75" style="260" customWidth="1"/>
    <col min="9476" max="9476" width="22.625" style="260" customWidth="1"/>
    <col min="9477" max="9477" width="8" style="260" customWidth="1"/>
    <col min="9478" max="9478" width="6.125" style="260" bestFit="1" customWidth="1"/>
    <col min="9479" max="9479" width="7.875" style="260" bestFit="1" customWidth="1"/>
    <col min="9480" max="9480" width="13.25" style="260" bestFit="1" customWidth="1"/>
    <col min="9481" max="9481" width="9" style="260" customWidth="1"/>
    <col min="9482" max="9728" width="9" style="260"/>
    <col min="9729" max="9729" width="2.875" style="260" customWidth="1"/>
    <col min="9730" max="9730" width="3" style="260" customWidth="1"/>
    <col min="9731" max="9731" width="17.75" style="260" customWidth="1"/>
    <col min="9732" max="9732" width="22.625" style="260" customWidth="1"/>
    <col min="9733" max="9733" width="8" style="260" customWidth="1"/>
    <col min="9734" max="9734" width="6.125" style="260" bestFit="1" customWidth="1"/>
    <col min="9735" max="9735" width="7.875" style="260" bestFit="1" customWidth="1"/>
    <col min="9736" max="9736" width="13.25" style="260" bestFit="1" customWidth="1"/>
    <col min="9737" max="9737" width="9" style="260" customWidth="1"/>
    <col min="9738" max="9984" width="9" style="260"/>
    <col min="9985" max="9985" width="2.875" style="260" customWidth="1"/>
    <col min="9986" max="9986" width="3" style="260" customWidth="1"/>
    <col min="9987" max="9987" width="17.75" style="260" customWidth="1"/>
    <col min="9988" max="9988" width="22.625" style="260" customWidth="1"/>
    <col min="9989" max="9989" width="8" style="260" customWidth="1"/>
    <col min="9990" max="9990" width="6.125" style="260" bestFit="1" customWidth="1"/>
    <col min="9991" max="9991" width="7.875" style="260" bestFit="1" customWidth="1"/>
    <col min="9992" max="9992" width="13.25" style="260" bestFit="1" customWidth="1"/>
    <col min="9993" max="9993" width="9" style="260" customWidth="1"/>
    <col min="9994" max="10240" width="9" style="260"/>
    <col min="10241" max="10241" width="2.875" style="260" customWidth="1"/>
    <col min="10242" max="10242" width="3" style="260" customWidth="1"/>
    <col min="10243" max="10243" width="17.75" style="260" customWidth="1"/>
    <col min="10244" max="10244" width="22.625" style="260" customWidth="1"/>
    <col min="10245" max="10245" width="8" style="260" customWidth="1"/>
    <col min="10246" max="10246" width="6.125" style="260" bestFit="1" customWidth="1"/>
    <col min="10247" max="10247" width="7.875" style="260" bestFit="1" customWidth="1"/>
    <col min="10248" max="10248" width="13.25" style="260" bestFit="1" customWidth="1"/>
    <col min="10249" max="10249" width="9" style="260" customWidth="1"/>
    <col min="10250" max="10496" width="9" style="260"/>
    <col min="10497" max="10497" width="2.875" style="260" customWidth="1"/>
    <col min="10498" max="10498" width="3" style="260" customWidth="1"/>
    <col min="10499" max="10499" width="17.75" style="260" customWidth="1"/>
    <col min="10500" max="10500" width="22.625" style="260" customWidth="1"/>
    <col min="10501" max="10501" width="8" style="260" customWidth="1"/>
    <col min="10502" max="10502" width="6.125" style="260" bestFit="1" customWidth="1"/>
    <col min="10503" max="10503" width="7.875" style="260" bestFit="1" customWidth="1"/>
    <col min="10504" max="10504" width="13.25" style="260" bestFit="1" customWidth="1"/>
    <col min="10505" max="10505" width="9" style="260" customWidth="1"/>
    <col min="10506" max="10752" width="9" style="260"/>
    <col min="10753" max="10753" width="2.875" style="260" customWidth="1"/>
    <col min="10754" max="10754" width="3" style="260" customWidth="1"/>
    <col min="10755" max="10755" width="17.75" style="260" customWidth="1"/>
    <col min="10756" max="10756" width="22.625" style="260" customWidth="1"/>
    <col min="10757" max="10757" width="8" style="260" customWidth="1"/>
    <col min="10758" max="10758" width="6.125" style="260" bestFit="1" customWidth="1"/>
    <col min="10759" max="10759" width="7.875" style="260" bestFit="1" customWidth="1"/>
    <col min="10760" max="10760" width="13.25" style="260" bestFit="1" customWidth="1"/>
    <col min="10761" max="10761" width="9" style="260" customWidth="1"/>
    <col min="10762" max="11008" width="9" style="260"/>
    <col min="11009" max="11009" width="2.875" style="260" customWidth="1"/>
    <col min="11010" max="11010" width="3" style="260" customWidth="1"/>
    <col min="11011" max="11011" width="17.75" style="260" customWidth="1"/>
    <col min="11012" max="11012" width="22.625" style="260" customWidth="1"/>
    <col min="11013" max="11013" width="8" style="260" customWidth="1"/>
    <col min="11014" max="11014" width="6.125" style="260" bestFit="1" customWidth="1"/>
    <col min="11015" max="11015" width="7.875" style="260" bestFit="1" customWidth="1"/>
    <col min="11016" max="11016" width="13.25" style="260" bestFit="1" customWidth="1"/>
    <col min="11017" max="11017" width="9" style="260" customWidth="1"/>
    <col min="11018" max="11264" width="9" style="260"/>
    <col min="11265" max="11265" width="2.875" style="260" customWidth="1"/>
    <col min="11266" max="11266" width="3" style="260" customWidth="1"/>
    <col min="11267" max="11267" width="17.75" style="260" customWidth="1"/>
    <col min="11268" max="11268" width="22.625" style="260" customWidth="1"/>
    <col min="11269" max="11269" width="8" style="260" customWidth="1"/>
    <col min="11270" max="11270" width="6.125" style="260" bestFit="1" customWidth="1"/>
    <col min="11271" max="11271" width="7.875" style="260" bestFit="1" customWidth="1"/>
    <col min="11272" max="11272" width="13.25" style="260" bestFit="1" customWidth="1"/>
    <col min="11273" max="11273" width="9" style="260" customWidth="1"/>
    <col min="11274" max="11520" width="9" style="260"/>
    <col min="11521" max="11521" width="2.875" style="260" customWidth="1"/>
    <col min="11522" max="11522" width="3" style="260" customWidth="1"/>
    <col min="11523" max="11523" width="17.75" style="260" customWidth="1"/>
    <col min="11524" max="11524" width="22.625" style="260" customWidth="1"/>
    <col min="11525" max="11525" width="8" style="260" customWidth="1"/>
    <col min="11526" max="11526" width="6.125" style="260" bestFit="1" customWidth="1"/>
    <col min="11527" max="11527" width="7.875" style="260" bestFit="1" customWidth="1"/>
    <col min="11528" max="11528" width="13.25" style="260" bestFit="1" customWidth="1"/>
    <col min="11529" max="11529" width="9" style="260" customWidth="1"/>
    <col min="11530" max="11776" width="9" style="260"/>
    <col min="11777" max="11777" width="2.875" style="260" customWidth="1"/>
    <col min="11778" max="11778" width="3" style="260" customWidth="1"/>
    <col min="11779" max="11779" width="17.75" style="260" customWidth="1"/>
    <col min="11780" max="11780" width="22.625" style="260" customWidth="1"/>
    <col min="11781" max="11781" width="8" style="260" customWidth="1"/>
    <col min="11782" max="11782" width="6.125" style="260" bestFit="1" customWidth="1"/>
    <col min="11783" max="11783" width="7.875" style="260" bestFit="1" customWidth="1"/>
    <col min="11784" max="11784" width="13.25" style="260" bestFit="1" customWidth="1"/>
    <col min="11785" max="11785" width="9" style="260" customWidth="1"/>
    <col min="11786" max="12032" width="9" style="260"/>
    <col min="12033" max="12033" width="2.875" style="260" customWidth="1"/>
    <col min="12034" max="12034" width="3" style="260" customWidth="1"/>
    <col min="12035" max="12035" width="17.75" style="260" customWidth="1"/>
    <col min="12036" max="12036" width="22.625" style="260" customWidth="1"/>
    <col min="12037" max="12037" width="8" style="260" customWidth="1"/>
    <col min="12038" max="12038" width="6.125" style="260" bestFit="1" customWidth="1"/>
    <col min="12039" max="12039" width="7.875" style="260" bestFit="1" customWidth="1"/>
    <col min="12040" max="12040" width="13.25" style="260" bestFit="1" customWidth="1"/>
    <col min="12041" max="12041" width="9" style="260" customWidth="1"/>
    <col min="12042" max="12288" width="9" style="260"/>
    <col min="12289" max="12289" width="2.875" style="260" customWidth="1"/>
    <col min="12290" max="12290" width="3" style="260" customWidth="1"/>
    <col min="12291" max="12291" width="17.75" style="260" customWidth="1"/>
    <col min="12292" max="12292" width="22.625" style="260" customWidth="1"/>
    <col min="12293" max="12293" width="8" style="260" customWidth="1"/>
    <col min="12294" max="12294" width="6.125" style="260" bestFit="1" customWidth="1"/>
    <col min="12295" max="12295" width="7.875" style="260" bestFit="1" customWidth="1"/>
    <col min="12296" max="12296" width="13.25" style="260" bestFit="1" customWidth="1"/>
    <col min="12297" max="12297" width="9" style="260" customWidth="1"/>
    <col min="12298" max="12544" width="9" style="260"/>
    <col min="12545" max="12545" width="2.875" style="260" customWidth="1"/>
    <col min="12546" max="12546" width="3" style="260" customWidth="1"/>
    <col min="12547" max="12547" width="17.75" style="260" customWidth="1"/>
    <col min="12548" max="12548" width="22.625" style="260" customWidth="1"/>
    <col min="12549" max="12549" width="8" style="260" customWidth="1"/>
    <col min="12550" max="12550" width="6.125" style="260" bestFit="1" customWidth="1"/>
    <col min="12551" max="12551" width="7.875" style="260" bestFit="1" customWidth="1"/>
    <col min="12552" max="12552" width="13.25" style="260" bestFit="1" customWidth="1"/>
    <col min="12553" max="12553" width="9" style="260" customWidth="1"/>
    <col min="12554" max="12800" width="9" style="260"/>
    <col min="12801" max="12801" width="2.875" style="260" customWidth="1"/>
    <col min="12802" max="12802" width="3" style="260" customWidth="1"/>
    <col min="12803" max="12803" width="17.75" style="260" customWidth="1"/>
    <col min="12804" max="12804" width="22.625" style="260" customWidth="1"/>
    <col min="12805" max="12805" width="8" style="260" customWidth="1"/>
    <col min="12806" max="12806" width="6.125" style="260" bestFit="1" customWidth="1"/>
    <col min="12807" max="12807" width="7.875" style="260" bestFit="1" customWidth="1"/>
    <col min="12808" max="12808" width="13.25" style="260" bestFit="1" customWidth="1"/>
    <col min="12809" max="12809" width="9" style="260" customWidth="1"/>
    <col min="12810" max="13056" width="9" style="260"/>
    <col min="13057" max="13057" width="2.875" style="260" customWidth="1"/>
    <col min="13058" max="13058" width="3" style="260" customWidth="1"/>
    <col min="13059" max="13059" width="17.75" style="260" customWidth="1"/>
    <col min="13060" max="13060" width="22.625" style="260" customWidth="1"/>
    <col min="13061" max="13061" width="8" style="260" customWidth="1"/>
    <col min="13062" max="13062" width="6.125" style="260" bestFit="1" customWidth="1"/>
    <col min="13063" max="13063" width="7.875" style="260" bestFit="1" customWidth="1"/>
    <col min="13064" max="13064" width="13.25" style="260" bestFit="1" customWidth="1"/>
    <col min="13065" max="13065" width="9" style="260" customWidth="1"/>
    <col min="13066" max="13312" width="9" style="260"/>
    <col min="13313" max="13313" width="2.875" style="260" customWidth="1"/>
    <col min="13314" max="13314" width="3" style="260" customWidth="1"/>
    <col min="13315" max="13315" width="17.75" style="260" customWidth="1"/>
    <col min="13316" max="13316" width="22.625" style="260" customWidth="1"/>
    <col min="13317" max="13317" width="8" style="260" customWidth="1"/>
    <col min="13318" max="13318" width="6.125" style="260" bestFit="1" customWidth="1"/>
    <col min="13319" max="13319" width="7.875" style="260" bestFit="1" customWidth="1"/>
    <col min="13320" max="13320" width="13.25" style="260" bestFit="1" customWidth="1"/>
    <col min="13321" max="13321" width="9" style="260" customWidth="1"/>
    <col min="13322" max="13568" width="9" style="260"/>
    <col min="13569" max="13569" width="2.875" style="260" customWidth="1"/>
    <col min="13570" max="13570" width="3" style="260" customWidth="1"/>
    <col min="13571" max="13571" width="17.75" style="260" customWidth="1"/>
    <col min="13572" max="13572" width="22.625" style="260" customWidth="1"/>
    <col min="13573" max="13573" width="8" style="260" customWidth="1"/>
    <col min="13574" max="13574" width="6.125" style="260" bestFit="1" customWidth="1"/>
    <col min="13575" max="13575" width="7.875" style="260" bestFit="1" customWidth="1"/>
    <col min="13576" max="13576" width="13.25" style="260" bestFit="1" customWidth="1"/>
    <col min="13577" max="13577" width="9" style="260" customWidth="1"/>
    <col min="13578" max="13824" width="9" style="260"/>
    <col min="13825" max="13825" width="2.875" style="260" customWidth="1"/>
    <col min="13826" max="13826" width="3" style="260" customWidth="1"/>
    <col min="13827" max="13827" width="17.75" style="260" customWidth="1"/>
    <col min="13828" max="13828" width="22.625" style="260" customWidth="1"/>
    <col min="13829" max="13829" width="8" style="260" customWidth="1"/>
    <col min="13830" max="13830" width="6.125" style="260" bestFit="1" customWidth="1"/>
    <col min="13831" max="13831" width="7.875" style="260" bestFit="1" customWidth="1"/>
    <col min="13832" max="13832" width="13.25" style="260" bestFit="1" customWidth="1"/>
    <col min="13833" max="13833" width="9" style="260" customWidth="1"/>
    <col min="13834" max="14080" width="9" style="260"/>
    <col min="14081" max="14081" width="2.875" style="260" customWidth="1"/>
    <col min="14082" max="14082" width="3" style="260" customWidth="1"/>
    <col min="14083" max="14083" width="17.75" style="260" customWidth="1"/>
    <col min="14084" max="14084" width="22.625" style="260" customWidth="1"/>
    <col min="14085" max="14085" width="8" style="260" customWidth="1"/>
    <col min="14086" max="14086" width="6.125" style="260" bestFit="1" customWidth="1"/>
    <col min="14087" max="14087" width="7.875" style="260" bestFit="1" customWidth="1"/>
    <col min="14088" max="14088" width="13.25" style="260" bestFit="1" customWidth="1"/>
    <col min="14089" max="14089" width="9" style="260" customWidth="1"/>
    <col min="14090" max="14336" width="9" style="260"/>
    <col min="14337" max="14337" width="2.875" style="260" customWidth="1"/>
    <col min="14338" max="14338" width="3" style="260" customWidth="1"/>
    <col min="14339" max="14339" width="17.75" style="260" customWidth="1"/>
    <col min="14340" max="14340" width="22.625" style="260" customWidth="1"/>
    <col min="14341" max="14341" width="8" style="260" customWidth="1"/>
    <col min="14342" max="14342" width="6.125" style="260" bestFit="1" customWidth="1"/>
    <col min="14343" max="14343" width="7.875" style="260" bestFit="1" customWidth="1"/>
    <col min="14344" max="14344" width="13.25" style="260" bestFit="1" customWidth="1"/>
    <col min="14345" max="14345" width="9" style="260" customWidth="1"/>
    <col min="14346" max="14592" width="9" style="260"/>
    <col min="14593" max="14593" width="2.875" style="260" customWidth="1"/>
    <col min="14594" max="14594" width="3" style="260" customWidth="1"/>
    <col min="14595" max="14595" width="17.75" style="260" customWidth="1"/>
    <col min="14596" max="14596" width="22.625" style="260" customWidth="1"/>
    <col min="14597" max="14597" width="8" style="260" customWidth="1"/>
    <col min="14598" max="14598" width="6.125" style="260" bestFit="1" customWidth="1"/>
    <col min="14599" max="14599" width="7.875" style="260" bestFit="1" customWidth="1"/>
    <col min="14600" max="14600" width="13.25" style="260" bestFit="1" customWidth="1"/>
    <col min="14601" max="14601" width="9" style="260" customWidth="1"/>
    <col min="14602" max="14848" width="9" style="260"/>
    <col min="14849" max="14849" width="2.875" style="260" customWidth="1"/>
    <col min="14850" max="14850" width="3" style="260" customWidth="1"/>
    <col min="14851" max="14851" width="17.75" style="260" customWidth="1"/>
    <col min="14852" max="14852" width="22.625" style="260" customWidth="1"/>
    <col min="14853" max="14853" width="8" style="260" customWidth="1"/>
    <col min="14854" max="14854" width="6.125" style="260" bestFit="1" customWidth="1"/>
    <col min="14855" max="14855" width="7.875" style="260" bestFit="1" customWidth="1"/>
    <col min="14856" max="14856" width="13.25" style="260" bestFit="1" customWidth="1"/>
    <col min="14857" max="14857" width="9" style="260" customWidth="1"/>
    <col min="14858" max="15104" width="9" style="260"/>
    <col min="15105" max="15105" width="2.875" style="260" customWidth="1"/>
    <col min="15106" max="15106" width="3" style="260" customWidth="1"/>
    <col min="15107" max="15107" width="17.75" style="260" customWidth="1"/>
    <col min="15108" max="15108" width="22.625" style="260" customWidth="1"/>
    <col min="15109" max="15109" width="8" style="260" customWidth="1"/>
    <col min="15110" max="15110" width="6.125" style="260" bestFit="1" customWidth="1"/>
    <col min="15111" max="15111" width="7.875" style="260" bestFit="1" customWidth="1"/>
    <col min="15112" max="15112" width="13.25" style="260" bestFit="1" customWidth="1"/>
    <col min="15113" max="15113" width="9" style="260" customWidth="1"/>
    <col min="15114" max="15360" width="9" style="260"/>
    <col min="15361" max="15361" width="2.875" style="260" customWidth="1"/>
    <col min="15362" max="15362" width="3" style="260" customWidth="1"/>
    <col min="15363" max="15363" width="17.75" style="260" customWidth="1"/>
    <col min="15364" max="15364" width="22.625" style="260" customWidth="1"/>
    <col min="15365" max="15365" width="8" style="260" customWidth="1"/>
    <col min="15366" max="15366" width="6.125" style="260" bestFit="1" customWidth="1"/>
    <col min="15367" max="15367" width="7.875" style="260" bestFit="1" customWidth="1"/>
    <col min="15368" max="15368" width="13.25" style="260" bestFit="1" customWidth="1"/>
    <col min="15369" max="15369" width="9" style="260" customWidth="1"/>
    <col min="15370" max="15616" width="9" style="260"/>
    <col min="15617" max="15617" width="2.875" style="260" customWidth="1"/>
    <col min="15618" max="15618" width="3" style="260" customWidth="1"/>
    <col min="15619" max="15619" width="17.75" style="260" customWidth="1"/>
    <col min="15620" max="15620" width="22.625" style="260" customWidth="1"/>
    <col min="15621" max="15621" width="8" style="260" customWidth="1"/>
    <col min="15622" max="15622" width="6.125" style="260" bestFit="1" customWidth="1"/>
    <col min="15623" max="15623" width="7.875" style="260" bestFit="1" customWidth="1"/>
    <col min="15624" max="15624" width="13.25" style="260" bestFit="1" customWidth="1"/>
    <col min="15625" max="15625" width="9" style="260" customWidth="1"/>
    <col min="15626" max="15872" width="9" style="260"/>
    <col min="15873" max="15873" width="2.875" style="260" customWidth="1"/>
    <col min="15874" max="15874" width="3" style="260" customWidth="1"/>
    <col min="15875" max="15875" width="17.75" style="260" customWidth="1"/>
    <col min="15876" max="15876" width="22.625" style="260" customWidth="1"/>
    <col min="15877" max="15877" width="8" style="260" customWidth="1"/>
    <col min="15878" max="15878" width="6.125" style="260" bestFit="1" customWidth="1"/>
    <col min="15879" max="15879" width="7.875" style="260" bestFit="1" customWidth="1"/>
    <col min="15880" max="15880" width="13.25" style="260" bestFit="1" customWidth="1"/>
    <col min="15881" max="15881" width="9" style="260" customWidth="1"/>
    <col min="15882" max="16128" width="9" style="260"/>
    <col min="16129" max="16129" width="2.875" style="260" customWidth="1"/>
    <col min="16130" max="16130" width="3" style="260" customWidth="1"/>
    <col min="16131" max="16131" width="17.75" style="260" customWidth="1"/>
    <col min="16132" max="16132" width="22.625" style="260" customWidth="1"/>
    <col min="16133" max="16133" width="8" style="260" customWidth="1"/>
    <col min="16134" max="16134" width="6.125" style="260" bestFit="1" customWidth="1"/>
    <col min="16135" max="16135" width="7.875" style="260" bestFit="1" customWidth="1"/>
    <col min="16136" max="16136" width="13.25" style="260" bestFit="1" customWidth="1"/>
    <col min="16137" max="16137" width="9" style="260" customWidth="1"/>
    <col min="16138" max="16384" width="9" style="260"/>
  </cols>
  <sheetData>
    <row r="1" spans="1:12" ht="25.5" customHeight="1">
      <c r="A1" s="392" t="s">
        <v>798</v>
      </c>
      <c r="B1" s="262"/>
      <c r="C1" s="262"/>
      <c r="D1" s="262"/>
      <c r="E1" s="262"/>
      <c r="F1" s="443"/>
      <c r="G1" s="443"/>
      <c r="H1" s="1760" t="str">
        <f>CONCATENATE('入力（基本)'!G11)</f>
        <v/>
      </c>
      <c r="I1" s="1760"/>
      <c r="J1" s="985"/>
    </row>
    <row r="2" spans="1:12" s="294" customFormat="1" ht="31.5" customHeight="1">
      <c r="A2" s="1769" t="s">
        <v>1352</v>
      </c>
      <c r="B2" s="1769"/>
      <c r="C2" s="1769"/>
      <c r="D2" s="1769"/>
      <c r="E2" s="1769"/>
      <c r="F2" s="1769"/>
      <c r="G2" s="1769"/>
      <c r="H2" s="1769"/>
      <c r="I2" s="1769"/>
      <c r="J2" s="984"/>
      <c r="L2" s="261" t="s">
        <v>182</v>
      </c>
    </row>
    <row r="3" spans="1:12" s="294" customFormat="1" ht="20.100000000000001" customHeight="1">
      <c r="A3" s="584"/>
      <c r="B3" s="584"/>
      <c r="C3" s="584"/>
      <c r="D3" s="584"/>
      <c r="E3" s="584"/>
      <c r="F3" s="584"/>
      <c r="G3" s="584"/>
      <c r="H3" s="584"/>
      <c r="I3" s="584"/>
      <c r="J3" s="984"/>
      <c r="L3" s="261"/>
    </row>
    <row r="4" spans="1:12" s="294" customFormat="1" ht="20.100000000000001" customHeight="1">
      <c r="A4" s="584"/>
      <c r="B4" s="584"/>
      <c r="C4" s="584"/>
      <c r="D4" s="584"/>
      <c r="E4" s="584"/>
      <c r="F4" s="584"/>
      <c r="G4" s="1953" t="s">
        <v>786</v>
      </c>
      <c r="H4" s="1955"/>
      <c r="I4" s="1956"/>
      <c r="J4" s="615"/>
      <c r="L4" s="261"/>
    </row>
    <row r="5" spans="1:12" s="294" customFormat="1" ht="20.100000000000001" customHeight="1">
      <c r="A5" s="584"/>
      <c r="B5" s="584"/>
      <c r="C5" s="584"/>
      <c r="D5" s="584"/>
      <c r="E5" s="584"/>
      <c r="F5" s="584"/>
      <c r="G5" s="1954"/>
      <c r="H5" s="1957"/>
      <c r="I5" s="1958"/>
      <c r="J5" s="615"/>
      <c r="L5" s="261"/>
    </row>
    <row r="6" spans="1:12" ht="20.100000000000001" customHeight="1">
      <c r="A6" s="1645"/>
      <c r="B6" s="1645"/>
      <c r="C6" s="1645"/>
      <c r="D6" s="1645"/>
      <c r="E6" s="584"/>
      <c r="F6" s="443"/>
      <c r="G6" s="615"/>
      <c r="H6" s="615"/>
      <c r="I6" s="615"/>
      <c r="J6" s="615"/>
      <c r="L6" s="261"/>
    </row>
    <row r="7" spans="1:12" ht="20.100000000000001" customHeight="1">
      <c r="A7" s="1645"/>
      <c r="B7" s="1645"/>
      <c r="C7" s="1645"/>
      <c r="D7" s="1645"/>
      <c r="E7" s="399"/>
      <c r="F7" s="443"/>
      <c r="G7" s="388"/>
      <c r="H7" s="615"/>
      <c r="I7" s="615"/>
      <c r="J7" s="615"/>
      <c r="L7" s="261" t="e">
        <f>IF(#REF!&gt;=3,"B","")</f>
        <v>#REF!</v>
      </c>
    </row>
    <row r="8" spans="1:12" ht="21.75" customHeight="1">
      <c r="A8" s="262"/>
      <c r="B8" s="262"/>
      <c r="C8" s="616" t="s">
        <v>788</v>
      </c>
      <c r="D8" s="430" cm="1">
        <f t="array" ref="D8:E8">'入力（加算）家'!D8:E8</f>
        <v>0</v>
      </c>
      <c r="E8" s="265">
        <v>0</v>
      </c>
      <c r="F8" s="265"/>
      <c r="G8" s="265"/>
      <c r="H8" s="462" t="s">
        <v>789</v>
      </c>
      <c r="I8" s="463">
        <v>12</v>
      </c>
      <c r="J8" s="620"/>
      <c r="L8" s="261" t="e">
        <f>IF(#REF!&gt;=7,"A","")</f>
        <v>#REF!</v>
      </c>
    </row>
    <row r="9" spans="1:12" ht="19.5" customHeight="1">
      <c r="A9" s="444"/>
      <c r="B9" s="273"/>
      <c r="D9" s="262"/>
      <c r="E9" s="273"/>
      <c r="F9" s="617"/>
      <c r="G9" s="265"/>
      <c r="H9" s="265"/>
      <c r="I9" s="265"/>
      <c r="J9" s="989"/>
    </row>
    <row r="10" spans="1:12" ht="33.75" customHeight="1" thickBot="1">
      <c r="A10" s="1044" t="s">
        <v>669</v>
      </c>
      <c r="B10" s="262"/>
      <c r="C10" s="262"/>
      <c r="D10" s="262"/>
      <c r="E10" s="262"/>
      <c r="F10" s="1929"/>
      <c r="G10" s="1929"/>
      <c r="H10" s="1929"/>
      <c r="I10" s="1929"/>
      <c r="J10" s="618"/>
    </row>
    <row r="11" spans="1:12" ht="33.75" customHeight="1">
      <c r="A11" s="262"/>
      <c r="B11" s="464"/>
      <c r="C11" s="1662"/>
      <c r="D11" s="1878"/>
      <c r="E11" s="463" t="s">
        <v>600</v>
      </c>
      <c r="F11" s="1414" t="s">
        <v>601</v>
      </c>
      <c r="G11" s="1879" t="s">
        <v>602</v>
      </c>
      <c r="H11" s="1880"/>
      <c r="I11" s="443"/>
      <c r="J11" s="618"/>
    </row>
    <row r="12" spans="1:12" ht="33.75" customHeight="1" thickBot="1">
      <c r="A12" s="1411"/>
      <c r="B12" s="1410" t="s">
        <v>1326</v>
      </c>
      <c r="C12" s="1662" t="s">
        <v>1328</v>
      </c>
      <c r="D12" s="1878"/>
      <c r="E12" s="1434" t="str">
        <f>CONCATENATE('入力（加算）家'!F17)</f>
        <v/>
      </c>
      <c r="F12" s="1439">
        <f>IF(E12="あり",IF('入力（児童数-本園)'!N55="はい",SUM('入力（児童数-本園)'!E82,'入力（児童数-本園)'!E88),SUM('入力（児童数-本園)'!E46,'入力（児童数-本園)'!E52)),0)</f>
        <v>0</v>
      </c>
      <c r="G12" s="487"/>
      <c r="H12" s="488">
        <f>IF(E12="あり",IF(F12&lt;=3,0.5,IF(F12&gt;=4,1.1,0)),0)</f>
        <v>0</v>
      </c>
      <c r="I12" s="443"/>
      <c r="J12" s="618"/>
    </row>
    <row r="13" spans="1:12" ht="33.75" customHeight="1" thickBot="1">
      <c r="A13" s="1411"/>
      <c r="B13" s="1410" t="s">
        <v>674</v>
      </c>
      <c r="C13" s="1895" t="s">
        <v>1329</v>
      </c>
      <c r="D13" s="1896"/>
      <c r="E13" s="1434" t="str">
        <f>IF(SUM('入力（加算）家'!Q23,'入力（加算）家'!Q27)&gt;0,CONCATENATE('入力（加算）家'!G17),"なし")</f>
        <v>なし</v>
      </c>
      <c r="F13" s="1435">
        <f>IF(E13="あり",SUM('入力（加算）家'!Q23,'入力（加算）家'!Q27),0)</f>
        <v>0</v>
      </c>
      <c r="G13" s="487"/>
      <c r="H13" s="488">
        <f>F13*0.3</f>
        <v>0</v>
      </c>
      <c r="I13" s="443"/>
      <c r="J13" s="618"/>
    </row>
    <row r="14" spans="1:12" ht="33.75" customHeight="1">
      <c r="A14" s="1411"/>
      <c r="B14" s="1410" t="s">
        <v>1327</v>
      </c>
      <c r="C14" s="923" t="s">
        <v>622</v>
      </c>
      <c r="D14" s="1412"/>
      <c r="E14" s="607" t="str">
        <f>IF('入力（加算）家'!J17="配置","あり","なし")</f>
        <v>なし</v>
      </c>
      <c r="F14" s="1032"/>
      <c r="G14" s="487"/>
      <c r="H14" s="924">
        <f>IF(E14="あり",0.6,0)</f>
        <v>0</v>
      </c>
      <c r="I14" s="443"/>
      <c r="J14" s="618"/>
    </row>
    <row r="15" spans="1:12" ht="33.75" customHeight="1">
      <c r="A15" s="1411"/>
      <c r="B15" s="1410" t="s">
        <v>1321</v>
      </c>
      <c r="C15" s="1951" t="s">
        <v>1332</v>
      </c>
      <c r="D15" s="1952"/>
      <c r="E15" s="607" t="str">
        <f>CONCATENATE('入力（加算）家'!H17)</f>
        <v/>
      </c>
      <c r="F15" s="1029"/>
      <c r="G15" s="487"/>
      <c r="H15" s="609">
        <f>IF(E15="あり",-1,0)</f>
        <v>0</v>
      </c>
      <c r="I15" s="443"/>
      <c r="J15" s="618"/>
    </row>
    <row r="16" spans="1:12" ht="33.75" customHeight="1" thickBot="1">
      <c r="A16" s="1411"/>
      <c r="B16" s="629" t="s">
        <v>1330</v>
      </c>
      <c r="C16" s="630" t="s">
        <v>1331</v>
      </c>
      <c r="D16" s="630"/>
      <c r="E16" s="631"/>
      <c r="F16" s="1436"/>
      <c r="G16" s="633"/>
      <c r="H16" s="612">
        <v>2.6</v>
      </c>
      <c r="I16" s="443"/>
      <c r="J16" s="618"/>
    </row>
    <row r="17" spans="1:11" ht="33.75" customHeight="1" thickTop="1" thickBot="1">
      <c r="A17" s="1411"/>
      <c r="B17" s="495" t="s">
        <v>625</v>
      </c>
      <c r="C17" s="1411"/>
      <c r="D17" s="1411"/>
      <c r="E17" s="1411"/>
      <c r="F17" s="500"/>
      <c r="G17" s="1437"/>
      <c r="H17" s="1438">
        <f>SUM(H12:H16)</f>
        <v>2.6</v>
      </c>
      <c r="I17" s="443"/>
      <c r="J17" s="618"/>
    </row>
    <row r="18" spans="1:11" ht="33.75" customHeight="1" thickBot="1">
      <c r="A18" s="1411"/>
      <c r="B18" s="1050" t="s">
        <v>1298</v>
      </c>
      <c r="C18" s="499"/>
      <c r="D18" s="499"/>
      <c r="E18" s="499"/>
      <c r="F18" s="576"/>
      <c r="G18" s="498"/>
      <c r="H18" s="614">
        <f>ROUND(H17,0)</f>
        <v>3</v>
      </c>
      <c r="I18" s="443"/>
      <c r="J18" s="618"/>
    </row>
    <row r="19" spans="1:11" ht="33.75" customHeight="1">
      <c r="A19" s="1411"/>
      <c r="B19" s="279"/>
      <c r="C19" s="1411"/>
      <c r="D19" s="1411"/>
      <c r="E19" s="1411"/>
      <c r="F19" s="500"/>
      <c r="G19" s="1411"/>
      <c r="H19" s="1411"/>
      <c r="I19" s="500"/>
      <c r="J19" s="618"/>
    </row>
    <row r="20" spans="1:11" ht="33.75" customHeight="1" thickBot="1">
      <c r="A20" s="993" t="s">
        <v>1314</v>
      </c>
      <c r="B20" s="1411"/>
      <c r="C20" s="1411"/>
      <c r="D20" s="1411"/>
      <c r="E20" s="1411"/>
      <c r="F20" s="1411"/>
      <c r="G20" s="1411"/>
      <c r="H20" s="1411"/>
      <c r="I20" s="501"/>
      <c r="J20" s="618"/>
    </row>
    <row r="21" spans="1:11" ht="33.75" customHeight="1" thickBot="1">
      <c r="A21" s="1411"/>
      <c r="B21" s="1432"/>
      <c r="C21" s="1433"/>
      <c r="D21" s="1433"/>
      <c r="E21" s="1874" t="s">
        <v>1296</v>
      </c>
      <c r="F21" s="1875"/>
      <c r="G21" s="1703" t="s">
        <v>1297</v>
      </c>
      <c r="H21" s="1704"/>
      <c r="I21" s="262"/>
      <c r="J21" s="618"/>
    </row>
    <row r="22" spans="1:11" ht="33.75" customHeight="1" thickBot="1">
      <c r="A22" s="1411"/>
      <c r="B22" s="1051"/>
      <c r="C22" s="1915">
        <v>11000</v>
      </c>
      <c r="D22" s="1916"/>
      <c r="E22" s="1821">
        <f>C22*H18</f>
        <v>33000</v>
      </c>
      <c r="F22" s="1822"/>
      <c r="G22" s="1705">
        <f>E22*I8</f>
        <v>396000</v>
      </c>
      <c r="H22" s="1706"/>
      <c r="I22" s="262"/>
      <c r="J22" s="618"/>
    </row>
    <row r="23" spans="1:11" ht="33.75" customHeight="1">
      <c r="A23" s="1411"/>
      <c r="B23" s="1411"/>
      <c r="C23" s="1411"/>
      <c r="D23" s="1411"/>
      <c r="E23" s="1411"/>
      <c r="F23" s="1411"/>
      <c r="G23" s="500"/>
      <c r="H23" s="502"/>
      <c r="I23" s="618"/>
      <c r="J23" s="618"/>
    </row>
    <row r="24" spans="1:11" ht="33.75" customHeight="1">
      <c r="A24" s="1411"/>
      <c r="B24" s="1411"/>
      <c r="C24" s="1411"/>
      <c r="D24" s="1411"/>
      <c r="E24" s="1411"/>
      <c r="F24" s="1411"/>
      <c r="G24" s="500"/>
      <c r="H24" s="502"/>
      <c r="I24" s="618"/>
      <c r="J24" s="618"/>
    </row>
    <row r="25" spans="1:11" ht="33.75" customHeight="1">
      <c r="K25" s="1049"/>
    </row>
    <row r="26" spans="1:11" ht="33.75" customHeight="1">
      <c r="K26" s="1047"/>
    </row>
    <row r="27" spans="1:11" ht="33.75" customHeight="1">
      <c r="K27" s="1047"/>
    </row>
    <row r="28" spans="1:11" ht="33.75" customHeight="1">
      <c r="K28" s="500"/>
    </row>
    <row r="29" spans="1:11" ht="33.75" customHeight="1">
      <c r="A29" s="262"/>
      <c r="B29" s="262"/>
      <c r="C29" s="262"/>
      <c r="D29" s="262"/>
      <c r="E29" s="1014"/>
      <c r="F29" s="982"/>
      <c r="G29" s="982"/>
      <c r="H29" s="982"/>
      <c r="I29" s="443"/>
      <c r="J29" s="443"/>
      <c r="K29" s="443"/>
    </row>
    <row r="30" spans="1:11" ht="33.75" customHeight="1">
      <c r="A30" s="262"/>
      <c r="B30" s="262"/>
      <c r="C30" s="262"/>
      <c r="D30" s="262"/>
      <c r="E30" s="1014"/>
      <c r="F30" s="982"/>
      <c r="G30" s="982"/>
      <c r="H30" s="982"/>
      <c r="I30" s="443"/>
      <c r="J30" s="443"/>
      <c r="K30" s="443"/>
    </row>
    <row r="31" spans="1:11" ht="33.75" customHeight="1">
      <c r="A31" s="262"/>
      <c r="B31" s="262"/>
      <c r="C31" s="262"/>
      <c r="D31" s="262"/>
      <c r="E31" s="1014"/>
      <c r="F31" s="982"/>
      <c r="G31" s="982"/>
      <c r="H31" s="982"/>
      <c r="I31" s="443"/>
      <c r="J31" s="262"/>
      <c r="K31" s="262"/>
    </row>
    <row r="32" spans="1:11" ht="33.75" customHeight="1">
      <c r="F32" s="260"/>
      <c r="G32" s="260"/>
      <c r="H32" s="260"/>
      <c r="I32" s="260"/>
      <c r="J32" s="260"/>
    </row>
    <row r="33" spans="6:16" ht="33.75" customHeight="1">
      <c r="F33" s="260"/>
      <c r="G33" s="260"/>
      <c r="H33" s="260"/>
      <c r="I33" s="260"/>
      <c r="J33" s="260"/>
    </row>
    <row r="34" spans="6:16" ht="33.75" customHeight="1">
      <c r="F34" s="260"/>
      <c r="G34" s="260"/>
      <c r="H34" s="260"/>
      <c r="I34" s="260"/>
      <c r="J34" s="260"/>
    </row>
    <row r="35" spans="6:16" ht="20.25" customHeight="1">
      <c r="F35" s="260"/>
      <c r="G35" s="260"/>
      <c r="H35" s="260"/>
      <c r="I35" s="260"/>
      <c r="J35" s="260"/>
    </row>
    <row r="36" spans="6:16" ht="20.25" customHeight="1">
      <c r="F36" s="260"/>
      <c r="G36" s="260"/>
      <c r="H36" s="260"/>
      <c r="I36" s="260"/>
      <c r="J36" s="260"/>
      <c r="N36" s="261" t="s">
        <v>790</v>
      </c>
      <c r="O36" s="389">
        <v>40000</v>
      </c>
      <c r="P36" s="261" t="e">
        <f>IF(#REF!="A",1,0)</f>
        <v>#REF!</v>
      </c>
    </row>
    <row r="37" spans="6:16" ht="20.25" customHeight="1">
      <c r="F37" s="260"/>
      <c r="G37" s="260"/>
      <c r="H37" s="260"/>
      <c r="I37" s="260"/>
      <c r="J37" s="260"/>
      <c r="N37" s="261" t="s">
        <v>791</v>
      </c>
      <c r="O37" s="389">
        <v>5000</v>
      </c>
      <c r="P37" s="261" t="e">
        <f>IF(#REF!="B",1,0)</f>
        <v>#REF!</v>
      </c>
    </row>
    <row r="38" spans="6:16" ht="20.25" customHeight="1">
      <c r="F38" s="260"/>
      <c r="G38" s="260"/>
      <c r="H38" s="260"/>
      <c r="I38" s="260"/>
      <c r="J38" s="260"/>
      <c r="N38" s="261" t="s">
        <v>960</v>
      </c>
      <c r="O38" s="389">
        <f>家庭的②!F4</f>
        <v>48900</v>
      </c>
    </row>
    <row r="39" spans="6:16" ht="20.25" customHeight="1">
      <c r="F39" s="260"/>
      <c r="G39" s="260"/>
      <c r="H39" s="260"/>
      <c r="I39" s="260"/>
      <c r="J39" s="260"/>
      <c r="N39" s="261" t="s">
        <v>961</v>
      </c>
      <c r="O39" s="389">
        <f>家庭的②!F6</f>
        <v>6110</v>
      </c>
    </row>
    <row r="40" spans="6:16" ht="20.25" customHeight="1">
      <c r="F40" s="260"/>
      <c r="G40" s="260"/>
      <c r="H40" s="260"/>
      <c r="I40" s="260"/>
      <c r="J40" s="260"/>
    </row>
    <row r="41" spans="6:16" ht="20.25" customHeight="1">
      <c r="F41" s="260"/>
      <c r="G41" s="260"/>
      <c r="H41" s="260"/>
      <c r="I41" s="260"/>
      <c r="J41" s="260"/>
    </row>
    <row r="42" spans="6:16" ht="20.25" customHeight="1">
      <c r="F42" s="260"/>
      <c r="G42" s="260"/>
      <c r="H42" s="260"/>
      <c r="I42" s="260"/>
      <c r="J42" s="260"/>
    </row>
    <row r="43" spans="6:16" ht="20.25" customHeight="1">
      <c r="F43" s="260"/>
      <c r="G43" s="260"/>
      <c r="H43" s="260"/>
      <c r="I43" s="260"/>
      <c r="J43" s="260"/>
    </row>
    <row r="44" spans="6:16" ht="20.25" customHeight="1">
      <c r="F44" s="260"/>
      <c r="G44" s="260"/>
      <c r="H44" s="260"/>
      <c r="I44" s="260"/>
      <c r="J44" s="260"/>
    </row>
    <row r="45" spans="6:16" ht="20.25" customHeight="1">
      <c r="F45" s="260"/>
      <c r="G45" s="260"/>
      <c r="H45" s="260"/>
      <c r="I45" s="260"/>
      <c r="J45" s="260"/>
    </row>
    <row r="46" spans="6:16" ht="20.25" customHeight="1">
      <c r="F46" s="260"/>
      <c r="G46" s="260"/>
      <c r="H46" s="260"/>
      <c r="I46" s="260"/>
      <c r="J46" s="260"/>
    </row>
    <row r="47" spans="6:16" ht="20.25" customHeight="1">
      <c r="F47" s="260"/>
      <c r="G47" s="260"/>
      <c r="H47" s="260"/>
      <c r="I47" s="260"/>
      <c r="J47" s="260"/>
    </row>
    <row r="48" spans="6:16" ht="20.25" customHeight="1">
      <c r="F48" s="260"/>
      <c r="G48" s="260"/>
      <c r="H48" s="260"/>
      <c r="I48" s="260"/>
      <c r="J48" s="260"/>
    </row>
    <row r="49" s="260" customFormat="1" ht="20.25" customHeight="1"/>
    <row r="50" s="260" customFormat="1" ht="20.25" customHeight="1"/>
    <row r="51" s="260" customFormat="1" ht="20.25" customHeight="1"/>
    <row r="52" s="260" customFormat="1" ht="20.25" customHeight="1"/>
    <row r="53" s="260" customFormat="1" ht="20.25" customHeight="1"/>
    <row r="54" s="260" customFormat="1" ht="20.25" customHeight="1"/>
    <row r="55" s="260" customFormat="1" ht="20.25" customHeight="1"/>
    <row r="56" s="260" customFormat="1" ht="20.25" customHeight="1"/>
    <row r="57" s="260" customFormat="1" ht="20.25" customHeight="1"/>
    <row r="58" s="260" customFormat="1" ht="20.25" customHeight="1"/>
    <row r="59" s="260" customFormat="1" ht="20.25" customHeight="1"/>
    <row r="60" s="260" customFormat="1" ht="20.25" customHeight="1"/>
    <row r="61" s="260" customFormat="1" ht="20.25" customHeight="1"/>
    <row r="62" s="260" customFormat="1" ht="20.25" customHeight="1"/>
    <row r="63" s="260" customFormat="1" ht="20.25" customHeight="1"/>
    <row r="64" s="260" customFormat="1" ht="20.25" customHeight="1"/>
    <row r="65" s="260" customFormat="1" ht="20.25" customHeight="1"/>
    <row r="66" s="260" customFormat="1" ht="20.25" customHeight="1"/>
    <row r="67" s="260" customFormat="1" ht="20.25" customHeight="1"/>
    <row r="68" s="260" customFormat="1" ht="20.25" customHeight="1"/>
    <row r="69" s="260" customFormat="1" ht="20.25" customHeight="1"/>
    <row r="70" s="260" customFormat="1" ht="20.25" customHeight="1"/>
    <row r="71" s="260" customFormat="1" ht="20.25" customHeight="1"/>
    <row r="72" s="260" customFormat="1" ht="20.25" customHeight="1"/>
    <row r="73" s="260" customFormat="1" ht="20.25" customHeight="1"/>
    <row r="74" s="260" customFormat="1" ht="20.25" customHeight="1"/>
    <row r="75" s="260" customFormat="1" ht="20.25" customHeight="1"/>
    <row r="76" s="260" customFormat="1" ht="20.25" customHeight="1"/>
    <row r="77" s="260" customFormat="1" ht="20.25" customHeight="1"/>
    <row r="78" s="260" customFormat="1" ht="20.25" customHeight="1"/>
    <row r="79" s="260" customFormat="1" ht="20.25" customHeight="1"/>
    <row r="80" s="260" customFormat="1" ht="20.25" customHeight="1"/>
    <row r="81" spans="6:10" ht="20.25" customHeight="1">
      <c r="F81" s="260"/>
      <c r="G81" s="260"/>
      <c r="H81" s="260"/>
      <c r="I81" s="260"/>
      <c r="J81" s="260"/>
    </row>
    <row r="82" spans="6:10" ht="20.25" customHeight="1">
      <c r="F82" s="260"/>
      <c r="G82" s="260"/>
      <c r="H82" s="260"/>
      <c r="I82" s="260"/>
      <c r="J82" s="260"/>
    </row>
    <row r="83" spans="6:10" ht="20.25" customHeight="1">
      <c r="F83" s="260"/>
      <c r="G83" s="260"/>
      <c r="H83" s="260"/>
      <c r="I83" s="260"/>
      <c r="J83" s="260"/>
    </row>
    <row r="84" spans="6:10" ht="20.25" customHeight="1">
      <c r="F84" s="260"/>
      <c r="G84" s="260"/>
      <c r="H84" s="260"/>
      <c r="I84" s="260"/>
      <c r="J84" s="260"/>
    </row>
    <row r="85" spans="6:10" ht="20.25" customHeight="1">
      <c r="F85" s="260"/>
      <c r="G85" s="260"/>
      <c r="H85" s="260"/>
      <c r="I85" s="260"/>
      <c r="J85" s="260"/>
    </row>
    <row r="86" spans="6:10" ht="20.25" customHeight="1">
      <c r="F86" s="260"/>
      <c r="G86" s="260"/>
      <c r="H86" s="260"/>
      <c r="I86" s="260"/>
      <c r="J86" s="260"/>
    </row>
    <row r="87" spans="6:10" ht="20.25" customHeight="1">
      <c r="F87" s="260"/>
      <c r="G87" s="260"/>
      <c r="H87" s="260"/>
      <c r="I87" s="260"/>
      <c r="J87" s="260"/>
    </row>
    <row r="88" spans="6:10" ht="20.25" customHeight="1">
      <c r="F88" s="260"/>
      <c r="G88" s="260"/>
      <c r="H88" s="260"/>
      <c r="I88" s="260"/>
      <c r="J88" s="260"/>
    </row>
    <row r="89" spans="6:10" ht="20.25" customHeight="1">
      <c r="F89" s="260"/>
      <c r="G89" s="260"/>
      <c r="H89" s="260"/>
      <c r="I89" s="260"/>
      <c r="J89" s="260"/>
    </row>
    <row r="90" spans="6:10" ht="20.25" customHeight="1">
      <c r="F90" s="260"/>
      <c r="G90" s="260"/>
      <c r="H90" s="260"/>
      <c r="I90" s="260"/>
      <c r="J90" s="260"/>
    </row>
    <row r="91" spans="6:10" ht="20.25" customHeight="1">
      <c r="F91" s="260"/>
      <c r="G91" s="260"/>
      <c r="H91" s="260"/>
      <c r="I91" s="260"/>
      <c r="J91" s="260"/>
    </row>
    <row r="92" spans="6:10" ht="20.25" customHeight="1">
      <c r="F92" s="260"/>
      <c r="G92" s="260"/>
      <c r="H92" s="260"/>
      <c r="I92" s="260"/>
      <c r="J92" s="260"/>
    </row>
    <row r="93" spans="6:10" ht="20.25" customHeight="1">
      <c r="F93" s="260"/>
      <c r="G93" s="260"/>
      <c r="H93" s="260"/>
      <c r="I93" s="260"/>
      <c r="J93" s="260"/>
    </row>
    <row r="94" spans="6:10" ht="20.25" customHeight="1"/>
    <row r="95" spans="6:10" ht="20.25" customHeight="1"/>
  </sheetData>
  <sheetProtection algorithmName="SHA-512" hashValue="0BCnb7XkMn6oXxqhpIyjEDG+dKakpGyEwJk7VIUJC8wa+s8ZTBr4Bu+7xgCXYMUPlGulOPoQIn36Yeif6u6mog==" saltValue="WUBKoCA06smKhksecpn9Wg==" spinCount="100000" sheet="1" objects="1" scenarios="1"/>
  <customSheetViews>
    <customSheetView guid="{2E52E5FF-9846-4DC5-A671-268FE925398C}" scale="110" showPageBreaks="1" printArea="1" view="pageBreakPreview">
      <selection activeCell="A7" sqref="A7:D8"/>
      <pageMargins left="0.7" right="0.7" top="0.75" bottom="0.75" header="0.3" footer="0.3"/>
      <pageSetup paperSize="9" scale="91" orientation="portrait" r:id="rId1"/>
    </customSheetView>
    <customSheetView guid="{BADA99B3-B36A-4925-87A7-F72FC97D3DBA}" scale="110" showPageBreaks="1" printArea="1" view="pageBreakPreview" topLeftCell="A16">
      <selection activeCell="A7" sqref="A7:D8"/>
      <pageMargins left="0.7" right="0.7" top="0.75" bottom="0.75" header="0.3" footer="0.3"/>
      <pageSetup paperSize="9" scale="91" orientation="portrait" r:id="rId2"/>
    </customSheetView>
  </customSheetViews>
  <mergeCells count="16">
    <mergeCell ref="F10:I10"/>
    <mergeCell ref="C11:D11"/>
    <mergeCell ref="G11:H11"/>
    <mergeCell ref="A6:D7"/>
    <mergeCell ref="H1:I1"/>
    <mergeCell ref="A2:I2"/>
    <mergeCell ref="G4:G5"/>
    <mergeCell ref="H4:I5"/>
    <mergeCell ref="C22:D22"/>
    <mergeCell ref="E22:F22"/>
    <mergeCell ref="G22:H22"/>
    <mergeCell ref="C12:D12"/>
    <mergeCell ref="C13:D13"/>
    <mergeCell ref="E21:F21"/>
    <mergeCell ref="G21:H21"/>
    <mergeCell ref="C15:D15"/>
  </mergeCells>
  <phoneticPr fontId="60"/>
  <dataValidations count="2">
    <dataValidation type="list" allowBlank="1" showInputMessage="1" showErrorMessage="1" sqref="WLQ983049:WLQ983051 E65541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7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3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49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5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1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7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3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29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5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1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7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3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09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5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WVM983049:WVM983051 E65543:E65545 JA65545:JA65547 SW65545:SW65547 ACS65545:ACS65547 AMO65545:AMO65547 AWK65545:AWK65547 BGG65545:BGG65547 BQC65545:BQC65547 BZY65545:BZY65547 CJU65545:CJU65547 CTQ65545:CTQ65547 DDM65545:DDM65547 DNI65545:DNI65547 DXE65545:DXE65547 EHA65545:EHA65547 EQW65545:EQW65547 FAS65545:FAS65547 FKO65545:FKO65547 FUK65545:FUK65547 GEG65545:GEG65547 GOC65545:GOC65547 GXY65545:GXY65547 HHU65545:HHU65547 HRQ65545:HRQ65547 IBM65545:IBM65547 ILI65545:ILI65547 IVE65545:IVE65547 JFA65545:JFA65547 JOW65545:JOW65547 JYS65545:JYS65547 KIO65545:KIO65547 KSK65545:KSK65547 LCG65545:LCG65547 LMC65545:LMC65547 LVY65545:LVY65547 MFU65545:MFU65547 MPQ65545:MPQ65547 MZM65545:MZM65547 NJI65545:NJI65547 NTE65545:NTE65547 ODA65545:ODA65547 OMW65545:OMW65547 OWS65545:OWS65547 PGO65545:PGO65547 PQK65545:PQK65547 QAG65545:QAG65547 QKC65545:QKC65547 QTY65545:QTY65547 RDU65545:RDU65547 RNQ65545:RNQ65547 RXM65545:RXM65547 SHI65545:SHI65547 SRE65545:SRE65547 TBA65545:TBA65547 TKW65545:TKW65547 TUS65545:TUS65547 UEO65545:UEO65547 UOK65545:UOK65547 UYG65545:UYG65547 VIC65545:VIC65547 VRY65545:VRY65547 WBU65545:WBU65547 WLQ65545:WLQ65547 WVM65545:WVM65547 E131079:E131081 JA131081:JA131083 SW131081:SW131083 ACS131081:ACS131083 AMO131081:AMO131083 AWK131081:AWK131083 BGG131081:BGG131083 BQC131081:BQC131083 BZY131081:BZY131083 CJU131081:CJU131083 CTQ131081:CTQ131083 DDM131081:DDM131083 DNI131081:DNI131083 DXE131081:DXE131083 EHA131081:EHA131083 EQW131081:EQW131083 FAS131081:FAS131083 FKO131081:FKO131083 FUK131081:FUK131083 GEG131081:GEG131083 GOC131081:GOC131083 GXY131081:GXY131083 HHU131081:HHU131083 HRQ131081:HRQ131083 IBM131081:IBM131083 ILI131081:ILI131083 IVE131081:IVE131083 JFA131081:JFA131083 JOW131081:JOW131083 JYS131081:JYS131083 KIO131081:KIO131083 KSK131081:KSK131083 LCG131081:LCG131083 LMC131081:LMC131083 LVY131081:LVY131083 MFU131081:MFU131083 MPQ131081:MPQ131083 MZM131081:MZM131083 NJI131081:NJI131083 NTE131081:NTE131083 ODA131081:ODA131083 OMW131081:OMW131083 OWS131081:OWS131083 PGO131081:PGO131083 PQK131081:PQK131083 QAG131081:QAG131083 QKC131081:QKC131083 QTY131081:QTY131083 RDU131081:RDU131083 RNQ131081:RNQ131083 RXM131081:RXM131083 SHI131081:SHI131083 SRE131081:SRE131083 TBA131081:TBA131083 TKW131081:TKW131083 TUS131081:TUS131083 UEO131081:UEO131083 UOK131081:UOK131083 UYG131081:UYG131083 VIC131081:VIC131083 VRY131081:VRY131083 WBU131081:WBU131083 WLQ131081:WLQ131083 WVM131081:WVM131083 E196615:E196617 JA196617:JA196619 SW196617:SW196619 ACS196617:ACS196619 AMO196617:AMO196619 AWK196617:AWK196619 BGG196617:BGG196619 BQC196617:BQC196619 BZY196617:BZY196619 CJU196617:CJU196619 CTQ196617:CTQ196619 DDM196617:DDM196619 DNI196617:DNI196619 DXE196617:DXE196619 EHA196617:EHA196619 EQW196617:EQW196619 FAS196617:FAS196619 FKO196617:FKO196619 FUK196617:FUK196619 GEG196617:GEG196619 GOC196617:GOC196619 GXY196617:GXY196619 HHU196617:HHU196619 HRQ196617:HRQ196619 IBM196617:IBM196619 ILI196617:ILI196619 IVE196617:IVE196619 JFA196617:JFA196619 JOW196617:JOW196619 JYS196617:JYS196619 KIO196617:KIO196619 KSK196617:KSK196619 LCG196617:LCG196619 LMC196617:LMC196619 LVY196617:LVY196619 MFU196617:MFU196619 MPQ196617:MPQ196619 MZM196617:MZM196619 NJI196617:NJI196619 NTE196617:NTE196619 ODA196617:ODA196619 OMW196617:OMW196619 OWS196617:OWS196619 PGO196617:PGO196619 PQK196617:PQK196619 QAG196617:QAG196619 QKC196617:QKC196619 QTY196617:QTY196619 RDU196617:RDU196619 RNQ196617:RNQ196619 RXM196617:RXM196619 SHI196617:SHI196619 SRE196617:SRE196619 TBA196617:TBA196619 TKW196617:TKW196619 TUS196617:TUS196619 UEO196617:UEO196619 UOK196617:UOK196619 UYG196617:UYG196619 VIC196617:VIC196619 VRY196617:VRY196619 WBU196617:WBU196619 WLQ196617:WLQ196619 WVM196617:WVM196619 E262151:E262153 JA262153:JA262155 SW262153:SW262155 ACS262153:ACS262155 AMO262153:AMO262155 AWK262153:AWK262155 BGG262153:BGG262155 BQC262153:BQC262155 BZY262153:BZY262155 CJU262153:CJU262155 CTQ262153:CTQ262155 DDM262153:DDM262155 DNI262153:DNI262155 DXE262153:DXE262155 EHA262153:EHA262155 EQW262153:EQW262155 FAS262153:FAS262155 FKO262153:FKO262155 FUK262153:FUK262155 GEG262153:GEG262155 GOC262153:GOC262155 GXY262153:GXY262155 HHU262153:HHU262155 HRQ262153:HRQ262155 IBM262153:IBM262155 ILI262153:ILI262155 IVE262153:IVE262155 JFA262153:JFA262155 JOW262153:JOW262155 JYS262153:JYS262155 KIO262153:KIO262155 KSK262153:KSK262155 LCG262153:LCG262155 LMC262153:LMC262155 LVY262153:LVY262155 MFU262153:MFU262155 MPQ262153:MPQ262155 MZM262153:MZM262155 NJI262153:NJI262155 NTE262153:NTE262155 ODA262153:ODA262155 OMW262153:OMW262155 OWS262153:OWS262155 PGO262153:PGO262155 PQK262153:PQK262155 QAG262153:QAG262155 QKC262153:QKC262155 QTY262153:QTY262155 RDU262153:RDU262155 RNQ262153:RNQ262155 RXM262153:RXM262155 SHI262153:SHI262155 SRE262153:SRE262155 TBA262153:TBA262155 TKW262153:TKW262155 TUS262153:TUS262155 UEO262153:UEO262155 UOK262153:UOK262155 UYG262153:UYG262155 VIC262153:VIC262155 VRY262153:VRY262155 WBU262153:WBU262155 WLQ262153:WLQ262155 WVM262153:WVM262155 E327687:E327689 JA327689:JA327691 SW327689:SW327691 ACS327689:ACS327691 AMO327689:AMO327691 AWK327689:AWK327691 BGG327689:BGG327691 BQC327689:BQC327691 BZY327689:BZY327691 CJU327689:CJU327691 CTQ327689:CTQ327691 DDM327689:DDM327691 DNI327689:DNI327691 DXE327689:DXE327691 EHA327689:EHA327691 EQW327689:EQW327691 FAS327689:FAS327691 FKO327689:FKO327691 FUK327689:FUK327691 GEG327689:GEG327691 GOC327689:GOC327691 GXY327689:GXY327691 HHU327689:HHU327691 HRQ327689:HRQ327691 IBM327689:IBM327691 ILI327689:ILI327691 IVE327689:IVE327691 JFA327689:JFA327691 JOW327689:JOW327691 JYS327689:JYS327691 KIO327689:KIO327691 KSK327689:KSK327691 LCG327689:LCG327691 LMC327689:LMC327691 LVY327689:LVY327691 MFU327689:MFU327691 MPQ327689:MPQ327691 MZM327689:MZM327691 NJI327689:NJI327691 NTE327689:NTE327691 ODA327689:ODA327691 OMW327689:OMW327691 OWS327689:OWS327691 PGO327689:PGO327691 PQK327689:PQK327691 QAG327689:QAG327691 QKC327689:QKC327691 QTY327689:QTY327691 RDU327689:RDU327691 RNQ327689:RNQ327691 RXM327689:RXM327691 SHI327689:SHI327691 SRE327689:SRE327691 TBA327689:TBA327691 TKW327689:TKW327691 TUS327689:TUS327691 UEO327689:UEO327691 UOK327689:UOK327691 UYG327689:UYG327691 VIC327689:VIC327691 VRY327689:VRY327691 WBU327689:WBU327691 WLQ327689:WLQ327691 WVM327689:WVM327691 E393223:E393225 JA393225:JA393227 SW393225:SW393227 ACS393225:ACS393227 AMO393225:AMO393227 AWK393225:AWK393227 BGG393225:BGG393227 BQC393225:BQC393227 BZY393225:BZY393227 CJU393225:CJU393227 CTQ393225:CTQ393227 DDM393225:DDM393227 DNI393225:DNI393227 DXE393225:DXE393227 EHA393225:EHA393227 EQW393225:EQW393227 FAS393225:FAS393227 FKO393225:FKO393227 FUK393225:FUK393227 GEG393225:GEG393227 GOC393225:GOC393227 GXY393225:GXY393227 HHU393225:HHU393227 HRQ393225:HRQ393227 IBM393225:IBM393227 ILI393225:ILI393227 IVE393225:IVE393227 JFA393225:JFA393227 JOW393225:JOW393227 JYS393225:JYS393227 KIO393225:KIO393227 KSK393225:KSK393227 LCG393225:LCG393227 LMC393225:LMC393227 LVY393225:LVY393227 MFU393225:MFU393227 MPQ393225:MPQ393227 MZM393225:MZM393227 NJI393225:NJI393227 NTE393225:NTE393227 ODA393225:ODA393227 OMW393225:OMW393227 OWS393225:OWS393227 PGO393225:PGO393227 PQK393225:PQK393227 QAG393225:QAG393227 QKC393225:QKC393227 QTY393225:QTY393227 RDU393225:RDU393227 RNQ393225:RNQ393227 RXM393225:RXM393227 SHI393225:SHI393227 SRE393225:SRE393227 TBA393225:TBA393227 TKW393225:TKW393227 TUS393225:TUS393227 UEO393225:UEO393227 UOK393225:UOK393227 UYG393225:UYG393227 VIC393225:VIC393227 VRY393225:VRY393227 WBU393225:WBU393227 WLQ393225:WLQ393227 WVM393225:WVM393227 E458759:E458761 JA458761:JA458763 SW458761:SW458763 ACS458761:ACS458763 AMO458761:AMO458763 AWK458761:AWK458763 BGG458761:BGG458763 BQC458761:BQC458763 BZY458761:BZY458763 CJU458761:CJU458763 CTQ458761:CTQ458763 DDM458761:DDM458763 DNI458761:DNI458763 DXE458761:DXE458763 EHA458761:EHA458763 EQW458761:EQW458763 FAS458761:FAS458763 FKO458761:FKO458763 FUK458761:FUK458763 GEG458761:GEG458763 GOC458761:GOC458763 GXY458761:GXY458763 HHU458761:HHU458763 HRQ458761:HRQ458763 IBM458761:IBM458763 ILI458761:ILI458763 IVE458761:IVE458763 JFA458761:JFA458763 JOW458761:JOW458763 JYS458761:JYS458763 KIO458761:KIO458763 KSK458761:KSK458763 LCG458761:LCG458763 LMC458761:LMC458763 LVY458761:LVY458763 MFU458761:MFU458763 MPQ458761:MPQ458763 MZM458761:MZM458763 NJI458761:NJI458763 NTE458761:NTE458763 ODA458761:ODA458763 OMW458761:OMW458763 OWS458761:OWS458763 PGO458761:PGO458763 PQK458761:PQK458763 QAG458761:QAG458763 QKC458761:QKC458763 QTY458761:QTY458763 RDU458761:RDU458763 RNQ458761:RNQ458763 RXM458761:RXM458763 SHI458761:SHI458763 SRE458761:SRE458763 TBA458761:TBA458763 TKW458761:TKW458763 TUS458761:TUS458763 UEO458761:UEO458763 UOK458761:UOK458763 UYG458761:UYG458763 VIC458761:VIC458763 VRY458761:VRY458763 WBU458761:WBU458763 WLQ458761:WLQ458763 WVM458761:WVM458763 E524295:E524297 JA524297:JA524299 SW524297:SW524299 ACS524297:ACS524299 AMO524297:AMO524299 AWK524297:AWK524299 BGG524297:BGG524299 BQC524297:BQC524299 BZY524297:BZY524299 CJU524297:CJU524299 CTQ524297:CTQ524299 DDM524297:DDM524299 DNI524297:DNI524299 DXE524297:DXE524299 EHA524297:EHA524299 EQW524297:EQW524299 FAS524297:FAS524299 FKO524297:FKO524299 FUK524297:FUK524299 GEG524297:GEG524299 GOC524297:GOC524299 GXY524297:GXY524299 HHU524297:HHU524299 HRQ524297:HRQ524299 IBM524297:IBM524299 ILI524297:ILI524299 IVE524297:IVE524299 JFA524297:JFA524299 JOW524297:JOW524299 JYS524297:JYS524299 KIO524297:KIO524299 KSK524297:KSK524299 LCG524297:LCG524299 LMC524297:LMC524299 LVY524297:LVY524299 MFU524297:MFU524299 MPQ524297:MPQ524299 MZM524297:MZM524299 NJI524297:NJI524299 NTE524297:NTE524299 ODA524297:ODA524299 OMW524297:OMW524299 OWS524297:OWS524299 PGO524297:PGO524299 PQK524297:PQK524299 QAG524297:QAG524299 QKC524297:QKC524299 QTY524297:QTY524299 RDU524297:RDU524299 RNQ524297:RNQ524299 RXM524297:RXM524299 SHI524297:SHI524299 SRE524297:SRE524299 TBA524297:TBA524299 TKW524297:TKW524299 TUS524297:TUS524299 UEO524297:UEO524299 UOK524297:UOK524299 UYG524297:UYG524299 VIC524297:VIC524299 VRY524297:VRY524299 WBU524297:WBU524299 WLQ524297:WLQ524299 WVM524297:WVM524299 E589831:E589833 JA589833:JA589835 SW589833:SW589835 ACS589833:ACS589835 AMO589833:AMO589835 AWK589833:AWK589835 BGG589833:BGG589835 BQC589833:BQC589835 BZY589833:BZY589835 CJU589833:CJU589835 CTQ589833:CTQ589835 DDM589833:DDM589835 DNI589833:DNI589835 DXE589833:DXE589835 EHA589833:EHA589835 EQW589833:EQW589835 FAS589833:FAS589835 FKO589833:FKO589835 FUK589833:FUK589835 GEG589833:GEG589835 GOC589833:GOC589835 GXY589833:GXY589835 HHU589833:HHU589835 HRQ589833:HRQ589835 IBM589833:IBM589835 ILI589833:ILI589835 IVE589833:IVE589835 JFA589833:JFA589835 JOW589833:JOW589835 JYS589833:JYS589835 KIO589833:KIO589835 KSK589833:KSK589835 LCG589833:LCG589835 LMC589833:LMC589835 LVY589833:LVY589835 MFU589833:MFU589835 MPQ589833:MPQ589835 MZM589833:MZM589835 NJI589833:NJI589835 NTE589833:NTE589835 ODA589833:ODA589835 OMW589833:OMW589835 OWS589833:OWS589835 PGO589833:PGO589835 PQK589833:PQK589835 QAG589833:QAG589835 QKC589833:QKC589835 QTY589833:QTY589835 RDU589833:RDU589835 RNQ589833:RNQ589835 RXM589833:RXM589835 SHI589833:SHI589835 SRE589833:SRE589835 TBA589833:TBA589835 TKW589833:TKW589835 TUS589833:TUS589835 UEO589833:UEO589835 UOK589833:UOK589835 UYG589833:UYG589835 VIC589833:VIC589835 VRY589833:VRY589835 WBU589833:WBU589835 WLQ589833:WLQ589835 WVM589833:WVM589835 E655367:E655369 JA655369:JA655371 SW655369:SW655371 ACS655369:ACS655371 AMO655369:AMO655371 AWK655369:AWK655371 BGG655369:BGG655371 BQC655369:BQC655371 BZY655369:BZY655371 CJU655369:CJU655371 CTQ655369:CTQ655371 DDM655369:DDM655371 DNI655369:DNI655371 DXE655369:DXE655371 EHA655369:EHA655371 EQW655369:EQW655371 FAS655369:FAS655371 FKO655369:FKO655371 FUK655369:FUK655371 GEG655369:GEG655371 GOC655369:GOC655371 GXY655369:GXY655371 HHU655369:HHU655371 HRQ655369:HRQ655371 IBM655369:IBM655371 ILI655369:ILI655371 IVE655369:IVE655371 JFA655369:JFA655371 JOW655369:JOW655371 JYS655369:JYS655371 KIO655369:KIO655371 KSK655369:KSK655371 LCG655369:LCG655371 LMC655369:LMC655371 LVY655369:LVY655371 MFU655369:MFU655371 MPQ655369:MPQ655371 MZM655369:MZM655371 NJI655369:NJI655371 NTE655369:NTE655371 ODA655369:ODA655371 OMW655369:OMW655371 OWS655369:OWS655371 PGO655369:PGO655371 PQK655369:PQK655371 QAG655369:QAG655371 QKC655369:QKC655371 QTY655369:QTY655371 RDU655369:RDU655371 RNQ655369:RNQ655371 RXM655369:RXM655371 SHI655369:SHI655371 SRE655369:SRE655371 TBA655369:TBA655371 TKW655369:TKW655371 TUS655369:TUS655371 UEO655369:UEO655371 UOK655369:UOK655371 UYG655369:UYG655371 VIC655369:VIC655371 VRY655369:VRY655371 WBU655369:WBU655371 WLQ655369:WLQ655371 WVM655369:WVM655371 E720903:E720905 JA720905:JA720907 SW720905:SW720907 ACS720905:ACS720907 AMO720905:AMO720907 AWK720905:AWK720907 BGG720905:BGG720907 BQC720905:BQC720907 BZY720905:BZY720907 CJU720905:CJU720907 CTQ720905:CTQ720907 DDM720905:DDM720907 DNI720905:DNI720907 DXE720905:DXE720907 EHA720905:EHA720907 EQW720905:EQW720907 FAS720905:FAS720907 FKO720905:FKO720907 FUK720905:FUK720907 GEG720905:GEG720907 GOC720905:GOC720907 GXY720905:GXY720907 HHU720905:HHU720907 HRQ720905:HRQ720907 IBM720905:IBM720907 ILI720905:ILI720907 IVE720905:IVE720907 JFA720905:JFA720907 JOW720905:JOW720907 JYS720905:JYS720907 KIO720905:KIO720907 KSK720905:KSK720907 LCG720905:LCG720907 LMC720905:LMC720907 LVY720905:LVY720907 MFU720905:MFU720907 MPQ720905:MPQ720907 MZM720905:MZM720907 NJI720905:NJI720907 NTE720905:NTE720907 ODA720905:ODA720907 OMW720905:OMW720907 OWS720905:OWS720907 PGO720905:PGO720907 PQK720905:PQK720907 QAG720905:QAG720907 QKC720905:QKC720907 QTY720905:QTY720907 RDU720905:RDU720907 RNQ720905:RNQ720907 RXM720905:RXM720907 SHI720905:SHI720907 SRE720905:SRE720907 TBA720905:TBA720907 TKW720905:TKW720907 TUS720905:TUS720907 UEO720905:UEO720907 UOK720905:UOK720907 UYG720905:UYG720907 VIC720905:VIC720907 VRY720905:VRY720907 WBU720905:WBU720907 WLQ720905:WLQ720907 WVM720905:WVM720907 E786439:E786441 JA786441:JA786443 SW786441:SW786443 ACS786441:ACS786443 AMO786441:AMO786443 AWK786441:AWK786443 BGG786441:BGG786443 BQC786441:BQC786443 BZY786441:BZY786443 CJU786441:CJU786443 CTQ786441:CTQ786443 DDM786441:DDM786443 DNI786441:DNI786443 DXE786441:DXE786443 EHA786441:EHA786443 EQW786441:EQW786443 FAS786441:FAS786443 FKO786441:FKO786443 FUK786441:FUK786443 GEG786441:GEG786443 GOC786441:GOC786443 GXY786441:GXY786443 HHU786441:HHU786443 HRQ786441:HRQ786443 IBM786441:IBM786443 ILI786441:ILI786443 IVE786441:IVE786443 JFA786441:JFA786443 JOW786441:JOW786443 JYS786441:JYS786443 KIO786441:KIO786443 KSK786441:KSK786443 LCG786441:LCG786443 LMC786441:LMC786443 LVY786441:LVY786443 MFU786441:MFU786443 MPQ786441:MPQ786443 MZM786441:MZM786443 NJI786441:NJI786443 NTE786441:NTE786443 ODA786441:ODA786443 OMW786441:OMW786443 OWS786441:OWS786443 PGO786441:PGO786443 PQK786441:PQK786443 QAG786441:QAG786443 QKC786441:QKC786443 QTY786441:QTY786443 RDU786441:RDU786443 RNQ786441:RNQ786443 RXM786441:RXM786443 SHI786441:SHI786443 SRE786441:SRE786443 TBA786441:TBA786443 TKW786441:TKW786443 TUS786441:TUS786443 UEO786441:UEO786443 UOK786441:UOK786443 UYG786441:UYG786443 VIC786441:VIC786443 VRY786441:VRY786443 WBU786441:WBU786443 WLQ786441:WLQ786443 WVM786441:WVM786443 E851975:E851977 JA851977:JA851979 SW851977:SW851979 ACS851977:ACS851979 AMO851977:AMO851979 AWK851977:AWK851979 BGG851977:BGG851979 BQC851977:BQC851979 BZY851977:BZY851979 CJU851977:CJU851979 CTQ851977:CTQ851979 DDM851977:DDM851979 DNI851977:DNI851979 DXE851977:DXE851979 EHA851977:EHA851979 EQW851977:EQW851979 FAS851977:FAS851979 FKO851977:FKO851979 FUK851977:FUK851979 GEG851977:GEG851979 GOC851977:GOC851979 GXY851977:GXY851979 HHU851977:HHU851979 HRQ851977:HRQ851979 IBM851977:IBM851979 ILI851977:ILI851979 IVE851977:IVE851979 JFA851977:JFA851979 JOW851977:JOW851979 JYS851977:JYS851979 KIO851977:KIO851979 KSK851977:KSK851979 LCG851977:LCG851979 LMC851977:LMC851979 LVY851977:LVY851979 MFU851977:MFU851979 MPQ851977:MPQ851979 MZM851977:MZM851979 NJI851977:NJI851979 NTE851977:NTE851979 ODA851977:ODA851979 OMW851977:OMW851979 OWS851977:OWS851979 PGO851977:PGO851979 PQK851977:PQK851979 QAG851977:QAG851979 QKC851977:QKC851979 QTY851977:QTY851979 RDU851977:RDU851979 RNQ851977:RNQ851979 RXM851977:RXM851979 SHI851977:SHI851979 SRE851977:SRE851979 TBA851977:TBA851979 TKW851977:TKW851979 TUS851977:TUS851979 UEO851977:UEO851979 UOK851977:UOK851979 UYG851977:UYG851979 VIC851977:VIC851979 VRY851977:VRY851979 WBU851977:WBU851979 WLQ851977:WLQ851979 WVM851977:WVM851979 E917511:E917513 JA917513:JA917515 SW917513:SW917515 ACS917513:ACS917515 AMO917513:AMO917515 AWK917513:AWK917515 BGG917513:BGG917515 BQC917513:BQC917515 BZY917513:BZY917515 CJU917513:CJU917515 CTQ917513:CTQ917515 DDM917513:DDM917515 DNI917513:DNI917515 DXE917513:DXE917515 EHA917513:EHA917515 EQW917513:EQW917515 FAS917513:FAS917515 FKO917513:FKO917515 FUK917513:FUK917515 GEG917513:GEG917515 GOC917513:GOC917515 GXY917513:GXY917515 HHU917513:HHU917515 HRQ917513:HRQ917515 IBM917513:IBM917515 ILI917513:ILI917515 IVE917513:IVE917515 JFA917513:JFA917515 JOW917513:JOW917515 JYS917513:JYS917515 KIO917513:KIO917515 KSK917513:KSK917515 LCG917513:LCG917515 LMC917513:LMC917515 LVY917513:LVY917515 MFU917513:MFU917515 MPQ917513:MPQ917515 MZM917513:MZM917515 NJI917513:NJI917515 NTE917513:NTE917515 ODA917513:ODA917515 OMW917513:OMW917515 OWS917513:OWS917515 PGO917513:PGO917515 PQK917513:PQK917515 QAG917513:QAG917515 QKC917513:QKC917515 QTY917513:QTY917515 RDU917513:RDU917515 RNQ917513:RNQ917515 RXM917513:RXM917515 SHI917513:SHI917515 SRE917513:SRE917515 TBA917513:TBA917515 TKW917513:TKW917515 TUS917513:TUS917515 UEO917513:UEO917515 UOK917513:UOK917515 UYG917513:UYG917515 VIC917513:VIC917515 VRY917513:VRY917515 WBU917513:WBU917515 WLQ917513:WLQ917515 WVM917513:WVM917515 E983047:E983049 JA983049:JA983051 SW983049:SW983051 ACS983049:ACS983051 AMO983049:AMO983051 AWK983049:AWK983051 BGG983049:BGG983051 BQC983049:BQC983051 BZY983049:BZY983051 CJU983049:CJU983051 CTQ983049:CTQ983051 DDM983049:DDM983051 DNI983049:DNI983051 DXE983049:DXE983051 EHA983049:EHA983051 EQW983049:EQW983051 FAS983049:FAS983051 FKO983049:FKO983051 FUK983049:FUK983051 GEG983049:GEG983051 GOC983049:GOC983051 GXY983049:GXY983051 HHU983049:HHU983051 HRQ983049:HRQ983051 IBM983049:IBM983051 ILI983049:ILI983051 IVE983049:IVE983051 JFA983049:JFA983051 JOW983049:JOW983051 JYS983049:JYS983051 KIO983049:KIO983051 KSK983049:KSK983051 LCG983049:LCG983051 LMC983049:LMC983051 LVY983049:LVY983051 MFU983049:MFU983051 MPQ983049:MPQ983051 MZM983049:MZM983051 NJI983049:NJI983051 NTE983049:NTE983051 ODA983049:ODA983051 OMW983049:OMW983051 OWS983049:OWS983051 PGO983049:PGO983051 PQK983049:PQK983051 QAG983049:QAG983051 QKC983049:QKC983051 QTY983049:QTY983051 RDU983049:RDU983051 RNQ983049:RNQ983051 RXM983049:RXM983051 SHI983049:SHI983051 SRE983049:SRE983051 TBA983049:TBA983051 TKW983049:TKW983051 TUS983049:TUS983051 UEO983049:UEO983051 UOK983049:UOK983051 UYG983049:UYG983051 VIC983049:VIC983051 VRY983049:VRY983051 WBU983049:WBU983051" xr:uid="{00000000-0002-0000-2D00-000000000000}">
      <formula1>"　,あり,なし"</formula1>
    </dataValidation>
    <dataValidation type="list" errorStyle="warning" showInputMessage="1" showErrorMessage="1" sqref="E12:E15" xr:uid="{153CF59E-26E1-4081-8274-F7FF9EF8E3E2}">
      <formula1>$L$2:$L$6</formula1>
    </dataValidation>
  </dataValidations>
  <pageMargins left="0.7" right="0.7" top="0.75" bottom="0.75" header="0.3" footer="0.3"/>
  <pageSetup paperSize="9" scale="89"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46E90-BF1E-4A0C-BC5D-AA715DA99110}">
  <sheetPr>
    <tabColor theme="1"/>
  </sheetPr>
  <dimension ref="A1"/>
  <sheetViews>
    <sheetView workbookViewId="0">
      <selection activeCell="E39" sqref="E39"/>
    </sheetView>
  </sheetViews>
  <sheetFormatPr defaultRowHeight="13.5"/>
  <sheetData/>
  <sheetProtection algorithmName="SHA-512" hashValue="gqtS2pUpK2vE8xfqy6yckdSD1IN7yxm4v98+I659uGHhT2sG0zKrfHrK6fz8Cz7bFhKFajNV0um/Nz14pRI8PQ==" saltValue="y9aXAfFunoczM8OWkElmfA==" spinCount="100000" sheet="1" objects="1" scenarios="1"/>
  <phoneticPr fontId="60"/>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tabColor rgb="FFFFFF00"/>
  </sheetPr>
  <dimension ref="A1:BF179"/>
  <sheetViews>
    <sheetView view="pageBreakPreview" zoomScale="85" zoomScaleNormal="100" zoomScaleSheetLayoutView="85" workbookViewId="0">
      <pane xSplit="4" ySplit="6" topLeftCell="O16" activePane="bottomRight" state="frozen"/>
      <selection activeCell="AA52" sqref="Y6:AB78"/>
      <selection pane="topRight" activeCell="AA52" sqref="Y6:AB78"/>
      <selection pane="bottomLeft" activeCell="AA52" sqref="Y6:AB78"/>
      <selection pane="bottomRight" activeCell="AA52" sqref="Y6:AB78"/>
    </sheetView>
  </sheetViews>
  <sheetFormatPr defaultRowHeight="13.5"/>
  <cols>
    <col min="1" max="1" width="5.625" style="28" customWidth="1"/>
    <col min="2" max="2" width="7.625" style="28" customWidth="1"/>
    <col min="3" max="3" width="8.25" style="28" bestFit="1" customWidth="1"/>
    <col min="4" max="4" width="8.375" style="28" customWidth="1"/>
    <col min="5" max="5" width="2.25" style="47" customWidth="1"/>
    <col min="6" max="6" width="6.875" style="29" customWidth="1"/>
    <col min="7" max="7" width="8.125" style="30" customWidth="1"/>
    <col min="8" max="8" width="6.875" style="31" customWidth="1"/>
    <col min="9" max="9" width="8.125" style="30" customWidth="1"/>
    <col min="10" max="10" width="2.25" style="23" customWidth="1"/>
    <col min="11" max="11" width="6.25" style="29" customWidth="1"/>
    <col min="12" max="12" width="6.25" style="30" customWidth="1"/>
    <col min="13" max="13" width="6.625" style="32" customWidth="1"/>
    <col min="14" max="14" width="6.25" style="31" customWidth="1"/>
    <col min="15" max="15" width="6.25" style="30" customWidth="1"/>
    <col min="16" max="16" width="6.625" style="32" customWidth="1"/>
    <col min="17" max="17" width="2.25" style="23" customWidth="1"/>
    <col min="18" max="18" width="6.25" style="29" customWidth="1"/>
    <col min="19" max="19" width="11.375" style="33" bestFit="1" customWidth="1"/>
    <col min="20" max="20" width="2.25" style="32" customWidth="1"/>
    <col min="21" max="21" width="7.5" style="29" bestFit="1" customWidth="1"/>
    <col min="22" max="22" width="13" style="33" bestFit="1" customWidth="1"/>
    <col min="23" max="23" width="1.75" style="23" customWidth="1"/>
    <col min="24" max="24" width="13.625" style="31" customWidth="1"/>
    <col min="25" max="25" width="2.25" style="23" customWidth="1"/>
    <col min="26" max="26" width="3.375" style="33" customWidth="1"/>
    <col min="27" max="27" width="10.5" style="33" bestFit="1" customWidth="1"/>
    <col min="28" max="28" width="2.25" style="23" customWidth="1"/>
    <col min="29" max="29" width="9.75" style="33" customWidth="1"/>
    <col min="30" max="30" width="7.25" style="32" customWidth="1"/>
    <col min="31" max="31" width="2.125" style="31" customWidth="1"/>
    <col min="32" max="32" width="8.875" style="31" customWidth="1"/>
    <col min="33" max="33" width="2.25" style="23" customWidth="1"/>
    <col min="34" max="34" width="5.25" style="29" customWidth="1"/>
    <col min="35" max="35" width="6" style="35" bestFit="1" customWidth="1"/>
    <col min="36" max="37" width="6.125" style="29" customWidth="1"/>
    <col min="38" max="38" width="5.25" style="29" customWidth="1"/>
    <col min="39" max="39" width="6" style="35" bestFit="1" customWidth="1"/>
    <col min="40" max="40" width="6.125" style="29" customWidth="1"/>
    <col min="41" max="41" width="15" style="29" customWidth="1"/>
    <col min="42" max="42" width="2.25" style="29" customWidth="1"/>
    <col min="43" max="43" width="16.75" style="35" customWidth="1"/>
    <col min="44" max="44" width="2.25" style="35" customWidth="1"/>
    <col min="45" max="45" width="10.25" style="35" customWidth="1"/>
    <col min="46" max="46" width="2.25" style="29" customWidth="1"/>
    <col min="47" max="47" width="10.25" style="35" customWidth="1"/>
    <col min="48" max="48" width="2.25" style="29" customWidth="1"/>
    <col min="49" max="49" width="6" style="29" bestFit="1" customWidth="1"/>
    <col min="50" max="50" width="2.25" style="29" customWidth="1"/>
    <col min="51" max="51" width="10.75" style="29" customWidth="1"/>
    <col min="52" max="52" width="2.25" style="29" customWidth="1"/>
    <col min="53" max="56" width="10.25" style="35" customWidth="1"/>
    <col min="57" max="57" width="4" style="27" customWidth="1"/>
    <col min="58" max="58" width="22.25" style="27" bestFit="1" customWidth="1"/>
    <col min="59" max="16384" width="9" style="27"/>
  </cols>
  <sheetData>
    <row r="1" spans="1:58" s="1" customFormat="1" ht="13.5" customHeight="1">
      <c r="A1" s="2020" t="s">
        <v>20</v>
      </c>
      <c r="B1" s="2020" t="s">
        <v>21</v>
      </c>
      <c r="C1" s="2020" t="s">
        <v>136</v>
      </c>
      <c r="D1" s="2020" t="s">
        <v>23</v>
      </c>
      <c r="E1" s="83"/>
      <c r="F1" s="2022" t="s">
        <v>192</v>
      </c>
      <c r="G1" s="2022"/>
      <c r="H1" s="2022"/>
      <c r="I1" s="2022"/>
      <c r="J1" s="93"/>
      <c r="K1" s="2022" t="s">
        <v>193</v>
      </c>
      <c r="L1" s="2022"/>
      <c r="M1" s="2022"/>
      <c r="N1" s="2022"/>
      <c r="O1" s="2022"/>
      <c r="P1" s="2022"/>
      <c r="Q1" s="93"/>
      <c r="R1" s="2025" t="s">
        <v>172</v>
      </c>
      <c r="S1" s="2026"/>
      <c r="T1" s="93"/>
      <c r="U1" s="93"/>
      <c r="V1" s="2032" t="s">
        <v>137</v>
      </c>
      <c r="W1" s="2033"/>
      <c r="X1" s="2033"/>
      <c r="Y1" s="2033"/>
      <c r="Z1" s="2033"/>
      <c r="AA1" s="2034"/>
      <c r="AB1" s="93"/>
      <c r="AC1" s="2025" t="s">
        <v>138</v>
      </c>
      <c r="AD1" s="2030"/>
      <c r="AE1" s="130"/>
      <c r="AF1" s="131"/>
      <c r="AG1" s="93"/>
      <c r="AH1" s="2022" t="s">
        <v>251</v>
      </c>
      <c r="AI1" s="2022"/>
      <c r="AJ1" s="93"/>
      <c r="AK1" s="2022" t="s">
        <v>139</v>
      </c>
      <c r="AL1" s="2022"/>
      <c r="AM1" s="2022"/>
      <c r="AN1" s="93"/>
      <c r="AO1" s="2025" t="s">
        <v>194</v>
      </c>
      <c r="AP1" s="2030"/>
      <c r="AQ1" s="2026"/>
      <c r="AR1" s="93"/>
      <c r="AS1" s="2021" t="s">
        <v>252</v>
      </c>
      <c r="AT1" s="93"/>
      <c r="AU1" s="2021" t="s">
        <v>195</v>
      </c>
      <c r="AV1" s="93"/>
      <c r="AW1" s="2008" t="s">
        <v>254</v>
      </c>
      <c r="AX1" s="2009"/>
      <c r="AY1" s="2010"/>
      <c r="AZ1" s="93"/>
      <c r="BA1" s="1984" t="s">
        <v>257</v>
      </c>
      <c r="BB1" s="1985"/>
      <c r="BC1" s="1985"/>
      <c r="BD1" s="1986"/>
      <c r="BE1" s="93"/>
      <c r="BF1" s="2021" t="s">
        <v>140</v>
      </c>
    </row>
    <row r="2" spans="1:58" s="1" customFormat="1" ht="13.5" customHeight="1">
      <c r="A2" s="2020"/>
      <c r="B2" s="2020"/>
      <c r="C2" s="2020"/>
      <c r="D2" s="2020"/>
      <c r="E2" s="83"/>
      <c r="F2" s="2022" t="s">
        <v>141</v>
      </c>
      <c r="G2" s="2022"/>
      <c r="H2" s="2023" t="s">
        <v>142</v>
      </c>
      <c r="I2" s="2023"/>
      <c r="J2" s="92"/>
      <c r="K2" s="2022" t="s">
        <v>141</v>
      </c>
      <c r="L2" s="2022"/>
      <c r="M2" s="2024"/>
      <c r="N2" s="2023" t="s">
        <v>142</v>
      </c>
      <c r="O2" s="2023"/>
      <c r="P2" s="2023"/>
      <c r="Q2" s="92"/>
      <c r="R2" s="2027"/>
      <c r="S2" s="2028"/>
      <c r="T2" s="92"/>
      <c r="U2" s="92"/>
      <c r="V2" s="2035"/>
      <c r="W2" s="2036"/>
      <c r="X2" s="2036"/>
      <c r="Y2" s="2036"/>
      <c r="Z2" s="2036"/>
      <c r="AA2" s="2037"/>
      <c r="AB2" s="92"/>
      <c r="AC2" s="2027"/>
      <c r="AD2" s="2031"/>
      <c r="AE2" s="89"/>
      <c r="AF2" s="132"/>
      <c r="AG2" s="93"/>
      <c r="AH2" s="2029"/>
      <c r="AI2" s="2029"/>
      <c r="AJ2" s="93"/>
      <c r="AK2" s="2029"/>
      <c r="AL2" s="2029"/>
      <c r="AM2" s="2029"/>
      <c r="AN2" s="92"/>
      <c r="AO2" s="2027"/>
      <c r="AP2" s="2031"/>
      <c r="AQ2" s="2028"/>
      <c r="AR2" s="93"/>
      <c r="AS2" s="2038"/>
      <c r="AT2" s="93"/>
      <c r="AU2" s="2038"/>
      <c r="AV2" s="93"/>
      <c r="AW2" s="2011"/>
      <c r="AX2" s="2012"/>
      <c r="AY2" s="2013"/>
      <c r="AZ2" s="93"/>
      <c r="BA2" s="1987" t="s">
        <v>258</v>
      </c>
      <c r="BB2" s="1989" t="s">
        <v>259</v>
      </c>
      <c r="BC2" s="1989" t="s">
        <v>260</v>
      </c>
      <c r="BD2" s="1991" t="s">
        <v>261</v>
      </c>
      <c r="BE2" s="93"/>
      <c r="BF2" s="2038"/>
    </row>
    <row r="3" spans="1:58" s="5" customFormat="1" ht="13.5" customHeight="1">
      <c r="A3" s="2020"/>
      <c r="B3" s="2020"/>
      <c r="C3" s="2020"/>
      <c r="D3" s="2020"/>
      <c r="E3" s="80"/>
      <c r="F3" s="2008" t="s">
        <v>25</v>
      </c>
      <c r="G3" s="2010"/>
      <c r="H3" s="2008" t="s">
        <v>25</v>
      </c>
      <c r="I3" s="2010"/>
      <c r="J3" s="81"/>
      <c r="K3" s="84"/>
      <c r="L3" s="94"/>
      <c r="M3" s="95"/>
      <c r="N3" s="84"/>
      <c r="O3" s="94"/>
      <c r="P3" s="96"/>
      <c r="Q3" s="81"/>
      <c r="R3" s="24"/>
      <c r="S3" s="2014" t="s">
        <v>193</v>
      </c>
      <c r="T3" s="95"/>
      <c r="U3" s="95"/>
      <c r="V3" s="88"/>
      <c r="W3" s="82"/>
      <c r="X3" s="2014" t="s">
        <v>156</v>
      </c>
      <c r="Y3" s="99"/>
      <c r="Z3" s="81"/>
      <c r="AA3" s="2039"/>
      <c r="AB3" s="95"/>
      <c r="AC3" s="88"/>
      <c r="AD3" s="91"/>
      <c r="AE3" s="82"/>
      <c r="AF3" s="2040" t="s">
        <v>157</v>
      </c>
      <c r="AG3" s="81"/>
      <c r="AH3" s="2042" t="s">
        <v>143</v>
      </c>
      <c r="AI3" s="2043"/>
      <c r="AJ3" s="81"/>
      <c r="AK3" s="88"/>
      <c r="AL3" s="2042" t="s">
        <v>143</v>
      </c>
      <c r="AM3" s="2043"/>
      <c r="AN3" s="95"/>
      <c r="AO3" s="88"/>
      <c r="AP3" s="82"/>
      <c r="AQ3" s="2021" t="s">
        <v>193</v>
      </c>
      <c r="AR3" s="81"/>
      <c r="AS3" s="2038"/>
      <c r="AT3" s="81"/>
      <c r="AU3" s="2038"/>
      <c r="AV3" s="81"/>
      <c r="AW3" s="88"/>
      <c r="AX3" s="82"/>
      <c r="AY3" s="2014" t="s">
        <v>256</v>
      </c>
      <c r="AZ3" s="81"/>
      <c r="BA3" s="1988"/>
      <c r="BB3" s="1990"/>
      <c r="BC3" s="1990"/>
      <c r="BD3" s="1992"/>
      <c r="BE3" s="81"/>
      <c r="BF3" s="2038"/>
    </row>
    <row r="4" spans="1:58" s="5" customFormat="1" ht="13.5" customHeight="1">
      <c r="A4" s="2021"/>
      <c r="B4" s="2021"/>
      <c r="C4" s="2021"/>
      <c r="D4" s="2021"/>
      <c r="E4" s="80"/>
      <c r="F4" s="84"/>
      <c r="G4" s="100" t="s">
        <v>150</v>
      </c>
      <c r="H4" s="84"/>
      <c r="I4" s="100" t="s">
        <v>150</v>
      </c>
      <c r="J4" s="90"/>
      <c r="K4" s="88"/>
      <c r="L4" s="101" t="s">
        <v>28</v>
      </c>
      <c r="M4" s="95"/>
      <c r="N4" s="85"/>
      <c r="O4" s="101" t="s">
        <v>28</v>
      </c>
      <c r="P4" s="96"/>
      <c r="Q4" s="92"/>
      <c r="R4" s="88"/>
      <c r="S4" s="2015"/>
      <c r="T4" s="95"/>
      <c r="U4" s="95"/>
      <c r="V4" s="84"/>
      <c r="W4" s="90"/>
      <c r="X4" s="2015"/>
      <c r="Y4" s="99"/>
      <c r="Z4" s="92"/>
      <c r="AA4" s="2039"/>
      <c r="AB4" s="95"/>
      <c r="AC4" s="84"/>
      <c r="AD4" s="133" t="s">
        <v>196</v>
      </c>
      <c r="AE4" s="90"/>
      <c r="AF4" s="2041"/>
      <c r="AG4" s="81"/>
      <c r="AH4" s="104" t="s">
        <v>144</v>
      </c>
      <c r="AI4" s="105" t="s">
        <v>145</v>
      </c>
      <c r="AJ4" s="81"/>
      <c r="AK4" s="88"/>
      <c r="AL4" s="104" t="s">
        <v>144</v>
      </c>
      <c r="AM4" s="105" t="s">
        <v>145</v>
      </c>
      <c r="AN4" s="95"/>
      <c r="AO4" s="84"/>
      <c r="AP4" s="90"/>
      <c r="AQ4" s="2038"/>
      <c r="AR4" s="81"/>
      <c r="AS4" s="2038"/>
      <c r="AT4" s="81"/>
      <c r="AU4" s="2038"/>
      <c r="AV4" s="81"/>
      <c r="AW4" s="84"/>
      <c r="AX4" s="90"/>
      <c r="AY4" s="2015"/>
      <c r="AZ4" s="81"/>
      <c r="BA4" s="1988"/>
      <c r="BB4" s="1990"/>
      <c r="BC4" s="1990"/>
      <c r="BD4" s="1992"/>
      <c r="BE4" s="81"/>
      <c r="BF4" s="2038"/>
    </row>
    <row r="5" spans="1:58" s="5" customFormat="1" ht="12" customHeight="1">
      <c r="A5" s="106" t="s">
        <v>197</v>
      </c>
      <c r="B5" s="106" t="s">
        <v>162</v>
      </c>
      <c r="C5" s="106" t="s">
        <v>163</v>
      </c>
      <c r="D5" s="106" t="s">
        <v>146</v>
      </c>
      <c r="E5" s="81"/>
      <c r="F5" s="2016" t="s">
        <v>151</v>
      </c>
      <c r="G5" s="2016"/>
      <c r="H5" s="2016" t="s">
        <v>151</v>
      </c>
      <c r="I5" s="2016"/>
      <c r="J5" s="92"/>
      <c r="K5" s="2016" t="s">
        <v>158</v>
      </c>
      <c r="L5" s="2016"/>
      <c r="M5" s="2016"/>
      <c r="N5" s="2017" t="s">
        <v>198</v>
      </c>
      <c r="O5" s="2017"/>
      <c r="P5" s="2017"/>
      <c r="Q5" s="92"/>
      <c r="R5" s="2016" t="s">
        <v>264</v>
      </c>
      <c r="S5" s="2016"/>
      <c r="T5" s="95"/>
      <c r="U5" s="95"/>
      <c r="V5" s="2016" t="s">
        <v>57</v>
      </c>
      <c r="W5" s="2016"/>
      <c r="X5" s="2016"/>
      <c r="Y5" s="2016"/>
      <c r="Z5" s="2016"/>
      <c r="AA5" s="2016"/>
      <c r="AB5" s="95"/>
      <c r="AC5" s="2016" t="s">
        <v>159</v>
      </c>
      <c r="AD5" s="2016"/>
      <c r="AE5" s="2016"/>
      <c r="AF5" s="2016"/>
      <c r="AG5" s="81"/>
      <c r="AH5" s="2016" t="s">
        <v>58</v>
      </c>
      <c r="AI5" s="2016"/>
      <c r="AJ5" s="81"/>
      <c r="AK5" s="2016" t="s">
        <v>265</v>
      </c>
      <c r="AL5" s="2016"/>
      <c r="AM5" s="2016"/>
      <c r="AN5" s="95"/>
      <c r="AO5" s="2016" t="s">
        <v>147</v>
      </c>
      <c r="AP5" s="2016"/>
      <c r="AQ5" s="2016"/>
      <c r="AR5" s="98"/>
      <c r="AS5" s="62" t="s">
        <v>253</v>
      </c>
      <c r="AT5" s="81"/>
      <c r="AU5" s="62" t="s">
        <v>164</v>
      </c>
      <c r="AV5" s="81"/>
      <c r="AW5" s="1993" t="s">
        <v>75</v>
      </c>
      <c r="AX5" s="1994"/>
      <c r="AY5" s="1995"/>
      <c r="AZ5" s="81"/>
      <c r="BA5" s="1993" t="s">
        <v>76</v>
      </c>
      <c r="BB5" s="1994"/>
      <c r="BC5" s="1994"/>
      <c r="BD5" s="1995"/>
      <c r="BE5" s="81"/>
      <c r="BF5" s="62" t="s">
        <v>77</v>
      </c>
    </row>
    <row r="6" spans="1:58" s="4" customFormat="1" ht="21.75" customHeight="1">
      <c r="A6" s="6"/>
      <c r="B6" s="1368">
        <f>COLUMN()-1</f>
        <v>1</v>
      </c>
      <c r="C6" s="1368">
        <f t="shared" ref="C6:BF6" si="0">COLUMN()-1</f>
        <v>2</v>
      </c>
      <c r="D6" s="1368">
        <f t="shared" si="0"/>
        <v>3</v>
      </c>
      <c r="E6" s="1368">
        <f t="shared" si="0"/>
        <v>4</v>
      </c>
      <c r="F6" s="1368">
        <f t="shared" si="0"/>
        <v>5</v>
      </c>
      <c r="G6" s="1368">
        <f t="shared" si="0"/>
        <v>6</v>
      </c>
      <c r="H6" s="1368">
        <f t="shared" si="0"/>
        <v>7</v>
      </c>
      <c r="I6" s="1368">
        <f t="shared" si="0"/>
        <v>8</v>
      </c>
      <c r="J6" s="1368">
        <f t="shared" si="0"/>
        <v>9</v>
      </c>
      <c r="K6" s="1368">
        <f t="shared" si="0"/>
        <v>10</v>
      </c>
      <c r="L6" s="1368">
        <f t="shared" si="0"/>
        <v>11</v>
      </c>
      <c r="M6" s="1368">
        <f t="shared" si="0"/>
        <v>12</v>
      </c>
      <c r="N6" s="1368">
        <f t="shared" si="0"/>
        <v>13</v>
      </c>
      <c r="O6" s="1368">
        <f t="shared" si="0"/>
        <v>14</v>
      </c>
      <c r="P6" s="1368">
        <f t="shared" si="0"/>
        <v>15</v>
      </c>
      <c r="Q6" s="1368">
        <f t="shared" si="0"/>
        <v>16</v>
      </c>
      <c r="R6" s="1368">
        <f t="shared" si="0"/>
        <v>17</v>
      </c>
      <c r="S6" s="1368">
        <f t="shared" si="0"/>
        <v>18</v>
      </c>
      <c r="T6" s="1368">
        <f t="shared" si="0"/>
        <v>19</v>
      </c>
      <c r="U6" s="1368">
        <f t="shared" si="0"/>
        <v>20</v>
      </c>
      <c r="V6" s="1368">
        <f t="shared" si="0"/>
        <v>21</v>
      </c>
      <c r="W6" s="1368">
        <f t="shared" si="0"/>
        <v>22</v>
      </c>
      <c r="X6" s="1368">
        <f t="shared" si="0"/>
        <v>23</v>
      </c>
      <c r="Y6" s="1368">
        <f t="shared" si="0"/>
        <v>24</v>
      </c>
      <c r="Z6" s="1368">
        <f t="shared" si="0"/>
        <v>25</v>
      </c>
      <c r="AA6" s="1368">
        <f t="shared" si="0"/>
        <v>26</v>
      </c>
      <c r="AB6" s="1368">
        <f t="shared" si="0"/>
        <v>27</v>
      </c>
      <c r="AC6" s="1368">
        <f t="shared" si="0"/>
        <v>28</v>
      </c>
      <c r="AD6" s="1368">
        <f t="shared" si="0"/>
        <v>29</v>
      </c>
      <c r="AE6" s="1368">
        <f t="shared" si="0"/>
        <v>30</v>
      </c>
      <c r="AF6" s="1368">
        <f t="shared" si="0"/>
        <v>31</v>
      </c>
      <c r="AG6" s="1368">
        <f t="shared" si="0"/>
        <v>32</v>
      </c>
      <c r="AH6" s="1368">
        <f t="shared" si="0"/>
        <v>33</v>
      </c>
      <c r="AI6" s="1368">
        <f t="shared" si="0"/>
        <v>34</v>
      </c>
      <c r="AJ6" s="1368">
        <f t="shared" si="0"/>
        <v>35</v>
      </c>
      <c r="AK6" s="1368">
        <f t="shared" si="0"/>
        <v>36</v>
      </c>
      <c r="AL6" s="1368">
        <f t="shared" si="0"/>
        <v>37</v>
      </c>
      <c r="AM6" s="1368">
        <f t="shared" si="0"/>
        <v>38</v>
      </c>
      <c r="AN6" s="1368">
        <f t="shared" si="0"/>
        <v>39</v>
      </c>
      <c r="AO6" s="1368">
        <f t="shared" si="0"/>
        <v>40</v>
      </c>
      <c r="AP6" s="1368">
        <f t="shared" si="0"/>
        <v>41</v>
      </c>
      <c r="AQ6" s="1368">
        <f t="shared" si="0"/>
        <v>42</v>
      </c>
      <c r="AR6" s="1368">
        <f t="shared" si="0"/>
        <v>43</v>
      </c>
      <c r="AS6" s="1368">
        <f t="shared" si="0"/>
        <v>44</v>
      </c>
      <c r="AT6" s="1368">
        <f t="shared" si="0"/>
        <v>45</v>
      </c>
      <c r="AU6" s="1368">
        <f t="shared" si="0"/>
        <v>46</v>
      </c>
      <c r="AV6" s="1368">
        <f t="shared" si="0"/>
        <v>47</v>
      </c>
      <c r="AW6" s="1368">
        <f t="shared" si="0"/>
        <v>48</v>
      </c>
      <c r="AX6" s="1368">
        <f t="shared" si="0"/>
        <v>49</v>
      </c>
      <c r="AY6" s="1368">
        <f t="shared" si="0"/>
        <v>50</v>
      </c>
      <c r="AZ6" s="1368">
        <f t="shared" si="0"/>
        <v>51</v>
      </c>
      <c r="BA6" s="1368">
        <f t="shared" si="0"/>
        <v>52</v>
      </c>
      <c r="BB6" s="1368">
        <f t="shared" si="0"/>
        <v>53</v>
      </c>
      <c r="BC6" s="1368">
        <f t="shared" si="0"/>
        <v>54</v>
      </c>
      <c r="BD6" s="1368">
        <f t="shared" si="0"/>
        <v>55</v>
      </c>
      <c r="BE6" s="1368">
        <f t="shared" si="0"/>
        <v>56</v>
      </c>
      <c r="BF6" s="1368">
        <f t="shared" si="0"/>
        <v>57</v>
      </c>
    </row>
    <row r="7" spans="1:58" s="5" customFormat="1" ht="13.5" customHeight="1">
      <c r="A7" s="2000" t="s">
        <v>1014</v>
      </c>
      <c r="B7" s="2003" t="s">
        <v>1015</v>
      </c>
      <c r="C7" s="2005" t="s">
        <v>1016</v>
      </c>
      <c r="D7" s="1111" t="s">
        <v>554</v>
      </c>
      <c r="E7" s="1112"/>
      <c r="F7" s="1142">
        <v>111640</v>
      </c>
      <c r="G7" s="1143">
        <v>118520</v>
      </c>
      <c r="H7" s="1142">
        <v>88210</v>
      </c>
      <c r="I7" s="1143">
        <v>95090</v>
      </c>
      <c r="J7" s="1144" t="s">
        <v>255</v>
      </c>
      <c r="K7" s="1145">
        <v>1090</v>
      </c>
      <c r="L7" s="1146">
        <v>1150</v>
      </c>
      <c r="M7" s="1147" t="s">
        <v>1017</v>
      </c>
      <c r="N7" s="1145">
        <v>860</v>
      </c>
      <c r="O7" s="1146">
        <v>920</v>
      </c>
      <c r="P7" s="1147" t="s">
        <v>1017</v>
      </c>
      <c r="Q7" s="1144" t="s">
        <v>255</v>
      </c>
      <c r="R7" s="1148">
        <v>6880</v>
      </c>
      <c r="S7" s="1149">
        <v>60</v>
      </c>
      <c r="T7" s="2058" t="s">
        <v>31</v>
      </c>
      <c r="U7" s="32"/>
      <c r="V7" s="1150"/>
      <c r="W7" s="1972" t="s">
        <v>255</v>
      </c>
      <c r="X7" s="1151"/>
      <c r="Y7" s="1152"/>
      <c r="Z7" s="2060" t="s">
        <v>1018</v>
      </c>
      <c r="AA7" s="1151"/>
      <c r="AB7" s="1972" t="s">
        <v>255</v>
      </c>
      <c r="AC7" s="2018">
        <v>30750</v>
      </c>
      <c r="AD7" s="1153"/>
      <c r="AE7" s="1972" t="s">
        <v>255</v>
      </c>
      <c r="AF7" s="1973">
        <v>230</v>
      </c>
      <c r="AG7" s="1959" t="s">
        <v>255</v>
      </c>
      <c r="AH7" s="1960">
        <v>7900</v>
      </c>
      <c r="AI7" s="1963">
        <v>8700</v>
      </c>
      <c r="AJ7" s="1959" t="s">
        <v>255</v>
      </c>
      <c r="AK7" s="1154" t="s">
        <v>1019</v>
      </c>
      <c r="AL7" s="1155">
        <v>15800</v>
      </c>
      <c r="AM7" s="1156">
        <v>17600</v>
      </c>
      <c r="AN7" s="1972" t="s">
        <v>255</v>
      </c>
      <c r="AO7" s="2045">
        <v>20650</v>
      </c>
      <c r="AP7" s="1972" t="s">
        <v>255</v>
      </c>
      <c r="AQ7" s="2048">
        <v>200</v>
      </c>
      <c r="AR7" s="1959" t="s">
        <v>255</v>
      </c>
      <c r="AS7" s="1996">
        <v>4700</v>
      </c>
      <c r="AT7" s="2053" t="s">
        <v>78</v>
      </c>
      <c r="AU7" s="1157"/>
      <c r="AV7" s="2053" t="s">
        <v>78</v>
      </c>
      <c r="AW7" s="1969">
        <v>23540</v>
      </c>
      <c r="AX7" s="1972" t="s">
        <v>255</v>
      </c>
      <c r="AY7" s="1973">
        <v>230</v>
      </c>
      <c r="AZ7" s="1968" t="s">
        <v>78</v>
      </c>
      <c r="BA7" s="1998" t="s">
        <v>262</v>
      </c>
      <c r="BB7" s="1966" t="s">
        <v>262</v>
      </c>
      <c r="BC7" s="1966" t="s">
        <v>262</v>
      </c>
      <c r="BD7" s="1980" t="s">
        <v>262</v>
      </c>
      <c r="BE7" s="1114"/>
      <c r="BF7" s="2051"/>
    </row>
    <row r="8" spans="1:58" s="5" customFormat="1" ht="13.5" customHeight="1">
      <c r="A8" s="2001"/>
      <c r="B8" s="2004"/>
      <c r="C8" s="2006"/>
      <c r="D8" s="1115" t="s">
        <v>556</v>
      </c>
      <c r="E8" s="1112"/>
      <c r="F8" s="1158">
        <v>118520</v>
      </c>
      <c r="G8" s="1159">
        <v>174970</v>
      </c>
      <c r="H8" s="1158">
        <v>95090</v>
      </c>
      <c r="I8" s="1159">
        <v>151540</v>
      </c>
      <c r="J8" s="1144" t="s">
        <v>255</v>
      </c>
      <c r="K8" s="1160">
        <v>1150</v>
      </c>
      <c r="L8" s="1161">
        <v>1640</v>
      </c>
      <c r="M8" s="1162" t="s">
        <v>1017</v>
      </c>
      <c r="N8" s="1160">
        <v>920</v>
      </c>
      <c r="O8" s="1161">
        <v>1400</v>
      </c>
      <c r="P8" s="1162" t="s">
        <v>1017</v>
      </c>
      <c r="Q8" s="1144" t="s">
        <v>255</v>
      </c>
      <c r="R8" s="1163">
        <v>6880</v>
      </c>
      <c r="S8" s="1164">
        <v>60</v>
      </c>
      <c r="T8" s="2058"/>
      <c r="U8" s="32"/>
      <c r="V8" s="1165"/>
      <c r="W8" s="1972"/>
      <c r="X8" s="1166"/>
      <c r="Y8" s="1152"/>
      <c r="Z8" s="2060"/>
      <c r="AA8" s="1166"/>
      <c r="AB8" s="1972"/>
      <c r="AC8" s="2019"/>
      <c r="AD8" s="1167">
        <v>28990</v>
      </c>
      <c r="AE8" s="1972"/>
      <c r="AF8" s="1974"/>
      <c r="AG8" s="1959"/>
      <c r="AH8" s="1961" t="e">
        <v>#REF!</v>
      </c>
      <c r="AI8" s="1964" t="e">
        <v>#REF!</v>
      </c>
      <c r="AJ8" s="1959"/>
      <c r="AK8" s="1168" t="s">
        <v>1020</v>
      </c>
      <c r="AL8" s="1169">
        <v>8700</v>
      </c>
      <c r="AM8" s="1170">
        <v>9700</v>
      </c>
      <c r="AN8" s="1972"/>
      <c r="AO8" s="2046"/>
      <c r="AP8" s="1972"/>
      <c r="AQ8" s="2049"/>
      <c r="AR8" s="1959"/>
      <c r="AS8" s="1997"/>
      <c r="AT8" s="2053"/>
      <c r="AU8" s="1171"/>
      <c r="AV8" s="2053"/>
      <c r="AW8" s="1970"/>
      <c r="AX8" s="1972"/>
      <c r="AY8" s="1974"/>
      <c r="AZ8" s="1968"/>
      <c r="BA8" s="1999"/>
      <c r="BB8" s="1967"/>
      <c r="BC8" s="1967"/>
      <c r="BD8" s="1981"/>
      <c r="BE8" s="1114"/>
      <c r="BF8" s="2052"/>
    </row>
    <row r="9" spans="1:58" s="25" customFormat="1" ht="13.5" customHeight="1">
      <c r="A9" s="2001"/>
      <c r="B9" s="2004"/>
      <c r="C9" s="2056" t="s">
        <v>1021</v>
      </c>
      <c r="D9" s="1115" t="s">
        <v>1022</v>
      </c>
      <c r="E9" s="1112"/>
      <c r="F9" s="1158">
        <v>174970</v>
      </c>
      <c r="G9" s="1159">
        <v>243800</v>
      </c>
      <c r="H9" s="1158">
        <v>151540</v>
      </c>
      <c r="I9" s="1159">
        <v>220370</v>
      </c>
      <c r="J9" s="1144" t="s">
        <v>255</v>
      </c>
      <c r="K9" s="1160">
        <v>1640</v>
      </c>
      <c r="L9" s="1161">
        <v>2320</v>
      </c>
      <c r="M9" s="1162" t="s">
        <v>1017</v>
      </c>
      <c r="N9" s="1160">
        <v>1400</v>
      </c>
      <c r="O9" s="1161">
        <v>2080</v>
      </c>
      <c r="P9" s="1162" t="s">
        <v>1017</v>
      </c>
      <c r="Q9" s="1172"/>
      <c r="R9" s="1173"/>
      <c r="S9" s="1174"/>
      <c r="T9" s="2059"/>
      <c r="U9" s="32"/>
      <c r="V9" s="1165"/>
      <c r="W9" s="1972"/>
      <c r="X9" s="1166"/>
      <c r="Y9" s="1152"/>
      <c r="Z9" s="2060"/>
      <c r="AA9" s="1166"/>
      <c r="AB9" s="1972" t="s">
        <v>255</v>
      </c>
      <c r="AC9" s="2054">
        <v>28990</v>
      </c>
      <c r="AD9" s="1175"/>
      <c r="AE9" s="1972"/>
      <c r="AF9" s="1974"/>
      <c r="AG9" s="1959"/>
      <c r="AH9" s="1961" t="e">
        <v>#REF!</v>
      </c>
      <c r="AI9" s="1964" t="e">
        <v>#REF!</v>
      </c>
      <c r="AJ9" s="1959"/>
      <c r="AK9" s="1168" t="s">
        <v>1023</v>
      </c>
      <c r="AL9" s="1169">
        <v>7600</v>
      </c>
      <c r="AM9" s="1170">
        <v>8400</v>
      </c>
      <c r="AN9" s="1972"/>
      <c r="AO9" s="2046"/>
      <c r="AP9" s="1972"/>
      <c r="AQ9" s="2049"/>
      <c r="AR9" s="1152"/>
      <c r="AS9" s="1176"/>
      <c r="AT9" s="2053"/>
      <c r="AU9" s="1171"/>
      <c r="AV9" s="2053"/>
      <c r="AW9" s="1970"/>
      <c r="AX9" s="1972"/>
      <c r="AY9" s="1974"/>
      <c r="AZ9" s="1968"/>
      <c r="BA9" s="1978">
        <v>0.01</v>
      </c>
      <c r="BB9" s="1976">
        <v>0.03</v>
      </c>
      <c r="BC9" s="1976">
        <v>0.04</v>
      </c>
      <c r="BD9" s="1982">
        <v>0.06</v>
      </c>
      <c r="BE9" s="1114"/>
      <c r="BF9" s="2044"/>
    </row>
    <row r="10" spans="1:58" s="25" customFormat="1" ht="13.5" customHeight="1">
      <c r="A10" s="2001"/>
      <c r="B10" s="2004"/>
      <c r="C10" s="2057"/>
      <c r="D10" s="1116" t="s">
        <v>133</v>
      </c>
      <c r="E10" s="1112"/>
      <c r="F10" s="1177">
        <v>243800</v>
      </c>
      <c r="G10" s="1178"/>
      <c r="H10" s="1177">
        <v>220370</v>
      </c>
      <c r="I10" s="1178"/>
      <c r="J10" s="1144" t="s">
        <v>255</v>
      </c>
      <c r="K10" s="1163">
        <v>2320</v>
      </c>
      <c r="L10" s="1179"/>
      <c r="M10" s="1180" t="s">
        <v>1017</v>
      </c>
      <c r="N10" s="1163">
        <v>2080</v>
      </c>
      <c r="O10" s="1179"/>
      <c r="P10" s="1180" t="s">
        <v>1017</v>
      </c>
      <c r="Q10" s="1172"/>
      <c r="R10" s="1173"/>
      <c r="S10" s="1181"/>
      <c r="T10" s="2059"/>
      <c r="U10" s="32"/>
      <c r="V10" s="1165"/>
      <c r="W10" s="1972"/>
      <c r="X10" s="1166"/>
      <c r="Y10" s="1152"/>
      <c r="Z10" s="2060"/>
      <c r="AA10" s="1166"/>
      <c r="AB10" s="1972"/>
      <c r="AC10" s="2055"/>
      <c r="AD10" s="1182"/>
      <c r="AE10" s="1972"/>
      <c r="AF10" s="1975"/>
      <c r="AG10" s="1959"/>
      <c r="AH10" s="1962" t="e">
        <v>#REF!</v>
      </c>
      <c r="AI10" s="1965" t="e">
        <v>#REF!</v>
      </c>
      <c r="AJ10" s="1959"/>
      <c r="AK10" s="1183" t="s">
        <v>1024</v>
      </c>
      <c r="AL10" s="1184">
        <v>6800</v>
      </c>
      <c r="AM10" s="1185">
        <v>7500</v>
      </c>
      <c r="AN10" s="1972"/>
      <c r="AO10" s="2047"/>
      <c r="AP10" s="1972"/>
      <c r="AQ10" s="2050"/>
      <c r="AR10" s="1152"/>
      <c r="AS10" s="1176"/>
      <c r="AT10" s="2053"/>
      <c r="AU10" s="1171"/>
      <c r="AV10" s="2053"/>
      <c r="AW10" s="1971"/>
      <c r="AX10" s="1972"/>
      <c r="AY10" s="1975"/>
      <c r="AZ10" s="1968"/>
      <c r="BA10" s="1979"/>
      <c r="BB10" s="1977"/>
      <c r="BC10" s="1977"/>
      <c r="BD10" s="1983"/>
      <c r="BE10" s="1114"/>
      <c r="BF10" s="2044"/>
    </row>
    <row r="11" spans="1:58" s="25" customFormat="1" ht="13.5" customHeight="1">
      <c r="A11" s="2001"/>
      <c r="B11" s="2007" t="s">
        <v>1025</v>
      </c>
      <c r="C11" s="2005" t="s">
        <v>1016</v>
      </c>
      <c r="D11" s="1111" t="s">
        <v>554</v>
      </c>
      <c r="E11" s="1112"/>
      <c r="F11" s="1142">
        <v>80540</v>
      </c>
      <c r="G11" s="1143">
        <v>87420</v>
      </c>
      <c r="H11" s="1142">
        <v>64920</v>
      </c>
      <c r="I11" s="1143">
        <v>71800</v>
      </c>
      <c r="J11" s="1144" t="s">
        <v>255</v>
      </c>
      <c r="K11" s="1145">
        <v>780</v>
      </c>
      <c r="L11" s="1146">
        <v>840</v>
      </c>
      <c r="M11" s="1147" t="s">
        <v>1017</v>
      </c>
      <c r="N11" s="1145">
        <v>630</v>
      </c>
      <c r="O11" s="1146">
        <v>690</v>
      </c>
      <c r="P11" s="1147" t="s">
        <v>1017</v>
      </c>
      <c r="Q11" s="1144" t="s">
        <v>255</v>
      </c>
      <c r="R11" s="1148">
        <v>6880</v>
      </c>
      <c r="S11" s="1149">
        <v>60</v>
      </c>
      <c r="T11" s="2058"/>
      <c r="U11" s="32"/>
      <c r="V11" s="1165"/>
      <c r="W11" s="1972"/>
      <c r="X11" s="1166"/>
      <c r="Y11" s="1152"/>
      <c r="Z11" s="2060"/>
      <c r="AA11" s="1166"/>
      <c r="AB11" s="1972" t="s">
        <v>255</v>
      </c>
      <c r="AC11" s="2018">
        <v>22860</v>
      </c>
      <c r="AD11" s="1153"/>
      <c r="AE11" s="1972" t="s">
        <v>255</v>
      </c>
      <c r="AF11" s="1973">
        <v>150</v>
      </c>
      <c r="AG11" s="1959" t="s">
        <v>255</v>
      </c>
      <c r="AH11" s="1960">
        <v>5500</v>
      </c>
      <c r="AI11" s="1963">
        <v>6000</v>
      </c>
      <c r="AJ11" s="1959" t="s">
        <v>255</v>
      </c>
      <c r="AK11" s="1154" t="s">
        <v>1019</v>
      </c>
      <c r="AL11" s="1155">
        <v>10900</v>
      </c>
      <c r="AM11" s="1156">
        <v>12200</v>
      </c>
      <c r="AN11" s="1972" t="s">
        <v>255</v>
      </c>
      <c r="AO11" s="2045">
        <v>13760</v>
      </c>
      <c r="AP11" s="1972" t="s">
        <v>255</v>
      </c>
      <c r="AQ11" s="2048">
        <v>130</v>
      </c>
      <c r="AR11" s="1959" t="s">
        <v>255</v>
      </c>
      <c r="AS11" s="1996">
        <v>4700</v>
      </c>
      <c r="AT11" s="2053"/>
      <c r="AU11" s="1171"/>
      <c r="AV11" s="2053" t="s">
        <v>78</v>
      </c>
      <c r="AW11" s="1969">
        <v>15690</v>
      </c>
      <c r="AX11" s="1972" t="s">
        <v>255</v>
      </c>
      <c r="AY11" s="1973">
        <v>150</v>
      </c>
      <c r="AZ11" s="1968" t="s">
        <v>78</v>
      </c>
      <c r="BA11" s="1998" t="s">
        <v>262</v>
      </c>
      <c r="BB11" s="1966" t="s">
        <v>262</v>
      </c>
      <c r="BC11" s="1966" t="s">
        <v>262</v>
      </c>
      <c r="BD11" s="1980" t="s">
        <v>262</v>
      </c>
      <c r="BE11" s="1114"/>
      <c r="BF11" s="2051"/>
    </row>
    <row r="12" spans="1:58" s="25" customFormat="1" ht="13.5" customHeight="1">
      <c r="A12" s="2001"/>
      <c r="B12" s="2004"/>
      <c r="C12" s="2006"/>
      <c r="D12" s="1115" t="s">
        <v>556</v>
      </c>
      <c r="E12" s="1112"/>
      <c r="F12" s="1158">
        <v>87420</v>
      </c>
      <c r="G12" s="1159">
        <v>143870</v>
      </c>
      <c r="H12" s="1158">
        <v>71800</v>
      </c>
      <c r="I12" s="1159">
        <v>128250</v>
      </c>
      <c r="J12" s="1144" t="s">
        <v>255</v>
      </c>
      <c r="K12" s="1160">
        <v>840</v>
      </c>
      <c r="L12" s="1161">
        <v>1320</v>
      </c>
      <c r="M12" s="1162" t="s">
        <v>1017</v>
      </c>
      <c r="N12" s="1160">
        <v>690</v>
      </c>
      <c r="O12" s="1161">
        <v>1170</v>
      </c>
      <c r="P12" s="1162" t="s">
        <v>1017</v>
      </c>
      <c r="Q12" s="1144" t="s">
        <v>255</v>
      </c>
      <c r="R12" s="1163">
        <v>6880</v>
      </c>
      <c r="S12" s="1164">
        <v>60</v>
      </c>
      <c r="T12" s="2058"/>
      <c r="U12" s="32"/>
      <c r="V12" s="1165"/>
      <c r="W12" s="1972"/>
      <c r="X12" s="1166"/>
      <c r="Y12" s="1152"/>
      <c r="Z12" s="2060"/>
      <c r="AA12" s="1166"/>
      <c r="AB12" s="1972"/>
      <c r="AC12" s="2019"/>
      <c r="AD12" s="1167">
        <v>21090</v>
      </c>
      <c r="AE12" s="1972"/>
      <c r="AF12" s="1974"/>
      <c r="AG12" s="1959"/>
      <c r="AH12" s="1961" t="e">
        <v>#REF!</v>
      </c>
      <c r="AI12" s="1964" t="e">
        <v>#REF!</v>
      </c>
      <c r="AJ12" s="1959"/>
      <c r="AK12" s="1168" t="s">
        <v>1020</v>
      </c>
      <c r="AL12" s="1169">
        <v>6000</v>
      </c>
      <c r="AM12" s="1170">
        <v>6700</v>
      </c>
      <c r="AN12" s="1972"/>
      <c r="AO12" s="2046"/>
      <c r="AP12" s="1972"/>
      <c r="AQ12" s="2049"/>
      <c r="AR12" s="1959"/>
      <c r="AS12" s="1997"/>
      <c r="AT12" s="2053"/>
      <c r="AU12" s="1171"/>
      <c r="AV12" s="2053"/>
      <c r="AW12" s="1970"/>
      <c r="AX12" s="1972"/>
      <c r="AY12" s="1974"/>
      <c r="AZ12" s="1968"/>
      <c r="BA12" s="1999"/>
      <c r="BB12" s="1967"/>
      <c r="BC12" s="1967"/>
      <c r="BD12" s="1981"/>
      <c r="BE12" s="1114"/>
      <c r="BF12" s="2052"/>
    </row>
    <row r="13" spans="1:58" s="25" customFormat="1" ht="13.5" customHeight="1">
      <c r="A13" s="2001"/>
      <c r="B13" s="2004"/>
      <c r="C13" s="2056" t="s">
        <v>1021</v>
      </c>
      <c r="D13" s="1115" t="s">
        <v>1022</v>
      </c>
      <c r="E13" s="1112"/>
      <c r="F13" s="1158">
        <v>143870</v>
      </c>
      <c r="G13" s="1159">
        <v>212700</v>
      </c>
      <c r="H13" s="1158">
        <v>128250</v>
      </c>
      <c r="I13" s="1159">
        <v>197080</v>
      </c>
      <c r="J13" s="1144" t="s">
        <v>255</v>
      </c>
      <c r="K13" s="1160">
        <v>1320</v>
      </c>
      <c r="L13" s="1161">
        <v>2000</v>
      </c>
      <c r="M13" s="1162" t="s">
        <v>1017</v>
      </c>
      <c r="N13" s="1160">
        <v>1170</v>
      </c>
      <c r="O13" s="1161">
        <v>1850</v>
      </c>
      <c r="P13" s="1162" t="s">
        <v>1017</v>
      </c>
      <c r="Q13" s="1172"/>
      <c r="R13" s="1173"/>
      <c r="S13" s="1174"/>
      <c r="T13" s="2059"/>
      <c r="U13" s="32"/>
      <c r="V13" s="1186"/>
      <c r="W13" s="1972"/>
      <c r="X13" s="1166"/>
      <c r="Y13" s="1152"/>
      <c r="Z13" s="2060"/>
      <c r="AA13" s="1166"/>
      <c r="AB13" s="1972" t="s">
        <v>255</v>
      </c>
      <c r="AC13" s="2054">
        <v>21090</v>
      </c>
      <c r="AD13" s="1175"/>
      <c r="AE13" s="1972"/>
      <c r="AF13" s="1974">
        <v>0</v>
      </c>
      <c r="AG13" s="1959"/>
      <c r="AH13" s="1961" t="e">
        <v>#REF!</v>
      </c>
      <c r="AI13" s="1964" t="e">
        <v>#REF!</v>
      </c>
      <c r="AJ13" s="1959"/>
      <c r="AK13" s="1168" t="s">
        <v>1023</v>
      </c>
      <c r="AL13" s="1169">
        <v>5200</v>
      </c>
      <c r="AM13" s="1170">
        <v>5800</v>
      </c>
      <c r="AN13" s="1972"/>
      <c r="AO13" s="2046"/>
      <c r="AP13" s="1972"/>
      <c r="AQ13" s="2049"/>
      <c r="AR13" s="1152"/>
      <c r="AS13" s="1176"/>
      <c r="AT13" s="2053"/>
      <c r="AU13" s="1171"/>
      <c r="AV13" s="2053"/>
      <c r="AW13" s="1970"/>
      <c r="AX13" s="1972"/>
      <c r="AY13" s="1974"/>
      <c r="AZ13" s="1968"/>
      <c r="BA13" s="1978">
        <v>0.02</v>
      </c>
      <c r="BB13" s="1976">
        <v>0.03</v>
      </c>
      <c r="BC13" s="1976">
        <v>0.05</v>
      </c>
      <c r="BD13" s="1982">
        <v>0.06</v>
      </c>
      <c r="BE13" s="1114"/>
      <c r="BF13" s="2044"/>
    </row>
    <row r="14" spans="1:58" s="25" customFormat="1" ht="13.5" customHeight="1">
      <c r="A14" s="2001"/>
      <c r="B14" s="2004"/>
      <c r="C14" s="2057"/>
      <c r="D14" s="1116" t="s">
        <v>133</v>
      </c>
      <c r="E14" s="1112"/>
      <c r="F14" s="1177">
        <v>212700</v>
      </c>
      <c r="G14" s="1178"/>
      <c r="H14" s="1177">
        <v>197080</v>
      </c>
      <c r="I14" s="1178"/>
      <c r="J14" s="1144" t="s">
        <v>255</v>
      </c>
      <c r="K14" s="1163">
        <v>2000</v>
      </c>
      <c r="L14" s="1179"/>
      <c r="M14" s="1180" t="s">
        <v>1017</v>
      </c>
      <c r="N14" s="1163">
        <v>1850</v>
      </c>
      <c r="O14" s="1179"/>
      <c r="P14" s="1180" t="s">
        <v>1017</v>
      </c>
      <c r="Q14" s="1172"/>
      <c r="R14" s="1173"/>
      <c r="S14" s="1181"/>
      <c r="T14" s="2059"/>
      <c r="U14" s="32"/>
      <c r="V14" s="1186"/>
      <c r="W14" s="1972"/>
      <c r="X14" s="1166"/>
      <c r="Y14" s="1152"/>
      <c r="Z14" s="2060"/>
      <c r="AA14" s="1166"/>
      <c r="AB14" s="1972"/>
      <c r="AC14" s="2055"/>
      <c r="AD14" s="1182"/>
      <c r="AE14" s="1972"/>
      <c r="AF14" s="1975"/>
      <c r="AG14" s="1959"/>
      <c r="AH14" s="1962" t="e">
        <v>#REF!</v>
      </c>
      <c r="AI14" s="1965" t="e">
        <v>#REF!</v>
      </c>
      <c r="AJ14" s="1959"/>
      <c r="AK14" s="1183" t="s">
        <v>1024</v>
      </c>
      <c r="AL14" s="1184">
        <v>4700</v>
      </c>
      <c r="AM14" s="1185">
        <v>5200</v>
      </c>
      <c r="AN14" s="1972"/>
      <c r="AO14" s="2047"/>
      <c r="AP14" s="1972"/>
      <c r="AQ14" s="2050"/>
      <c r="AR14" s="1152"/>
      <c r="AS14" s="1176"/>
      <c r="AT14" s="2053"/>
      <c r="AU14" s="1171"/>
      <c r="AV14" s="2053"/>
      <c r="AW14" s="1971"/>
      <c r="AX14" s="1972"/>
      <c r="AY14" s="1975"/>
      <c r="AZ14" s="1968"/>
      <c r="BA14" s="1979"/>
      <c r="BB14" s="1977"/>
      <c r="BC14" s="1977"/>
      <c r="BD14" s="1983"/>
      <c r="BE14" s="1114"/>
      <c r="BF14" s="2044"/>
    </row>
    <row r="15" spans="1:58" s="25" customFormat="1" ht="13.5" customHeight="1">
      <c r="A15" s="2001"/>
      <c r="B15" s="2007" t="s">
        <v>1026</v>
      </c>
      <c r="C15" s="2005" t="s">
        <v>1016</v>
      </c>
      <c r="D15" s="1111" t="s">
        <v>554</v>
      </c>
      <c r="E15" s="1112"/>
      <c r="F15" s="1142">
        <v>65120</v>
      </c>
      <c r="G15" s="1143">
        <v>72000</v>
      </c>
      <c r="H15" s="1142">
        <v>53410</v>
      </c>
      <c r="I15" s="1143">
        <v>60290</v>
      </c>
      <c r="J15" s="1144" t="s">
        <v>255</v>
      </c>
      <c r="K15" s="1145">
        <v>630</v>
      </c>
      <c r="L15" s="1146">
        <v>690</v>
      </c>
      <c r="M15" s="1147" t="s">
        <v>1017</v>
      </c>
      <c r="N15" s="1145">
        <v>510</v>
      </c>
      <c r="O15" s="1146">
        <v>570</v>
      </c>
      <c r="P15" s="1147" t="s">
        <v>1017</v>
      </c>
      <c r="Q15" s="1144" t="s">
        <v>255</v>
      </c>
      <c r="R15" s="1148">
        <v>6880</v>
      </c>
      <c r="S15" s="1149">
        <v>60</v>
      </c>
      <c r="T15" s="2058"/>
      <c r="U15" s="32"/>
      <c r="V15" s="1186"/>
      <c r="W15" s="1972"/>
      <c r="X15" s="1166"/>
      <c r="Y15" s="1152"/>
      <c r="Z15" s="2060"/>
      <c r="AA15" s="1166"/>
      <c r="AB15" s="1972" t="s">
        <v>255</v>
      </c>
      <c r="AC15" s="2018">
        <v>18910</v>
      </c>
      <c r="AD15" s="1153"/>
      <c r="AE15" s="1972" t="s">
        <v>255</v>
      </c>
      <c r="AF15" s="1973">
        <v>110</v>
      </c>
      <c r="AG15" s="1959" t="s">
        <v>255</v>
      </c>
      <c r="AH15" s="1960">
        <v>4800</v>
      </c>
      <c r="AI15" s="1963">
        <v>5300</v>
      </c>
      <c r="AJ15" s="1959" t="s">
        <v>255</v>
      </c>
      <c r="AK15" s="1154" t="s">
        <v>1019</v>
      </c>
      <c r="AL15" s="1155">
        <v>9800</v>
      </c>
      <c r="AM15" s="1156">
        <v>10900</v>
      </c>
      <c r="AN15" s="1972" t="s">
        <v>255</v>
      </c>
      <c r="AO15" s="2045">
        <v>10320</v>
      </c>
      <c r="AP15" s="1972" t="s">
        <v>255</v>
      </c>
      <c r="AQ15" s="2048">
        <v>100</v>
      </c>
      <c r="AR15" s="1959" t="s">
        <v>255</v>
      </c>
      <c r="AS15" s="1996">
        <v>4700</v>
      </c>
      <c r="AT15" s="2053"/>
      <c r="AU15" s="1171"/>
      <c r="AV15" s="2053" t="s">
        <v>78</v>
      </c>
      <c r="AW15" s="1969">
        <v>11770</v>
      </c>
      <c r="AX15" s="1972" t="s">
        <v>255</v>
      </c>
      <c r="AY15" s="1973">
        <v>110</v>
      </c>
      <c r="AZ15" s="1968" t="s">
        <v>78</v>
      </c>
      <c r="BA15" s="1998" t="s">
        <v>262</v>
      </c>
      <c r="BB15" s="1966" t="s">
        <v>262</v>
      </c>
      <c r="BC15" s="1966" t="s">
        <v>262</v>
      </c>
      <c r="BD15" s="1980" t="s">
        <v>262</v>
      </c>
      <c r="BE15" s="1114"/>
      <c r="BF15" s="2051"/>
    </row>
    <row r="16" spans="1:58" s="25" customFormat="1" ht="13.5" customHeight="1">
      <c r="A16" s="2001"/>
      <c r="B16" s="2004"/>
      <c r="C16" s="2006"/>
      <c r="D16" s="1115" t="s">
        <v>556</v>
      </c>
      <c r="E16" s="1112"/>
      <c r="F16" s="1158">
        <v>72000</v>
      </c>
      <c r="G16" s="1159">
        <v>128450</v>
      </c>
      <c r="H16" s="1158">
        <v>60290</v>
      </c>
      <c r="I16" s="1159">
        <v>116740</v>
      </c>
      <c r="J16" s="1144" t="s">
        <v>255</v>
      </c>
      <c r="K16" s="1160">
        <v>690</v>
      </c>
      <c r="L16" s="1161">
        <v>1170</v>
      </c>
      <c r="M16" s="1162" t="s">
        <v>1017</v>
      </c>
      <c r="N16" s="1160">
        <v>570</v>
      </c>
      <c r="O16" s="1161">
        <v>1050</v>
      </c>
      <c r="P16" s="1162" t="s">
        <v>1017</v>
      </c>
      <c r="Q16" s="1144" t="s">
        <v>255</v>
      </c>
      <c r="R16" s="1163">
        <v>6880</v>
      </c>
      <c r="S16" s="1164">
        <v>60</v>
      </c>
      <c r="T16" s="2058"/>
      <c r="U16" s="32"/>
      <c r="V16" s="1186"/>
      <c r="W16" s="1972"/>
      <c r="X16" s="1166"/>
      <c r="Y16" s="1152"/>
      <c r="Z16" s="2060"/>
      <c r="AA16" s="1166"/>
      <c r="AB16" s="1972"/>
      <c r="AC16" s="2019"/>
      <c r="AD16" s="1167">
        <v>17140</v>
      </c>
      <c r="AE16" s="1972"/>
      <c r="AF16" s="1974"/>
      <c r="AG16" s="1959"/>
      <c r="AH16" s="1961" t="e">
        <v>#REF!</v>
      </c>
      <c r="AI16" s="1964" t="e">
        <v>#REF!</v>
      </c>
      <c r="AJ16" s="1959"/>
      <c r="AK16" s="1168" t="s">
        <v>1020</v>
      </c>
      <c r="AL16" s="1169">
        <v>5400</v>
      </c>
      <c r="AM16" s="1170">
        <v>6000</v>
      </c>
      <c r="AN16" s="1972"/>
      <c r="AO16" s="2046"/>
      <c r="AP16" s="1972"/>
      <c r="AQ16" s="2049"/>
      <c r="AR16" s="1959"/>
      <c r="AS16" s="1997"/>
      <c r="AT16" s="2053"/>
      <c r="AU16" s="1171"/>
      <c r="AV16" s="2053"/>
      <c r="AW16" s="1970"/>
      <c r="AX16" s="1972"/>
      <c r="AY16" s="1974"/>
      <c r="AZ16" s="1968"/>
      <c r="BA16" s="1999"/>
      <c r="BB16" s="1967"/>
      <c r="BC16" s="1967"/>
      <c r="BD16" s="1981"/>
      <c r="BE16" s="1114"/>
      <c r="BF16" s="2052"/>
    </row>
    <row r="17" spans="1:58" s="25" customFormat="1" ht="13.5" customHeight="1">
      <c r="A17" s="2001"/>
      <c r="B17" s="2004"/>
      <c r="C17" s="2056" t="s">
        <v>1021</v>
      </c>
      <c r="D17" s="1115" t="s">
        <v>1022</v>
      </c>
      <c r="E17" s="1112"/>
      <c r="F17" s="1158">
        <v>128450</v>
      </c>
      <c r="G17" s="1159">
        <v>197280</v>
      </c>
      <c r="H17" s="1158">
        <v>116740</v>
      </c>
      <c r="I17" s="1159">
        <v>185570</v>
      </c>
      <c r="J17" s="1144" t="s">
        <v>255</v>
      </c>
      <c r="K17" s="1160">
        <v>1170</v>
      </c>
      <c r="L17" s="1161">
        <v>1850</v>
      </c>
      <c r="M17" s="1162" t="s">
        <v>1017</v>
      </c>
      <c r="N17" s="1160">
        <v>1050</v>
      </c>
      <c r="O17" s="1161">
        <v>1730</v>
      </c>
      <c r="P17" s="1162" t="s">
        <v>1017</v>
      </c>
      <c r="Q17" s="1172"/>
      <c r="R17" s="1173"/>
      <c r="S17" s="1174"/>
      <c r="T17" s="2059"/>
      <c r="U17" s="32"/>
      <c r="V17" s="1186"/>
      <c r="W17" s="1972"/>
      <c r="X17" s="1166"/>
      <c r="Y17" s="1152"/>
      <c r="Z17" s="2060"/>
      <c r="AA17" s="1166"/>
      <c r="AB17" s="1972" t="s">
        <v>255</v>
      </c>
      <c r="AC17" s="2054">
        <v>17140</v>
      </c>
      <c r="AD17" s="1175"/>
      <c r="AE17" s="1972"/>
      <c r="AF17" s="1974">
        <v>0</v>
      </c>
      <c r="AG17" s="1959"/>
      <c r="AH17" s="1961" t="e">
        <v>#REF!</v>
      </c>
      <c r="AI17" s="1964" t="e">
        <v>#REF!</v>
      </c>
      <c r="AJ17" s="1959"/>
      <c r="AK17" s="1168" t="s">
        <v>1023</v>
      </c>
      <c r="AL17" s="1169">
        <v>4700</v>
      </c>
      <c r="AM17" s="1170">
        <v>5200</v>
      </c>
      <c r="AN17" s="1972"/>
      <c r="AO17" s="2046"/>
      <c r="AP17" s="1972"/>
      <c r="AQ17" s="2049"/>
      <c r="AR17" s="1152"/>
      <c r="AS17" s="1176"/>
      <c r="AT17" s="2053"/>
      <c r="AU17" s="1171"/>
      <c r="AV17" s="2053"/>
      <c r="AW17" s="1970"/>
      <c r="AX17" s="1972"/>
      <c r="AY17" s="1974"/>
      <c r="AZ17" s="1968"/>
      <c r="BA17" s="1978">
        <v>0.02</v>
      </c>
      <c r="BB17" s="1976">
        <v>0.03</v>
      </c>
      <c r="BC17" s="1976">
        <v>0.04</v>
      </c>
      <c r="BD17" s="1982">
        <v>0.06</v>
      </c>
      <c r="BE17" s="1114"/>
      <c r="BF17" s="2044"/>
    </row>
    <row r="18" spans="1:58" ht="13.5" customHeight="1">
      <c r="A18" s="2001"/>
      <c r="B18" s="2004"/>
      <c r="C18" s="2057"/>
      <c r="D18" s="1116" t="s">
        <v>133</v>
      </c>
      <c r="E18" s="1112"/>
      <c r="F18" s="1177">
        <v>197280</v>
      </c>
      <c r="G18" s="1178"/>
      <c r="H18" s="1177">
        <v>185570</v>
      </c>
      <c r="I18" s="1178"/>
      <c r="J18" s="1144" t="s">
        <v>255</v>
      </c>
      <c r="K18" s="1163">
        <v>1850</v>
      </c>
      <c r="L18" s="1179"/>
      <c r="M18" s="1180" t="s">
        <v>1017</v>
      </c>
      <c r="N18" s="1163">
        <v>1730</v>
      </c>
      <c r="O18" s="1179"/>
      <c r="P18" s="1180" t="s">
        <v>1017</v>
      </c>
      <c r="Q18" s="1172"/>
      <c r="R18" s="1173"/>
      <c r="S18" s="1181"/>
      <c r="T18" s="2059"/>
      <c r="U18" s="32"/>
      <c r="V18" s="1186"/>
      <c r="W18" s="1972"/>
      <c r="X18" s="1166"/>
      <c r="Y18" s="1152"/>
      <c r="Z18" s="2060"/>
      <c r="AA18" s="1166"/>
      <c r="AB18" s="1972"/>
      <c r="AC18" s="2055"/>
      <c r="AD18" s="1182"/>
      <c r="AE18" s="1972"/>
      <c r="AF18" s="1975"/>
      <c r="AG18" s="1959"/>
      <c r="AH18" s="1962" t="e">
        <v>#REF!</v>
      </c>
      <c r="AI18" s="1965" t="e">
        <v>#REF!</v>
      </c>
      <c r="AJ18" s="1959"/>
      <c r="AK18" s="1183" t="s">
        <v>1024</v>
      </c>
      <c r="AL18" s="1184">
        <v>4200</v>
      </c>
      <c r="AM18" s="1185">
        <v>4600</v>
      </c>
      <c r="AN18" s="1972"/>
      <c r="AO18" s="2047"/>
      <c r="AP18" s="1972"/>
      <c r="AQ18" s="2050"/>
      <c r="AR18" s="1152"/>
      <c r="AS18" s="1176"/>
      <c r="AT18" s="2053"/>
      <c r="AU18" s="1171"/>
      <c r="AV18" s="2053"/>
      <c r="AW18" s="1971"/>
      <c r="AX18" s="1972"/>
      <c r="AY18" s="1975"/>
      <c r="AZ18" s="1968"/>
      <c r="BA18" s="1979"/>
      <c r="BB18" s="1977"/>
      <c r="BC18" s="1977"/>
      <c r="BD18" s="1983"/>
      <c r="BE18" s="1114"/>
      <c r="BF18" s="2044"/>
    </row>
    <row r="19" spans="1:58" ht="13.5" customHeight="1">
      <c r="A19" s="2001"/>
      <c r="B19" s="2003" t="s">
        <v>1027</v>
      </c>
      <c r="C19" s="2005" t="s">
        <v>1016</v>
      </c>
      <c r="D19" s="1111" t="s">
        <v>554</v>
      </c>
      <c r="E19" s="1112"/>
      <c r="F19" s="1142">
        <v>60970</v>
      </c>
      <c r="G19" s="1143">
        <v>67850</v>
      </c>
      <c r="H19" s="1142">
        <v>51600</v>
      </c>
      <c r="I19" s="1143">
        <v>58480</v>
      </c>
      <c r="J19" s="1144" t="s">
        <v>255</v>
      </c>
      <c r="K19" s="1145">
        <v>590</v>
      </c>
      <c r="L19" s="1146">
        <v>650</v>
      </c>
      <c r="M19" s="1147" t="s">
        <v>1017</v>
      </c>
      <c r="N19" s="1145">
        <v>490</v>
      </c>
      <c r="O19" s="1146">
        <v>550</v>
      </c>
      <c r="P19" s="1147" t="s">
        <v>1017</v>
      </c>
      <c r="Q19" s="1144" t="s">
        <v>255</v>
      </c>
      <c r="R19" s="1148">
        <v>6880</v>
      </c>
      <c r="S19" s="1149">
        <v>60</v>
      </c>
      <c r="T19" s="2058"/>
      <c r="U19" s="32"/>
      <c r="V19" s="2061" t="s">
        <v>1028</v>
      </c>
      <c r="W19" s="1972"/>
      <c r="X19" s="2062" t="s">
        <v>1028</v>
      </c>
      <c r="Y19" s="1187"/>
      <c r="Z19" s="2060"/>
      <c r="AA19" s="1188"/>
      <c r="AB19" s="1972" t="s">
        <v>255</v>
      </c>
      <c r="AC19" s="2018">
        <v>16540</v>
      </c>
      <c r="AD19" s="1153"/>
      <c r="AE19" s="1972" t="s">
        <v>255</v>
      </c>
      <c r="AF19" s="1973">
        <v>90</v>
      </c>
      <c r="AG19" s="1959" t="s">
        <v>255</v>
      </c>
      <c r="AH19" s="1960">
        <v>4300</v>
      </c>
      <c r="AI19" s="1963">
        <v>4800</v>
      </c>
      <c r="AJ19" s="1959" t="s">
        <v>255</v>
      </c>
      <c r="AK19" s="1154" t="s">
        <v>1019</v>
      </c>
      <c r="AL19" s="1155">
        <v>8800</v>
      </c>
      <c r="AM19" s="1156">
        <v>9800</v>
      </c>
      <c r="AN19" s="1972" t="s">
        <v>255</v>
      </c>
      <c r="AO19" s="2045">
        <v>8260</v>
      </c>
      <c r="AP19" s="1972" t="s">
        <v>255</v>
      </c>
      <c r="AQ19" s="2048">
        <v>80</v>
      </c>
      <c r="AR19" s="1959" t="s">
        <v>255</v>
      </c>
      <c r="AS19" s="1996">
        <v>4700</v>
      </c>
      <c r="AT19" s="2053"/>
      <c r="AU19" s="1171"/>
      <c r="AV19" s="2053" t="s">
        <v>78</v>
      </c>
      <c r="AW19" s="1969">
        <v>9410</v>
      </c>
      <c r="AX19" s="1972" t="s">
        <v>255</v>
      </c>
      <c r="AY19" s="1973">
        <v>90</v>
      </c>
      <c r="AZ19" s="1968" t="s">
        <v>78</v>
      </c>
      <c r="BA19" s="1998" t="s">
        <v>262</v>
      </c>
      <c r="BB19" s="1966" t="s">
        <v>262</v>
      </c>
      <c r="BC19" s="1966" t="s">
        <v>262</v>
      </c>
      <c r="BD19" s="1980" t="s">
        <v>262</v>
      </c>
      <c r="BE19" s="1114"/>
      <c r="BF19" s="2051"/>
    </row>
    <row r="20" spans="1:58" ht="13.5" customHeight="1">
      <c r="A20" s="2001"/>
      <c r="B20" s="2004"/>
      <c r="C20" s="2006"/>
      <c r="D20" s="1115" t="s">
        <v>556</v>
      </c>
      <c r="E20" s="1112"/>
      <c r="F20" s="1158">
        <v>67850</v>
      </c>
      <c r="G20" s="1159">
        <v>124300</v>
      </c>
      <c r="H20" s="1158">
        <v>58480</v>
      </c>
      <c r="I20" s="1159">
        <v>114930</v>
      </c>
      <c r="J20" s="1144" t="s">
        <v>255</v>
      </c>
      <c r="K20" s="1160">
        <v>650</v>
      </c>
      <c r="L20" s="1161">
        <v>1130</v>
      </c>
      <c r="M20" s="1162" t="s">
        <v>1017</v>
      </c>
      <c r="N20" s="1160">
        <v>550</v>
      </c>
      <c r="O20" s="1161">
        <v>1040</v>
      </c>
      <c r="P20" s="1162" t="s">
        <v>1017</v>
      </c>
      <c r="Q20" s="1144" t="s">
        <v>255</v>
      </c>
      <c r="R20" s="1163">
        <v>6880</v>
      </c>
      <c r="S20" s="1164">
        <v>60</v>
      </c>
      <c r="T20" s="2058"/>
      <c r="U20" s="32"/>
      <c r="V20" s="2061"/>
      <c r="W20" s="1972"/>
      <c r="X20" s="2062"/>
      <c r="Y20" s="1187"/>
      <c r="Z20" s="2060"/>
      <c r="AA20" s="1188"/>
      <c r="AB20" s="1972"/>
      <c r="AC20" s="2019"/>
      <c r="AD20" s="1167">
        <v>14770</v>
      </c>
      <c r="AE20" s="1972"/>
      <c r="AF20" s="1974"/>
      <c r="AG20" s="1959"/>
      <c r="AH20" s="1961" t="e">
        <v>#REF!</v>
      </c>
      <c r="AI20" s="1964" t="e">
        <v>#REF!</v>
      </c>
      <c r="AJ20" s="1959"/>
      <c r="AK20" s="1168" t="s">
        <v>1020</v>
      </c>
      <c r="AL20" s="1169">
        <v>4800</v>
      </c>
      <c r="AM20" s="1170">
        <v>5400</v>
      </c>
      <c r="AN20" s="1972"/>
      <c r="AO20" s="2046"/>
      <c r="AP20" s="1972"/>
      <c r="AQ20" s="2049"/>
      <c r="AR20" s="1959"/>
      <c r="AS20" s="1997"/>
      <c r="AT20" s="2053"/>
      <c r="AU20" s="1171"/>
      <c r="AV20" s="2053"/>
      <c r="AW20" s="1970"/>
      <c r="AX20" s="1972"/>
      <c r="AY20" s="1974"/>
      <c r="AZ20" s="1968"/>
      <c r="BA20" s="1999"/>
      <c r="BB20" s="1967"/>
      <c r="BC20" s="1967"/>
      <c r="BD20" s="1981"/>
      <c r="BE20" s="1114"/>
      <c r="BF20" s="2052"/>
    </row>
    <row r="21" spans="1:58" ht="13.5" customHeight="1">
      <c r="A21" s="2001"/>
      <c r="B21" s="2004"/>
      <c r="C21" s="2056" t="s">
        <v>1021</v>
      </c>
      <c r="D21" s="1115" t="s">
        <v>1022</v>
      </c>
      <c r="E21" s="1112"/>
      <c r="F21" s="1158">
        <v>124300</v>
      </c>
      <c r="G21" s="1159">
        <v>193130</v>
      </c>
      <c r="H21" s="1158">
        <v>114930</v>
      </c>
      <c r="I21" s="1159">
        <v>183760</v>
      </c>
      <c r="J21" s="1144" t="s">
        <v>255</v>
      </c>
      <c r="K21" s="1160">
        <v>1130</v>
      </c>
      <c r="L21" s="1161">
        <v>1810</v>
      </c>
      <c r="M21" s="1162" t="s">
        <v>1017</v>
      </c>
      <c r="N21" s="1160">
        <v>1040</v>
      </c>
      <c r="O21" s="1161">
        <v>1720</v>
      </c>
      <c r="P21" s="1162" t="s">
        <v>1017</v>
      </c>
      <c r="Q21" s="1172"/>
      <c r="R21" s="1173"/>
      <c r="S21" s="1174"/>
      <c r="T21" s="2059"/>
      <c r="U21" s="32"/>
      <c r="V21" s="2061"/>
      <c r="W21" s="1972"/>
      <c r="X21" s="2062"/>
      <c r="Y21" s="1187"/>
      <c r="Z21" s="2060"/>
      <c r="AA21" s="1188"/>
      <c r="AB21" s="1972" t="s">
        <v>255</v>
      </c>
      <c r="AC21" s="2054">
        <v>14770</v>
      </c>
      <c r="AD21" s="1175"/>
      <c r="AE21" s="1972"/>
      <c r="AF21" s="1974">
        <v>0</v>
      </c>
      <c r="AG21" s="1959"/>
      <c r="AH21" s="1961" t="e">
        <v>#REF!</v>
      </c>
      <c r="AI21" s="1964" t="e">
        <v>#REF!</v>
      </c>
      <c r="AJ21" s="1959"/>
      <c r="AK21" s="1168" t="s">
        <v>1023</v>
      </c>
      <c r="AL21" s="1169">
        <v>4200</v>
      </c>
      <c r="AM21" s="1170">
        <v>4700</v>
      </c>
      <c r="AN21" s="1972"/>
      <c r="AO21" s="2046"/>
      <c r="AP21" s="1972"/>
      <c r="AQ21" s="2049"/>
      <c r="AR21" s="1152"/>
      <c r="AS21" s="1176"/>
      <c r="AT21" s="2053"/>
      <c r="AU21" s="1171"/>
      <c r="AV21" s="2053"/>
      <c r="AW21" s="1970"/>
      <c r="AX21" s="1972"/>
      <c r="AY21" s="1974"/>
      <c r="AZ21" s="1968"/>
      <c r="BA21" s="1978">
        <v>0.02</v>
      </c>
      <c r="BB21" s="1976">
        <v>0.03</v>
      </c>
      <c r="BC21" s="1976">
        <v>0.05</v>
      </c>
      <c r="BD21" s="1982">
        <v>0.06</v>
      </c>
      <c r="BE21" s="1114"/>
      <c r="BF21" s="2044"/>
    </row>
    <row r="22" spans="1:58" ht="13.5" customHeight="1">
      <c r="A22" s="2001"/>
      <c r="B22" s="2004"/>
      <c r="C22" s="2057"/>
      <c r="D22" s="1116" t="s">
        <v>133</v>
      </c>
      <c r="E22" s="1112"/>
      <c r="F22" s="1177">
        <v>193130</v>
      </c>
      <c r="G22" s="1178"/>
      <c r="H22" s="1177">
        <v>183760</v>
      </c>
      <c r="I22" s="1178"/>
      <c r="J22" s="1144" t="s">
        <v>255</v>
      </c>
      <c r="K22" s="1163">
        <v>1810</v>
      </c>
      <c r="L22" s="1179"/>
      <c r="M22" s="1180" t="s">
        <v>1017</v>
      </c>
      <c r="N22" s="1163">
        <v>1720</v>
      </c>
      <c r="O22" s="1179"/>
      <c r="P22" s="1180" t="s">
        <v>1017</v>
      </c>
      <c r="Q22" s="1172"/>
      <c r="R22" s="1173"/>
      <c r="S22" s="1181"/>
      <c r="T22" s="2059"/>
      <c r="U22" s="32"/>
      <c r="V22" s="1165" t="s">
        <v>1029</v>
      </c>
      <c r="W22" s="1972"/>
      <c r="X22" s="1166" t="s">
        <v>1029</v>
      </c>
      <c r="Y22" s="1189"/>
      <c r="Z22" s="2060"/>
      <c r="AA22" s="1165"/>
      <c r="AB22" s="1972"/>
      <c r="AC22" s="2055"/>
      <c r="AD22" s="1182"/>
      <c r="AE22" s="1972"/>
      <c r="AF22" s="1975"/>
      <c r="AG22" s="1959"/>
      <c r="AH22" s="1962" t="e">
        <v>#REF!</v>
      </c>
      <c r="AI22" s="1965" t="e">
        <v>#REF!</v>
      </c>
      <c r="AJ22" s="1959"/>
      <c r="AK22" s="1183" t="s">
        <v>1024</v>
      </c>
      <c r="AL22" s="1184">
        <v>3800</v>
      </c>
      <c r="AM22" s="1185">
        <v>4200</v>
      </c>
      <c r="AN22" s="1972"/>
      <c r="AO22" s="2047"/>
      <c r="AP22" s="1972"/>
      <c r="AQ22" s="2050"/>
      <c r="AR22" s="1152"/>
      <c r="AS22" s="1176"/>
      <c r="AT22" s="2053"/>
      <c r="AU22" s="1171"/>
      <c r="AV22" s="2053"/>
      <c r="AW22" s="1971"/>
      <c r="AX22" s="1972"/>
      <c r="AY22" s="1975"/>
      <c r="AZ22" s="1968"/>
      <c r="BA22" s="1979"/>
      <c r="BB22" s="1977"/>
      <c r="BC22" s="1977"/>
      <c r="BD22" s="1983"/>
      <c r="BE22" s="1114"/>
      <c r="BF22" s="2044"/>
    </row>
    <row r="23" spans="1:58" ht="13.5" customHeight="1">
      <c r="A23" s="2001"/>
      <c r="B23" s="2003" t="s">
        <v>1030</v>
      </c>
      <c r="C23" s="2005" t="s">
        <v>1016</v>
      </c>
      <c r="D23" s="1111" t="s">
        <v>554</v>
      </c>
      <c r="E23" s="1112"/>
      <c r="F23" s="1142">
        <v>53440</v>
      </c>
      <c r="G23" s="1143">
        <v>60320</v>
      </c>
      <c r="H23" s="1142">
        <v>45630</v>
      </c>
      <c r="I23" s="1143">
        <v>52510</v>
      </c>
      <c r="J23" s="1144" t="s">
        <v>255</v>
      </c>
      <c r="K23" s="1145">
        <v>510</v>
      </c>
      <c r="L23" s="1146">
        <v>570</v>
      </c>
      <c r="M23" s="1147" t="s">
        <v>1017</v>
      </c>
      <c r="N23" s="1145">
        <v>430</v>
      </c>
      <c r="O23" s="1146">
        <v>490</v>
      </c>
      <c r="P23" s="1147" t="s">
        <v>1017</v>
      </c>
      <c r="Q23" s="1144" t="s">
        <v>255</v>
      </c>
      <c r="R23" s="1148">
        <v>6880</v>
      </c>
      <c r="S23" s="1149">
        <v>60</v>
      </c>
      <c r="T23" s="2058"/>
      <c r="U23" s="32"/>
      <c r="V23" s="1165">
        <v>240600</v>
      </c>
      <c r="W23" s="1972"/>
      <c r="X23" s="1166">
        <v>2400</v>
      </c>
      <c r="Y23" s="1152"/>
      <c r="Z23" s="2060"/>
      <c r="AA23" s="1166"/>
      <c r="AB23" s="1972" t="s">
        <v>255</v>
      </c>
      <c r="AC23" s="2018">
        <v>14960</v>
      </c>
      <c r="AD23" s="1153"/>
      <c r="AE23" s="1972" t="s">
        <v>255</v>
      </c>
      <c r="AF23" s="1973">
        <v>70</v>
      </c>
      <c r="AG23" s="1959" t="s">
        <v>255</v>
      </c>
      <c r="AH23" s="1960">
        <v>3600</v>
      </c>
      <c r="AI23" s="1963">
        <v>4000</v>
      </c>
      <c r="AJ23" s="1959" t="s">
        <v>255</v>
      </c>
      <c r="AK23" s="1154" t="s">
        <v>1019</v>
      </c>
      <c r="AL23" s="1155">
        <v>7200</v>
      </c>
      <c r="AM23" s="1156">
        <v>8100</v>
      </c>
      <c r="AN23" s="1972" t="s">
        <v>255</v>
      </c>
      <c r="AO23" s="2045">
        <v>6880</v>
      </c>
      <c r="AP23" s="1972" t="s">
        <v>255</v>
      </c>
      <c r="AQ23" s="2048">
        <v>60</v>
      </c>
      <c r="AR23" s="1959" t="s">
        <v>255</v>
      </c>
      <c r="AS23" s="1996">
        <v>4700</v>
      </c>
      <c r="AT23" s="2053"/>
      <c r="AU23" s="1171"/>
      <c r="AV23" s="2053" t="s">
        <v>78</v>
      </c>
      <c r="AW23" s="1969">
        <v>7840</v>
      </c>
      <c r="AX23" s="1972" t="s">
        <v>255</v>
      </c>
      <c r="AY23" s="1973">
        <v>70</v>
      </c>
      <c r="AZ23" s="1968" t="s">
        <v>78</v>
      </c>
      <c r="BA23" s="1998" t="s">
        <v>262</v>
      </c>
      <c r="BB23" s="1966" t="s">
        <v>262</v>
      </c>
      <c r="BC23" s="1966" t="s">
        <v>262</v>
      </c>
      <c r="BD23" s="1980" t="s">
        <v>262</v>
      </c>
      <c r="BE23" s="1114"/>
      <c r="BF23" s="2051"/>
    </row>
    <row r="24" spans="1:58" s="5" customFormat="1" ht="13.5" customHeight="1">
      <c r="A24" s="2001"/>
      <c r="B24" s="2004"/>
      <c r="C24" s="2006"/>
      <c r="D24" s="1115" t="s">
        <v>556</v>
      </c>
      <c r="E24" s="1112"/>
      <c r="F24" s="1158">
        <v>60320</v>
      </c>
      <c r="G24" s="1159">
        <v>116770</v>
      </c>
      <c r="H24" s="1158">
        <v>52510</v>
      </c>
      <c r="I24" s="1159">
        <v>108960</v>
      </c>
      <c r="J24" s="1144" t="s">
        <v>255</v>
      </c>
      <c r="K24" s="1160">
        <v>570</v>
      </c>
      <c r="L24" s="1161">
        <v>1050</v>
      </c>
      <c r="M24" s="1162" t="s">
        <v>1017</v>
      </c>
      <c r="N24" s="1160">
        <v>490</v>
      </c>
      <c r="O24" s="1161">
        <v>980</v>
      </c>
      <c r="P24" s="1162" t="s">
        <v>1017</v>
      </c>
      <c r="Q24" s="1144" t="s">
        <v>255</v>
      </c>
      <c r="R24" s="1163">
        <v>6880</v>
      </c>
      <c r="S24" s="1164">
        <v>60</v>
      </c>
      <c r="T24" s="2058"/>
      <c r="U24" s="32"/>
      <c r="V24" s="1190"/>
      <c r="W24" s="1972"/>
      <c r="X24" s="1191"/>
      <c r="Y24" s="1192"/>
      <c r="Z24" s="2060"/>
      <c r="AA24" s="1190"/>
      <c r="AB24" s="1972"/>
      <c r="AC24" s="2019"/>
      <c r="AD24" s="1167">
        <v>13190</v>
      </c>
      <c r="AE24" s="1972"/>
      <c r="AF24" s="1974"/>
      <c r="AG24" s="1959"/>
      <c r="AH24" s="1961" t="e">
        <v>#REF!</v>
      </c>
      <c r="AI24" s="1964" t="e">
        <v>#REF!</v>
      </c>
      <c r="AJ24" s="1959"/>
      <c r="AK24" s="1168" t="s">
        <v>1020</v>
      </c>
      <c r="AL24" s="1169">
        <v>4000</v>
      </c>
      <c r="AM24" s="1170">
        <v>4400</v>
      </c>
      <c r="AN24" s="1972"/>
      <c r="AO24" s="2046"/>
      <c r="AP24" s="1972"/>
      <c r="AQ24" s="2049"/>
      <c r="AR24" s="1959"/>
      <c r="AS24" s="1997"/>
      <c r="AT24" s="2053"/>
      <c r="AU24" s="1171"/>
      <c r="AV24" s="2053"/>
      <c r="AW24" s="1970"/>
      <c r="AX24" s="1972"/>
      <c r="AY24" s="1974"/>
      <c r="AZ24" s="1968"/>
      <c r="BA24" s="1999"/>
      <c r="BB24" s="1967"/>
      <c r="BC24" s="1967"/>
      <c r="BD24" s="1981"/>
      <c r="BE24" s="1114"/>
      <c r="BF24" s="2052"/>
    </row>
    <row r="25" spans="1:58" s="5" customFormat="1" ht="13.5" customHeight="1">
      <c r="A25" s="2001"/>
      <c r="B25" s="2004"/>
      <c r="C25" s="2056" t="s">
        <v>1021</v>
      </c>
      <c r="D25" s="1115" t="s">
        <v>1022</v>
      </c>
      <c r="E25" s="1112"/>
      <c r="F25" s="1158">
        <v>116770</v>
      </c>
      <c r="G25" s="1159">
        <v>185600</v>
      </c>
      <c r="H25" s="1158">
        <v>108960</v>
      </c>
      <c r="I25" s="1159">
        <v>177790</v>
      </c>
      <c r="J25" s="1144" t="s">
        <v>255</v>
      </c>
      <c r="K25" s="1160">
        <v>1050</v>
      </c>
      <c r="L25" s="1161">
        <v>1730</v>
      </c>
      <c r="M25" s="1162" t="s">
        <v>1017</v>
      </c>
      <c r="N25" s="1160">
        <v>980</v>
      </c>
      <c r="O25" s="1161">
        <v>1660</v>
      </c>
      <c r="P25" s="1162" t="s">
        <v>1017</v>
      </c>
      <c r="Q25" s="1172"/>
      <c r="R25" s="1173"/>
      <c r="S25" s="1174"/>
      <c r="T25" s="2059"/>
      <c r="U25" s="32"/>
      <c r="V25" s="1165" t="s">
        <v>1031</v>
      </c>
      <c r="W25" s="1972"/>
      <c r="X25" s="1166" t="s">
        <v>1031</v>
      </c>
      <c r="Y25" s="1189"/>
      <c r="Z25" s="2060"/>
      <c r="AA25" s="1165"/>
      <c r="AB25" s="1972" t="s">
        <v>255</v>
      </c>
      <c r="AC25" s="2054">
        <v>13190</v>
      </c>
      <c r="AD25" s="1175"/>
      <c r="AE25" s="1972"/>
      <c r="AF25" s="1974">
        <v>0</v>
      </c>
      <c r="AG25" s="1959"/>
      <c r="AH25" s="1961" t="e">
        <v>#REF!</v>
      </c>
      <c r="AI25" s="1964" t="e">
        <v>#REF!</v>
      </c>
      <c r="AJ25" s="1959"/>
      <c r="AK25" s="1168" t="s">
        <v>1023</v>
      </c>
      <c r="AL25" s="1169">
        <v>3500</v>
      </c>
      <c r="AM25" s="1170">
        <v>3800</v>
      </c>
      <c r="AN25" s="1972"/>
      <c r="AO25" s="2046"/>
      <c r="AP25" s="1972"/>
      <c r="AQ25" s="2049"/>
      <c r="AR25" s="1152"/>
      <c r="AS25" s="1176"/>
      <c r="AT25" s="2053"/>
      <c r="AU25" s="1171"/>
      <c r="AV25" s="2053"/>
      <c r="AW25" s="1970"/>
      <c r="AX25" s="1972"/>
      <c r="AY25" s="1974"/>
      <c r="AZ25" s="1968"/>
      <c r="BA25" s="1978">
        <v>0.02</v>
      </c>
      <c r="BB25" s="1976">
        <v>0.03</v>
      </c>
      <c r="BC25" s="1976">
        <v>0.05</v>
      </c>
      <c r="BD25" s="1982">
        <v>0.06</v>
      </c>
      <c r="BE25" s="1114"/>
      <c r="BF25" s="2044"/>
    </row>
    <row r="26" spans="1:58" s="25" customFormat="1" ht="13.5" customHeight="1">
      <c r="A26" s="2001"/>
      <c r="B26" s="2004"/>
      <c r="C26" s="2057"/>
      <c r="D26" s="1116" t="s">
        <v>133</v>
      </c>
      <c r="E26" s="1112"/>
      <c r="F26" s="1177">
        <v>185600</v>
      </c>
      <c r="G26" s="1178"/>
      <c r="H26" s="1177">
        <v>177790</v>
      </c>
      <c r="I26" s="1178"/>
      <c r="J26" s="1144" t="s">
        <v>255</v>
      </c>
      <c r="K26" s="1163">
        <v>1730</v>
      </c>
      <c r="L26" s="1179"/>
      <c r="M26" s="1180" t="s">
        <v>1017</v>
      </c>
      <c r="N26" s="1163">
        <v>1660</v>
      </c>
      <c r="O26" s="1179"/>
      <c r="P26" s="1180" t="s">
        <v>1017</v>
      </c>
      <c r="Q26" s="1172"/>
      <c r="R26" s="1173"/>
      <c r="S26" s="1181"/>
      <c r="T26" s="2059"/>
      <c r="U26" s="32"/>
      <c r="V26" s="1165">
        <v>257500</v>
      </c>
      <c r="W26" s="1972"/>
      <c r="X26" s="1166">
        <v>2570</v>
      </c>
      <c r="Y26" s="1152"/>
      <c r="Z26" s="2060"/>
      <c r="AA26" s="1166"/>
      <c r="AB26" s="1972"/>
      <c r="AC26" s="2055"/>
      <c r="AD26" s="1182"/>
      <c r="AE26" s="1972"/>
      <c r="AF26" s="1975"/>
      <c r="AG26" s="1959"/>
      <c r="AH26" s="1962" t="e">
        <v>#REF!</v>
      </c>
      <c r="AI26" s="1965" t="e">
        <v>#REF!</v>
      </c>
      <c r="AJ26" s="1959"/>
      <c r="AK26" s="1183" t="s">
        <v>1024</v>
      </c>
      <c r="AL26" s="1184">
        <v>3100</v>
      </c>
      <c r="AM26" s="1185">
        <v>3400</v>
      </c>
      <c r="AN26" s="1972"/>
      <c r="AO26" s="2047"/>
      <c r="AP26" s="1972"/>
      <c r="AQ26" s="2050"/>
      <c r="AR26" s="1152"/>
      <c r="AS26" s="1176"/>
      <c r="AT26" s="2053"/>
      <c r="AU26" s="1171"/>
      <c r="AV26" s="2053"/>
      <c r="AW26" s="1971"/>
      <c r="AX26" s="1972"/>
      <c r="AY26" s="1975"/>
      <c r="AZ26" s="1968"/>
      <c r="BA26" s="1979"/>
      <c r="BB26" s="1977"/>
      <c r="BC26" s="1977"/>
      <c r="BD26" s="1983"/>
      <c r="BE26" s="1114"/>
      <c r="BF26" s="2044"/>
    </row>
    <row r="27" spans="1:58" s="25" customFormat="1" ht="13.5" customHeight="1">
      <c r="A27" s="2001"/>
      <c r="B27" s="2003" t="s">
        <v>1032</v>
      </c>
      <c r="C27" s="2005" t="s">
        <v>1016</v>
      </c>
      <c r="D27" s="1111" t="s">
        <v>554</v>
      </c>
      <c r="E27" s="1112"/>
      <c r="F27" s="1142">
        <v>48140</v>
      </c>
      <c r="G27" s="1143">
        <v>55020</v>
      </c>
      <c r="H27" s="1142">
        <v>41450</v>
      </c>
      <c r="I27" s="1143">
        <v>48330</v>
      </c>
      <c r="J27" s="1144" t="s">
        <v>255</v>
      </c>
      <c r="K27" s="1145">
        <v>460</v>
      </c>
      <c r="L27" s="1146">
        <v>520</v>
      </c>
      <c r="M27" s="1147" t="s">
        <v>1017</v>
      </c>
      <c r="N27" s="1145">
        <v>390</v>
      </c>
      <c r="O27" s="1146">
        <v>450</v>
      </c>
      <c r="P27" s="1147" t="s">
        <v>1017</v>
      </c>
      <c r="Q27" s="1144" t="s">
        <v>255</v>
      </c>
      <c r="R27" s="1148">
        <v>6880</v>
      </c>
      <c r="S27" s="1149">
        <v>60</v>
      </c>
      <c r="T27" s="2058"/>
      <c r="U27" s="32"/>
      <c r="V27" s="1190"/>
      <c r="W27" s="1972"/>
      <c r="X27" s="1191"/>
      <c r="Y27" s="1192"/>
      <c r="Z27" s="2060"/>
      <c r="AA27" s="1190"/>
      <c r="AB27" s="1972" t="s">
        <v>255</v>
      </c>
      <c r="AC27" s="2018">
        <v>13830</v>
      </c>
      <c r="AD27" s="1153"/>
      <c r="AE27" s="1972" t="s">
        <v>255</v>
      </c>
      <c r="AF27" s="1973">
        <v>60</v>
      </c>
      <c r="AG27" s="1959" t="s">
        <v>255</v>
      </c>
      <c r="AH27" s="1960">
        <v>3100</v>
      </c>
      <c r="AI27" s="1963">
        <v>3400</v>
      </c>
      <c r="AJ27" s="1959" t="s">
        <v>255</v>
      </c>
      <c r="AK27" s="1154" t="s">
        <v>1019</v>
      </c>
      <c r="AL27" s="1155">
        <v>6300</v>
      </c>
      <c r="AM27" s="1156">
        <v>7100</v>
      </c>
      <c r="AN27" s="1972" t="s">
        <v>255</v>
      </c>
      <c r="AO27" s="2045">
        <v>5900</v>
      </c>
      <c r="AP27" s="1972" t="s">
        <v>255</v>
      </c>
      <c r="AQ27" s="2048">
        <v>50</v>
      </c>
      <c r="AR27" s="1959" t="s">
        <v>255</v>
      </c>
      <c r="AS27" s="1996">
        <v>4700</v>
      </c>
      <c r="AT27" s="2053"/>
      <c r="AU27" s="1171"/>
      <c r="AV27" s="2053" t="s">
        <v>78</v>
      </c>
      <c r="AW27" s="1969">
        <v>6720</v>
      </c>
      <c r="AX27" s="1972" t="s">
        <v>255</v>
      </c>
      <c r="AY27" s="1973">
        <v>60</v>
      </c>
      <c r="AZ27" s="1968" t="s">
        <v>78</v>
      </c>
      <c r="BA27" s="1998" t="s">
        <v>262</v>
      </c>
      <c r="BB27" s="1966" t="s">
        <v>262</v>
      </c>
      <c r="BC27" s="1966" t="s">
        <v>262</v>
      </c>
      <c r="BD27" s="1980" t="s">
        <v>262</v>
      </c>
      <c r="BE27" s="1114"/>
      <c r="BF27" s="2051"/>
    </row>
    <row r="28" spans="1:58" s="25" customFormat="1" ht="13.5" customHeight="1">
      <c r="A28" s="2001"/>
      <c r="B28" s="2004"/>
      <c r="C28" s="2006"/>
      <c r="D28" s="1115" t="s">
        <v>556</v>
      </c>
      <c r="E28" s="1112"/>
      <c r="F28" s="1158">
        <v>55020</v>
      </c>
      <c r="G28" s="1159">
        <v>111470</v>
      </c>
      <c r="H28" s="1158">
        <v>48330</v>
      </c>
      <c r="I28" s="1159">
        <v>104780</v>
      </c>
      <c r="J28" s="1144" t="s">
        <v>255</v>
      </c>
      <c r="K28" s="1160">
        <v>520</v>
      </c>
      <c r="L28" s="1161">
        <v>1000</v>
      </c>
      <c r="M28" s="1162" t="s">
        <v>1017</v>
      </c>
      <c r="N28" s="1160">
        <v>450</v>
      </c>
      <c r="O28" s="1161">
        <v>930</v>
      </c>
      <c r="P28" s="1162" t="s">
        <v>1017</v>
      </c>
      <c r="Q28" s="1144" t="s">
        <v>255</v>
      </c>
      <c r="R28" s="1163">
        <v>6880</v>
      </c>
      <c r="S28" s="1164">
        <v>60</v>
      </c>
      <c r="T28" s="2058"/>
      <c r="U28" s="32"/>
      <c r="V28" s="1165" t="s">
        <v>1033</v>
      </c>
      <c r="W28" s="1972"/>
      <c r="X28" s="1166" t="s">
        <v>1033</v>
      </c>
      <c r="Y28" s="1189"/>
      <c r="Z28" s="2060"/>
      <c r="AA28" s="1165"/>
      <c r="AB28" s="1972"/>
      <c r="AC28" s="2019"/>
      <c r="AD28" s="1167">
        <v>12060</v>
      </c>
      <c r="AE28" s="1972"/>
      <c r="AF28" s="1974"/>
      <c r="AG28" s="1959"/>
      <c r="AH28" s="1961" t="e">
        <v>#REF!</v>
      </c>
      <c r="AI28" s="1964" t="e">
        <v>#REF!</v>
      </c>
      <c r="AJ28" s="1959"/>
      <c r="AK28" s="1168" t="s">
        <v>1020</v>
      </c>
      <c r="AL28" s="1169">
        <v>3500</v>
      </c>
      <c r="AM28" s="1170">
        <v>3900</v>
      </c>
      <c r="AN28" s="1972"/>
      <c r="AO28" s="2046"/>
      <c r="AP28" s="1972"/>
      <c r="AQ28" s="2049"/>
      <c r="AR28" s="1959"/>
      <c r="AS28" s="1997"/>
      <c r="AT28" s="2053"/>
      <c r="AU28" s="1171"/>
      <c r="AV28" s="2053"/>
      <c r="AW28" s="1970"/>
      <c r="AX28" s="1972"/>
      <c r="AY28" s="1974"/>
      <c r="AZ28" s="1968"/>
      <c r="BA28" s="1999"/>
      <c r="BB28" s="1967"/>
      <c r="BC28" s="1967"/>
      <c r="BD28" s="1981"/>
      <c r="BE28" s="1114"/>
      <c r="BF28" s="2052"/>
    </row>
    <row r="29" spans="1:58" s="25" customFormat="1" ht="13.5" customHeight="1">
      <c r="A29" s="2001"/>
      <c r="B29" s="2004"/>
      <c r="C29" s="2056" t="s">
        <v>1021</v>
      </c>
      <c r="D29" s="1115" t="s">
        <v>1022</v>
      </c>
      <c r="E29" s="1112"/>
      <c r="F29" s="1158">
        <v>111470</v>
      </c>
      <c r="G29" s="1159">
        <v>180300</v>
      </c>
      <c r="H29" s="1158">
        <v>104780</v>
      </c>
      <c r="I29" s="1159">
        <v>173610</v>
      </c>
      <c r="J29" s="1144" t="s">
        <v>255</v>
      </c>
      <c r="K29" s="1160">
        <v>1000</v>
      </c>
      <c r="L29" s="1161">
        <v>1680</v>
      </c>
      <c r="M29" s="1162" t="s">
        <v>1017</v>
      </c>
      <c r="N29" s="1160">
        <v>930</v>
      </c>
      <c r="O29" s="1161">
        <v>1610</v>
      </c>
      <c r="P29" s="1162" t="s">
        <v>1017</v>
      </c>
      <c r="Q29" s="1172"/>
      <c r="R29" s="1173"/>
      <c r="S29" s="1174"/>
      <c r="T29" s="2059"/>
      <c r="U29" s="32"/>
      <c r="V29" s="1165">
        <v>291300</v>
      </c>
      <c r="W29" s="1972"/>
      <c r="X29" s="1166">
        <v>2910</v>
      </c>
      <c r="Y29" s="1152"/>
      <c r="Z29" s="2060"/>
      <c r="AA29" s="1166"/>
      <c r="AB29" s="1972" t="s">
        <v>255</v>
      </c>
      <c r="AC29" s="2054">
        <v>12060</v>
      </c>
      <c r="AD29" s="1175"/>
      <c r="AE29" s="1972"/>
      <c r="AF29" s="1974">
        <v>0</v>
      </c>
      <c r="AG29" s="1959"/>
      <c r="AH29" s="1961" t="e">
        <v>#REF!</v>
      </c>
      <c r="AI29" s="1964" t="e">
        <v>#REF!</v>
      </c>
      <c r="AJ29" s="1959"/>
      <c r="AK29" s="1168" t="s">
        <v>1023</v>
      </c>
      <c r="AL29" s="1169">
        <v>3000</v>
      </c>
      <c r="AM29" s="1170">
        <v>3400</v>
      </c>
      <c r="AN29" s="1972"/>
      <c r="AO29" s="2046"/>
      <c r="AP29" s="1972"/>
      <c r="AQ29" s="2049"/>
      <c r="AR29" s="1152"/>
      <c r="AS29" s="1176"/>
      <c r="AT29" s="2053"/>
      <c r="AU29" s="1171"/>
      <c r="AV29" s="2053"/>
      <c r="AW29" s="1970"/>
      <c r="AX29" s="1972"/>
      <c r="AY29" s="1974"/>
      <c r="AZ29" s="1968"/>
      <c r="BA29" s="1978">
        <v>0.02</v>
      </c>
      <c r="BB29" s="1976">
        <v>0.03</v>
      </c>
      <c r="BC29" s="1976">
        <v>0.05</v>
      </c>
      <c r="BD29" s="1982">
        <v>0.06</v>
      </c>
      <c r="BE29" s="1114"/>
      <c r="BF29" s="2044"/>
    </row>
    <row r="30" spans="1:58" s="25" customFormat="1" ht="13.5" customHeight="1">
      <c r="A30" s="2001"/>
      <c r="B30" s="2004"/>
      <c r="C30" s="2057"/>
      <c r="D30" s="1116" t="s">
        <v>133</v>
      </c>
      <c r="E30" s="1112"/>
      <c r="F30" s="1177">
        <v>180300</v>
      </c>
      <c r="G30" s="1178"/>
      <c r="H30" s="1177">
        <v>173610</v>
      </c>
      <c r="I30" s="1178"/>
      <c r="J30" s="1144" t="s">
        <v>255</v>
      </c>
      <c r="K30" s="1163">
        <v>1680</v>
      </c>
      <c r="L30" s="1179"/>
      <c r="M30" s="1180" t="s">
        <v>1017</v>
      </c>
      <c r="N30" s="1163">
        <v>1610</v>
      </c>
      <c r="O30" s="1179"/>
      <c r="P30" s="1180" t="s">
        <v>1017</v>
      </c>
      <c r="Q30" s="1172"/>
      <c r="R30" s="1173"/>
      <c r="S30" s="1181"/>
      <c r="T30" s="2059"/>
      <c r="U30" s="32"/>
      <c r="V30" s="1190"/>
      <c r="W30" s="1972"/>
      <c r="X30" s="1191"/>
      <c r="Y30" s="1192"/>
      <c r="Z30" s="2060"/>
      <c r="AA30" s="1190"/>
      <c r="AB30" s="1972"/>
      <c r="AC30" s="2055"/>
      <c r="AD30" s="1182"/>
      <c r="AE30" s="1972"/>
      <c r="AF30" s="1975"/>
      <c r="AG30" s="1959"/>
      <c r="AH30" s="1962" t="e">
        <v>#REF!</v>
      </c>
      <c r="AI30" s="1965" t="e">
        <v>#REF!</v>
      </c>
      <c r="AJ30" s="1959"/>
      <c r="AK30" s="1183" t="s">
        <v>1024</v>
      </c>
      <c r="AL30" s="1184">
        <v>2700</v>
      </c>
      <c r="AM30" s="1185">
        <v>3000</v>
      </c>
      <c r="AN30" s="1972"/>
      <c r="AO30" s="2047"/>
      <c r="AP30" s="1972"/>
      <c r="AQ30" s="2050"/>
      <c r="AR30" s="1152"/>
      <c r="AS30" s="1176"/>
      <c r="AT30" s="2053"/>
      <c r="AU30" s="1171"/>
      <c r="AV30" s="2053"/>
      <c r="AW30" s="1971"/>
      <c r="AX30" s="1972"/>
      <c r="AY30" s="1975"/>
      <c r="AZ30" s="1968"/>
      <c r="BA30" s="1979"/>
      <c r="BB30" s="1977"/>
      <c r="BC30" s="1977"/>
      <c r="BD30" s="1983"/>
      <c r="BE30" s="1114"/>
      <c r="BF30" s="2044"/>
    </row>
    <row r="31" spans="1:58" s="25" customFormat="1" ht="13.5" customHeight="1">
      <c r="A31" s="2001"/>
      <c r="B31" s="2003" t="s">
        <v>1034</v>
      </c>
      <c r="C31" s="2005" t="s">
        <v>1016</v>
      </c>
      <c r="D31" s="1111" t="s">
        <v>554</v>
      </c>
      <c r="E31" s="1112"/>
      <c r="F31" s="1142">
        <v>44220</v>
      </c>
      <c r="G31" s="1143">
        <v>51100</v>
      </c>
      <c r="H31" s="1142">
        <v>38360</v>
      </c>
      <c r="I31" s="1143">
        <v>45240</v>
      </c>
      <c r="J31" s="1144" t="s">
        <v>255</v>
      </c>
      <c r="K31" s="1145">
        <v>420</v>
      </c>
      <c r="L31" s="1146">
        <v>480</v>
      </c>
      <c r="M31" s="1147" t="s">
        <v>1017</v>
      </c>
      <c r="N31" s="1145">
        <v>360</v>
      </c>
      <c r="O31" s="1146">
        <v>420</v>
      </c>
      <c r="P31" s="1147" t="s">
        <v>1017</v>
      </c>
      <c r="Q31" s="1144" t="s">
        <v>255</v>
      </c>
      <c r="R31" s="1148">
        <v>6880</v>
      </c>
      <c r="S31" s="1149">
        <v>60</v>
      </c>
      <c r="T31" s="2058"/>
      <c r="U31" s="32"/>
      <c r="V31" s="1165" t="s">
        <v>1035</v>
      </c>
      <c r="W31" s="1972"/>
      <c r="X31" s="1166" t="s">
        <v>1035</v>
      </c>
      <c r="Y31" s="1189"/>
      <c r="Z31" s="2060"/>
      <c r="AA31" s="1165"/>
      <c r="AB31" s="1972" t="s">
        <v>255</v>
      </c>
      <c r="AC31" s="2018">
        <v>12990</v>
      </c>
      <c r="AD31" s="1153"/>
      <c r="AE31" s="1972" t="s">
        <v>255</v>
      </c>
      <c r="AF31" s="1973">
        <v>50</v>
      </c>
      <c r="AG31" s="1959" t="s">
        <v>255</v>
      </c>
      <c r="AH31" s="1960">
        <v>3500</v>
      </c>
      <c r="AI31" s="1963">
        <v>3900</v>
      </c>
      <c r="AJ31" s="1959" t="s">
        <v>255</v>
      </c>
      <c r="AK31" s="1154" t="s">
        <v>1019</v>
      </c>
      <c r="AL31" s="1155">
        <v>7100</v>
      </c>
      <c r="AM31" s="1156">
        <v>7900</v>
      </c>
      <c r="AN31" s="1972" t="s">
        <v>255</v>
      </c>
      <c r="AO31" s="2045">
        <v>5160</v>
      </c>
      <c r="AP31" s="1972" t="s">
        <v>255</v>
      </c>
      <c r="AQ31" s="2048">
        <v>50</v>
      </c>
      <c r="AR31" s="1959" t="s">
        <v>255</v>
      </c>
      <c r="AS31" s="1996">
        <v>4700</v>
      </c>
      <c r="AT31" s="2053"/>
      <c r="AU31" s="1171"/>
      <c r="AV31" s="2053" t="s">
        <v>78</v>
      </c>
      <c r="AW31" s="1969">
        <v>5880</v>
      </c>
      <c r="AX31" s="1972" t="s">
        <v>255</v>
      </c>
      <c r="AY31" s="1973">
        <v>50</v>
      </c>
      <c r="AZ31" s="1968" t="s">
        <v>78</v>
      </c>
      <c r="BA31" s="1998" t="s">
        <v>262</v>
      </c>
      <c r="BB31" s="1966" t="s">
        <v>262</v>
      </c>
      <c r="BC31" s="1966" t="s">
        <v>262</v>
      </c>
      <c r="BD31" s="1980" t="s">
        <v>262</v>
      </c>
      <c r="BE31" s="1114"/>
      <c r="BF31" s="2051"/>
    </row>
    <row r="32" spans="1:58" s="25" customFormat="1" ht="13.5" customHeight="1">
      <c r="A32" s="2001"/>
      <c r="B32" s="2004"/>
      <c r="C32" s="2006"/>
      <c r="D32" s="1115" t="s">
        <v>556</v>
      </c>
      <c r="E32" s="1112"/>
      <c r="F32" s="1158">
        <v>51100</v>
      </c>
      <c r="G32" s="1159">
        <v>107550</v>
      </c>
      <c r="H32" s="1158">
        <v>45240</v>
      </c>
      <c r="I32" s="1159">
        <v>101690</v>
      </c>
      <c r="J32" s="1144" t="s">
        <v>255</v>
      </c>
      <c r="K32" s="1160">
        <v>480</v>
      </c>
      <c r="L32" s="1161">
        <v>960</v>
      </c>
      <c r="M32" s="1162" t="s">
        <v>1017</v>
      </c>
      <c r="N32" s="1160">
        <v>420</v>
      </c>
      <c r="O32" s="1161">
        <v>900</v>
      </c>
      <c r="P32" s="1162" t="s">
        <v>1017</v>
      </c>
      <c r="Q32" s="1144" t="s">
        <v>255</v>
      </c>
      <c r="R32" s="1163">
        <v>6880</v>
      </c>
      <c r="S32" s="1164">
        <v>60</v>
      </c>
      <c r="T32" s="2058"/>
      <c r="U32" s="32"/>
      <c r="V32" s="1165">
        <v>325100</v>
      </c>
      <c r="W32" s="1972"/>
      <c r="X32" s="1166">
        <v>3250</v>
      </c>
      <c r="Y32" s="1152"/>
      <c r="Z32" s="2060"/>
      <c r="AA32" s="1166"/>
      <c r="AB32" s="1972"/>
      <c r="AC32" s="2019"/>
      <c r="AD32" s="1167">
        <v>11220</v>
      </c>
      <c r="AE32" s="1972"/>
      <c r="AF32" s="1974"/>
      <c r="AG32" s="1959"/>
      <c r="AH32" s="1961" t="e">
        <v>#REF!</v>
      </c>
      <c r="AI32" s="1964" t="e">
        <v>#REF!</v>
      </c>
      <c r="AJ32" s="1959"/>
      <c r="AK32" s="1168" t="s">
        <v>1020</v>
      </c>
      <c r="AL32" s="1169">
        <v>3900</v>
      </c>
      <c r="AM32" s="1170">
        <v>4300</v>
      </c>
      <c r="AN32" s="1972"/>
      <c r="AO32" s="2046"/>
      <c r="AP32" s="1972"/>
      <c r="AQ32" s="2049"/>
      <c r="AR32" s="1959"/>
      <c r="AS32" s="1997"/>
      <c r="AT32" s="2053"/>
      <c r="AU32" s="1171"/>
      <c r="AV32" s="2053"/>
      <c r="AW32" s="1970"/>
      <c r="AX32" s="1972"/>
      <c r="AY32" s="1974"/>
      <c r="AZ32" s="1968"/>
      <c r="BA32" s="1999"/>
      <c r="BB32" s="1967"/>
      <c r="BC32" s="1967"/>
      <c r="BD32" s="1981"/>
      <c r="BE32" s="1114"/>
      <c r="BF32" s="2052"/>
    </row>
    <row r="33" spans="1:58" s="25" customFormat="1" ht="13.5" customHeight="1">
      <c r="A33" s="2001"/>
      <c r="B33" s="2004"/>
      <c r="C33" s="2056" t="s">
        <v>1021</v>
      </c>
      <c r="D33" s="1115" t="s">
        <v>1022</v>
      </c>
      <c r="E33" s="1112"/>
      <c r="F33" s="1158">
        <v>107550</v>
      </c>
      <c r="G33" s="1159">
        <v>176380</v>
      </c>
      <c r="H33" s="1158">
        <v>101690</v>
      </c>
      <c r="I33" s="1159">
        <v>170520</v>
      </c>
      <c r="J33" s="1144" t="s">
        <v>255</v>
      </c>
      <c r="K33" s="1160">
        <v>960</v>
      </c>
      <c r="L33" s="1161">
        <v>1640</v>
      </c>
      <c r="M33" s="1162" t="s">
        <v>1017</v>
      </c>
      <c r="N33" s="1160">
        <v>900</v>
      </c>
      <c r="O33" s="1161">
        <v>1580</v>
      </c>
      <c r="P33" s="1162" t="s">
        <v>1017</v>
      </c>
      <c r="Q33" s="1172"/>
      <c r="R33" s="1173"/>
      <c r="S33" s="1174"/>
      <c r="T33" s="2059"/>
      <c r="U33" s="32"/>
      <c r="V33" s="1190"/>
      <c r="W33" s="1972"/>
      <c r="X33" s="1191"/>
      <c r="Y33" s="1192"/>
      <c r="Z33" s="2060"/>
      <c r="AA33" s="1190"/>
      <c r="AB33" s="1972" t="s">
        <v>255</v>
      </c>
      <c r="AC33" s="2054">
        <v>11220</v>
      </c>
      <c r="AD33" s="1175"/>
      <c r="AE33" s="1972"/>
      <c r="AF33" s="1974">
        <v>0</v>
      </c>
      <c r="AG33" s="1959"/>
      <c r="AH33" s="1961" t="e">
        <v>#REF!</v>
      </c>
      <c r="AI33" s="1964" t="e">
        <v>#REF!</v>
      </c>
      <c r="AJ33" s="1959"/>
      <c r="AK33" s="1168" t="s">
        <v>1023</v>
      </c>
      <c r="AL33" s="1169">
        <v>3400</v>
      </c>
      <c r="AM33" s="1170">
        <v>3800</v>
      </c>
      <c r="AN33" s="1972"/>
      <c r="AO33" s="2046"/>
      <c r="AP33" s="1972"/>
      <c r="AQ33" s="2049"/>
      <c r="AR33" s="1152"/>
      <c r="AS33" s="1176"/>
      <c r="AT33" s="2053"/>
      <c r="AU33" s="1193"/>
      <c r="AV33" s="2053"/>
      <c r="AW33" s="1970"/>
      <c r="AX33" s="1972"/>
      <c r="AY33" s="1974"/>
      <c r="AZ33" s="1968"/>
      <c r="BA33" s="1978">
        <v>0.02</v>
      </c>
      <c r="BB33" s="1976">
        <v>0.03</v>
      </c>
      <c r="BC33" s="1976">
        <v>0.05</v>
      </c>
      <c r="BD33" s="1982">
        <v>0.06</v>
      </c>
      <c r="BE33" s="1114"/>
      <c r="BF33" s="2044"/>
    </row>
    <row r="34" spans="1:58" s="25" customFormat="1" ht="13.5" customHeight="1">
      <c r="A34" s="2001"/>
      <c r="B34" s="2004"/>
      <c r="C34" s="2057"/>
      <c r="D34" s="1116" t="s">
        <v>133</v>
      </c>
      <c r="E34" s="1112"/>
      <c r="F34" s="1177">
        <v>176380</v>
      </c>
      <c r="G34" s="1178"/>
      <c r="H34" s="1177">
        <v>170520</v>
      </c>
      <c r="I34" s="1178"/>
      <c r="J34" s="1144" t="s">
        <v>255</v>
      </c>
      <c r="K34" s="1163">
        <v>1640</v>
      </c>
      <c r="L34" s="1179"/>
      <c r="M34" s="1180" t="s">
        <v>1017</v>
      </c>
      <c r="N34" s="1163">
        <v>1580</v>
      </c>
      <c r="O34" s="1179"/>
      <c r="P34" s="1180" t="s">
        <v>1017</v>
      </c>
      <c r="Q34" s="1172"/>
      <c r="R34" s="1173"/>
      <c r="S34" s="1181"/>
      <c r="T34" s="2059"/>
      <c r="U34" s="32"/>
      <c r="V34" s="1165" t="s">
        <v>1036</v>
      </c>
      <c r="W34" s="1972"/>
      <c r="X34" s="1166" t="s">
        <v>1036</v>
      </c>
      <c r="Y34" s="1189"/>
      <c r="Z34" s="2060"/>
      <c r="AA34" s="1165"/>
      <c r="AB34" s="1972"/>
      <c r="AC34" s="2055"/>
      <c r="AD34" s="1182"/>
      <c r="AE34" s="1972"/>
      <c r="AF34" s="1975"/>
      <c r="AG34" s="1959"/>
      <c r="AH34" s="1962" t="e">
        <v>#REF!</v>
      </c>
      <c r="AI34" s="1965" t="e">
        <v>#REF!</v>
      </c>
      <c r="AJ34" s="1959"/>
      <c r="AK34" s="1183" t="s">
        <v>1024</v>
      </c>
      <c r="AL34" s="1184">
        <v>3000</v>
      </c>
      <c r="AM34" s="1185">
        <v>3400</v>
      </c>
      <c r="AN34" s="1972"/>
      <c r="AO34" s="2047"/>
      <c r="AP34" s="1972"/>
      <c r="AQ34" s="2050"/>
      <c r="AR34" s="1152"/>
      <c r="AS34" s="1176"/>
      <c r="AT34" s="2053"/>
      <c r="AU34" s="1193"/>
      <c r="AV34" s="2053"/>
      <c r="AW34" s="1971"/>
      <c r="AX34" s="1972"/>
      <c r="AY34" s="1975"/>
      <c r="AZ34" s="1968"/>
      <c r="BA34" s="1979"/>
      <c r="BB34" s="1977"/>
      <c r="BC34" s="1977"/>
      <c r="BD34" s="1983"/>
      <c r="BE34" s="1114"/>
      <c r="BF34" s="2044"/>
    </row>
    <row r="35" spans="1:58" ht="13.5" customHeight="1">
      <c r="A35" s="2001"/>
      <c r="B35" s="2003" t="s">
        <v>1037</v>
      </c>
      <c r="C35" s="2005" t="s">
        <v>1016</v>
      </c>
      <c r="D35" s="1111" t="s">
        <v>554</v>
      </c>
      <c r="E35" s="1112"/>
      <c r="F35" s="1142">
        <v>41120</v>
      </c>
      <c r="G35" s="1143">
        <v>48000</v>
      </c>
      <c r="H35" s="1142">
        <v>35910</v>
      </c>
      <c r="I35" s="1143">
        <v>42790</v>
      </c>
      <c r="J35" s="1144" t="s">
        <v>255</v>
      </c>
      <c r="K35" s="1145">
        <v>390</v>
      </c>
      <c r="L35" s="1146">
        <v>450</v>
      </c>
      <c r="M35" s="1147" t="s">
        <v>1017</v>
      </c>
      <c r="N35" s="1145">
        <v>340</v>
      </c>
      <c r="O35" s="1146">
        <v>400</v>
      </c>
      <c r="P35" s="1147" t="s">
        <v>1017</v>
      </c>
      <c r="Q35" s="1144" t="s">
        <v>255</v>
      </c>
      <c r="R35" s="1148">
        <v>6880</v>
      </c>
      <c r="S35" s="1149">
        <v>60</v>
      </c>
      <c r="T35" s="2058"/>
      <c r="U35" s="32"/>
      <c r="V35" s="1165">
        <v>359000</v>
      </c>
      <c r="W35" s="1972"/>
      <c r="X35" s="1166">
        <v>3590</v>
      </c>
      <c r="Y35" s="1152"/>
      <c r="Z35" s="2060"/>
      <c r="AA35" s="1166"/>
      <c r="AB35" s="1972" t="s">
        <v>255</v>
      </c>
      <c r="AC35" s="2018">
        <v>12330</v>
      </c>
      <c r="AD35" s="1153"/>
      <c r="AE35" s="1972" t="s">
        <v>255</v>
      </c>
      <c r="AF35" s="1973">
        <v>50</v>
      </c>
      <c r="AG35" s="1959" t="s">
        <v>255</v>
      </c>
      <c r="AH35" s="1960">
        <v>3100</v>
      </c>
      <c r="AI35" s="1963">
        <v>3400</v>
      </c>
      <c r="AJ35" s="1959" t="s">
        <v>255</v>
      </c>
      <c r="AK35" s="1154" t="s">
        <v>1019</v>
      </c>
      <c r="AL35" s="1155">
        <v>6300</v>
      </c>
      <c r="AM35" s="1156">
        <v>7100</v>
      </c>
      <c r="AN35" s="1972" t="s">
        <v>255</v>
      </c>
      <c r="AO35" s="2045">
        <v>4580</v>
      </c>
      <c r="AP35" s="1972" t="s">
        <v>255</v>
      </c>
      <c r="AQ35" s="2048">
        <v>40</v>
      </c>
      <c r="AR35" s="1959" t="s">
        <v>255</v>
      </c>
      <c r="AS35" s="1996">
        <v>4700</v>
      </c>
      <c r="AT35" s="2053"/>
      <c r="AU35" s="1193"/>
      <c r="AV35" s="2053" t="s">
        <v>78</v>
      </c>
      <c r="AW35" s="1969">
        <v>5230</v>
      </c>
      <c r="AX35" s="1972" t="s">
        <v>255</v>
      </c>
      <c r="AY35" s="1973">
        <v>50</v>
      </c>
      <c r="AZ35" s="1968" t="s">
        <v>78</v>
      </c>
      <c r="BA35" s="1998" t="s">
        <v>262</v>
      </c>
      <c r="BB35" s="1966" t="s">
        <v>262</v>
      </c>
      <c r="BC35" s="1966" t="s">
        <v>262</v>
      </c>
      <c r="BD35" s="1980" t="s">
        <v>262</v>
      </c>
      <c r="BE35" s="1114"/>
      <c r="BF35" s="2051"/>
    </row>
    <row r="36" spans="1:58" ht="13.5" customHeight="1">
      <c r="A36" s="2001"/>
      <c r="B36" s="2004"/>
      <c r="C36" s="2006"/>
      <c r="D36" s="1115" t="s">
        <v>556</v>
      </c>
      <c r="E36" s="1112"/>
      <c r="F36" s="1158">
        <v>48000</v>
      </c>
      <c r="G36" s="1159">
        <v>104450</v>
      </c>
      <c r="H36" s="1158">
        <v>42790</v>
      </c>
      <c r="I36" s="1159">
        <v>99240</v>
      </c>
      <c r="J36" s="1144" t="s">
        <v>255</v>
      </c>
      <c r="K36" s="1160">
        <v>450</v>
      </c>
      <c r="L36" s="1161">
        <v>930</v>
      </c>
      <c r="M36" s="1162" t="s">
        <v>1017</v>
      </c>
      <c r="N36" s="1160">
        <v>400</v>
      </c>
      <c r="O36" s="1161">
        <v>880</v>
      </c>
      <c r="P36" s="1162" t="s">
        <v>1017</v>
      </c>
      <c r="Q36" s="1144" t="s">
        <v>255</v>
      </c>
      <c r="R36" s="1163">
        <v>6880</v>
      </c>
      <c r="S36" s="1164">
        <v>60</v>
      </c>
      <c r="T36" s="2058"/>
      <c r="U36" s="32"/>
      <c r="V36" s="1190"/>
      <c r="W36" s="1972"/>
      <c r="X36" s="1191"/>
      <c r="Y36" s="1192"/>
      <c r="Z36" s="2060"/>
      <c r="AA36" s="1190"/>
      <c r="AB36" s="1972"/>
      <c r="AC36" s="2019"/>
      <c r="AD36" s="1167">
        <v>10560</v>
      </c>
      <c r="AE36" s="1972"/>
      <c r="AF36" s="1974"/>
      <c r="AG36" s="1959"/>
      <c r="AH36" s="1961" t="e">
        <v>#REF!</v>
      </c>
      <c r="AI36" s="1964" t="e">
        <v>#REF!</v>
      </c>
      <c r="AJ36" s="1959"/>
      <c r="AK36" s="1168" t="s">
        <v>1020</v>
      </c>
      <c r="AL36" s="1169">
        <v>3500</v>
      </c>
      <c r="AM36" s="1170">
        <v>3900</v>
      </c>
      <c r="AN36" s="1972"/>
      <c r="AO36" s="2046"/>
      <c r="AP36" s="1972"/>
      <c r="AQ36" s="2049"/>
      <c r="AR36" s="1959"/>
      <c r="AS36" s="1997"/>
      <c r="AT36" s="2053"/>
      <c r="AU36" s="1193"/>
      <c r="AV36" s="2053"/>
      <c r="AW36" s="1970"/>
      <c r="AX36" s="1972"/>
      <c r="AY36" s="1974"/>
      <c r="AZ36" s="1968"/>
      <c r="BA36" s="1999"/>
      <c r="BB36" s="1967"/>
      <c r="BC36" s="1967"/>
      <c r="BD36" s="1981"/>
      <c r="BE36" s="1114"/>
      <c r="BF36" s="2052"/>
    </row>
    <row r="37" spans="1:58" ht="13.5" customHeight="1">
      <c r="A37" s="2001"/>
      <c r="B37" s="2004"/>
      <c r="C37" s="2056" t="s">
        <v>1021</v>
      </c>
      <c r="D37" s="1115" t="s">
        <v>1022</v>
      </c>
      <c r="E37" s="1112"/>
      <c r="F37" s="1158">
        <v>104450</v>
      </c>
      <c r="G37" s="1159">
        <v>173280</v>
      </c>
      <c r="H37" s="1158">
        <v>99240</v>
      </c>
      <c r="I37" s="1159">
        <v>168070</v>
      </c>
      <c r="J37" s="1144" t="s">
        <v>255</v>
      </c>
      <c r="K37" s="1160">
        <v>930</v>
      </c>
      <c r="L37" s="1161">
        <v>1610</v>
      </c>
      <c r="M37" s="1162" t="s">
        <v>1017</v>
      </c>
      <c r="N37" s="1160">
        <v>880</v>
      </c>
      <c r="O37" s="1161">
        <v>1560</v>
      </c>
      <c r="P37" s="1162" t="s">
        <v>1017</v>
      </c>
      <c r="Q37" s="1172"/>
      <c r="R37" s="1173"/>
      <c r="S37" s="1174"/>
      <c r="T37" s="2059"/>
      <c r="U37" s="32"/>
      <c r="V37" s="1165" t="s">
        <v>1038</v>
      </c>
      <c r="W37" s="1972"/>
      <c r="X37" s="1166" t="s">
        <v>1038</v>
      </c>
      <c r="Y37" s="1189"/>
      <c r="Z37" s="2060"/>
      <c r="AA37" s="1165"/>
      <c r="AB37" s="1972" t="s">
        <v>255</v>
      </c>
      <c r="AC37" s="2054">
        <v>10560</v>
      </c>
      <c r="AD37" s="1175"/>
      <c r="AE37" s="1972"/>
      <c r="AF37" s="1974">
        <v>0</v>
      </c>
      <c r="AG37" s="1959"/>
      <c r="AH37" s="1961" t="e">
        <v>#REF!</v>
      </c>
      <c r="AI37" s="1964" t="e">
        <v>#REF!</v>
      </c>
      <c r="AJ37" s="1959"/>
      <c r="AK37" s="1168" t="s">
        <v>1023</v>
      </c>
      <c r="AL37" s="1169">
        <v>3000</v>
      </c>
      <c r="AM37" s="1170">
        <v>3400</v>
      </c>
      <c r="AN37" s="1972"/>
      <c r="AO37" s="2046"/>
      <c r="AP37" s="1972"/>
      <c r="AQ37" s="2049"/>
      <c r="AR37" s="1152"/>
      <c r="AS37" s="1176"/>
      <c r="AT37" s="2053"/>
      <c r="AU37" s="1194"/>
      <c r="AV37" s="2053"/>
      <c r="AW37" s="1970"/>
      <c r="AX37" s="1972"/>
      <c r="AY37" s="1974"/>
      <c r="AZ37" s="1968"/>
      <c r="BA37" s="1978">
        <v>0.02</v>
      </c>
      <c r="BB37" s="1976">
        <v>0.03</v>
      </c>
      <c r="BC37" s="1976">
        <v>0.05</v>
      </c>
      <c r="BD37" s="1982">
        <v>0.06</v>
      </c>
      <c r="BE37" s="1114"/>
      <c r="BF37" s="2044"/>
    </row>
    <row r="38" spans="1:58" ht="13.5" customHeight="1">
      <c r="A38" s="2001"/>
      <c r="B38" s="2004"/>
      <c r="C38" s="2057"/>
      <c r="D38" s="1116" t="s">
        <v>133</v>
      </c>
      <c r="E38" s="1112"/>
      <c r="F38" s="1177">
        <v>173280</v>
      </c>
      <c r="G38" s="1178"/>
      <c r="H38" s="1177">
        <v>168070</v>
      </c>
      <c r="I38" s="1178"/>
      <c r="J38" s="1144" t="s">
        <v>255</v>
      </c>
      <c r="K38" s="1163">
        <v>1610</v>
      </c>
      <c r="L38" s="1179"/>
      <c r="M38" s="1180" t="s">
        <v>1017</v>
      </c>
      <c r="N38" s="1163">
        <v>1560</v>
      </c>
      <c r="O38" s="1179"/>
      <c r="P38" s="1180" t="s">
        <v>1017</v>
      </c>
      <c r="Q38" s="1172"/>
      <c r="R38" s="1173"/>
      <c r="S38" s="1181"/>
      <c r="T38" s="2059"/>
      <c r="U38" s="32"/>
      <c r="V38" s="1165">
        <v>392800</v>
      </c>
      <c r="W38" s="1972"/>
      <c r="X38" s="1166">
        <v>3920</v>
      </c>
      <c r="Y38" s="1152"/>
      <c r="Z38" s="2060"/>
      <c r="AA38" s="1166"/>
      <c r="AB38" s="1972"/>
      <c r="AC38" s="2055"/>
      <c r="AD38" s="1182"/>
      <c r="AE38" s="1972"/>
      <c r="AF38" s="1975"/>
      <c r="AG38" s="1959"/>
      <c r="AH38" s="1962" t="e">
        <v>#REF!</v>
      </c>
      <c r="AI38" s="1965" t="e">
        <v>#REF!</v>
      </c>
      <c r="AJ38" s="1959"/>
      <c r="AK38" s="1183" t="s">
        <v>1024</v>
      </c>
      <c r="AL38" s="1184">
        <v>2700</v>
      </c>
      <c r="AM38" s="1185">
        <v>3000</v>
      </c>
      <c r="AN38" s="1972"/>
      <c r="AO38" s="2047"/>
      <c r="AP38" s="1972"/>
      <c r="AQ38" s="2050"/>
      <c r="AR38" s="1152"/>
      <c r="AS38" s="1176"/>
      <c r="AT38" s="2053"/>
      <c r="AU38" s="1194"/>
      <c r="AV38" s="2053"/>
      <c r="AW38" s="1971"/>
      <c r="AX38" s="1972"/>
      <c r="AY38" s="1975"/>
      <c r="AZ38" s="1968"/>
      <c r="BA38" s="1979"/>
      <c r="BB38" s="1977"/>
      <c r="BC38" s="1977"/>
      <c r="BD38" s="1983"/>
      <c r="BE38" s="1114"/>
      <c r="BF38" s="2044"/>
    </row>
    <row r="39" spans="1:58" ht="13.5" customHeight="1">
      <c r="A39" s="2001"/>
      <c r="B39" s="2003" t="s">
        <v>1039</v>
      </c>
      <c r="C39" s="2005" t="s">
        <v>1016</v>
      </c>
      <c r="D39" s="1111" t="s">
        <v>554</v>
      </c>
      <c r="E39" s="1112"/>
      <c r="F39" s="1142">
        <v>35690</v>
      </c>
      <c r="G39" s="1143">
        <v>42570</v>
      </c>
      <c r="H39" s="1142">
        <v>31010</v>
      </c>
      <c r="I39" s="1143">
        <v>37890</v>
      </c>
      <c r="J39" s="1144" t="s">
        <v>255</v>
      </c>
      <c r="K39" s="1145">
        <v>330</v>
      </c>
      <c r="L39" s="1146">
        <v>390</v>
      </c>
      <c r="M39" s="1147" t="s">
        <v>1017</v>
      </c>
      <c r="N39" s="1145">
        <v>290</v>
      </c>
      <c r="O39" s="1146">
        <v>350</v>
      </c>
      <c r="P39" s="1147" t="s">
        <v>1017</v>
      </c>
      <c r="Q39" s="1144" t="s">
        <v>255</v>
      </c>
      <c r="R39" s="1148">
        <v>6880</v>
      </c>
      <c r="S39" s="1149">
        <v>60</v>
      </c>
      <c r="T39" s="2058"/>
      <c r="U39" s="32"/>
      <c r="V39" s="1190"/>
      <c r="W39" s="1972"/>
      <c r="X39" s="1191"/>
      <c r="Y39" s="1192"/>
      <c r="Z39" s="2060"/>
      <c r="AA39" s="1190"/>
      <c r="AB39" s="2058"/>
      <c r="AC39" s="1173"/>
      <c r="AD39" s="1173"/>
      <c r="AE39" s="2059"/>
      <c r="AF39" s="1195"/>
      <c r="AG39" s="2053" t="s">
        <v>255</v>
      </c>
      <c r="AH39" s="1960">
        <v>2800</v>
      </c>
      <c r="AI39" s="1963">
        <v>3100</v>
      </c>
      <c r="AJ39" s="1959" t="s">
        <v>255</v>
      </c>
      <c r="AK39" s="1154" t="s">
        <v>1019</v>
      </c>
      <c r="AL39" s="1155">
        <v>5500</v>
      </c>
      <c r="AM39" s="1156">
        <v>6200</v>
      </c>
      <c r="AN39" s="1972" t="s">
        <v>255</v>
      </c>
      <c r="AO39" s="2045">
        <v>4130</v>
      </c>
      <c r="AP39" s="1972" t="s">
        <v>255</v>
      </c>
      <c r="AQ39" s="2048">
        <v>40</v>
      </c>
      <c r="AR39" s="1959" t="s">
        <v>255</v>
      </c>
      <c r="AS39" s="1996">
        <v>4700</v>
      </c>
      <c r="AT39" s="2053"/>
      <c r="AU39" s="2064" t="s">
        <v>263</v>
      </c>
      <c r="AV39" s="2053" t="s">
        <v>78</v>
      </c>
      <c r="AW39" s="1969">
        <v>4700</v>
      </c>
      <c r="AX39" s="1972" t="s">
        <v>255</v>
      </c>
      <c r="AY39" s="1973">
        <v>40</v>
      </c>
      <c r="AZ39" s="1968" t="s">
        <v>78</v>
      </c>
      <c r="BA39" s="1998" t="s">
        <v>262</v>
      </c>
      <c r="BB39" s="1966" t="s">
        <v>262</v>
      </c>
      <c r="BC39" s="1966" t="s">
        <v>262</v>
      </c>
      <c r="BD39" s="1980" t="s">
        <v>262</v>
      </c>
      <c r="BE39" s="1114"/>
      <c r="BF39" s="2051"/>
    </row>
    <row r="40" spans="1:58" ht="13.5" customHeight="1">
      <c r="A40" s="2001"/>
      <c r="B40" s="2004"/>
      <c r="C40" s="2006"/>
      <c r="D40" s="1115" t="s">
        <v>556</v>
      </c>
      <c r="E40" s="1112"/>
      <c r="F40" s="1158">
        <v>42570</v>
      </c>
      <c r="G40" s="1159">
        <v>99020</v>
      </c>
      <c r="H40" s="1158">
        <v>37890</v>
      </c>
      <c r="I40" s="1159">
        <v>94340</v>
      </c>
      <c r="J40" s="1144" t="s">
        <v>255</v>
      </c>
      <c r="K40" s="1160">
        <v>390</v>
      </c>
      <c r="L40" s="1161">
        <v>880</v>
      </c>
      <c r="M40" s="1162" t="s">
        <v>1017</v>
      </c>
      <c r="N40" s="1160">
        <v>350</v>
      </c>
      <c r="O40" s="1161">
        <v>830</v>
      </c>
      <c r="P40" s="1162" t="s">
        <v>1017</v>
      </c>
      <c r="Q40" s="1144" t="s">
        <v>255</v>
      </c>
      <c r="R40" s="1163">
        <v>6880</v>
      </c>
      <c r="S40" s="1164">
        <v>60</v>
      </c>
      <c r="T40" s="2058"/>
      <c r="U40" s="32"/>
      <c r="V40" s="1165" t="s">
        <v>1040</v>
      </c>
      <c r="W40" s="1972"/>
      <c r="X40" s="1166" t="s">
        <v>1040</v>
      </c>
      <c r="Y40" s="1189"/>
      <c r="Z40" s="2060"/>
      <c r="AA40" s="1165" t="s">
        <v>1041</v>
      </c>
      <c r="AB40" s="2058"/>
      <c r="AC40" s="1173"/>
      <c r="AD40" s="1173"/>
      <c r="AE40" s="2059"/>
      <c r="AF40" s="1196"/>
      <c r="AG40" s="2053"/>
      <c r="AH40" s="1961" t="e">
        <v>#REF!</v>
      </c>
      <c r="AI40" s="1964" t="e">
        <v>#REF!</v>
      </c>
      <c r="AJ40" s="1959"/>
      <c r="AK40" s="1168" t="s">
        <v>1020</v>
      </c>
      <c r="AL40" s="1169">
        <v>3000</v>
      </c>
      <c r="AM40" s="1170">
        <v>3400</v>
      </c>
      <c r="AN40" s="1972"/>
      <c r="AO40" s="2046"/>
      <c r="AP40" s="1972"/>
      <c r="AQ40" s="2049"/>
      <c r="AR40" s="1959"/>
      <c r="AS40" s="1997"/>
      <c r="AT40" s="2053"/>
      <c r="AU40" s="2064"/>
      <c r="AV40" s="2053"/>
      <c r="AW40" s="1970"/>
      <c r="AX40" s="1972"/>
      <c r="AY40" s="1974"/>
      <c r="AZ40" s="1968"/>
      <c r="BA40" s="1999"/>
      <c r="BB40" s="1967"/>
      <c r="BC40" s="1967"/>
      <c r="BD40" s="1981"/>
      <c r="BE40" s="1114"/>
      <c r="BF40" s="2052"/>
    </row>
    <row r="41" spans="1:58" s="5" customFormat="1" ht="13.5" customHeight="1">
      <c r="A41" s="2001"/>
      <c r="B41" s="2004"/>
      <c r="C41" s="2056" t="s">
        <v>1021</v>
      </c>
      <c r="D41" s="1115" t="s">
        <v>1022</v>
      </c>
      <c r="E41" s="1112"/>
      <c r="F41" s="1158">
        <v>99020</v>
      </c>
      <c r="G41" s="1159">
        <v>167850</v>
      </c>
      <c r="H41" s="1158">
        <v>94340</v>
      </c>
      <c r="I41" s="1159">
        <v>163170</v>
      </c>
      <c r="J41" s="1144" t="s">
        <v>255</v>
      </c>
      <c r="K41" s="1160">
        <v>880</v>
      </c>
      <c r="L41" s="1161">
        <v>1560</v>
      </c>
      <c r="M41" s="1162" t="s">
        <v>1017</v>
      </c>
      <c r="N41" s="1160">
        <v>830</v>
      </c>
      <c r="O41" s="1161">
        <v>1510</v>
      </c>
      <c r="P41" s="1162" t="s">
        <v>1017</v>
      </c>
      <c r="Q41" s="1172"/>
      <c r="R41" s="1173"/>
      <c r="S41" s="1174"/>
      <c r="T41" s="2059"/>
      <c r="U41" s="32"/>
      <c r="V41" s="1165">
        <v>426600</v>
      </c>
      <c r="W41" s="1972"/>
      <c r="X41" s="1166">
        <v>4260</v>
      </c>
      <c r="Y41" s="1152"/>
      <c r="Z41" s="2060"/>
      <c r="AA41" s="1197" t="s">
        <v>1042</v>
      </c>
      <c r="AB41" s="2058"/>
      <c r="AC41" s="1173"/>
      <c r="AD41" s="1173"/>
      <c r="AE41" s="2059"/>
      <c r="AF41" s="1196"/>
      <c r="AG41" s="2053"/>
      <c r="AH41" s="1961" t="e">
        <v>#REF!</v>
      </c>
      <c r="AI41" s="1964" t="e">
        <v>#REF!</v>
      </c>
      <c r="AJ41" s="1959"/>
      <c r="AK41" s="1168" t="s">
        <v>1023</v>
      </c>
      <c r="AL41" s="1169">
        <v>2600</v>
      </c>
      <c r="AM41" s="1170">
        <v>2900</v>
      </c>
      <c r="AN41" s="1972"/>
      <c r="AO41" s="2046"/>
      <c r="AP41" s="1972"/>
      <c r="AQ41" s="2049"/>
      <c r="AR41" s="1152"/>
      <c r="AS41" s="1176"/>
      <c r="AT41" s="2053"/>
      <c r="AU41" s="2063">
        <v>0.1</v>
      </c>
      <c r="AV41" s="2053"/>
      <c r="AW41" s="1970"/>
      <c r="AX41" s="1972"/>
      <c r="AY41" s="1974"/>
      <c r="AZ41" s="1968"/>
      <c r="BA41" s="1978">
        <v>0.02</v>
      </c>
      <c r="BB41" s="1976">
        <v>0.03</v>
      </c>
      <c r="BC41" s="1976">
        <v>0.05</v>
      </c>
      <c r="BD41" s="1982">
        <v>7.0000000000000007E-2</v>
      </c>
      <c r="BE41" s="1114"/>
      <c r="BF41" s="2044"/>
    </row>
    <row r="42" spans="1:58" s="5" customFormat="1" ht="13.5" customHeight="1">
      <c r="A42" s="2001"/>
      <c r="B42" s="2004"/>
      <c r="C42" s="2057"/>
      <c r="D42" s="1116" t="s">
        <v>133</v>
      </c>
      <c r="E42" s="1112"/>
      <c r="F42" s="1177">
        <v>167850</v>
      </c>
      <c r="G42" s="1178"/>
      <c r="H42" s="1177">
        <v>163170</v>
      </c>
      <c r="I42" s="1178"/>
      <c r="J42" s="1144" t="s">
        <v>255</v>
      </c>
      <c r="K42" s="1163">
        <v>1560</v>
      </c>
      <c r="L42" s="1179"/>
      <c r="M42" s="1180" t="s">
        <v>1017</v>
      </c>
      <c r="N42" s="1163">
        <v>1510</v>
      </c>
      <c r="O42" s="1179"/>
      <c r="P42" s="1180" t="s">
        <v>1017</v>
      </c>
      <c r="Q42" s="1172"/>
      <c r="R42" s="1173"/>
      <c r="S42" s="1181"/>
      <c r="T42" s="2059"/>
      <c r="U42" s="32"/>
      <c r="V42" s="1190"/>
      <c r="W42" s="1972"/>
      <c r="X42" s="1191"/>
      <c r="Y42" s="1192"/>
      <c r="Z42" s="2060"/>
      <c r="AA42" s="1190"/>
      <c r="AB42" s="2058"/>
      <c r="AC42" s="1173"/>
      <c r="AD42" s="1173"/>
      <c r="AE42" s="2059"/>
      <c r="AF42" s="1196"/>
      <c r="AG42" s="2053"/>
      <c r="AH42" s="1962" t="e">
        <v>#REF!</v>
      </c>
      <c r="AI42" s="1965" t="e">
        <v>#REF!</v>
      </c>
      <c r="AJ42" s="1959"/>
      <c r="AK42" s="1183" t="s">
        <v>1024</v>
      </c>
      <c r="AL42" s="1184">
        <v>2400</v>
      </c>
      <c r="AM42" s="1185">
        <v>2600</v>
      </c>
      <c r="AN42" s="1972"/>
      <c r="AO42" s="2047"/>
      <c r="AP42" s="1972"/>
      <c r="AQ42" s="2050"/>
      <c r="AR42" s="1152"/>
      <c r="AS42" s="1176"/>
      <c r="AT42" s="2053"/>
      <c r="AU42" s="2063"/>
      <c r="AV42" s="2053"/>
      <c r="AW42" s="1971"/>
      <c r="AX42" s="1972"/>
      <c r="AY42" s="1975"/>
      <c r="AZ42" s="1968"/>
      <c r="BA42" s="1979"/>
      <c r="BB42" s="1977"/>
      <c r="BC42" s="1977"/>
      <c r="BD42" s="1983"/>
      <c r="BE42" s="1114"/>
      <c r="BF42" s="2044"/>
    </row>
    <row r="43" spans="1:58" s="25" customFormat="1" ht="13.5" customHeight="1">
      <c r="A43" s="2001"/>
      <c r="B43" s="2003" t="s">
        <v>1043</v>
      </c>
      <c r="C43" s="2005" t="s">
        <v>1016</v>
      </c>
      <c r="D43" s="1111" t="s">
        <v>554</v>
      </c>
      <c r="E43" s="1112"/>
      <c r="F43" s="1142">
        <v>33970</v>
      </c>
      <c r="G43" s="1143">
        <v>40850</v>
      </c>
      <c r="H43" s="1142">
        <v>29710</v>
      </c>
      <c r="I43" s="1143">
        <v>36590</v>
      </c>
      <c r="J43" s="1144" t="s">
        <v>255</v>
      </c>
      <c r="K43" s="1145">
        <v>320</v>
      </c>
      <c r="L43" s="1146">
        <v>380</v>
      </c>
      <c r="M43" s="1147" t="s">
        <v>1017</v>
      </c>
      <c r="N43" s="1145">
        <v>270</v>
      </c>
      <c r="O43" s="1146">
        <v>330</v>
      </c>
      <c r="P43" s="1147" t="s">
        <v>1017</v>
      </c>
      <c r="Q43" s="1144" t="s">
        <v>255</v>
      </c>
      <c r="R43" s="1148">
        <v>6880</v>
      </c>
      <c r="S43" s="1149">
        <v>60</v>
      </c>
      <c r="T43" s="2058"/>
      <c r="U43" s="32"/>
      <c r="V43" s="1165" t="s">
        <v>1044</v>
      </c>
      <c r="W43" s="1972"/>
      <c r="X43" s="1166" t="s">
        <v>1044</v>
      </c>
      <c r="Y43" s="1189"/>
      <c r="Z43" s="2060"/>
      <c r="AA43" s="1165"/>
      <c r="AB43" s="2058"/>
      <c r="AC43" s="1173"/>
      <c r="AD43" s="1173"/>
      <c r="AE43" s="2059"/>
      <c r="AF43" s="1196"/>
      <c r="AG43" s="2053" t="s">
        <v>255</v>
      </c>
      <c r="AH43" s="1960">
        <v>3100</v>
      </c>
      <c r="AI43" s="1963">
        <v>3400</v>
      </c>
      <c r="AJ43" s="1959" t="s">
        <v>255</v>
      </c>
      <c r="AK43" s="1154" t="s">
        <v>1019</v>
      </c>
      <c r="AL43" s="1155">
        <v>6100</v>
      </c>
      <c r="AM43" s="1156">
        <v>6800</v>
      </c>
      <c r="AN43" s="1972" t="s">
        <v>255</v>
      </c>
      <c r="AO43" s="2045">
        <v>3750</v>
      </c>
      <c r="AP43" s="1972" t="s">
        <v>255</v>
      </c>
      <c r="AQ43" s="2048">
        <v>30</v>
      </c>
      <c r="AR43" s="1959" t="s">
        <v>255</v>
      </c>
      <c r="AS43" s="1996">
        <v>4700</v>
      </c>
      <c r="AT43" s="2053"/>
      <c r="AU43" s="1194"/>
      <c r="AV43" s="2053" t="s">
        <v>78</v>
      </c>
      <c r="AW43" s="1969">
        <v>4280</v>
      </c>
      <c r="AX43" s="1972" t="s">
        <v>255</v>
      </c>
      <c r="AY43" s="1973">
        <v>40</v>
      </c>
      <c r="AZ43" s="1968" t="s">
        <v>78</v>
      </c>
      <c r="BA43" s="1998" t="s">
        <v>262</v>
      </c>
      <c r="BB43" s="1966" t="s">
        <v>262</v>
      </c>
      <c r="BC43" s="1966" t="s">
        <v>262</v>
      </c>
      <c r="BD43" s="1980" t="s">
        <v>262</v>
      </c>
      <c r="BE43" s="1114"/>
      <c r="BF43" s="2051"/>
    </row>
    <row r="44" spans="1:58" s="25" customFormat="1" ht="13.5" customHeight="1">
      <c r="A44" s="2001"/>
      <c r="B44" s="2004"/>
      <c r="C44" s="2006"/>
      <c r="D44" s="1115" t="s">
        <v>556</v>
      </c>
      <c r="E44" s="1112"/>
      <c r="F44" s="1158">
        <v>40850</v>
      </c>
      <c r="G44" s="1159">
        <v>97300</v>
      </c>
      <c r="H44" s="1158">
        <v>36590</v>
      </c>
      <c r="I44" s="1159">
        <v>93040</v>
      </c>
      <c r="J44" s="1144" t="s">
        <v>255</v>
      </c>
      <c r="K44" s="1160">
        <v>380</v>
      </c>
      <c r="L44" s="1161">
        <v>860</v>
      </c>
      <c r="M44" s="1162" t="s">
        <v>1017</v>
      </c>
      <c r="N44" s="1160">
        <v>330</v>
      </c>
      <c r="O44" s="1161">
        <v>820</v>
      </c>
      <c r="P44" s="1162" t="s">
        <v>1017</v>
      </c>
      <c r="Q44" s="1144" t="s">
        <v>255</v>
      </c>
      <c r="R44" s="1163">
        <v>6880</v>
      </c>
      <c r="S44" s="1164">
        <v>60</v>
      </c>
      <c r="T44" s="2058"/>
      <c r="U44" s="32"/>
      <c r="V44" s="1165">
        <v>460500</v>
      </c>
      <c r="W44" s="1972"/>
      <c r="X44" s="1166">
        <v>4600</v>
      </c>
      <c r="Y44" s="1152"/>
      <c r="Z44" s="2060"/>
      <c r="AA44" s="1166"/>
      <c r="AB44" s="2058"/>
      <c r="AC44" s="1173"/>
      <c r="AD44" s="1173"/>
      <c r="AE44" s="2059"/>
      <c r="AF44" s="1196"/>
      <c r="AG44" s="2053"/>
      <c r="AH44" s="1961" t="e">
        <v>#REF!</v>
      </c>
      <c r="AI44" s="1964" t="e">
        <v>#REF!</v>
      </c>
      <c r="AJ44" s="1959"/>
      <c r="AK44" s="1168" t="s">
        <v>1020</v>
      </c>
      <c r="AL44" s="1169">
        <v>3300</v>
      </c>
      <c r="AM44" s="1170">
        <v>3700</v>
      </c>
      <c r="AN44" s="1972"/>
      <c r="AO44" s="2046"/>
      <c r="AP44" s="1972"/>
      <c r="AQ44" s="2049"/>
      <c r="AR44" s="1959"/>
      <c r="AS44" s="1997"/>
      <c r="AT44" s="2053"/>
      <c r="AU44" s="1194"/>
      <c r="AV44" s="2053"/>
      <c r="AW44" s="1970"/>
      <c r="AX44" s="1972"/>
      <c r="AY44" s="1974"/>
      <c r="AZ44" s="1968"/>
      <c r="BA44" s="1999"/>
      <c r="BB44" s="1967"/>
      <c r="BC44" s="1967"/>
      <c r="BD44" s="1981"/>
      <c r="BE44" s="1114"/>
      <c r="BF44" s="2052"/>
    </row>
    <row r="45" spans="1:58" s="25" customFormat="1" ht="13.5" customHeight="1">
      <c r="A45" s="2001"/>
      <c r="B45" s="2004"/>
      <c r="C45" s="2056" t="s">
        <v>1021</v>
      </c>
      <c r="D45" s="1115" t="s">
        <v>1022</v>
      </c>
      <c r="E45" s="1112"/>
      <c r="F45" s="1158">
        <v>97300</v>
      </c>
      <c r="G45" s="1159">
        <v>166130</v>
      </c>
      <c r="H45" s="1158">
        <v>93040</v>
      </c>
      <c r="I45" s="1159">
        <v>161870</v>
      </c>
      <c r="J45" s="1144" t="s">
        <v>255</v>
      </c>
      <c r="K45" s="1160">
        <v>860</v>
      </c>
      <c r="L45" s="1161">
        <v>1540</v>
      </c>
      <c r="M45" s="1162" t="s">
        <v>1017</v>
      </c>
      <c r="N45" s="1160">
        <v>820</v>
      </c>
      <c r="O45" s="1161">
        <v>1500</v>
      </c>
      <c r="P45" s="1162" t="s">
        <v>1017</v>
      </c>
      <c r="Q45" s="1172"/>
      <c r="R45" s="1173"/>
      <c r="S45" s="1174"/>
      <c r="T45" s="2059"/>
      <c r="U45" s="32"/>
      <c r="V45" s="1190"/>
      <c r="W45" s="1972"/>
      <c r="X45" s="1191"/>
      <c r="Y45" s="1192"/>
      <c r="Z45" s="2060"/>
      <c r="AA45" s="1190"/>
      <c r="AB45" s="2058"/>
      <c r="AC45" s="1173"/>
      <c r="AD45" s="1173"/>
      <c r="AE45" s="2059"/>
      <c r="AF45" s="1196"/>
      <c r="AG45" s="2053"/>
      <c r="AH45" s="1961" t="e">
        <v>#REF!</v>
      </c>
      <c r="AI45" s="1964" t="e">
        <v>#REF!</v>
      </c>
      <c r="AJ45" s="1959"/>
      <c r="AK45" s="1168" t="s">
        <v>1023</v>
      </c>
      <c r="AL45" s="1169">
        <v>2900</v>
      </c>
      <c r="AM45" s="1170">
        <v>3200</v>
      </c>
      <c r="AN45" s="1972"/>
      <c r="AO45" s="2046"/>
      <c r="AP45" s="1972"/>
      <c r="AQ45" s="2049"/>
      <c r="AR45" s="1152"/>
      <c r="AS45" s="1176"/>
      <c r="AT45" s="2053"/>
      <c r="AU45" s="1194"/>
      <c r="AV45" s="2053"/>
      <c r="AW45" s="1970"/>
      <c r="AX45" s="1972"/>
      <c r="AY45" s="1974"/>
      <c r="AZ45" s="1968"/>
      <c r="BA45" s="1978">
        <v>0.02</v>
      </c>
      <c r="BB45" s="1976">
        <v>0.03</v>
      </c>
      <c r="BC45" s="1976">
        <v>0.05</v>
      </c>
      <c r="BD45" s="1982">
        <v>7.0000000000000007E-2</v>
      </c>
      <c r="BE45" s="1114"/>
      <c r="BF45" s="2044"/>
    </row>
    <row r="46" spans="1:58" s="25" customFormat="1" ht="13.5" customHeight="1">
      <c r="A46" s="2001"/>
      <c r="B46" s="2004"/>
      <c r="C46" s="2057"/>
      <c r="D46" s="1116" t="s">
        <v>133</v>
      </c>
      <c r="E46" s="1112"/>
      <c r="F46" s="1177">
        <v>166130</v>
      </c>
      <c r="G46" s="1178"/>
      <c r="H46" s="1177">
        <v>161870</v>
      </c>
      <c r="I46" s="1178"/>
      <c r="J46" s="1144" t="s">
        <v>255</v>
      </c>
      <c r="K46" s="1163">
        <v>1540</v>
      </c>
      <c r="L46" s="1179"/>
      <c r="M46" s="1180" t="s">
        <v>1017</v>
      </c>
      <c r="N46" s="1163">
        <v>1500</v>
      </c>
      <c r="O46" s="1179"/>
      <c r="P46" s="1180" t="s">
        <v>1017</v>
      </c>
      <c r="Q46" s="1172"/>
      <c r="R46" s="1173"/>
      <c r="S46" s="1181"/>
      <c r="T46" s="2059"/>
      <c r="U46" s="32"/>
      <c r="V46" s="1165" t="s">
        <v>1045</v>
      </c>
      <c r="W46" s="1972"/>
      <c r="X46" s="1166" t="s">
        <v>1045</v>
      </c>
      <c r="Y46" s="1189"/>
      <c r="Z46" s="2060"/>
      <c r="AA46" s="1165"/>
      <c r="AB46" s="2058"/>
      <c r="AC46" s="1173"/>
      <c r="AD46" s="1173"/>
      <c r="AE46" s="2059"/>
      <c r="AF46" s="1196"/>
      <c r="AG46" s="2053"/>
      <c r="AH46" s="1962" t="e">
        <v>#REF!</v>
      </c>
      <c r="AI46" s="1965" t="e">
        <v>#REF!</v>
      </c>
      <c r="AJ46" s="1959"/>
      <c r="AK46" s="1183" t="s">
        <v>1024</v>
      </c>
      <c r="AL46" s="1184">
        <v>2600</v>
      </c>
      <c r="AM46" s="1185">
        <v>2900</v>
      </c>
      <c r="AN46" s="1972"/>
      <c r="AO46" s="2047"/>
      <c r="AP46" s="1972"/>
      <c r="AQ46" s="2050"/>
      <c r="AR46" s="1152"/>
      <c r="AS46" s="1176"/>
      <c r="AT46" s="2053"/>
      <c r="AU46" s="1194"/>
      <c r="AV46" s="2053"/>
      <c r="AW46" s="1971"/>
      <c r="AX46" s="1972"/>
      <c r="AY46" s="1975"/>
      <c r="AZ46" s="1968"/>
      <c r="BA46" s="1979"/>
      <c r="BB46" s="1977"/>
      <c r="BC46" s="1977"/>
      <c r="BD46" s="1983"/>
      <c r="BE46" s="1114"/>
      <c r="BF46" s="2044"/>
    </row>
    <row r="47" spans="1:58" s="25" customFormat="1" ht="13.5" customHeight="1">
      <c r="A47" s="2001"/>
      <c r="B47" s="2003" t="s">
        <v>1046</v>
      </c>
      <c r="C47" s="2005" t="s">
        <v>1016</v>
      </c>
      <c r="D47" s="1111" t="s">
        <v>554</v>
      </c>
      <c r="E47" s="1112"/>
      <c r="F47" s="1142">
        <v>32500</v>
      </c>
      <c r="G47" s="1143">
        <v>39380</v>
      </c>
      <c r="H47" s="1142">
        <v>28600</v>
      </c>
      <c r="I47" s="1143">
        <v>35480</v>
      </c>
      <c r="J47" s="1144" t="s">
        <v>255</v>
      </c>
      <c r="K47" s="1145">
        <v>300</v>
      </c>
      <c r="L47" s="1146">
        <v>360</v>
      </c>
      <c r="M47" s="1147" t="s">
        <v>1017</v>
      </c>
      <c r="N47" s="1145">
        <v>260</v>
      </c>
      <c r="O47" s="1146">
        <v>320</v>
      </c>
      <c r="P47" s="1147" t="s">
        <v>1017</v>
      </c>
      <c r="Q47" s="1144" t="s">
        <v>255</v>
      </c>
      <c r="R47" s="1148">
        <v>6880</v>
      </c>
      <c r="S47" s="1149">
        <v>60</v>
      </c>
      <c r="T47" s="2058"/>
      <c r="U47" s="32"/>
      <c r="V47" s="1165">
        <v>494300</v>
      </c>
      <c r="W47" s="1972"/>
      <c r="X47" s="1166">
        <v>4940</v>
      </c>
      <c r="Y47" s="1152"/>
      <c r="Z47" s="2060"/>
      <c r="AA47" s="1166"/>
      <c r="AB47" s="2058"/>
      <c r="AC47" s="1173"/>
      <c r="AD47" s="1173"/>
      <c r="AE47" s="2059"/>
      <c r="AF47" s="1196"/>
      <c r="AG47" s="2053" t="s">
        <v>255</v>
      </c>
      <c r="AH47" s="1960">
        <v>2800</v>
      </c>
      <c r="AI47" s="1963">
        <v>3100</v>
      </c>
      <c r="AJ47" s="1959" t="s">
        <v>255</v>
      </c>
      <c r="AK47" s="1154" t="s">
        <v>1019</v>
      </c>
      <c r="AL47" s="1155">
        <v>5500</v>
      </c>
      <c r="AM47" s="1156">
        <v>6200</v>
      </c>
      <c r="AN47" s="1972" t="s">
        <v>255</v>
      </c>
      <c r="AO47" s="2045">
        <v>3440</v>
      </c>
      <c r="AP47" s="1972" t="s">
        <v>255</v>
      </c>
      <c r="AQ47" s="2048">
        <v>30</v>
      </c>
      <c r="AR47" s="1959" t="s">
        <v>255</v>
      </c>
      <c r="AS47" s="1996">
        <v>4700</v>
      </c>
      <c r="AT47" s="2053"/>
      <c r="AU47" s="1194"/>
      <c r="AV47" s="2053" t="s">
        <v>78</v>
      </c>
      <c r="AW47" s="1969">
        <v>3920</v>
      </c>
      <c r="AX47" s="1972" t="s">
        <v>255</v>
      </c>
      <c r="AY47" s="1973">
        <v>30</v>
      </c>
      <c r="AZ47" s="1968" t="s">
        <v>78</v>
      </c>
      <c r="BA47" s="1998" t="s">
        <v>262</v>
      </c>
      <c r="BB47" s="1966" t="s">
        <v>262</v>
      </c>
      <c r="BC47" s="1966" t="s">
        <v>262</v>
      </c>
      <c r="BD47" s="1980" t="s">
        <v>262</v>
      </c>
      <c r="BE47" s="1114"/>
      <c r="BF47" s="2051"/>
    </row>
    <row r="48" spans="1:58" s="25" customFormat="1" ht="13.5" customHeight="1">
      <c r="A48" s="2001"/>
      <c r="B48" s="2004"/>
      <c r="C48" s="2006"/>
      <c r="D48" s="1115" t="s">
        <v>556</v>
      </c>
      <c r="E48" s="1112"/>
      <c r="F48" s="1158">
        <v>39380</v>
      </c>
      <c r="G48" s="1159">
        <v>95830</v>
      </c>
      <c r="H48" s="1158">
        <v>35480</v>
      </c>
      <c r="I48" s="1159">
        <v>91930</v>
      </c>
      <c r="J48" s="1144" t="s">
        <v>255</v>
      </c>
      <c r="K48" s="1160">
        <v>360</v>
      </c>
      <c r="L48" s="1161">
        <v>840</v>
      </c>
      <c r="M48" s="1162" t="s">
        <v>1017</v>
      </c>
      <c r="N48" s="1160">
        <v>320</v>
      </c>
      <c r="O48" s="1161">
        <v>810</v>
      </c>
      <c r="P48" s="1162" t="s">
        <v>1017</v>
      </c>
      <c r="Q48" s="1144" t="s">
        <v>255</v>
      </c>
      <c r="R48" s="1163">
        <v>6880</v>
      </c>
      <c r="S48" s="1164">
        <v>60</v>
      </c>
      <c r="T48" s="2058"/>
      <c r="U48" s="32"/>
      <c r="V48" s="1190"/>
      <c r="W48" s="1972"/>
      <c r="X48" s="1191"/>
      <c r="Y48" s="1192"/>
      <c r="Z48" s="2060"/>
      <c r="AA48" s="1190"/>
      <c r="AB48" s="2058"/>
      <c r="AC48" s="1173"/>
      <c r="AD48" s="1173"/>
      <c r="AE48" s="2059"/>
      <c r="AF48" s="1196"/>
      <c r="AG48" s="2053"/>
      <c r="AH48" s="1961" t="e">
        <v>#REF!</v>
      </c>
      <c r="AI48" s="1964" t="e">
        <v>#REF!</v>
      </c>
      <c r="AJ48" s="1959"/>
      <c r="AK48" s="1168" t="s">
        <v>1020</v>
      </c>
      <c r="AL48" s="1169">
        <v>3000</v>
      </c>
      <c r="AM48" s="1170">
        <v>3400</v>
      </c>
      <c r="AN48" s="1972"/>
      <c r="AO48" s="2046"/>
      <c r="AP48" s="1972"/>
      <c r="AQ48" s="2049"/>
      <c r="AR48" s="1959"/>
      <c r="AS48" s="1997"/>
      <c r="AT48" s="2053"/>
      <c r="AU48" s="1194"/>
      <c r="AV48" s="2053"/>
      <c r="AW48" s="1970"/>
      <c r="AX48" s="1972"/>
      <c r="AY48" s="1974"/>
      <c r="AZ48" s="1968"/>
      <c r="BA48" s="1999"/>
      <c r="BB48" s="1967"/>
      <c r="BC48" s="1967"/>
      <c r="BD48" s="1981"/>
      <c r="BE48" s="1114"/>
      <c r="BF48" s="2052"/>
    </row>
    <row r="49" spans="1:58" s="25" customFormat="1" ht="13.5" customHeight="1">
      <c r="A49" s="2001"/>
      <c r="B49" s="2004"/>
      <c r="C49" s="2056" t="s">
        <v>1021</v>
      </c>
      <c r="D49" s="1115" t="s">
        <v>1022</v>
      </c>
      <c r="E49" s="1112"/>
      <c r="F49" s="1158">
        <v>95830</v>
      </c>
      <c r="G49" s="1159">
        <v>164660</v>
      </c>
      <c r="H49" s="1158">
        <v>91930</v>
      </c>
      <c r="I49" s="1159">
        <v>160760</v>
      </c>
      <c r="J49" s="1144" t="s">
        <v>255</v>
      </c>
      <c r="K49" s="1160">
        <v>840</v>
      </c>
      <c r="L49" s="1161">
        <v>1520</v>
      </c>
      <c r="M49" s="1162" t="s">
        <v>1017</v>
      </c>
      <c r="N49" s="1160">
        <v>810</v>
      </c>
      <c r="O49" s="1161">
        <v>1490</v>
      </c>
      <c r="P49" s="1162" t="s">
        <v>1017</v>
      </c>
      <c r="Q49" s="1172"/>
      <c r="R49" s="1173"/>
      <c r="S49" s="1174"/>
      <c r="T49" s="2059"/>
      <c r="U49" s="32"/>
      <c r="V49" s="1165" t="s">
        <v>1047</v>
      </c>
      <c r="W49" s="1972"/>
      <c r="X49" s="1166" t="s">
        <v>1047</v>
      </c>
      <c r="Y49" s="1189"/>
      <c r="Z49" s="2060"/>
      <c r="AA49" s="1165"/>
      <c r="AB49" s="2058"/>
      <c r="AC49" s="1173"/>
      <c r="AD49" s="1173"/>
      <c r="AE49" s="2059"/>
      <c r="AF49" s="1196"/>
      <c r="AG49" s="2053"/>
      <c r="AH49" s="1961" t="e">
        <v>#REF!</v>
      </c>
      <c r="AI49" s="1964" t="e">
        <v>#REF!</v>
      </c>
      <c r="AJ49" s="1959"/>
      <c r="AK49" s="1168" t="s">
        <v>1023</v>
      </c>
      <c r="AL49" s="1169">
        <v>2600</v>
      </c>
      <c r="AM49" s="1170">
        <v>2900</v>
      </c>
      <c r="AN49" s="1972"/>
      <c r="AO49" s="2046"/>
      <c r="AP49" s="1972"/>
      <c r="AQ49" s="2049"/>
      <c r="AR49" s="1152"/>
      <c r="AS49" s="1176"/>
      <c r="AT49" s="2053"/>
      <c r="AU49" s="1194"/>
      <c r="AV49" s="2053"/>
      <c r="AW49" s="1970"/>
      <c r="AX49" s="1972"/>
      <c r="AY49" s="1974"/>
      <c r="AZ49" s="1968"/>
      <c r="BA49" s="1978">
        <v>0.02</v>
      </c>
      <c r="BB49" s="1976">
        <v>0.03</v>
      </c>
      <c r="BC49" s="1976">
        <v>0.05</v>
      </c>
      <c r="BD49" s="1982">
        <v>7.0000000000000007E-2</v>
      </c>
      <c r="BE49" s="1114"/>
      <c r="BF49" s="2044"/>
    </row>
    <row r="50" spans="1:58" s="25" customFormat="1" ht="13.5" customHeight="1">
      <c r="A50" s="2001"/>
      <c r="B50" s="2004"/>
      <c r="C50" s="2057"/>
      <c r="D50" s="1116" t="s">
        <v>133</v>
      </c>
      <c r="E50" s="1112"/>
      <c r="F50" s="1177">
        <v>164660</v>
      </c>
      <c r="G50" s="1178"/>
      <c r="H50" s="1177">
        <v>160760</v>
      </c>
      <c r="I50" s="1178"/>
      <c r="J50" s="1144" t="s">
        <v>255</v>
      </c>
      <c r="K50" s="1163">
        <v>1520</v>
      </c>
      <c r="L50" s="1179"/>
      <c r="M50" s="1180" t="s">
        <v>1017</v>
      </c>
      <c r="N50" s="1163">
        <v>1490</v>
      </c>
      <c r="O50" s="1179"/>
      <c r="P50" s="1180" t="s">
        <v>1017</v>
      </c>
      <c r="Q50" s="1172"/>
      <c r="R50" s="1173"/>
      <c r="S50" s="1181"/>
      <c r="T50" s="2059"/>
      <c r="U50" s="32"/>
      <c r="V50" s="1165">
        <v>528100</v>
      </c>
      <c r="W50" s="1972"/>
      <c r="X50" s="1166">
        <v>5280</v>
      </c>
      <c r="Y50" s="1152"/>
      <c r="Z50" s="2060"/>
      <c r="AA50" s="1166"/>
      <c r="AB50" s="2058"/>
      <c r="AC50" s="1173"/>
      <c r="AD50" s="1173"/>
      <c r="AE50" s="2059"/>
      <c r="AF50" s="1196"/>
      <c r="AG50" s="2053"/>
      <c r="AH50" s="1962" t="e">
        <v>#REF!</v>
      </c>
      <c r="AI50" s="1965" t="e">
        <v>#REF!</v>
      </c>
      <c r="AJ50" s="1959"/>
      <c r="AK50" s="1183" t="s">
        <v>1024</v>
      </c>
      <c r="AL50" s="1184">
        <v>2400</v>
      </c>
      <c r="AM50" s="1185">
        <v>2600</v>
      </c>
      <c r="AN50" s="1972"/>
      <c r="AO50" s="2047"/>
      <c r="AP50" s="1972"/>
      <c r="AQ50" s="2050"/>
      <c r="AR50" s="1152"/>
      <c r="AS50" s="1176"/>
      <c r="AT50" s="2053"/>
      <c r="AU50" s="1194"/>
      <c r="AV50" s="2053"/>
      <c r="AW50" s="1971"/>
      <c r="AX50" s="1972"/>
      <c r="AY50" s="1975"/>
      <c r="AZ50" s="1968"/>
      <c r="BA50" s="1979"/>
      <c r="BB50" s="1977"/>
      <c r="BC50" s="1977"/>
      <c r="BD50" s="1983"/>
      <c r="BE50" s="1114"/>
      <c r="BF50" s="2044"/>
    </row>
    <row r="51" spans="1:58" s="25" customFormat="1" ht="13.5" customHeight="1">
      <c r="A51" s="2001"/>
      <c r="B51" s="2003" t="s">
        <v>1048</v>
      </c>
      <c r="C51" s="2005" t="s">
        <v>1016</v>
      </c>
      <c r="D51" s="1111" t="s">
        <v>554</v>
      </c>
      <c r="E51" s="1112"/>
      <c r="F51" s="1142">
        <v>31260</v>
      </c>
      <c r="G51" s="1143">
        <v>38140</v>
      </c>
      <c r="H51" s="1142">
        <v>27650</v>
      </c>
      <c r="I51" s="1143">
        <v>34530</v>
      </c>
      <c r="J51" s="1144" t="s">
        <v>255</v>
      </c>
      <c r="K51" s="1145">
        <v>290</v>
      </c>
      <c r="L51" s="1146">
        <v>350</v>
      </c>
      <c r="M51" s="1147" t="s">
        <v>1017</v>
      </c>
      <c r="N51" s="1145">
        <v>250</v>
      </c>
      <c r="O51" s="1146">
        <v>310</v>
      </c>
      <c r="P51" s="1147" t="s">
        <v>1017</v>
      </c>
      <c r="Q51" s="1144" t="s">
        <v>255</v>
      </c>
      <c r="R51" s="1148">
        <v>6880</v>
      </c>
      <c r="S51" s="1149">
        <v>60</v>
      </c>
      <c r="T51" s="2058"/>
      <c r="U51" s="32"/>
      <c r="V51" s="1190"/>
      <c r="W51" s="1972"/>
      <c r="X51" s="1191"/>
      <c r="Y51" s="1192"/>
      <c r="Z51" s="2060"/>
      <c r="AA51" s="1190"/>
      <c r="AB51" s="2058"/>
      <c r="AC51" s="1173"/>
      <c r="AD51" s="1173"/>
      <c r="AE51" s="2059"/>
      <c r="AF51" s="1196"/>
      <c r="AG51" s="2053" t="s">
        <v>255</v>
      </c>
      <c r="AH51" s="1960">
        <v>2600</v>
      </c>
      <c r="AI51" s="1963">
        <v>2900</v>
      </c>
      <c r="AJ51" s="1959" t="s">
        <v>255</v>
      </c>
      <c r="AK51" s="1154" t="s">
        <v>1019</v>
      </c>
      <c r="AL51" s="1155">
        <v>5100</v>
      </c>
      <c r="AM51" s="1156">
        <v>5700</v>
      </c>
      <c r="AN51" s="1972" t="s">
        <v>255</v>
      </c>
      <c r="AO51" s="2045">
        <v>3170</v>
      </c>
      <c r="AP51" s="1972" t="s">
        <v>255</v>
      </c>
      <c r="AQ51" s="2048">
        <v>30</v>
      </c>
      <c r="AR51" s="1959" t="s">
        <v>255</v>
      </c>
      <c r="AS51" s="1996">
        <v>4700</v>
      </c>
      <c r="AT51" s="2053"/>
      <c r="AU51" s="1194"/>
      <c r="AV51" s="2053" t="s">
        <v>78</v>
      </c>
      <c r="AW51" s="1969">
        <v>3620</v>
      </c>
      <c r="AX51" s="1972" t="s">
        <v>255</v>
      </c>
      <c r="AY51" s="1973">
        <v>30</v>
      </c>
      <c r="AZ51" s="1968" t="s">
        <v>78</v>
      </c>
      <c r="BA51" s="1998" t="s">
        <v>262</v>
      </c>
      <c r="BB51" s="1966" t="s">
        <v>262</v>
      </c>
      <c r="BC51" s="1966" t="s">
        <v>262</v>
      </c>
      <c r="BD51" s="1980" t="s">
        <v>262</v>
      </c>
      <c r="BE51" s="1114"/>
      <c r="BF51" s="2051"/>
    </row>
    <row r="52" spans="1:58" ht="13.5" customHeight="1">
      <c r="A52" s="2001"/>
      <c r="B52" s="2004"/>
      <c r="C52" s="2006"/>
      <c r="D52" s="1115" t="s">
        <v>556</v>
      </c>
      <c r="E52" s="1112"/>
      <c r="F52" s="1158">
        <v>38140</v>
      </c>
      <c r="G52" s="1159">
        <v>94590</v>
      </c>
      <c r="H52" s="1158">
        <v>34530</v>
      </c>
      <c r="I52" s="1159">
        <v>90980</v>
      </c>
      <c r="J52" s="1144" t="s">
        <v>255</v>
      </c>
      <c r="K52" s="1160">
        <v>350</v>
      </c>
      <c r="L52" s="1161">
        <v>830</v>
      </c>
      <c r="M52" s="1162" t="s">
        <v>1017</v>
      </c>
      <c r="N52" s="1160">
        <v>310</v>
      </c>
      <c r="O52" s="1161">
        <v>800</v>
      </c>
      <c r="P52" s="1162" t="s">
        <v>1017</v>
      </c>
      <c r="Q52" s="1144" t="s">
        <v>255</v>
      </c>
      <c r="R52" s="1163">
        <v>6880</v>
      </c>
      <c r="S52" s="1164">
        <v>60</v>
      </c>
      <c r="T52" s="2058"/>
      <c r="U52" s="32"/>
      <c r="V52" s="1165" t="s">
        <v>1049</v>
      </c>
      <c r="W52" s="1972"/>
      <c r="X52" s="1166" t="s">
        <v>1049</v>
      </c>
      <c r="Y52" s="1189"/>
      <c r="Z52" s="2060"/>
      <c r="AA52" s="1165"/>
      <c r="AB52" s="2058"/>
      <c r="AC52" s="1173"/>
      <c r="AD52" s="1173"/>
      <c r="AE52" s="2059"/>
      <c r="AF52" s="1196"/>
      <c r="AG52" s="2053"/>
      <c r="AH52" s="1961" t="e">
        <v>#REF!</v>
      </c>
      <c r="AI52" s="1964" t="e">
        <v>#REF!</v>
      </c>
      <c r="AJ52" s="1959"/>
      <c r="AK52" s="1168" t="s">
        <v>1020</v>
      </c>
      <c r="AL52" s="1169">
        <v>2800</v>
      </c>
      <c r="AM52" s="1170">
        <v>3100</v>
      </c>
      <c r="AN52" s="1972"/>
      <c r="AO52" s="2046"/>
      <c r="AP52" s="1972"/>
      <c r="AQ52" s="2049"/>
      <c r="AR52" s="1959"/>
      <c r="AS52" s="1997"/>
      <c r="AT52" s="2053"/>
      <c r="AU52" s="1194"/>
      <c r="AV52" s="2053"/>
      <c r="AW52" s="1970"/>
      <c r="AX52" s="1972"/>
      <c r="AY52" s="1974"/>
      <c r="AZ52" s="1968"/>
      <c r="BA52" s="1999"/>
      <c r="BB52" s="1967"/>
      <c r="BC52" s="1967"/>
      <c r="BD52" s="1981"/>
      <c r="BE52" s="1114"/>
      <c r="BF52" s="2052"/>
    </row>
    <row r="53" spans="1:58" ht="13.5" customHeight="1">
      <c r="A53" s="2001"/>
      <c r="B53" s="2004"/>
      <c r="C53" s="2056" t="s">
        <v>1021</v>
      </c>
      <c r="D53" s="1115" t="s">
        <v>1022</v>
      </c>
      <c r="E53" s="1112"/>
      <c r="F53" s="1158">
        <v>94590</v>
      </c>
      <c r="G53" s="1159">
        <v>163420</v>
      </c>
      <c r="H53" s="1158">
        <v>90980</v>
      </c>
      <c r="I53" s="1159">
        <v>159810</v>
      </c>
      <c r="J53" s="1144" t="s">
        <v>255</v>
      </c>
      <c r="K53" s="1160">
        <v>830</v>
      </c>
      <c r="L53" s="1161">
        <v>1510</v>
      </c>
      <c r="M53" s="1162" t="s">
        <v>1017</v>
      </c>
      <c r="N53" s="1160">
        <v>800</v>
      </c>
      <c r="O53" s="1161">
        <v>1480</v>
      </c>
      <c r="P53" s="1162" t="s">
        <v>1017</v>
      </c>
      <c r="Q53" s="1172"/>
      <c r="R53" s="1173"/>
      <c r="S53" s="1174"/>
      <c r="T53" s="2059"/>
      <c r="U53" s="32"/>
      <c r="V53" s="1165">
        <v>562000</v>
      </c>
      <c r="W53" s="1972"/>
      <c r="X53" s="1166">
        <v>5620</v>
      </c>
      <c r="Y53" s="1152"/>
      <c r="Z53" s="2060"/>
      <c r="AA53" s="1166"/>
      <c r="AB53" s="2058"/>
      <c r="AC53" s="1173"/>
      <c r="AD53" s="1173"/>
      <c r="AE53" s="2059"/>
      <c r="AF53" s="1196"/>
      <c r="AG53" s="2053"/>
      <c r="AH53" s="1961" t="e">
        <v>#REF!</v>
      </c>
      <c r="AI53" s="1964" t="e">
        <v>#REF!</v>
      </c>
      <c r="AJ53" s="1959"/>
      <c r="AK53" s="1168" t="s">
        <v>1023</v>
      </c>
      <c r="AL53" s="1169">
        <v>2400</v>
      </c>
      <c r="AM53" s="1170">
        <v>2700</v>
      </c>
      <c r="AN53" s="1972"/>
      <c r="AO53" s="2046"/>
      <c r="AP53" s="1972"/>
      <c r="AQ53" s="2049"/>
      <c r="AR53" s="1152"/>
      <c r="AS53" s="1176"/>
      <c r="AT53" s="2053"/>
      <c r="AU53" s="1194"/>
      <c r="AV53" s="2053"/>
      <c r="AW53" s="1970"/>
      <c r="AX53" s="1972"/>
      <c r="AY53" s="1974"/>
      <c r="AZ53" s="1968"/>
      <c r="BA53" s="1978">
        <v>0.02</v>
      </c>
      <c r="BB53" s="1976">
        <v>0.03</v>
      </c>
      <c r="BC53" s="1976">
        <v>0.05</v>
      </c>
      <c r="BD53" s="1982">
        <v>7.0000000000000007E-2</v>
      </c>
      <c r="BE53" s="1114"/>
      <c r="BF53" s="2044"/>
    </row>
    <row r="54" spans="1:58" ht="13.5" customHeight="1">
      <c r="A54" s="2001"/>
      <c r="B54" s="2004"/>
      <c r="C54" s="2057"/>
      <c r="D54" s="1116" t="s">
        <v>133</v>
      </c>
      <c r="E54" s="1112"/>
      <c r="F54" s="1177">
        <v>163420</v>
      </c>
      <c r="G54" s="1178"/>
      <c r="H54" s="1177">
        <v>159810</v>
      </c>
      <c r="I54" s="1178"/>
      <c r="J54" s="1144" t="s">
        <v>255</v>
      </c>
      <c r="K54" s="1163">
        <v>1510</v>
      </c>
      <c r="L54" s="1179"/>
      <c r="M54" s="1180" t="s">
        <v>1017</v>
      </c>
      <c r="N54" s="1163">
        <v>1480</v>
      </c>
      <c r="O54" s="1179"/>
      <c r="P54" s="1180" t="s">
        <v>1017</v>
      </c>
      <c r="Q54" s="1172"/>
      <c r="R54" s="1173"/>
      <c r="S54" s="1181"/>
      <c r="T54" s="2059"/>
      <c r="U54" s="32"/>
      <c r="V54" s="1190"/>
      <c r="W54" s="1972"/>
      <c r="X54" s="1191"/>
      <c r="Y54" s="1192"/>
      <c r="Z54" s="2060"/>
      <c r="AA54" s="1190"/>
      <c r="AB54" s="2058"/>
      <c r="AC54" s="1173"/>
      <c r="AD54" s="1173"/>
      <c r="AE54" s="2059"/>
      <c r="AF54" s="1196"/>
      <c r="AG54" s="2053"/>
      <c r="AH54" s="1962" t="e">
        <v>#REF!</v>
      </c>
      <c r="AI54" s="1965" t="e">
        <v>#REF!</v>
      </c>
      <c r="AJ54" s="1959"/>
      <c r="AK54" s="1183" t="s">
        <v>1024</v>
      </c>
      <c r="AL54" s="1184">
        <v>2200</v>
      </c>
      <c r="AM54" s="1185">
        <v>2400</v>
      </c>
      <c r="AN54" s="1972"/>
      <c r="AO54" s="2047"/>
      <c r="AP54" s="1972"/>
      <c r="AQ54" s="2050"/>
      <c r="AR54" s="1152"/>
      <c r="AS54" s="1176"/>
      <c r="AT54" s="2053"/>
      <c r="AU54" s="1194"/>
      <c r="AV54" s="2053"/>
      <c r="AW54" s="1971"/>
      <c r="AX54" s="1972"/>
      <c r="AY54" s="1975"/>
      <c r="AZ54" s="1968"/>
      <c r="BA54" s="1979"/>
      <c r="BB54" s="1977"/>
      <c r="BC54" s="1977"/>
      <c r="BD54" s="1983"/>
      <c r="BE54" s="1114"/>
      <c r="BF54" s="2044"/>
    </row>
    <row r="55" spans="1:58" ht="13.5" customHeight="1">
      <c r="A55" s="2001"/>
      <c r="B55" s="2003" t="s">
        <v>1050</v>
      </c>
      <c r="C55" s="2005" t="s">
        <v>1016</v>
      </c>
      <c r="D55" s="1111" t="s">
        <v>554</v>
      </c>
      <c r="E55" s="1112"/>
      <c r="F55" s="1142">
        <v>30220</v>
      </c>
      <c r="G55" s="1143">
        <v>37100</v>
      </c>
      <c r="H55" s="1142">
        <v>26870</v>
      </c>
      <c r="I55" s="1143">
        <v>33750</v>
      </c>
      <c r="J55" s="1144" t="s">
        <v>255</v>
      </c>
      <c r="K55" s="1145">
        <v>280</v>
      </c>
      <c r="L55" s="1146">
        <v>340</v>
      </c>
      <c r="M55" s="1147" t="s">
        <v>1017</v>
      </c>
      <c r="N55" s="1145">
        <v>250</v>
      </c>
      <c r="O55" s="1146">
        <v>310</v>
      </c>
      <c r="P55" s="1147" t="s">
        <v>1017</v>
      </c>
      <c r="Q55" s="1144" t="s">
        <v>255</v>
      </c>
      <c r="R55" s="1148">
        <v>6880</v>
      </c>
      <c r="S55" s="1149">
        <v>60</v>
      </c>
      <c r="T55" s="2058"/>
      <c r="U55" s="32"/>
      <c r="V55" s="1165" t="s">
        <v>1051</v>
      </c>
      <c r="W55" s="1972"/>
      <c r="X55" s="1166" t="s">
        <v>1051</v>
      </c>
      <c r="Y55" s="1189"/>
      <c r="Z55" s="2060"/>
      <c r="AA55" s="1165"/>
      <c r="AB55" s="2058"/>
      <c r="AC55" s="1173"/>
      <c r="AD55" s="1173"/>
      <c r="AE55" s="2059"/>
      <c r="AF55" s="1196"/>
      <c r="AG55" s="2053" t="s">
        <v>255</v>
      </c>
      <c r="AH55" s="1960">
        <v>2800</v>
      </c>
      <c r="AI55" s="1963">
        <v>3100</v>
      </c>
      <c r="AJ55" s="1959" t="s">
        <v>255</v>
      </c>
      <c r="AK55" s="1154" t="s">
        <v>1019</v>
      </c>
      <c r="AL55" s="1155">
        <v>5500</v>
      </c>
      <c r="AM55" s="1156">
        <v>6200</v>
      </c>
      <c r="AN55" s="1972" t="s">
        <v>255</v>
      </c>
      <c r="AO55" s="2045">
        <v>2950</v>
      </c>
      <c r="AP55" s="1972" t="s">
        <v>255</v>
      </c>
      <c r="AQ55" s="2048">
        <v>20</v>
      </c>
      <c r="AR55" s="1959" t="s">
        <v>255</v>
      </c>
      <c r="AS55" s="1996">
        <v>4700</v>
      </c>
      <c r="AT55" s="2053"/>
      <c r="AU55" s="1194"/>
      <c r="AV55" s="2053" t="s">
        <v>78</v>
      </c>
      <c r="AW55" s="1969">
        <v>3360</v>
      </c>
      <c r="AX55" s="1972" t="s">
        <v>255</v>
      </c>
      <c r="AY55" s="1973">
        <v>30</v>
      </c>
      <c r="AZ55" s="1968" t="s">
        <v>78</v>
      </c>
      <c r="BA55" s="1998" t="s">
        <v>262</v>
      </c>
      <c r="BB55" s="1966" t="s">
        <v>262</v>
      </c>
      <c r="BC55" s="1966" t="s">
        <v>262</v>
      </c>
      <c r="BD55" s="1980" t="s">
        <v>262</v>
      </c>
      <c r="BE55" s="1114"/>
      <c r="BF55" s="2051"/>
    </row>
    <row r="56" spans="1:58" ht="13.5" customHeight="1">
      <c r="A56" s="2001"/>
      <c r="B56" s="2004"/>
      <c r="C56" s="2006"/>
      <c r="D56" s="1115" t="s">
        <v>556</v>
      </c>
      <c r="E56" s="1112"/>
      <c r="F56" s="1158">
        <v>37100</v>
      </c>
      <c r="G56" s="1159">
        <v>93550</v>
      </c>
      <c r="H56" s="1158">
        <v>33750</v>
      </c>
      <c r="I56" s="1159">
        <v>90200</v>
      </c>
      <c r="J56" s="1144" t="s">
        <v>255</v>
      </c>
      <c r="K56" s="1160">
        <v>340</v>
      </c>
      <c r="L56" s="1161">
        <v>820</v>
      </c>
      <c r="M56" s="1162" t="s">
        <v>1017</v>
      </c>
      <c r="N56" s="1160">
        <v>310</v>
      </c>
      <c r="O56" s="1161">
        <v>790</v>
      </c>
      <c r="P56" s="1162" t="s">
        <v>1017</v>
      </c>
      <c r="Q56" s="1144" t="s">
        <v>255</v>
      </c>
      <c r="R56" s="1163">
        <v>6880</v>
      </c>
      <c r="S56" s="1164">
        <v>60</v>
      </c>
      <c r="T56" s="2059"/>
      <c r="U56" s="32"/>
      <c r="V56" s="1165">
        <v>595800</v>
      </c>
      <c r="W56" s="1972"/>
      <c r="X56" s="1166">
        <v>5950</v>
      </c>
      <c r="Y56" s="1152"/>
      <c r="Z56" s="2060"/>
      <c r="AA56" s="1166"/>
      <c r="AB56" s="2058"/>
      <c r="AC56" s="1173"/>
      <c r="AD56" s="1173"/>
      <c r="AE56" s="2059"/>
      <c r="AF56" s="1196"/>
      <c r="AG56" s="2053"/>
      <c r="AH56" s="1961" t="e">
        <v>#REF!</v>
      </c>
      <c r="AI56" s="1964" t="e">
        <v>#REF!</v>
      </c>
      <c r="AJ56" s="1959"/>
      <c r="AK56" s="1168" t="s">
        <v>1020</v>
      </c>
      <c r="AL56" s="1169">
        <v>3000</v>
      </c>
      <c r="AM56" s="1170">
        <v>3400</v>
      </c>
      <c r="AN56" s="1972"/>
      <c r="AO56" s="2046"/>
      <c r="AP56" s="1972"/>
      <c r="AQ56" s="2049"/>
      <c r="AR56" s="1959"/>
      <c r="AS56" s="1997"/>
      <c r="AT56" s="2053"/>
      <c r="AU56" s="1194"/>
      <c r="AV56" s="2053"/>
      <c r="AW56" s="1970"/>
      <c r="AX56" s="1972"/>
      <c r="AY56" s="1974"/>
      <c r="AZ56" s="1968"/>
      <c r="BA56" s="1999"/>
      <c r="BB56" s="1967"/>
      <c r="BC56" s="1967"/>
      <c r="BD56" s="1981"/>
      <c r="BE56" s="1114"/>
      <c r="BF56" s="2052"/>
    </row>
    <row r="57" spans="1:58" ht="13.5" customHeight="1">
      <c r="A57" s="2001"/>
      <c r="B57" s="2004"/>
      <c r="C57" s="2056" t="s">
        <v>1021</v>
      </c>
      <c r="D57" s="1115" t="s">
        <v>1022</v>
      </c>
      <c r="E57" s="1112"/>
      <c r="F57" s="1158">
        <v>93550</v>
      </c>
      <c r="G57" s="1159">
        <v>162380</v>
      </c>
      <c r="H57" s="1158">
        <v>90200</v>
      </c>
      <c r="I57" s="1159">
        <v>159030</v>
      </c>
      <c r="J57" s="1144" t="s">
        <v>255</v>
      </c>
      <c r="K57" s="1160">
        <v>820</v>
      </c>
      <c r="L57" s="1161">
        <v>1500</v>
      </c>
      <c r="M57" s="1162" t="s">
        <v>1017</v>
      </c>
      <c r="N57" s="1160">
        <v>790</v>
      </c>
      <c r="O57" s="1161">
        <v>1470</v>
      </c>
      <c r="P57" s="1162" t="s">
        <v>1017</v>
      </c>
      <c r="Q57" s="1172"/>
      <c r="R57" s="1173"/>
      <c r="S57" s="1174"/>
      <c r="T57" s="2059"/>
      <c r="U57" s="32"/>
      <c r="V57" s="1190"/>
      <c r="W57" s="1972"/>
      <c r="X57" s="1191"/>
      <c r="Y57" s="1192"/>
      <c r="Z57" s="2060"/>
      <c r="AA57" s="1190"/>
      <c r="AB57" s="2058"/>
      <c r="AC57" s="1173"/>
      <c r="AD57" s="1173"/>
      <c r="AE57" s="2059"/>
      <c r="AF57" s="1196"/>
      <c r="AG57" s="2053"/>
      <c r="AH57" s="1961" t="e">
        <v>#REF!</v>
      </c>
      <c r="AI57" s="1964" t="e">
        <v>#REF!</v>
      </c>
      <c r="AJ57" s="1959"/>
      <c r="AK57" s="1168" t="s">
        <v>1023</v>
      </c>
      <c r="AL57" s="1169">
        <v>2600</v>
      </c>
      <c r="AM57" s="1170">
        <v>2900</v>
      </c>
      <c r="AN57" s="1972"/>
      <c r="AO57" s="2046"/>
      <c r="AP57" s="1972"/>
      <c r="AQ57" s="2049"/>
      <c r="AR57" s="1152"/>
      <c r="AS57" s="1176"/>
      <c r="AT57" s="2053"/>
      <c r="AU57" s="1194"/>
      <c r="AV57" s="2053"/>
      <c r="AW57" s="1970"/>
      <c r="AX57" s="1972"/>
      <c r="AY57" s="1974"/>
      <c r="AZ57" s="1968"/>
      <c r="BA57" s="1978">
        <v>0.02</v>
      </c>
      <c r="BB57" s="1976">
        <v>0.03</v>
      </c>
      <c r="BC57" s="1976">
        <v>0.05</v>
      </c>
      <c r="BD57" s="1982">
        <v>7.0000000000000007E-2</v>
      </c>
      <c r="BE57" s="1114"/>
      <c r="BF57" s="2044"/>
    </row>
    <row r="58" spans="1:58" s="5" customFormat="1" ht="13.5" customHeight="1">
      <c r="A58" s="2001"/>
      <c r="B58" s="2004"/>
      <c r="C58" s="2057"/>
      <c r="D58" s="1116" t="s">
        <v>133</v>
      </c>
      <c r="E58" s="1112"/>
      <c r="F58" s="1177">
        <v>162380</v>
      </c>
      <c r="G58" s="1178"/>
      <c r="H58" s="1177">
        <v>159030</v>
      </c>
      <c r="I58" s="1178"/>
      <c r="J58" s="1144" t="s">
        <v>255</v>
      </c>
      <c r="K58" s="1163">
        <v>1500</v>
      </c>
      <c r="L58" s="1179"/>
      <c r="M58" s="1180" t="s">
        <v>1017</v>
      </c>
      <c r="N58" s="1163">
        <v>1470</v>
      </c>
      <c r="O58" s="1179"/>
      <c r="P58" s="1180" t="s">
        <v>1017</v>
      </c>
      <c r="Q58" s="1172"/>
      <c r="R58" s="1173"/>
      <c r="S58" s="1181"/>
      <c r="T58" s="2059"/>
      <c r="U58" s="32"/>
      <c r="V58" s="1165" t="s">
        <v>1052</v>
      </c>
      <c r="W58" s="1972"/>
      <c r="X58" s="1166" t="s">
        <v>1052</v>
      </c>
      <c r="Y58" s="1189"/>
      <c r="Z58" s="2060"/>
      <c r="AA58" s="1165"/>
      <c r="AB58" s="2058"/>
      <c r="AC58" s="1173"/>
      <c r="AD58" s="1173"/>
      <c r="AE58" s="2059"/>
      <c r="AF58" s="1196"/>
      <c r="AG58" s="2053"/>
      <c r="AH58" s="1962" t="e">
        <v>#REF!</v>
      </c>
      <c r="AI58" s="1965" t="e">
        <v>#REF!</v>
      </c>
      <c r="AJ58" s="1959"/>
      <c r="AK58" s="1183" t="s">
        <v>1024</v>
      </c>
      <c r="AL58" s="1184">
        <v>2400</v>
      </c>
      <c r="AM58" s="1185">
        <v>2600</v>
      </c>
      <c r="AN58" s="1972"/>
      <c r="AO58" s="2047"/>
      <c r="AP58" s="1972"/>
      <c r="AQ58" s="2050"/>
      <c r="AR58" s="1152"/>
      <c r="AS58" s="1176"/>
      <c r="AT58" s="2053"/>
      <c r="AU58" s="1194"/>
      <c r="AV58" s="2053"/>
      <c r="AW58" s="1971"/>
      <c r="AX58" s="1972"/>
      <c r="AY58" s="1975"/>
      <c r="AZ58" s="1968"/>
      <c r="BA58" s="1979"/>
      <c r="BB58" s="1977"/>
      <c r="BC58" s="1977"/>
      <c r="BD58" s="1983"/>
      <c r="BE58" s="1114"/>
      <c r="BF58" s="2044"/>
    </row>
    <row r="59" spans="1:58" s="5" customFormat="1" ht="13.5" customHeight="1">
      <c r="A59" s="2001"/>
      <c r="B59" s="2003" t="s">
        <v>1053</v>
      </c>
      <c r="C59" s="2005" t="s">
        <v>1016</v>
      </c>
      <c r="D59" s="1111" t="s">
        <v>554</v>
      </c>
      <c r="E59" s="1112"/>
      <c r="F59" s="1142">
        <v>29300</v>
      </c>
      <c r="G59" s="1143">
        <v>36180</v>
      </c>
      <c r="H59" s="1142">
        <v>26180</v>
      </c>
      <c r="I59" s="1143">
        <v>33060</v>
      </c>
      <c r="J59" s="1144" t="s">
        <v>255</v>
      </c>
      <c r="K59" s="1145">
        <v>270</v>
      </c>
      <c r="L59" s="1146">
        <v>330</v>
      </c>
      <c r="M59" s="1147" t="s">
        <v>1017</v>
      </c>
      <c r="N59" s="1145">
        <v>240</v>
      </c>
      <c r="O59" s="1146">
        <v>300</v>
      </c>
      <c r="P59" s="1147" t="s">
        <v>1017</v>
      </c>
      <c r="Q59" s="1144" t="s">
        <v>255</v>
      </c>
      <c r="R59" s="1148">
        <v>6880</v>
      </c>
      <c r="S59" s="1149">
        <v>60</v>
      </c>
      <c r="T59" s="2058"/>
      <c r="U59" s="32"/>
      <c r="V59" s="1165">
        <v>629600</v>
      </c>
      <c r="W59" s="1972"/>
      <c r="X59" s="1166">
        <v>6290</v>
      </c>
      <c r="Y59" s="1152"/>
      <c r="Z59" s="2060"/>
      <c r="AA59" s="1166"/>
      <c r="AB59" s="2058"/>
      <c r="AC59" s="1173"/>
      <c r="AD59" s="1173"/>
      <c r="AE59" s="2059"/>
      <c r="AF59" s="1196"/>
      <c r="AG59" s="2053" t="s">
        <v>255</v>
      </c>
      <c r="AH59" s="1960">
        <v>2600</v>
      </c>
      <c r="AI59" s="1963">
        <v>2900</v>
      </c>
      <c r="AJ59" s="1959" t="s">
        <v>255</v>
      </c>
      <c r="AK59" s="1154" t="s">
        <v>1019</v>
      </c>
      <c r="AL59" s="1155">
        <v>5400</v>
      </c>
      <c r="AM59" s="1156">
        <v>6000</v>
      </c>
      <c r="AN59" s="1972" t="s">
        <v>255</v>
      </c>
      <c r="AO59" s="2045">
        <v>2750</v>
      </c>
      <c r="AP59" s="1972" t="s">
        <v>255</v>
      </c>
      <c r="AQ59" s="2048">
        <v>20</v>
      </c>
      <c r="AR59" s="1959" t="s">
        <v>255</v>
      </c>
      <c r="AS59" s="1996">
        <v>4700</v>
      </c>
      <c r="AT59" s="2053"/>
      <c r="AU59" s="1194"/>
      <c r="AV59" s="2053" t="s">
        <v>78</v>
      </c>
      <c r="AW59" s="1969">
        <v>3130</v>
      </c>
      <c r="AX59" s="1972" t="s">
        <v>255</v>
      </c>
      <c r="AY59" s="1973">
        <v>30</v>
      </c>
      <c r="AZ59" s="1968" t="s">
        <v>78</v>
      </c>
      <c r="BA59" s="1998" t="s">
        <v>262</v>
      </c>
      <c r="BB59" s="1966" t="s">
        <v>262</v>
      </c>
      <c r="BC59" s="1966" t="s">
        <v>262</v>
      </c>
      <c r="BD59" s="1980" t="s">
        <v>262</v>
      </c>
      <c r="BE59" s="1114"/>
      <c r="BF59" s="2051"/>
    </row>
    <row r="60" spans="1:58" s="25" customFormat="1" ht="13.5" customHeight="1">
      <c r="A60" s="2001"/>
      <c r="B60" s="2004"/>
      <c r="C60" s="2006"/>
      <c r="D60" s="1115" t="s">
        <v>556</v>
      </c>
      <c r="E60" s="1112"/>
      <c r="F60" s="1158">
        <v>36180</v>
      </c>
      <c r="G60" s="1159">
        <v>92630</v>
      </c>
      <c r="H60" s="1158">
        <v>33060</v>
      </c>
      <c r="I60" s="1159">
        <v>89510</v>
      </c>
      <c r="J60" s="1144" t="s">
        <v>255</v>
      </c>
      <c r="K60" s="1160">
        <v>330</v>
      </c>
      <c r="L60" s="1161">
        <v>810</v>
      </c>
      <c r="M60" s="1162" t="s">
        <v>1017</v>
      </c>
      <c r="N60" s="1160">
        <v>300</v>
      </c>
      <c r="O60" s="1161">
        <v>780</v>
      </c>
      <c r="P60" s="1162" t="s">
        <v>1017</v>
      </c>
      <c r="Q60" s="1144" t="s">
        <v>255</v>
      </c>
      <c r="R60" s="1163">
        <v>6880</v>
      </c>
      <c r="S60" s="1164">
        <v>60</v>
      </c>
      <c r="T60" s="2058"/>
      <c r="U60" s="32"/>
      <c r="V60" s="1190"/>
      <c r="W60" s="1972"/>
      <c r="X60" s="1191"/>
      <c r="Y60" s="1192"/>
      <c r="Z60" s="2060"/>
      <c r="AA60" s="1190"/>
      <c r="AB60" s="2058"/>
      <c r="AC60" s="1173"/>
      <c r="AD60" s="1173"/>
      <c r="AE60" s="2059"/>
      <c r="AF60" s="1196"/>
      <c r="AG60" s="2053"/>
      <c r="AH60" s="1961" t="e">
        <v>#REF!</v>
      </c>
      <c r="AI60" s="1964" t="e">
        <v>#REF!</v>
      </c>
      <c r="AJ60" s="1959"/>
      <c r="AK60" s="1168" t="s">
        <v>1020</v>
      </c>
      <c r="AL60" s="1169">
        <v>2900</v>
      </c>
      <c r="AM60" s="1170">
        <v>3300</v>
      </c>
      <c r="AN60" s="1972"/>
      <c r="AO60" s="2046"/>
      <c r="AP60" s="1972"/>
      <c r="AQ60" s="2049"/>
      <c r="AR60" s="1959"/>
      <c r="AS60" s="1997"/>
      <c r="AT60" s="2053"/>
      <c r="AU60" s="1194"/>
      <c r="AV60" s="2053"/>
      <c r="AW60" s="1970"/>
      <c r="AX60" s="1972"/>
      <c r="AY60" s="1974"/>
      <c r="AZ60" s="1968"/>
      <c r="BA60" s="1999"/>
      <c r="BB60" s="1967"/>
      <c r="BC60" s="1967"/>
      <c r="BD60" s="1981"/>
      <c r="BE60" s="1114"/>
      <c r="BF60" s="2052"/>
    </row>
    <row r="61" spans="1:58" s="25" customFormat="1" ht="13.5" customHeight="1">
      <c r="A61" s="2001"/>
      <c r="B61" s="2004"/>
      <c r="C61" s="2056" t="s">
        <v>1021</v>
      </c>
      <c r="D61" s="1115" t="s">
        <v>1022</v>
      </c>
      <c r="E61" s="1112"/>
      <c r="F61" s="1158">
        <v>92630</v>
      </c>
      <c r="G61" s="1159">
        <v>161460</v>
      </c>
      <c r="H61" s="1158">
        <v>89510</v>
      </c>
      <c r="I61" s="1159">
        <v>158340</v>
      </c>
      <c r="J61" s="1144" t="s">
        <v>255</v>
      </c>
      <c r="K61" s="1160">
        <v>810</v>
      </c>
      <c r="L61" s="1161">
        <v>1490</v>
      </c>
      <c r="M61" s="1162" t="s">
        <v>1017</v>
      </c>
      <c r="N61" s="1160">
        <v>780</v>
      </c>
      <c r="O61" s="1161">
        <v>1460</v>
      </c>
      <c r="P61" s="1162" t="s">
        <v>1017</v>
      </c>
      <c r="Q61" s="1172"/>
      <c r="R61" s="1173"/>
      <c r="S61" s="1174"/>
      <c r="T61" s="2059"/>
      <c r="U61" s="32"/>
      <c r="V61" s="1165" t="s">
        <v>1054</v>
      </c>
      <c r="W61" s="1972"/>
      <c r="X61" s="1166" t="s">
        <v>1054</v>
      </c>
      <c r="Y61" s="1189"/>
      <c r="Z61" s="2060"/>
      <c r="AA61" s="1165"/>
      <c r="AB61" s="2058"/>
      <c r="AC61" s="1173"/>
      <c r="AD61" s="1173"/>
      <c r="AE61" s="2059"/>
      <c r="AF61" s="1196"/>
      <c r="AG61" s="2053"/>
      <c r="AH61" s="1961" t="e">
        <v>#REF!</v>
      </c>
      <c r="AI61" s="1964" t="e">
        <v>#REF!</v>
      </c>
      <c r="AJ61" s="1959"/>
      <c r="AK61" s="1168" t="s">
        <v>1023</v>
      </c>
      <c r="AL61" s="1169">
        <v>2500</v>
      </c>
      <c r="AM61" s="1170">
        <v>2800</v>
      </c>
      <c r="AN61" s="1972"/>
      <c r="AO61" s="2046"/>
      <c r="AP61" s="1972"/>
      <c r="AQ61" s="2049"/>
      <c r="AR61" s="1152"/>
      <c r="AS61" s="1176"/>
      <c r="AT61" s="2053"/>
      <c r="AU61" s="1194"/>
      <c r="AV61" s="2053"/>
      <c r="AW61" s="1970"/>
      <c r="AX61" s="1972"/>
      <c r="AY61" s="1974"/>
      <c r="AZ61" s="1968"/>
      <c r="BA61" s="1978">
        <v>0.02</v>
      </c>
      <c r="BB61" s="1976">
        <v>0.03</v>
      </c>
      <c r="BC61" s="1976">
        <v>0.05</v>
      </c>
      <c r="BD61" s="1982">
        <v>7.0000000000000007E-2</v>
      </c>
      <c r="BE61" s="1114"/>
      <c r="BF61" s="2044"/>
    </row>
    <row r="62" spans="1:58" s="25" customFormat="1" ht="13.5" customHeight="1">
      <c r="A62" s="2001"/>
      <c r="B62" s="2004"/>
      <c r="C62" s="2057"/>
      <c r="D62" s="1116" t="s">
        <v>133</v>
      </c>
      <c r="E62" s="1112"/>
      <c r="F62" s="1177">
        <v>161460</v>
      </c>
      <c r="G62" s="1178"/>
      <c r="H62" s="1177">
        <v>158340</v>
      </c>
      <c r="I62" s="1178"/>
      <c r="J62" s="1144" t="s">
        <v>255</v>
      </c>
      <c r="K62" s="1163">
        <v>1490</v>
      </c>
      <c r="L62" s="1179"/>
      <c r="M62" s="1180" t="s">
        <v>1017</v>
      </c>
      <c r="N62" s="1163">
        <v>1460</v>
      </c>
      <c r="O62" s="1179"/>
      <c r="P62" s="1180" t="s">
        <v>1017</v>
      </c>
      <c r="Q62" s="1172"/>
      <c r="R62" s="1173"/>
      <c r="S62" s="1181"/>
      <c r="T62" s="2059"/>
      <c r="U62" s="32"/>
      <c r="V62" s="1165">
        <v>663500</v>
      </c>
      <c r="W62" s="1972"/>
      <c r="X62" s="1166">
        <v>6630</v>
      </c>
      <c r="Y62" s="1152"/>
      <c r="Z62" s="2060"/>
      <c r="AA62" s="1166"/>
      <c r="AB62" s="2058"/>
      <c r="AC62" s="1173"/>
      <c r="AD62" s="1173"/>
      <c r="AE62" s="2059"/>
      <c r="AF62" s="1196"/>
      <c r="AG62" s="2053"/>
      <c r="AH62" s="1962" t="e">
        <v>#REF!</v>
      </c>
      <c r="AI62" s="1965" t="e">
        <v>#REF!</v>
      </c>
      <c r="AJ62" s="1959"/>
      <c r="AK62" s="1183" t="s">
        <v>1024</v>
      </c>
      <c r="AL62" s="1184">
        <v>2300</v>
      </c>
      <c r="AM62" s="1185">
        <v>2500</v>
      </c>
      <c r="AN62" s="1972"/>
      <c r="AO62" s="2047"/>
      <c r="AP62" s="1972"/>
      <c r="AQ62" s="2050"/>
      <c r="AR62" s="1152"/>
      <c r="AS62" s="1176"/>
      <c r="AT62" s="2053"/>
      <c r="AU62" s="1194"/>
      <c r="AV62" s="2053"/>
      <c r="AW62" s="1971"/>
      <c r="AX62" s="1972"/>
      <c r="AY62" s="1975"/>
      <c r="AZ62" s="1968"/>
      <c r="BA62" s="1979"/>
      <c r="BB62" s="1977"/>
      <c r="BC62" s="1977"/>
      <c r="BD62" s="1983"/>
      <c r="BE62" s="1114"/>
      <c r="BF62" s="2044"/>
    </row>
    <row r="63" spans="1:58" s="25" customFormat="1" ht="13.5" customHeight="1">
      <c r="A63" s="2001"/>
      <c r="B63" s="2003" t="s">
        <v>1055</v>
      </c>
      <c r="C63" s="2005" t="s">
        <v>1016</v>
      </c>
      <c r="D63" s="1111" t="s">
        <v>554</v>
      </c>
      <c r="E63" s="1112"/>
      <c r="F63" s="1142">
        <v>29360</v>
      </c>
      <c r="G63" s="1143">
        <v>36240</v>
      </c>
      <c r="H63" s="1142">
        <v>26430</v>
      </c>
      <c r="I63" s="1143">
        <v>33310</v>
      </c>
      <c r="J63" s="1144" t="s">
        <v>255</v>
      </c>
      <c r="K63" s="1145">
        <v>270</v>
      </c>
      <c r="L63" s="1146">
        <v>330</v>
      </c>
      <c r="M63" s="1147" t="s">
        <v>1017</v>
      </c>
      <c r="N63" s="1145">
        <v>240</v>
      </c>
      <c r="O63" s="1146">
        <v>300</v>
      </c>
      <c r="P63" s="1147" t="s">
        <v>1017</v>
      </c>
      <c r="Q63" s="1144" t="s">
        <v>255</v>
      </c>
      <c r="R63" s="1148">
        <v>6880</v>
      </c>
      <c r="S63" s="1149">
        <v>60</v>
      </c>
      <c r="T63" s="2058"/>
      <c r="U63" s="32"/>
      <c r="V63" s="1190"/>
      <c r="W63" s="1972"/>
      <c r="X63" s="1166"/>
      <c r="Y63" s="1152"/>
      <c r="Z63" s="2060"/>
      <c r="AA63" s="1166"/>
      <c r="AB63" s="2058"/>
      <c r="AC63" s="1173"/>
      <c r="AD63" s="1173"/>
      <c r="AE63" s="2059"/>
      <c r="AF63" s="1196"/>
      <c r="AG63" s="2053" t="s">
        <v>255</v>
      </c>
      <c r="AH63" s="1960">
        <v>2400</v>
      </c>
      <c r="AI63" s="1963">
        <v>2700</v>
      </c>
      <c r="AJ63" s="1959" t="s">
        <v>255</v>
      </c>
      <c r="AK63" s="1154" t="s">
        <v>1019</v>
      </c>
      <c r="AL63" s="1155">
        <v>4800</v>
      </c>
      <c r="AM63" s="1156">
        <v>5400</v>
      </c>
      <c r="AN63" s="1972" t="s">
        <v>255</v>
      </c>
      <c r="AO63" s="2045">
        <v>2580</v>
      </c>
      <c r="AP63" s="1972" t="s">
        <v>255</v>
      </c>
      <c r="AQ63" s="2048">
        <v>20</v>
      </c>
      <c r="AR63" s="1959" t="s">
        <v>255</v>
      </c>
      <c r="AS63" s="1996">
        <v>4700</v>
      </c>
      <c r="AT63" s="2053"/>
      <c r="AU63" s="1194"/>
      <c r="AV63" s="2053" t="s">
        <v>78</v>
      </c>
      <c r="AW63" s="1969">
        <v>2940</v>
      </c>
      <c r="AX63" s="1972" t="s">
        <v>255</v>
      </c>
      <c r="AY63" s="1973">
        <v>20</v>
      </c>
      <c r="AZ63" s="1968" t="s">
        <v>78</v>
      </c>
      <c r="BA63" s="1998" t="s">
        <v>262</v>
      </c>
      <c r="BB63" s="1966" t="s">
        <v>262</v>
      </c>
      <c r="BC63" s="1966" t="s">
        <v>262</v>
      </c>
      <c r="BD63" s="1980" t="s">
        <v>262</v>
      </c>
      <c r="BE63" s="1114"/>
      <c r="BF63" s="2051"/>
    </row>
    <row r="64" spans="1:58" s="25" customFormat="1" ht="13.5" customHeight="1">
      <c r="A64" s="2001"/>
      <c r="B64" s="2004"/>
      <c r="C64" s="2006"/>
      <c r="D64" s="1115" t="s">
        <v>556</v>
      </c>
      <c r="E64" s="1112"/>
      <c r="F64" s="1158">
        <v>36240</v>
      </c>
      <c r="G64" s="1159">
        <v>92690</v>
      </c>
      <c r="H64" s="1158">
        <v>33310</v>
      </c>
      <c r="I64" s="1159">
        <v>89760</v>
      </c>
      <c r="J64" s="1144" t="s">
        <v>255</v>
      </c>
      <c r="K64" s="1160">
        <v>330</v>
      </c>
      <c r="L64" s="1161">
        <v>810</v>
      </c>
      <c r="M64" s="1162" t="s">
        <v>1017</v>
      </c>
      <c r="N64" s="1160">
        <v>300</v>
      </c>
      <c r="O64" s="1161">
        <v>780</v>
      </c>
      <c r="P64" s="1162" t="s">
        <v>1017</v>
      </c>
      <c r="Q64" s="1144" t="s">
        <v>255</v>
      </c>
      <c r="R64" s="1163">
        <v>6880</v>
      </c>
      <c r="S64" s="1164">
        <v>60</v>
      </c>
      <c r="T64" s="2058"/>
      <c r="U64" s="32"/>
      <c r="V64" s="1190"/>
      <c r="W64" s="1972"/>
      <c r="X64" s="1166"/>
      <c r="Y64" s="1152"/>
      <c r="Z64" s="2060"/>
      <c r="AA64" s="1166"/>
      <c r="AB64" s="2058"/>
      <c r="AC64" s="1173"/>
      <c r="AD64" s="1173"/>
      <c r="AE64" s="2059"/>
      <c r="AF64" s="1196"/>
      <c r="AG64" s="2053"/>
      <c r="AH64" s="1961" t="e">
        <v>#REF!</v>
      </c>
      <c r="AI64" s="1964" t="e">
        <v>#REF!</v>
      </c>
      <c r="AJ64" s="1959"/>
      <c r="AK64" s="1168" t="s">
        <v>1020</v>
      </c>
      <c r="AL64" s="1169">
        <v>2600</v>
      </c>
      <c r="AM64" s="1170">
        <v>2900</v>
      </c>
      <c r="AN64" s="1972"/>
      <c r="AO64" s="2046"/>
      <c r="AP64" s="1972"/>
      <c r="AQ64" s="2049"/>
      <c r="AR64" s="1959"/>
      <c r="AS64" s="1997"/>
      <c r="AT64" s="2053"/>
      <c r="AU64" s="1194"/>
      <c r="AV64" s="2053"/>
      <c r="AW64" s="1970"/>
      <c r="AX64" s="1972"/>
      <c r="AY64" s="1974"/>
      <c r="AZ64" s="1968"/>
      <c r="BA64" s="1999"/>
      <c r="BB64" s="1967"/>
      <c r="BC64" s="1967"/>
      <c r="BD64" s="1981"/>
      <c r="BE64" s="1114"/>
      <c r="BF64" s="2052"/>
    </row>
    <row r="65" spans="1:58" s="25" customFormat="1" ht="13.5" customHeight="1">
      <c r="A65" s="2001"/>
      <c r="B65" s="2004"/>
      <c r="C65" s="2056" t="s">
        <v>1021</v>
      </c>
      <c r="D65" s="1115" t="s">
        <v>1022</v>
      </c>
      <c r="E65" s="1112"/>
      <c r="F65" s="1158">
        <v>92690</v>
      </c>
      <c r="G65" s="1159">
        <v>161520</v>
      </c>
      <c r="H65" s="1158">
        <v>89760</v>
      </c>
      <c r="I65" s="1159">
        <v>158590</v>
      </c>
      <c r="J65" s="1144" t="s">
        <v>255</v>
      </c>
      <c r="K65" s="1160">
        <v>810</v>
      </c>
      <c r="L65" s="1161">
        <v>1490</v>
      </c>
      <c r="M65" s="1162" t="s">
        <v>1017</v>
      </c>
      <c r="N65" s="1160">
        <v>780</v>
      </c>
      <c r="O65" s="1161">
        <v>1460</v>
      </c>
      <c r="P65" s="1162" t="s">
        <v>1017</v>
      </c>
      <c r="Q65" s="1172"/>
      <c r="R65" s="1173"/>
      <c r="S65" s="1174"/>
      <c r="T65" s="2059"/>
      <c r="U65" s="32"/>
      <c r="V65" s="1190"/>
      <c r="W65" s="1972"/>
      <c r="X65" s="1166"/>
      <c r="Y65" s="1152"/>
      <c r="Z65" s="2060"/>
      <c r="AA65" s="1166"/>
      <c r="AB65" s="2058"/>
      <c r="AC65" s="1173"/>
      <c r="AD65" s="1173"/>
      <c r="AE65" s="2059"/>
      <c r="AF65" s="1196"/>
      <c r="AG65" s="2053"/>
      <c r="AH65" s="1961" t="e">
        <v>#REF!</v>
      </c>
      <c r="AI65" s="1964" t="e">
        <v>#REF!</v>
      </c>
      <c r="AJ65" s="1959"/>
      <c r="AK65" s="1168" t="s">
        <v>1023</v>
      </c>
      <c r="AL65" s="1169">
        <v>2300</v>
      </c>
      <c r="AM65" s="1170">
        <v>2500</v>
      </c>
      <c r="AN65" s="1972"/>
      <c r="AO65" s="2046"/>
      <c r="AP65" s="1972"/>
      <c r="AQ65" s="2049"/>
      <c r="AR65" s="1152"/>
      <c r="AS65" s="1176"/>
      <c r="AT65" s="2053"/>
      <c r="AU65" s="1194"/>
      <c r="AV65" s="2053"/>
      <c r="AW65" s="1970"/>
      <c r="AX65" s="1972"/>
      <c r="AY65" s="1974"/>
      <c r="AZ65" s="1968"/>
      <c r="BA65" s="1978">
        <v>0.02</v>
      </c>
      <c r="BB65" s="1976">
        <v>0.03</v>
      </c>
      <c r="BC65" s="1976">
        <v>0.05</v>
      </c>
      <c r="BD65" s="1982">
        <v>7.0000000000000007E-2</v>
      </c>
      <c r="BE65" s="1114"/>
      <c r="BF65" s="2044"/>
    </row>
    <row r="66" spans="1:58" s="25" customFormat="1" ht="13.5" customHeight="1">
      <c r="A66" s="2001"/>
      <c r="B66" s="2004"/>
      <c r="C66" s="2057"/>
      <c r="D66" s="1116" t="s">
        <v>133</v>
      </c>
      <c r="E66" s="1112"/>
      <c r="F66" s="1177">
        <v>161520</v>
      </c>
      <c r="G66" s="1178"/>
      <c r="H66" s="1177">
        <v>158590</v>
      </c>
      <c r="I66" s="1178"/>
      <c r="J66" s="1144" t="s">
        <v>255</v>
      </c>
      <c r="K66" s="1163">
        <v>1490</v>
      </c>
      <c r="L66" s="1179"/>
      <c r="M66" s="1180" t="s">
        <v>1017</v>
      </c>
      <c r="N66" s="1163">
        <v>1460</v>
      </c>
      <c r="O66" s="1179"/>
      <c r="P66" s="1180" t="s">
        <v>1017</v>
      </c>
      <c r="Q66" s="1172"/>
      <c r="R66" s="1173"/>
      <c r="S66" s="1181"/>
      <c r="T66" s="2059"/>
      <c r="U66" s="32"/>
      <c r="V66" s="1190"/>
      <c r="W66" s="1972"/>
      <c r="X66" s="1166"/>
      <c r="Y66" s="1152"/>
      <c r="Z66" s="2060"/>
      <c r="AA66" s="1166"/>
      <c r="AB66" s="2058"/>
      <c r="AC66" s="1173"/>
      <c r="AD66" s="1173"/>
      <c r="AE66" s="2059"/>
      <c r="AF66" s="1196"/>
      <c r="AG66" s="2053"/>
      <c r="AH66" s="1962" t="e">
        <v>#REF!</v>
      </c>
      <c r="AI66" s="1965" t="e">
        <v>#REF!</v>
      </c>
      <c r="AJ66" s="1959"/>
      <c r="AK66" s="1183" t="s">
        <v>1024</v>
      </c>
      <c r="AL66" s="1184">
        <v>2000</v>
      </c>
      <c r="AM66" s="1185">
        <v>2300</v>
      </c>
      <c r="AN66" s="1972"/>
      <c r="AO66" s="2047"/>
      <c r="AP66" s="1972"/>
      <c r="AQ66" s="2050"/>
      <c r="AR66" s="1152"/>
      <c r="AS66" s="1176"/>
      <c r="AT66" s="2053"/>
      <c r="AU66" s="1194"/>
      <c r="AV66" s="2053"/>
      <c r="AW66" s="1971"/>
      <c r="AX66" s="1972"/>
      <c r="AY66" s="1975"/>
      <c r="AZ66" s="1968"/>
      <c r="BA66" s="1979"/>
      <c r="BB66" s="1977"/>
      <c r="BC66" s="1977"/>
      <c r="BD66" s="1983"/>
      <c r="BE66" s="1114"/>
      <c r="BF66" s="2044"/>
    </row>
    <row r="67" spans="1:58" s="25" customFormat="1" ht="13.5" customHeight="1">
      <c r="A67" s="2001"/>
      <c r="B67" s="2003" t="s">
        <v>1056</v>
      </c>
      <c r="C67" s="2005" t="s">
        <v>1016</v>
      </c>
      <c r="D67" s="1111" t="s">
        <v>554</v>
      </c>
      <c r="E67" s="1112"/>
      <c r="F67" s="1142">
        <v>28620</v>
      </c>
      <c r="G67" s="1143">
        <v>35500</v>
      </c>
      <c r="H67" s="1142">
        <v>25860</v>
      </c>
      <c r="I67" s="1143">
        <v>32740</v>
      </c>
      <c r="J67" s="1144" t="s">
        <v>255</v>
      </c>
      <c r="K67" s="1145">
        <v>260</v>
      </c>
      <c r="L67" s="1146">
        <v>320</v>
      </c>
      <c r="M67" s="1147" t="s">
        <v>1017</v>
      </c>
      <c r="N67" s="1145">
        <v>240</v>
      </c>
      <c r="O67" s="1146">
        <v>300</v>
      </c>
      <c r="P67" s="1147" t="s">
        <v>1017</v>
      </c>
      <c r="Q67" s="1144" t="s">
        <v>255</v>
      </c>
      <c r="R67" s="1148">
        <v>6880</v>
      </c>
      <c r="S67" s="1149">
        <v>60</v>
      </c>
      <c r="T67" s="2058"/>
      <c r="U67" s="32"/>
      <c r="V67" s="1190"/>
      <c r="W67" s="1972"/>
      <c r="X67" s="1166"/>
      <c r="Y67" s="1152"/>
      <c r="Z67" s="2060"/>
      <c r="AA67" s="1166"/>
      <c r="AB67" s="2058"/>
      <c r="AC67" s="1173"/>
      <c r="AD67" s="1173"/>
      <c r="AE67" s="2059"/>
      <c r="AF67" s="1196"/>
      <c r="AG67" s="2053" t="s">
        <v>255</v>
      </c>
      <c r="AH67" s="1960">
        <v>2600</v>
      </c>
      <c r="AI67" s="1963">
        <v>2900</v>
      </c>
      <c r="AJ67" s="1959" t="s">
        <v>255</v>
      </c>
      <c r="AK67" s="1154" t="s">
        <v>1019</v>
      </c>
      <c r="AL67" s="1155">
        <v>5400</v>
      </c>
      <c r="AM67" s="1156">
        <v>6000</v>
      </c>
      <c r="AN67" s="1972" t="s">
        <v>255</v>
      </c>
      <c r="AO67" s="2045">
        <v>2420</v>
      </c>
      <c r="AP67" s="1972" t="s">
        <v>255</v>
      </c>
      <c r="AQ67" s="2048">
        <v>20</v>
      </c>
      <c r="AR67" s="1959" t="s">
        <v>255</v>
      </c>
      <c r="AS67" s="1996">
        <v>4700</v>
      </c>
      <c r="AT67" s="2053"/>
      <c r="AU67" s="1194"/>
      <c r="AV67" s="2053" t="s">
        <v>78</v>
      </c>
      <c r="AW67" s="1969">
        <v>2760</v>
      </c>
      <c r="AX67" s="1972" t="s">
        <v>255</v>
      </c>
      <c r="AY67" s="1973">
        <v>20</v>
      </c>
      <c r="AZ67" s="1968" t="s">
        <v>78</v>
      </c>
      <c r="BA67" s="1998" t="s">
        <v>262</v>
      </c>
      <c r="BB67" s="1966" t="s">
        <v>262</v>
      </c>
      <c r="BC67" s="1966" t="s">
        <v>262</v>
      </c>
      <c r="BD67" s="1980" t="s">
        <v>262</v>
      </c>
      <c r="BE67" s="1114"/>
      <c r="BF67" s="2051"/>
    </row>
    <row r="68" spans="1:58" s="25" customFormat="1" ht="13.5" customHeight="1">
      <c r="A68" s="2001"/>
      <c r="B68" s="2004"/>
      <c r="C68" s="2006"/>
      <c r="D68" s="1115" t="s">
        <v>556</v>
      </c>
      <c r="E68" s="1112"/>
      <c r="F68" s="1158">
        <v>35500</v>
      </c>
      <c r="G68" s="1159">
        <v>91950</v>
      </c>
      <c r="H68" s="1158">
        <v>32740</v>
      </c>
      <c r="I68" s="1159">
        <v>89190</v>
      </c>
      <c r="J68" s="1144" t="s">
        <v>255</v>
      </c>
      <c r="K68" s="1160">
        <v>320</v>
      </c>
      <c r="L68" s="1161">
        <v>810</v>
      </c>
      <c r="M68" s="1162" t="s">
        <v>1017</v>
      </c>
      <c r="N68" s="1160">
        <v>300</v>
      </c>
      <c r="O68" s="1161">
        <v>780</v>
      </c>
      <c r="P68" s="1162" t="s">
        <v>1017</v>
      </c>
      <c r="Q68" s="1144" t="s">
        <v>255</v>
      </c>
      <c r="R68" s="1163">
        <v>6880</v>
      </c>
      <c r="S68" s="1164">
        <v>60</v>
      </c>
      <c r="T68" s="2058"/>
      <c r="U68" s="32"/>
      <c r="V68" s="1190"/>
      <c r="W68" s="1972"/>
      <c r="X68" s="1166"/>
      <c r="Y68" s="1152"/>
      <c r="Z68" s="2060"/>
      <c r="AA68" s="1166"/>
      <c r="AB68" s="2058"/>
      <c r="AC68" s="1173"/>
      <c r="AD68" s="1173"/>
      <c r="AE68" s="2059"/>
      <c r="AF68" s="1196"/>
      <c r="AG68" s="2053"/>
      <c r="AH68" s="1961" t="e">
        <v>#REF!</v>
      </c>
      <c r="AI68" s="1964" t="e">
        <v>#REF!</v>
      </c>
      <c r="AJ68" s="1959"/>
      <c r="AK68" s="1168" t="s">
        <v>1020</v>
      </c>
      <c r="AL68" s="1169">
        <v>2900</v>
      </c>
      <c r="AM68" s="1170">
        <v>3300</v>
      </c>
      <c r="AN68" s="1972"/>
      <c r="AO68" s="2046"/>
      <c r="AP68" s="1972"/>
      <c r="AQ68" s="2049"/>
      <c r="AR68" s="1959"/>
      <c r="AS68" s="1997"/>
      <c r="AT68" s="2053"/>
      <c r="AU68" s="1194"/>
      <c r="AV68" s="2053"/>
      <c r="AW68" s="1970"/>
      <c r="AX68" s="1972"/>
      <c r="AY68" s="1974"/>
      <c r="AZ68" s="1968"/>
      <c r="BA68" s="1999"/>
      <c r="BB68" s="1967"/>
      <c r="BC68" s="1967"/>
      <c r="BD68" s="1981"/>
      <c r="BE68" s="1114"/>
      <c r="BF68" s="2052"/>
    </row>
    <row r="69" spans="1:58" ht="13.5" customHeight="1">
      <c r="A69" s="2001"/>
      <c r="B69" s="2004"/>
      <c r="C69" s="2056" t="s">
        <v>1021</v>
      </c>
      <c r="D69" s="1115" t="s">
        <v>1022</v>
      </c>
      <c r="E69" s="1112"/>
      <c r="F69" s="1158">
        <v>91950</v>
      </c>
      <c r="G69" s="1159">
        <v>160780</v>
      </c>
      <c r="H69" s="1158">
        <v>89190</v>
      </c>
      <c r="I69" s="1159">
        <v>158020</v>
      </c>
      <c r="J69" s="1144" t="s">
        <v>255</v>
      </c>
      <c r="K69" s="1160">
        <v>810</v>
      </c>
      <c r="L69" s="1161">
        <v>1490</v>
      </c>
      <c r="M69" s="1162" t="s">
        <v>1017</v>
      </c>
      <c r="N69" s="1160">
        <v>780</v>
      </c>
      <c r="O69" s="1161">
        <v>1460</v>
      </c>
      <c r="P69" s="1162" t="s">
        <v>1017</v>
      </c>
      <c r="Q69" s="1172"/>
      <c r="R69" s="1173"/>
      <c r="S69" s="1174"/>
      <c r="T69" s="2059"/>
      <c r="U69" s="32"/>
      <c r="V69" s="1165"/>
      <c r="W69" s="1972"/>
      <c r="X69" s="1166"/>
      <c r="Y69" s="1152"/>
      <c r="Z69" s="2060"/>
      <c r="AA69" s="1166"/>
      <c r="AB69" s="2058"/>
      <c r="AC69" s="1173"/>
      <c r="AD69" s="1173"/>
      <c r="AE69" s="2059"/>
      <c r="AF69" s="1196"/>
      <c r="AG69" s="2053"/>
      <c r="AH69" s="1961" t="e">
        <v>#REF!</v>
      </c>
      <c r="AI69" s="1964" t="e">
        <v>#REF!</v>
      </c>
      <c r="AJ69" s="1959"/>
      <c r="AK69" s="1168" t="s">
        <v>1023</v>
      </c>
      <c r="AL69" s="1169">
        <v>2500</v>
      </c>
      <c r="AM69" s="1170">
        <v>2800</v>
      </c>
      <c r="AN69" s="1972"/>
      <c r="AO69" s="2046"/>
      <c r="AP69" s="1972"/>
      <c r="AQ69" s="2049"/>
      <c r="AR69" s="1152"/>
      <c r="AS69" s="1176"/>
      <c r="AT69" s="2053"/>
      <c r="AU69" s="1194"/>
      <c r="AV69" s="2053"/>
      <c r="AW69" s="1970"/>
      <c r="AX69" s="1972"/>
      <c r="AY69" s="1974"/>
      <c r="AZ69" s="1968"/>
      <c r="BA69" s="1978">
        <v>0.02</v>
      </c>
      <c r="BB69" s="1976">
        <v>0.03</v>
      </c>
      <c r="BC69" s="1976">
        <v>0.05</v>
      </c>
      <c r="BD69" s="1982">
        <v>7.0000000000000007E-2</v>
      </c>
      <c r="BE69" s="1114"/>
      <c r="BF69" s="2044"/>
    </row>
    <row r="70" spans="1:58" ht="13.5" customHeight="1">
      <c r="A70" s="2001"/>
      <c r="B70" s="2004"/>
      <c r="C70" s="2057"/>
      <c r="D70" s="1116" t="s">
        <v>133</v>
      </c>
      <c r="E70" s="1112"/>
      <c r="F70" s="1177">
        <v>160780</v>
      </c>
      <c r="G70" s="1178"/>
      <c r="H70" s="1177">
        <v>158020</v>
      </c>
      <c r="I70" s="1178"/>
      <c r="J70" s="1144" t="s">
        <v>255</v>
      </c>
      <c r="K70" s="1163">
        <v>1490</v>
      </c>
      <c r="L70" s="1179"/>
      <c r="M70" s="1180" t="s">
        <v>1017</v>
      </c>
      <c r="N70" s="1163">
        <v>1460</v>
      </c>
      <c r="O70" s="1179"/>
      <c r="P70" s="1180" t="s">
        <v>1017</v>
      </c>
      <c r="Q70" s="1172"/>
      <c r="R70" s="1173"/>
      <c r="S70" s="1181"/>
      <c r="T70" s="2059"/>
      <c r="U70" s="32"/>
      <c r="V70" s="1165"/>
      <c r="W70" s="1972"/>
      <c r="X70" s="1166"/>
      <c r="Y70" s="1152"/>
      <c r="Z70" s="2060"/>
      <c r="AA70" s="1166"/>
      <c r="AB70" s="2058"/>
      <c r="AC70" s="1173"/>
      <c r="AD70" s="1173"/>
      <c r="AE70" s="2059"/>
      <c r="AF70" s="1196"/>
      <c r="AG70" s="2053"/>
      <c r="AH70" s="1962" t="e">
        <v>#REF!</v>
      </c>
      <c r="AI70" s="1965" t="e">
        <v>#REF!</v>
      </c>
      <c r="AJ70" s="1959"/>
      <c r="AK70" s="1183" t="s">
        <v>1024</v>
      </c>
      <c r="AL70" s="1184">
        <v>2300</v>
      </c>
      <c r="AM70" s="1185">
        <v>2500</v>
      </c>
      <c r="AN70" s="1972"/>
      <c r="AO70" s="2047"/>
      <c r="AP70" s="1972"/>
      <c r="AQ70" s="2050"/>
      <c r="AR70" s="1152"/>
      <c r="AS70" s="1176"/>
      <c r="AT70" s="2053"/>
      <c r="AU70" s="1194"/>
      <c r="AV70" s="2053"/>
      <c r="AW70" s="1971"/>
      <c r="AX70" s="1972"/>
      <c r="AY70" s="1975"/>
      <c r="AZ70" s="1968"/>
      <c r="BA70" s="1979"/>
      <c r="BB70" s="1977"/>
      <c r="BC70" s="1977"/>
      <c r="BD70" s="1983"/>
      <c r="BE70" s="1114"/>
      <c r="BF70" s="2044"/>
    </row>
    <row r="71" spans="1:58" ht="13.5" customHeight="1">
      <c r="A71" s="2001"/>
      <c r="B71" s="2007" t="s">
        <v>1057</v>
      </c>
      <c r="C71" s="2005" t="s">
        <v>1016</v>
      </c>
      <c r="D71" s="1111" t="s">
        <v>554</v>
      </c>
      <c r="E71" s="1112"/>
      <c r="F71" s="1142">
        <v>27940</v>
      </c>
      <c r="G71" s="1143">
        <v>34820</v>
      </c>
      <c r="H71" s="1142">
        <v>25340</v>
      </c>
      <c r="I71" s="1143">
        <v>32220</v>
      </c>
      <c r="J71" s="1144" t="s">
        <v>255</v>
      </c>
      <c r="K71" s="1145">
        <v>260</v>
      </c>
      <c r="L71" s="1146">
        <v>320</v>
      </c>
      <c r="M71" s="1147" t="s">
        <v>1017</v>
      </c>
      <c r="N71" s="1145">
        <v>230</v>
      </c>
      <c r="O71" s="1146">
        <v>290</v>
      </c>
      <c r="P71" s="1147" t="s">
        <v>1017</v>
      </c>
      <c r="Q71" s="1144" t="s">
        <v>255</v>
      </c>
      <c r="R71" s="1148">
        <v>6880</v>
      </c>
      <c r="S71" s="1149">
        <v>60</v>
      </c>
      <c r="T71" s="2058"/>
      <c r="U71" s="32"/>
      <c r="V71" s="1165"/>
      <c r="W71" s="1972"/>
      <c r="X71" s="1166"/>
      <c r="Y71" s="1152"/>
      <c r="Z71" s="2060"/>
      <c r="AA71" s="1166"/>
      <c r="AB71" s="2058"/>
      <c r="AC71" s="1173"/>
      <c r="AD71" s="1173"/>
      <c r="AE71" s="2059"/>
      <c r="AF71" s="1196"/>
      <c r="AG71" s="2053" t="s">
        <v>255</v>
      </c>
      <c r="AH71" s="1960">
        <v>2500</v>
      </c>
      <c r="AI71" s="1963">
        <v>2700</v>
      </c>
      <c r="AJ71" s="1959" t="s">
        <v>255</v>
      </c>
      <c r="AK71" s="1154" t="s">
        <v>1019</v>
      </c>
      <c r="AL71" s="1155">
        <v>4800</v>
      </c>
      <c r="AM71" s="1156">
        <v>5400</v>
      </c>
      <c r="AN71" s="1972" t="s">
        <v>255</v>
      </c>
      <c r="AO71" s="2045">
        <v>2290</v>
      </c>
      <c r="AP71" s="1972" t="s">
        <v>255</v>
      </c>
      <c r="AQ71" s="2048">
        <v>20</v>
      </c>
      <c r="AR71" s="1959" t="s">
        <v>255</v>
      </c>
      <c r="AS71" s="1996">
        <v>4700</v>
      </c>
      <c r="AT71" s="2053"/>
      <c r="AU71" s="1194"/>
      <c r="AV71" s="2053" t="s">
        <v>78</v>
      </c>
      <c r="AW71" s="1969">
        <v>2610</v>
      </c>
      <c r="AX71" s="1972" t="s">
        <v>255</v>
      </c>
      <c r="AY71" s="1973">
        <v>20</v>
      </c>
      <c r="AZ71" s="1968" t="s">
        <v>78</v>
      </c>
      <c r="BA71" s="1998" t="s">
        <v>262</v>
      </c>
      <c r="BB71" s="1966" t="s">
        <v>262</v>
      </c>
      <c r="BC71" s="1966" t="s">
        <v>262</v>
      </c>
      <c r="BD71" s="1980" t="s">
        <v>262</v>
      </c>
      <c r="BE71" s="1113"/>
      <c r="BF71" s="2051"/>
    </row>
    <row r="72" spans="1:58" ht="13.5" customHeight="1">
      <c r="A72" s="2001"/>
      <c r="B72" s="2004"/>
      <c r="C72" s="2006"/>
      <c r="D72" s="1115" t="s">
        <v>556</v>
      </c>
      <c r="E72" s="1112"/>
      <c r="F72" s="1158">
        <v>34820</v>
      </c>
      <c r="G72" s="1159">
        <v>91270</v>
      </c>
      <c r="H72" s="1158">
        <v>32220</v>
      </c>
      <c r="I72" s="1159">
        <v>88670</v>
      </c>
      <c r="J72" s="1144" t="s">
        <v>255</v>
      </c>
      <c r="K72" s="1160">
        <v>320</v>
      </c>
      <c r="L72" s="1161">
        <v>800</v>
      </c>
      <c r="M72" s="1162" t="s">
        <v>1017</v>
      </c>
      <c r="N72" s="1160">
        <v>290</v>
      </c>
      <c r="O72" s="1161">
        <v>770</v>
      </c>
      <c r="P72" s="1162" t="s">
        <v>1017</v>
      </c>
      <c r="Q72" s="1144" t="s">
        <v>255</v>
      </c>
      <c r="R72" s="1163">
        <v>6880</v>
      </c>
      <c r="S72" s="1164">
        <v>60</v>
      </c>
      <c r="T72" s="2058"/>
      <c r="U72" s="32"/>
      <c r="V72" s="1165"/>
      <c r="W72" s="1972"/>
      <c r="X72" s="1166"/>
      <c r="Y72" s="1152"/>
      <c r="Z72" s="2060"/>
      <c r="AA72" s="1166"/>
      <c r="AB72" s="2058"/>
      <c r="AC72" s="1173"/>
      <c r="AD72" s="1173"/>
      <c r="AE72" s="2059"/>
      <c r="AF72" s="1196"/>
      <c r="AG72" s="2053"/>
      <c r="AH72" s="1961" t="e">
        <v>#REF!</v>
      </c>
      <c r="AI72" s="1964" t="e">
        <v>#REF!</v>
      </c>
      <c r="AJ72" s="1959"/>
      <c r="AK72" s="1168" t="s">
        <v>1020</v>
      </c>
      <c r="AL72" s="1169">
        <v>2600</v>
      </c>
      <c r="AM72" s="1170">
        <v>2900</v>
      </c>
      <c r="AN72" s="1972"/>
      <c r="AO72" s="2046"/>
      <c r="AP72" s="1972"/>
      <c r="AQ72" s="2049"/>
      <c r="AR72" s="1959"/>
      <c r="AS72" s="1997"/>
      <c r="AT72" s="2053"/>
      <c r="AU72" s="1194"/>
      <c r="AV72" s="2053"/>
      <c r="AW72" s="1970"/>
      <c r="AX72" s="1972"/>
      <c r="AY72" s="1974"/>
      <c r="AZ72" s="1968"/>
      <c r="BA72" s="1999"/>
      <c r="BB72" s="1967"/>
      <c r="BC72" s="1967"/>
      <c r="BD72" s="1981"/>
      <c r="BE72" s="1113"/>
      <c r="BF72" s="2052"/>
    </row>
    <row r="73" spans="1:58" ht="13.5" customHeight="1">
      <c r="A73" s="2001"/>
      <c r="B73" s="2004"/>
      <c r="C73" s="2056" t="s">
        <v>1021</v>
      </c>
      <c r="D73" s="1115" t="s">
        <v>1022</v>
      </c>
      <c r="E73" s="1112"/>
      <c r="F73" s="1158">
        <v>91270</v>
      </c>
      <c r="G73" s="1159">
        <v>160100</v>
      </c>
      <c r="H73" s="1158">
        <v>88670</v>
      </c>
      <c r="I73" s="1159">
        <v>157500</v>
      </c>
      <c r="J73" s="1144" t="s">
        <v>255</v>
      </c>
      <c r="K73" s="1160">
        <v>800</v>
      </c>
      <c r="L73" s="1161">
        <v>1480</v>
      </c>
      <c r="M73" s="1162" t="s">
        <v>1017</v>
      </c>
      <c r="N73" s="1160">
        <v>770</v>
      </c>
      <c r="O73" s="1161">
        <v>1450</v>
      </c>
      <c r="P73" s="1162" t="s">
        <v>1017</v>
      </c>
      <c r="Q73" s="1172"/>
      <c r="R73" s="1173"/>
      <c r="S73" s="1174"/>
      <c r="T73" s="2059"/>
      <c r="U73" s="32"/>
      <c r="V73" s="1165"/>
      <c r="W73" s="1972"/>
      <c r="X73" s="1166"/>
      <c r="Y73" s="1152"/>
      <c r="Z73" s="2060"/>
      <c r="AA73" s="1166"/>
      <c r="AB73" s="2058"/>
      <c r="AC73" s="1173"/>
      <c r="AD73" s="1173"/>
      <c r="AE73" s="2059"/>
      <c r="AF73" s="1196"/>
      <c r="AG73" s="2053"/>
      <c r="AH73" s="1961" t="e">
        <v>#REF!</v>
      </c>
      <c r="AI73" s="1964" t="e">
        <v>#REF!</v>
      </c>
      <c r="AJ73" s="1959"/>
      <c r="AK73" s="1168" t="s">
        <v>1023</v>
      </c>
      <c r="AL73" s="1169">
        <v>2300</v>
      </c>
      <c r="AM73" s="1170">
        <v>2500</v>
      </c>
      <c r="AN73" s="1972"/>
      <c r="AO73" s="2046"/>
      <c r="AP73" s="1972"/>
      <c r="AQ73" s="2049"/>
      <c r="AR73" s="1152"/>
      <c r="AS73" s="1176"/>
      <c r="AT73" s="2053"/>
      <c r="AU73" s="1194"/>
      <c r="AV73" s="2053"/>
      <c r="AW73" s="1970"/>
      <c r="AX73" s="1972"/>
      <c r="AY73" s="1974"/>
      <c r="AZ73" s="1968"/>
      <c r="BA73" s="1978">
        <v>0.02</v>
      </c>
      <c r="BB73" s="1976">
        <v>0.03</v>
      </c>
      <c r="BC73" s="1976">
        <v>0.05</v>
      </c>
      <c r="BD73" s="1982">
        <v>7.0000000000000007E-2</v>
      </c>
      <c r="BE73" s="1113"/>
      <c r="BF73" s="2044"/>
    </row>
    <row r="74" spans="1:58" ht="13.5" customHeight="1">
      <c r="A74" s="2002"/>
      <c r="B74" s="2004"/>
      <c r="C74" s="2057"/>
      <c r="D74" s="1116" t="s">
        <v>133</v>
      </c>
      <c r="E74" s="1112"/>
      <c r="F74" s="1177">
        <v>160100</v>
      </c>
      <c r="G74" s="1178"/>
      <c r="H74" s="1177">
        <v>157500</v>
      </c>
      <c r="I74" s="1178"/>
      <c r="J74" s="1144" t="s">
        <v>255</v>
      </c>
      <c r="K74" s="1163">
        <v>1480</v>
      </c>
      <c r="L74" s="1179"/>
      <c r="M74" s="1180" t="s">
        <v>1017</v>
      </c>
      <c r="N74" s="1163">
        <v>1450</v>
      </c>
      <c r="O74" s="1179"/>
      <c r="P74" s="1180" t="s">
        <v>1017</v>
      </c>
      <c r="Q74" s="1172"/>
      <c r="R74" s="1173"/>
      <c r="S74" s="1198"/>
      <c r="T74" s="2059"/>
      <c r="U74" s="32"/>
      <c r="V74" s="1199"/>
      <c r="W74" s="1972"/>
      <c r="X74" s="1200"/>
      <c r="Y74" s="1152"/>
      <c r="Z74" s="2060"/>
      <c r="AA74" s="1200"/>
      <c r="AB74" s="2058"/>
      <c r="AC74" s="1173"/>
      <c r="AD74" s="1173"/>
      <c r="AE74" s="2059"/>
      <c r="AF74" s="1196"/>
      <c r="AG74" s="2053"/>
      <c r="AH74" s="1962" t="e">
        <v>#REF!</v>
      </c>
      <c r="AI74" s="1965" t="e">
        <v>#REF!</v>
      </c>
      <c r="AJ74" s="1959"/>
      <c r="AK74" s="1183" t="s">
        <v>1024</v>
      </c>
      <c r="AL74" s="1184">
        <v>2000</v>
      </c>
      <c r="AM74" s="1185">
        <v>2300</v>
      </c>
      <c r="AN74" s="1972"/>
      <c r="AO74" s="2047"/>
      <c r="AP74" s="1972"/>
      <c r="AQ74" s="2050"/>
      <c r="AR74" s="1152"/>
      <c r="AS74" s="1176"/>
      <c r="AT74" s="2053"/>
      <c r="AU74" s="1201"/>
      <c r="AV74" s="2053"/>
      <c r="AW74" s="1971"/>
      <c r="AX74" s="1972"/>
      <c r="AY74" s="1975"/>
      <c r="AZ74" s="1968"/>
      <c r="BA74" s="1979"/>
      <c r="BB74" s="1977"/>
      <c r="BC74" s="1977"/>
      <c r="BD74" s="1983"/>
      <c r="BE74" s="1113"/>
      <c r="BF74" s="2065"/>
    </row>
    <row r="75" spans="1:58">
      <c r="S75" s="26"/>
      <c r="V75" s="26"/>
      <c r="AE75" s="34"/>
      <c r="AF75" s="34"/>
    </row>
    <row r="76" spans="1:58">
      <c r="B76" s="28">
        <v>1</v>
      </c>
      <c r="C76" s="28">
        <v>2</v>
      </c>
      <c r="D76" s="28">
        <v>3</v>
      </c>
      <c r="E76" s="28">
        <v>4</v>
      </c>
      <c r="F76" s="28">
        <v>5</v>
      </c>
      <c r="G76" s="28">
        <v>6</v>
      </c>
      <c r="H76" s="28">
        <v>7</v>
      </c>
      <c r="I76" s="28">
        <v>8</v>
      </c>
      <c r="J76" s="28">
        <v>9</v>
      </c>
      <c r="K76" s="28">
        <v>10</v>
      </c>
      <c r="L76" s="28">
        <v>11</v>
      </c>
      <c r="M76" s="28">
        <v>12</v>
      </c>
      <c r="N76" s="28">
        <v>13</v>
      </c>
      <c r="O76" s="28">
        <v>14</v>
      </c>
      <c r="P76" s="28">
        <v>15</v>
      </c>
      <c r="Q76" s="28">
        <v>16</v>
      </c>
      <c r="R76" s="28">
        <v>17</v>
      </c>
      <c r="S76" s="28">
        <v>18</v>
      </c>
      <c r="T76" s="28">
        <v>19</v>
      </c>
      <c r="U76" s="28">
        <v>20</v>
      </c>
      <c r="V76" s="28">
        <v>21</v>
      </c>
      <c r="W76" s="28">
        <v>22</v>
      </c>
      <c r="X76" s="28">
        <v>23</v>
      </c>
      <c r="Y76" s="28">
        <v>24</v>
      </c>
      <c r="Z76" s="28">
        <v>25</v>
      </c>
      <c r="AA76" s="28">
        <v>26</v>
      </c>
      <c r="AB76" s="28">
        <v>27</v>
      </c>
      <c r="AC76" s="28">
        <v>28</v>
      </c>
      <c r="AD76" s="28">
        <v>29</v>
      </c>
      <c r="AE76" s="28">
        <v>30</v>
      </c>
      <c r="AF76" s="28">
        <v>31</v>
      </c>
      <c r="AG76" s="28">
        <v>32</v>
      </c>
      <c r="AH76" s="28">
        <v>33</v>
      </c>
      <c r="AI76" s="28">
        <v>34</v>
      </c>
      <c r="AJ76" s="28">
        <v>35</v>
      </c>
      <c r="AK76" s="28">
        <v>36</v>
      </c>
      <c r="AL76" s="28">
        <v>37</v>
      </c>
      <c r="AM76" s="28">
        <v>38</v>
      </c>
      <c r="AN76" s="28">
        <v>39</v>
      </c>
      <c r="AO76" s="28">
        <v>40</v>
      </c>
      <c r="AP76" s="28">
        <v>41</v>
      </c>
      <c r="AQ76" s="28">
        <v>42</v>
      </c>
      <c r="AR76" s="28">
        <v>43</v>
      </c>
      <c r="AS76" s="28">
        <v>44</v>
      </c>
      <c r="AT76" s="28">
        <v>45</v>
      </c>
      <c r="AU76" s="28">
        <v>46</v>
      </c>
      <c r="AV76" s="28">
        <v>47</v>
      </c>
      <c r="AW76" s="28">
        <v>48</v>
      </c>
      <c r="AX76" s="28">
        <v>49</v>
      </c>
      <c r="AY76" s="28">
        <v>50</v>
      </c>
      <c r="AZ76" s="28">
        <v>51</v>
      </c>
      <c r="BA76" s="28">
        <v>52</v>
      </c>
      <c r="BB76" s="28">
        <v>53</v>
      </c>
      <c r="BC76" s="28">
        <v>54</v>
      </c>
      <c r="BD76" s="28">
        <v>55</v>
      </c>
      <c r="BE76" s="28">
        <v>56</v>
      </c>
      <c r="BF76" s="28">
        <v>57</v>
      </c>
    </row>
    <row r="77" spans="1:58">
      <c r="B77" s="28">
        <v>20</v>
      </c>
      <c r="D77" s="28" t="str">
        <f>D7</f>
        <v>４歳以上児</v>
      </c>
      <c r="E77" s="28">
        <f t="shared" ref="E77:BE77" si="1">E7</f>
        <v>0</v>
      </c>
      <c r="F77" s="28">
        <f t="shared" si="1"/>
        <v>111640</v>
      </c>
      <c r="G77" s="28">
        <f t="shared" si="1"/>
        <v>118520</v>
      </c>
      <c r="H77" s="28">
        <f t="shared" si="1"/>
        <v>88210</v>
      </c>
      <c r="I77" s="28">
        <f t="shared" si="1"/>
        <v>95090</v>
      </c>
      <c r="J77" s="28" t="str">
        <f t="shared" si="1"/>
        <v>＋</v>
      </c>
      <c r="K77" s="28">
        <f t="shared" si="1"/>
        <v>1090</v>
      </c>
      <c r="L77" s="28">
        <f t="shared" si="1"/>
        <v>1150</v>
      </c>
      <c r="M77" s="28" t="str">
        <f t="shared" si="1"/>
        <v>×加算率</v>
      </c>
      <c r="N77" s="28">
        <f t="shared" si="1"/>
        <v>860</v>
      </c>
      <c r="O77" s="28">
        <f t="shared" si="1"/>
        <v>920</v>
      </c>
      <c r="P77" s="28" t="str">
        <f t="shared" si="1"/>
        <v>×加算率</v>
      </c>
      <c r="Q77" s="28" t="str">
        <f t="shared" si="1"/>
        <v>＋</v>
      </c>
      <c r="R77" s="28">
        <f t="shared" si="1"/>
        <v>6880</v>
      </c>
      <c r="S77" s="28">
        <f t="shared" si="1"/>
        <v>60</v>
      </c>
      <c r="T77" s="28" t="str">
        <f t="shared" si="1"/>
        <v>＋</v>
      </c>
      <c r="U77" s="28">
        <f t="shared" si="1"/>
        <v>0</v>
      </c>
      <c r="V77" s="28">
        <f t="shared" si="1"/>
        <v>0</v>
      </c>
      <c r="W77" s="28" t="str">
        <f t="shared" si="1"/>
        <v>＋</v>
      </c>
      <c r="X77" s="28">
        <f t="shared" si="1"/>
        <v>0</v>
      </c>
      <c r="Y77" s="28">
        <f t="shared" si="1"/>
        <v>0</v>
      </c>
      <c r="Z77" s="28" t="str">
        <f t="shared" si="1"/>
        <v>÷</v>
      </c>
      <c r="AA77" s="28">
        <f t="shared" si="1"/>
        <v>0</v>
      </c>
      <c r="AB77" s="28" t="str">
        <f t="shared" si="1"/>
        <v>＋</v>
      </c>
      <c r="AC77" s="28">
        <f t="shared" si="1"/>
        <v>30750</v>
      </c>
      <c r="AD77" s="28">
        <f t="shared" si="1"/>
        <v>0</v>
      </c>
      <c r="AE77" s="28" t="str">
        <f t="shared" si="1"/>
        <v>＋</v>
      </c>
      <c r="AF77" s="28">
        <f t="shared" si="1"/>
        <v>230</v>
      </c>
      <c r="AG77" s="28" t="str">
        <f t="shared" si="1"/>
        <v>＋</v>
      </c>
      <c r="AH77" s="28">
        <f t="shared" si="1"/>
        <v>7900</v>
      </c>
      <c r="AI77" s="28">
        <f t="shared" si="1"/>
        <v>8700</v>
      </c>
      <c r="AJ77" s="28" t="str">
        <f t="shared" si="1"/>
        <v>＋</v>
      </c>
      <c r="AK77" s="28" t="str">
        <f t="shared" si="1"/>
        <v>ａ地域</v>
      </c>
      <c r="AL77" s="28">
        <f t="shared" si="1"/>
        <v>15800</v>
      </c>
      <c r="AM77" s="28">
        <f t="shared" si="1"/>
        <v>17600</v>
      </c>
      <c r="AN77" s="28" t="str">
        <f t="shared" si="1"/>
        <v>＋</v>
      </c>
      <c r="AO77" s="28">
        <f t="shared" si="1"/>
        <v>20650</v>
      </c>
      <c r="AP77" s="28" t="str">
        <f t="shared" si="1"/>
        <v>＋</v>
      </c>
      <c r="AQ77" s="28">
        <f t="shared" si="1"/>
        <v>200</v>
      </c>
      <c r="AR77" s="28"/>
      <c r="AS77" s="28"/>
      <c r="AT77" s="28"/>
      <c r="AU77" s="28">
        <f t="shared" si="1"/>
        <v>0</v>
      </c>
      <c r="AV77" s="28"/>
      <c r="AW77" s="28">
        <f>AW7</f>
        <v>23540</v>
      </c>
      <c r="AX77" s="28"/>
      <c r="AY77" s="28">
        <f>AY7</f>
        <v>230</v>
      </c>
      <c r="AZ77" s="28"/>
      <c r="BA77" s="222">
        <f>BA9</f>
        <v>0.01</v>
      </c>
      <c r="BB77" s="222">
        <f>BB9</f>
        <v>0.03</v>
      </c>
      <c r="BC77" s="222">
        <f>BC9</f>
        <v>0.04</v>
      </c>
      <c r="BD77" s="222">
        <f>BD9</f>
        <v>0.06</v>
      </c>
      <c r="BE77" s="28">
        <f t="shared" si="1"/>
        <v>0</v>
      </c>
      <c r="BF77" s="222">
        <f>BF9</f>
        <v>0</v>
      </c>
    </row>
    <row r="78" spans="1:58">
      <c r="B78" s="28">
        <v>21</v>
      </c>
      <c r="D78" s="28" t="str">
        <f>D11</f>
        <v>４歳以上児</v>
      </c>
      <c r="E78" s="28">
        <f t="shared" ref="E78:BE78" si="2">E11</f>
        <v>0</v>
      </c>
      <c r="F78" s="28">
        <f t="shared" si="2"/>
        <v>80540</v>
      </c>
      <c r="G78" s="28">
        <f t="shared" si="2"/>
        <v>87420</v>
      </c>
      <c r="H78" s="28">
        <f t="shared" si="2"/>
        <v>64920</v>
      </c>
      <c r="I78" s="28">
        <f t="shared" si="2"/>
        <v>71800</v>
      </c>
      <c r="J78" s="28" t="str">
        <f t="shared" si="2"/>
        <v>＋</v>
      </c>
      <c r="K78" s="28">
        <f t="shared" si="2"/>
        <v>780</v>
      </c>
      <c r="L78" s="28">
        <f t="shared" si="2"/>
        <v>840</v>
      </c>
      <c r="M78" s="28" t="str">
        <f t="shared" si="2"/>
        <v>×加算率</v>
      </c>
      <c r="N78" s="28">
        <f t="shared" si="2"/>
        <v>630</v>
      </c>
      <c r="O78" s="28">
        <f t="shared" si="2"/>
        <v>690</v>
      </c>
      <c r="P78" s="28" t="str">
        <f t="shared" si="2"/>
        <v>×加算率</v>
      </c>
      <c r="Q78" s="28" t="str">
        <f t="shared" si="2"/>
        <v>＋</v>
      </c>
      <c r="R78" s="28">
        <f t="shared" si="2"/>
        <v>6880</v>
      </c>
      <c r="S78" s="28">
        <f t="shared" si="2"/>
        <v>60</v>
      </c>
      <c r="T78" s="28">
        <f t="shared" si="2"/>
        <v>0</v>
      </c>
      <c r="U78" s="28">
        <f t="shared" si="2"/>
        <v>0</v>
      </c>
      <c r="V78" s="28">
        <f t="shared" si="2"/>
        <v>0</v>
      </c>
      <c r="W78" s="28">
        <f t="shared" si="2"/>
        <v>0</v>
      </c>
      <c r="X78" s="28">
        <f t="shared" si="2"/>
        <v>0</v>
      </c>
      <c r="Y78" s="28">
        <f t="shared" si="2"/>
        <v>0</v>
      </c>
      <c r="Z78" s="28">
        <f t="shared" si="2"/>
        <v>0</v>
      </c>
      <c r="AA78" s="28">
        <f t="shared" si="2"/>
        <v>0</v>
      </c>
      <c r="AB78" s="28" t="str">
        <f t="shared" si="2"/>
        <v>＋</v>
      </c>
      <c r="AC78" s="28">
        <f t="shared" si="2"/>
        <v>22860</v>
      </c>
      <c r="AD78" s="28">
        <f t="shared" si="2"/>
        <v>0</v>
      </c>
      <c r="AE78" s="28" t="str">
        <f t="shared" si="2"/>
        <v>＋</v>
      </c>
      <c r="AF78" s="28">
        <f t="shared" si="2"/>
        <v>150</v>
      </c>
      <c r="AG78" s="28" t="str">
        <f t="shared" si="2"/>
        <v>＋</v>
      </c>
      <c r="AH78" s="28">
        <f t="shared" si="2"/>
        <v>5500</v>
      </c>
      <c r="AI78" s="28">
        <f t="shared" si="2"/>
        <v>6000</v>
      </c>
      <c r="AJ78" s="28" t="str">
        <f t="shared" si="2"/>
        <v>＋</v>
      </c>
      <c r="AK78" s="28" t="str">
        <f t="shared" si="2"/>
        <v>ａ地域</v>
      </c>
      <c r="AL78" s="28">
        <f t="shared" si="2"/>
        <v>10900</v>
      </c>
      <c r="AM78" s="28">
        <f t="shared" si="2"/>
        <v>12200</v>
      </c>
      <c r="AN78" s="28" t="str">
        <f t="shared" si="2"/>
        <v>＋</v>
      </c>
      <c r="AO78" s="28">
        <f t="shared" si="2"/>
        <v>13760</v>
      </c>
      <c r="AP78" s="28" t="str">
        <f t="shared" si="2"/>
        <v>＋</v>
      </c>
      <c r="AQ78" s="28">
        <f t="shared" si="2"/>
        <v>130</v>
      </c>
      <c r="AR78" s="28"/>
      <c r="AS78" s="28"/>
      <c r="AT78" s="28"/>
      <c r="AU78" s="28">
        <f t="shared" si="2"/>
        <v>0</v>
      </c>
      <c r="AV78" s="28"/>
      <c r="AW78" s="28">
        <f>AW11</f>
        <v>15690</v>
      </c>
      <c r="AX78" s="28"/>
      <c r="AY78" s="28">
        <f>AY11</f>
        <v>150</v>
      </c>
      <c r="AZ78" s="28"/>
      <c r="BA78" s="222">
        <f>BA13</f>
        <v>0.02</v>
      </c>
      <c r="BB78" s="222">
        <f>BB13</f>
        <v>0.03</v>
      </c>
      <c r="BC78" s="222">
        <f>BC13</f>
        <v>0.05</v>
      </c>
      <c r="BD78" s="222">
        <f>BD13</f>
        <v>0.06</v>
      </c>
      <c r="BE78" s="28">
        <f t="shared" si="2"/>
        <v>0</v>
      </c>
      <c r="BF78" s="222">
        <f>BF13</f>
        <v>0</v>
      </c>
    </row>
    <row r="79" spans="1:58">
      <c r="B79" s="28">
        <v>31</v>
      </c>
      <c r="D79" s="28" t="str">
        <f>D15</f>
        <v>４歳以上児</v>
      </c>
      <c r="E79" s="28">
        <f t="shared" ref="E79:BE79" si="3">E15</f>
        <v>0</v>
      </c>
      <c r="F79" s="28">
        <f t="shared" si="3"/>
        <v>65120</v>
      </c>
      <c r="G79" s="28">
        <f t="shared" si="3"/>
        <v>72000</v>
      </c>
      <c r="H79" s="28">
        <f t="shared" si="3"/>
        <v>53410</v>
      </c>
      <c r="I79" s="28">
        <f t="shared" si="3"/>
        <v>60290</v>
      </c>
      <c r="J79" s="28" t="str">
        <f t="shared" si="3"/>
        <v>＋</v>
      </c>
      <c r="K79" s="28">
        <f t="shared" si="3"/>
        <v>630</v>
      </c>
      <c r="L79" s="28">
        <f t="shared" si="3"/>
        <v>690</v>
      </c>
      <c r="M79" s="28" t="str">
        <f t="shared" si="3"/>
        <v>×加算率</v>
      </c>
      <c r="N79" s="28">
        <f t="shared" si="3"/>
        <v>510</v>
      </c>
      <c r="O79" s="28">
        <f t="shared" si="3"/>
        <v>570</v>
      </c>
      <c r="P79" s="28" t="str">
        <f t="shared" si="3"/>
        <v>×加算率</v>
      </c>
      <c r="Q79" s="28" t="str">
        <f t="shared" si="3"/>
        <v>＋</v>
      </c>
      <c r="R79" s="28">
        <f t="shared" si="3"/>
        <v>6880</v>
      </c>
      <c r="S79" s="28">
        <f t="shared" si="3"/>
        <v>60</v>
      </c>
      <c r="T79" s="28">
        <f t="shared" si="3"/>
        <v>0</v>
      </c>
      <c r="U79" s="28">
        <f t="shared" si="3"/>
        <v>0</v>
      </c>
      <c r="V79" s="28">
        <f t="shared" si="3"/>
        <v>0</v>
      </c>
      <c r="W79" s="28">
        <f t="shared" si="3"/>
        <v>0</v>
      </c>
      <c r="X79" s="28">
        <f t="shared" si="3"/>
        <v>0</v>
      </c>
      <c r="Y79" s="28">
        <f t="shared" si="3"/>
        <v>0</v>
      </c>
      <c r="Z79" s="28">
        <f t="shared" si="3"/>
        <v>0</v>
      </c>
      <c r="AA79" s="28">
        <f t="shared" si="3"/>
        <v>0</v>
      </c>
      <c r="AB79" s="28" t="str">
        <f t="shared" si="3"/>
        <v>＋</v>
      </c>
      <c r="AC79" s="28">
        <f t="shared" si="3"/>
        <v>18910</v>
      </c>
      <c r="AD79" s="28">
        <f t="shared" si="3"/>
        <v>0</v>
      </c>
      <c r="AE79" s="28" t="str">
        <f t="shared" si="3"/>
        <v>＋</v>
      </c>
      <c r="AF79" s="28">
        <f t="shared" si="3"/>
        <v>110</v>
      </c>
      <c r="AG79" s="28" t="str">
        <f t="shared" si="3"/>
        <v>＋</v>
      </c>
      <c r="AH79" s="28">
        <f t="shared" si="3"/>
        <v>4800</v>
      </c>
      <c r="AI79" s="28">
        <f t="shared" si="3"/>
        <v>5300</v>
      </c>
      <c r="AJ79" s="28" t="str">
        <f t="shared" si="3"/>
        <v>＋</v>
      </c>
      <c r="AK79" s="28" t="str">
        <f t="shared" si="3"/>
        <v>ａ地域</v>
      </c>
      <c r="AL79" s="28">
        <f t="shared" si="3"/>
        <v>9800</v>
      </c>
      <c r="AM79" s="28">
        <f t="shared" si="3"/>
        <v>10900</v>
      </c>
      <c r="AN79" s="28" t="str">
        <f t="shared" si="3"/>
        <v>＋</v>
      </c>
      <c r="AO79" s="28">
        <f t="shared" si="3"/>
        <v>10320</v>
      </c>
      <c r="AP79" s="28" t="str">
        <f t="shared" si="3"/>
        <v>＋</v>
      </c>
      <c r="AQ79" s="28">
        <f t="shared" si="3"/>
        <v>100</v>
      </c>
      <c r="AR79" s="28"/>
      <c r="AS79" s="28"/>
      <c r="AT79" s="28"/>
      <c r="AU79" s="28">
        <f t="shared" si="3"/>
        <v>0</v>
      </c>
      <c r="AV79" s="28"/>
      <c r="AW79" s="28">
        <f>AW15</f>
        <v>11770</v>
      </c>
      <c r="AX79" s="28"/>
      <c r="AY79" s="28">
        <f>AY15</f>
        <v>110</v>
      </c>
      <c r="AZ79" s="28"/>
      <c r="BA79" s="222">
        <f>BA17</f>
        <v>0.02</v>
      </c>
      <c r="BB79" s="222">
        <f>BB17</f>
        <v>0.03</v>
      </c>
      <c r="BC79" s="222">
        <f>BC17</f>
        <v>0.04</v>
      </c>
      <c r="BD79" s="222">
        <f>BD17</f>
        <v>0.06</v>
      </c>
      <c r="BE79" s="28">
        <f t="shared" si="3"/>
        <v>0</v>
      </c>
      <c r="BF79" s="222">
        <f>BF17</f>
        <v>0</v>
      </c>
    </row>
    <row r="80" spans="1:58">
      <c r="B80" s="28">
        <v>41</v>
      </c>
      <c r="D80" s="28" t="str">
        <f>D19</f>
        <v>４歳以上児</v>
      </c>
      <c r="E80" s="28">
        <f t="shared" ref="E80:BE80" si="4">E19</f>
        <v>0</v>
      </c>
      <c r="F80" s="28">
        <f t="shared" si="4"/>
        <v>60970</v>
      </c>
      <c r="G80" s="28">
        <f t="shared" si="4"/>
        <v>67850</v>
      </c>
      <c r="H80" s="28">
        <f t="shared" si="4"/>
        <v>51600</v>
      </c>
      <c r="I80" s="28">
        <f t="shared" si="4"/>
        <v>58480</v>
      </c>
      <c r="J80" s="28" t="str">
        <f t="shared" si="4"/>
        <v>＋</v>
      </c>
      <c r="K80" s="28">
        <f t="shared" si="4"/>
        <v>590</v>
      </c>
      <c r="L80" s="28">
        <f t="shared" si="4"/>
        <v>650</v>
      </c>
      <c r="M80" s="28" t="str">
        <f t="shared" si="4"/>
        <v>×加算率</v>
      </c>
      <c r="N80" s="28">
        <f t="shared" si="4"/>
        <v>490</v>
      </c>
      <c r="O80" s="28">
        <f t="shared" si="4"/>
        <v>550</v>
      </c>
      <c r="P80" s="28" t="str">
        <f t="shared" si="4"/>
        <v>×加算率</v>
      </c>
      <c r="Q80" s="28" t="str">
        <f t="shared" si="4"/>
        <v>＋</v>
      </c>
      <c r="R80" s="28">
        <f t="shared" si="4"/>
        <v>6880</v>
      </c>
      <c r="S80" s="28">
        <f t="shared" si="4"/>
        <v>60</v>
      </c>
      <c r="T80" s="28">
        <f t="shared" si="4"/>
        <v>0</v>
      </c>
      <c r="U80" s="28">
        <f t="shared" si="4"/>
        <v>0</v>
      </c>
      <c r="V80" s="28" t="str">
        <f t="shared" si="4"/>
        <v>休日保育の年間延べ利用子ども数</v>
      </c>
      <c r="W80" s="28">
        <f t="shared" si="4"/>
        <v>0</v>
      </c>
      <c r="X80" s="28" t="str">
        <f t="shared" si="4"/>
        <v>休日保育の年間延べ利用子ども数</v>
      </c>
      <c r="Y80" s="28">
        <f t="shared" si="4"/>
        <v>0</v>
      </c>
      <c r="Z80" s="28">
        <f t="shared" si="4"/>
        <v>0</v>
      </c>
      <c r="AA80" s="28">
        <f t="shared" si="4"/>
        <v>0</v>
      </c>
      <c r="AB80" s="28" t="str">
        <f t="shared" si="4"/>
        <v>＋</v>
      </c>
      <c r="AC80" s="28">
        <f t="shared" si="4"/>
        <v>16540</v>
      </c>
      <c r="AD80" s="28">
        <f t="shared" si="4"/>
        <v>0</v>
      </c>
      <c r="AE80" s="28" t="str">
        <f t="shared" si="4"/>
        <v>＋</v>
      </c>
      <c r="AF80" s="28">
        <f t="shared" si="4"/>
        <v>90</v>
      </c>
      <c r="AG80" s="28" t="str">
        <f t="shared" si="4"/>
        <v>＋</v>
      </c>
      <c r="AH80" s="28">
        <f t="shared" si="4"/>
        <v>4300</v>
      </c>
      <c r="AI80" s="28">
        <f t="shared" si="4"/>
        <v>4800</v>
      </c>
      <c r="AJ80" s="28" t="str">
        <f t="shared" si="4"/>
        <v>＋</v>
      </c>
      <c r="AK80" s="28" t="str">
        <f t="shared" si="4"/>
        <v>ａ地域</v>
      </c>
      <c r="AL80" s="28">
        <f t="shared" si="4"/>
        <v>8800</v>
      </c>
      <c r="AM80" s="28">
        <f t="shared" si="4"/>
        <v>9800</v>
      </c>
      <c r="AN80" s="28" t="str">
        <f t="shared" si="4"/>
        <v>＋</v>
      </c>
      <c r="AO80" s="28">
        <f t="shared" si="4"/>
        <v>8260</v>
      </c>
      <c r="AP80" s="28" t="str">
        <f t="shared" si="4"/>
        <v>＋</v>
      </c>
      <c r="AQ80" s="28">
        <f t="shared" si="4"/>
        <v>80</v>
      </c>
      <c r="AR80" s="28"/>
      <c r="AS80" s="28"/>
      <c r="AT80" s="28"/>
      <c r="AU80" s="28">
        <f t="shared" si="4"/>
        <v>0</v>
      </c>
      <c r="AV80" s="28"/>
      <c r="AW80" s="28">
        <f>AW19</f>
        <v>9410</v>
      </c>
      <c r="AX80" s="28"/>
      <c r="AY80" s="28">
        <f>AY19</f>
        <v>90</v>
      </c>
      <c r="AZ80" s="28"/>
      <c r="BA80" s="222">
        <f>BA21</f>
        <v>0.02</v>
      </c>
      <c r="BB80" s="222">
        <f>BB21</f>
        <v>0.03</v>
      </c>
      <c r="BC80" s="222">
        <f>BC21</f>
        <v>0.05</v>
      </c>
      <c r="BD80" s="222">
        <f>BD21</f>
        <v>0.06</v>
      </c>
      <c r="BE80" s="28">
        <f t="shared" si="4"/>
        <v>0</v>
      </c>
      <c r="BF80" s="222">
        <f>BF21</f>
        <v>0</v>
      </c>
    </row>
    <row r="81" spans="2:58">
      <c r="B81" s="28">
        <v>51</v>
      </c>
      <c r="D81" s="28" t="str">
        <f>D23</f>
        <v>４歳以上児</v>
      </c>
      <c r="E81" s="28">
        <f t="shared" ref="E81:BE81" si="5">E23</f>
        <v>0</v>
      </c>
      <c r="F81" s="28">
        <f t="shared" si="5"/>
        <v>53440</v>
      </c>
      <c r="G81" s="28">
        <f t="shared" si="5"/>
        <v>60320</v>
      </c>
      <c r="H81" s="28">
        <f t="shared" si="5"/>
        <v>45630</v>
      </c>
      <c r="I81" s="28">
        <f t="shared" si="5"/>
        <v>52510</v>
      </c>
      <c r="J81" s="28" t="str">
        <f t="shared" si="5"/>
        <v>＋</v>
      </c>
      <c r="K81" s="28">
        <f t="shared" si="5"/>
        <v>510</v>
      </c>
      <c r="L81" s="28">
        <f t="shared" si="5"/>
        <v>570</v>
      </c>
      <c r="M81" s="28" t="str">
        <f t="shared" si="5"/>
        <v>×加算率</v>
      </c>
      <c r="N81" s="28">
        <f t="shared" si="5"/>
        <v>430</v>
      </c>
      <c r="O81" s="28">
        <f t="shared" si="5"/>
        <v>490</v>
      </c>
      <c r="P81" s="28" t="str">
        <f t="shared" si="5"/>
        <v>×加算率</v>
      </c>
      <c r="Q81" s="28" t="str">
        <f t="shared" si="5"/>
        <v>＋</v>
      </c>
      <c r="R81" s="28">
        <f t="shared" si="5"/>
        <v>6880</v>
      </c>
      <c r="S81" s="28">
        <f t="shared" si="5"/>
        <v>60</v>
      </c>
      <c r="T81" s="28">
        <f t="shared" si="5"/>
        <v>0</v>
      </c>
      <c r="U81" s="28">
        <f t="shared" si="5"/>
        <v>0</v>
      </c>
      <c r="V81" s="28">
        <f t="shared" si="5"/>
        <v>240600</v>
      </c>
      <c r="W81" s="28">
        <f t="shared" si="5"/>
        <v>0</v>
      </c>
      <c r="X81" s="28">
        <f t="shared" si="5"/>
        <v>2400</v>
      </c>
      <c r="Y81" s="28">
        <f t="shared" si="5"/>
        <v>0</v>
      </c>
      <c r="Z81" s="28">
        <f t="shared" si="5"/>
        <v>0</v>
      </c>
      <c r="AA81" s="28">
        <f t="shared" si="5"/>
        <v>0</v>
      </c>
      <c r="AB81" s="28" t="str">
        <f t="shared" si="5"/>
        <v>＋</v>
      </c>
      <c r="AC81" s="28">
        <f t="shared" si="5"/>
        <v>14960</v>
      </c>
      <c r="AD81" s="28">
        <f t="shared" si="5"/>
        <v>0</v>
      </c>
      <c r="AE81" s="28" t="str">
        <f t="shared" si="5"/>
        <v>＋</v>
      </c>
      <c r="AF81" s="28">
        <f t="shared" si="5"/>
        <v>70</v>
      </c>
      <c r="AG81" s="28" t="str">
        <f t="shared" si="5"/>
        <v>＋</v>
      </c>
      <c r="AH81" s="28">
        <f t="shared" si="5"/>
        <v>3600</v>
      </c>
      <c r="AI81" s="28">
        <f t="shared" si="5"/>
        <v>4000</v>
      </c>
      <c r="AJ81" s="28" t="str">
        <f t="shared" si="5"/>
        <v>＋</v>
      </c>
      <c r="AK81" s="28" t="str">
        <f t="shared" si="5"/>
        <v>ａ地域</v>
      </c>
      <c r="AL81" s="28">
        <f t="shared" si="5"/>
        <v>7200</v>
      </c>
      <c r="AM81" s="28">
        <f t="shared" si="5"/>
        <v>8100</v>
      </c>
      <c r="AN81" s="28" t="str">
        <f t="shared" si="5"/>
        <v>＋</v>
      </c>
      <c r="AO81" s="28">
        <f t="shared" si="5"/>
        <v>6880</v>
      </c>
      <c r="AP81" s="28" t="str">
        <f t="shared" si="5"/>
        <v>＋</v>
      </c>
      <c r="AQ81" s="28">
        <f t="shared" si="5"/>
        <v>60</v>
      </c>
      <c r="AR81" s="28"/>
      <c r="AS81" s="28"/>
      <c r="AT81" s="28"/>
      <c r="AU81" s="28">
        <f t="shared" si="5"/>
        <v>0</v>
      </c>
      <c r="AV81" s="28"/>
      <c r="AW81" s="28">
        <f>AW23</f>
        <v>7840</v>
      </c>
      <c r="AX81" s="28"/>
      <c r="AY81" s="28">
        <f>AY23</f>
        <v>70</v>
      </c>
      <c r="AZ81" s="28"/>
      <c r="BA81" s="222">
        <f>BA25</f>
        <v>0.02</v>
      </c>
      <c r="BB81" s="222">
        <f>BB25</f>
        <v>0.03</v>
      </c>
      <c r="BC81" s="222">
        <f>BC25</f>
        <v>0.05</v>
      </c>
      <c r="BD81" s="222">
        <f>BD25</f>
        <v>0.06</v>
      </c>
      <c r="BE81" s="28">
        <f t="shared" si="5"/>
        <v>0</v>
      </c>
      <c r="BF81" s="222">
        <f>BF25</f>
        <v>0</v>
      </c>
    </row>
    <row r="82" spans="2:58">
      <c r="B82" s="28">
        <v>61</v>
      </c>
      <c r="D82" s="28" t="str">
        <f>D27</f>
        <v>４歳以上児</v>
      </c>
      <c r="E82" s="28">
        <f t="shared" ref="E82:BE82" si="6">E27</f>
        <v>0</v>
      </c>
      <c r="F82" s="28">
        <f t="shared" si="6"/>
        <v>48140</v>
      </c>
      <c r="G82" s="28">
        <f t="shared" si="6"/>
        <v>55020</v>
      </c>
      <c r="H82" s="28">
        <f t="shared" si="6"/>
        <v>41450</v>
      </c>
      <c r="I82" s="28">
        <f t="shared" si="6"/>
        <v>48330</v>
      </c>
      <c r="J82" s="28" t="str">
        <f t="shared" si="6"/>
        <v>＋</v>
      </c>
      <c r="K82" s="28">
        <f t="shared" si="6"/>
        <v>460</v>
      </c>
      <c r="L82" s="28">
        <f t="shared" si="6"/>
        <v>520</v>
      </c>
      <c r="M82" s="28" t="str">
        <f t="shared" si="6"/>
        <v>×加算率</v>
      </c>
      <c r="N82" s="28">
        <f t="shared" si="6"/>
        <v>390</v>
      </c>
      <c r="O82" s="28">
        <f t="shared" si="6"/>
        <v>450</v>
      </c>
      <c r="P82" s="28" t="str">
        <f t="shared" si="6"/>
        <v>×加算率</v>
      </c>
      <c r="Q82" s="28" t="str">
        <f t="shared" si="6"/>
        <v>＋</v>
      </c>
      <c r="R82" s="28">
        <f t="shared" si="6"/>
        <v>6880</v>
      </c>
      <c r="S82" s="28">
        <f t="shared" si="6"/>
        <v>60</v>
      </c>
      <c r="T82" s="28">
        <f t="shared" si="6"/>
        <v>0</v>
      </c>
      <c r="U82" s="28">
        <f t="shared" si="6"/>
        <v>0</v>
      </c>
      <c r="V82" s="28">
        <f t="shared" si="6"/>
        <v>0</v>
      </c>
      <c r="W82" s="28">
        <f t="shared" si="6"/>
        <v>0</v>
      </c>
      <c r="X82" s="28">
        <f t="shared" si="6"/>
        <v>0</v>
      </c>
      <c r="Y82" s="28">
        <f t="shared" si="6"/>
        <v>0</v>
      </c>
      <c r="Z82" s="28">
        <f t="shared" si="6"/>
        <v>0</v>
      </c>
      <c r="AA82" s="28">
        <f t="shared" si="6"/>
        <v>0</v>
      </c>
      <c r="AB82" s="28" t="str">
        <f t="shared" si="6"/>
        <v>＋</v>
      </c>
      <c r="AC82" s="28">
        <f t="shared" si="6"/>
        <v>13830</v>
      </c>
      <c r="AD82" s="28">
        <f t="shared" si="6"/>
        <v>0</v>
      </c>
      <c r="AE82" s="28" t="str">
        <f t="shared" si="6"/>
        <v>＋</v>
      </c>
      <c r="AF82" s="28">
        <f t="shared" si="6"/>
        <v>60</v>
      </c>
      <c r="AG82" s="28" t="str">
        <f t="shared" si="6"/>
        <v>＋</v>
      </c>
      <c r="AH82" s="28">
        <f t="shared" si="6"/>
        <v>3100</v>
      </c>
      <c r="AI82" s="28">
        <f t="shared" si="6"/>
        <v>3400</v>
      </c>
      <c r="AJ82" s="28" t="str">
        <f t="shared" si="6"/>
        <v>＋</v>
      </c>
      <c r="AK82" s="28" t="str">
        <f t="shared" si="6"/>
        <v>ａ地域</v>
      </c>
      <c r="AL82" s="28">
        <f t="shared" si="6"/>
        <v>6300</v>
      </c>
      <c r="AM82" s="28">
        <f t="shared" si="6"/>
        <v>7100</v>
      </c>
      <c r="AN82" s="28" t="str">
        <f t="shared" si="6"/>
        <v>＋</v>
      </c>
      <c r="AO82" s="28">
        <f t="shared" si="6"/>
        <v>5900</v>
      </c>
      <c r="AP82" s="28" t="str">
        <f t="shared" si="6"/>
        <v>＋</v>
      </c>
      <c r="AQ82" s="28">
        <f t="shared" si="6"/>
        <v>50</v>
      </c>
      <c r="AR82" s="28"/>
      <c r="AS82" s="28"/>
      <c r="AT82" s="28"/>
      <c r="AU82" s="28">
        <f t="shared" si="6"/>
        <v>0</v>
      </c>
      <c r="AV82" s="28"/>
      <c r="AW82" s="28">
        <f>AW27</f>
        <v>6720</v>
      </c>
      <c r="AX82" s="28"/>
      <c r="AY82" s="28">
        <f>AY27</f>
        <v>60</v>
      </c>
      <c r="AZ82" s="28"/>
      <c r="BA82" s="222">
        <f>BA29</f>
        <v>0.02</v>
      </c>
      <c r="BB82" s="222">
        <f>BB29</f>
        <v>0.03</v>
      </c>
      <c r="BC82" s="222">
        <f>BC29</f>
        <v>0.05</v>
      </c>
      <c r="BD82" s="222">
        <f>BD29</f>
        <v>0.06</v>
      </c>
      <c r="BE82" s="28">
        <f t="shared" si="6"/>
        <v>0</v>
      </c>
      <c r="BF82" s="222">
        <f>BF29</f>
        <v>0</v>
      </c>
    </row>
    <row r="83" spans="2:58">
      <c r="B83" s="28">
        <v>71</v>
      </c>
      <c r="D83" s="28" t="str">
        <f>D31</f>
        <v>４歳以上児</v>
      </c>
      <c r="E83" s="28">
        <f t="shared" ref="E83:BE83" si="7">E31</f>
        <v>0</v>
      </c>
      <c r="F83" s="28">
        <f t="shared" si="7"/>
        <v>44220</v>
      </c>
      <c r="G83" s="28">
        <f t="shared" si="7"/>
        <v>51100</v>
      </c>
      <c r="H83" s="28">
        <f t="shared" si="7"/>
        <v>38360</v>
      </c>
      <c r="I83" s="28">
        <f t="shared" si="7"/>
        <v>45240</v>
      </c>
      <c r="J83" s="28" t="str">
        <f t="shared" si="7"/>
        <v>＋</v>
      </c>
      <c r="K83" s="28">
        <f t="shared" si="7"/>
        <v>420</v>
      </c>
      <c r="L83" s="28">
        <f t="shared" si="7"/>
        <v>480</v>
      </c>
      <c r="M83" s="28" t="str">
        <f t="shared" si="7"/>
        <v>×加算率</v>
      </c>
      <c r="N83" s="28">
        <f t="shared" si="7"/>
        <v>360</v>
      </c>
      <c r="O83" s="28">
        <f t="shared" si="7"/>
        <v>420</v>
      </c>
      <c r="P83" s="28" t="str">
        <f t="shared" si="7"/>
        <v>×加算率</v>
      </c>
      <c r="Q83" s="28" t="str">
        <f t="shared" si="7"/>
        <v>＋</v>
      </c>
      <c r="R83" s="28">
        <f t="shared" si="7"/>
        <v>6880</v>
      </c>
      <c r="S83" s="28">
        <f t="shared" si="7"/>
        <v>60</v>
      </c>
      <c r="T83" s="28">
        <f t="shared" si="7"/>
        <v>0</v>
      </c>
      <c r="U83" s="28">
        <f t="shared" si="7"/>
        <v>0</v>
      </c>
      <c r="V83" s="28" t="str">
        <f t="shared" si="7"/>
        <v xml:space="preserve"> 　350人～　419人</v>
      </c>
      <c r="W83" s="28">
        <f t="shared" si="7"/>
        <v>0</v>
      </c>
      <c r="X83" s="28" t="str">
        <f t="shared" si="7"/>
        <v xml:space="preserve"> 　350人～　419人</v>
      </c>
      <c r="Y83" s="28">
        <f t="shared" si="7"/>
        <v>0</v>
      </c>
      <c r="Z83" s="28">
        <f t="shared" si="7"/>
        <v>0</v>
      </c>
      <c r="AA83" s="28">
        <f t="shared" si="7"/>
        <v>0</v>
      </c>
      <c r="AB83" s="28" t="str">
        <f t="shared" si="7"/>
        <v>＋</v>
      </c>
      <c r="AC83" s="28">
        <f t="shared" si="7"/>
        <v>12990</v>
      </c>
      <c r="AD83" s="28">
        <f t="shared" si="7"/>
        <v>0</v>
      </c>
      <c r="AE83" s="28" t="str">
        <f t="shared" si="7"/>
        <v>＋</v>
      </c>
      <c r="AF83" s="28">
        <f t="shared" si="7"/>
        <v>50</v>
      </c>
      <c r="AG83" s="28" t="str">
        <f t="shared" si="7"/>
        <v>＋</v>
      </c>
      <c r="AH83" s="28">
        <f t="shared" si="7"/>
        <v>3500</v>
      </c>
      <c r="AI83" s="28">
        <f t="shared" si="7"/>
        <v>3900</v>
      </c>
      <c r="AJ83" s="28" t="str">
        <f t="shared" si="7"/>
        <v>＋</v>
      </c>
      <c r="AK83" s="28" t="str">
        <f t="shared" si="7"/>
        <v>ａ地域</v>
      </c>
      <c r="AL83" s="28">
        <f t="shared" si="7"/>
        <v>7100</v>
      </c>
      <c r="AM83" s="28">
        <f t="shared" si="7"/>
        <v>7900</v>
      </c>
      <c r="AN83" s="28" t="str">
        <f t="shared" si="7"/>
        <v>＋</v>
      </c>
      <c r="AO83" s="28">
        <f t="shared" si="7"/>
        <v>5160</v>
      </c>
      <c r="AP83" s="28" t="str">
        <f t="shared" si="7"/>
        <v>＋</v>
      </c>
      <c r="AQ83" s="28">
        <f t="shared" si="7"/>
        <v>50</v>
      </c>
      <c r="AR83" s="28"/>
      <c r="AS83" s="28"/>
      <c r="AT83" s="28"/>
      <c r="AU83" s="28">
        <f t="shared" si="7"/>
        <v>0</v>
      </c>
      <c r="AV83" s="28"/>
      <c r="AW83" s="28">
        <f>AW31</f>
        <v>5880</v>
      </c>
      <c r="AX83" s="28"/>
      <c r="AY83" s="28">
        <f>AY31</f>
        <v>50</v>
      </c>
      <c r="AZ83" s="28"/>
      <c r="BA83" s="222">
        <f>BA33</f>
        <v>0.02</v>
      </c>
      <c r="BB83" s="222">
        <f>BB33</f>
        <v>0.03</v>
      </c>
      <c r="BC83" s="222">
        <f>BC33</f>
        <v>0.05</v>
      </c>
      <c r="BD83" s="222">
        <f>BD33</f>
        <v>0.06</v>
      </c>
      <c r="BE83" s="28">
        <f t="shared" si="7"/>
        <v>0</v>
      </c>
      <c r="BF83" s="222">
        <f>BF33</f>
        <v>0</v>
      </c>
    </row>
    <row r="84" spans="2:58">
      <c r="B84" s="28">
        <v>81</v>
      </c>
      <c r="D84" s="28" t="str">
        <f>D35</f>
        <v>４歳以上児</v>
      </c>
      <c r="E84" s="28">
        <f t="shared" ref="E84:BE84" si="8">E35</f>
        <v>0</v>
      </c>
      <c r="F84" s="28">
        <f t="shared" si="8"/>
        <v>41120</v>
      </c>
      <c r="G84" s="28">
        <f t="shared" si="8"/>
        <v>48000</v>
      </c>
      <c r="H84" s="28">
        <f t="shared" si="8"/>
        <v>35910</v>
      </c>
      <c r="I84" s="28">
        <f t="shared" si="8"/>
        <v>42790</v>
      </c>
      <c r="J84" s="28" t="str">
        <f t="shared" si="8"/>
        <v>＋</v>
      </c>
      <c r="K84" s="28">
        <f t="shared" si="8"/>
        <v>390</v>
      </c>
      <c r="L84" s="28">
        <f t="shared" si="8"/>
        <v>450</v>
      </c>
      <c r="M84" s="28" t="str">
        <f t="shared" si="8"/>
        <v>×加算率</v>
      </c>
      <c r="N84" s="28">
        <f t="shared" si="8"/>
        <v>340</v>
      </c>
      <c r="O84" s="28">
        <f t="shared" si="8"/>
        <v>400</v>
      </c>
      <c r="P84" s="28" t="str">
        <f t="shared" si="8"/>
        <v>×加算率</v>
      </c>
      <c r="Q84" s="28" t="str">
        <f t="shared" si="8"/>
        <v>＋</v>
      </c>
      <c r="R84" s="28">
        <f t="shared" si="8"/>
        <v>6880</v>
      </c>
      <c r="S84" s="28">
        <f t="shared" si="8"/>
        <v>60</v>
      </c>
      <c r="T84" s="28">
        <f t="shared" si="8"/>
        <v>0</v>
      </c>
      <c r="U84" s="28">
        <f t="shared" si="8"/>
        <v>0</v>
      </c>
      <c r="V84" s="28">
        <f t="shared" si="8"/>
        <v>359000</v>
      </c>
      <c r="W84" s="28">
        <f t="shared" si="8"/>
        <v>0</v>
      </c>
      <c r="X84" s="28">
        <f t="shared" si="8"/>
        <v>3590</v>
      </c>
      <c r="Y84" s="28">
        <f t="shared" si="8"/>
        <v>0</v>
      </c>
      <c r="Z84" s="28">
        <f t="shared" si="8"/>
        <v>0</v>
      </c>
      <c r="AA84" s="28">
        <f t="shared" si="8"/>
        <v>0</v>
      </c>
      <c r="AB84" s="28" t="str">
        <f t="shared" si="8"/>
        <v>＋</v>
      </c>
      <c r="AC84" s="28">
        <f t="shared" si="8"/>
        <v>12330</v>
      </c>
      <c r="AD84" s="28">
        <f t="shared" si="8"/>
        <v>0</v>
      </c>
      <c r="AE84" s="28" t="str">
        <f t="shared" si="8"/>
        <v>＋</v>
      </c>
      <c r="AF84" s="28">
        <f t="shared" si="8"/>
        <v>50</v>
      </c>
      <c r="AG84" s="28" t="str">
        <f t="shared" si="8"/>
        <v>＋</v>
      </c>
      <c r="AH84" s="28">
        <f t="shared" si="8"/>
        <v>3100</v>
      </c>
      <c r="AI84" s="28">
        <f t="shared" si="8"/>
        <v>3400</v>
      </c>
      <c r="AJ84" s="28" t="str">
        <f t="shared" si="8"/>
        <v>＋</v>
      </c>
      <c r="AK84" s="28" t="str">
        <f t="shared" si="8"/>
        <v>ａ地域</v>
      </c>
      <c r="AL84" s="28">
        <f t="shared" si="8"/>
        <v>6300</v>
      </c>
      <c r="AM84" s="28">
        <f t="shared" si="8"/>
        <v>7100</v>
      </c>
      <c r="AN84" s="28" t="str">
        <f t="shared" si="8"/>
        <v>＋</v>
      </c>
      <c r="AO84" s="28">
        <f t="shared" si="8"/>
        <v>4580</v>
      </c>
      <c r="AP84" s="28" t="str">
        <f t="shared" si="8"/>
        <v>＋</v>
      </c>
      <c r="AQ84" s="28">
        <f t="shared" si="8"/>
        <v>40</v>
      </c>
      <c r="AR84" s="28"/>
      <c r="AS84" s="28"/>
      <c r="AT84" s="28"/>
      <c r="AU84" s="28">
        <f t="shared" si="8"/>
        <v>0</v>
      </c>
      <c r="AV84" s="28"/>
      <c r="AW84" s="28">
        <f>AW35</f>
        <v>5230</v>
      </c>
      <c r="AX84" s="28"/>
      <c r="AY84" s="28">
        <f>AY35</f>
        <v>50</v>
      </c>
      <c r="AZ84" s="28"/>
      <c r="BA84" s="222">
        <f>BA37</f>
        <v>0.02</v>
      </c>
      <c r="BB84" s="222">
        <f>BB37</f>
        <v>0.03</v>
      </c>
      <c r="BC84" s="222">
        <f>BC37</f>
        <v>0.05</v>
      </c>
      <c r="BD84" s="222">
        <f>BD37</f>
        <v>0.06</v>
      </c>
      <c r="BE84" s="28">
        <f t="shared" si="8"/>
        <v>0</v>
      </c>
      <c r="BF84" s="222">
        <f>BF37</f>
        <v>0</v>
      </c>
    </row>
    <row r="85" spans="2:58">
      <c r="B85" s="28">
        <v>91</v>
      </c>
      <c r="D85" s="28" t="str">
        <f>D39</f>
        <v>４歳以上児</v>
      </c>
      <c r="E85" s="28">
        <f t="shared" ref="E85:BE85" si="9">E39</f>
        <v>0</v>
      </c>
      <c r="F85" s="28">
        <f t="shared" si="9"/>
        <v>35690</v>
      </c>
      <c r="G85" s="28">
        <f t="shared" si="9"/>
        <v>42570</v>
      </c>
      <c r="H85" s="28">
        <f t="shared" si="9"/>
        <v>31010</v>
      </c>
      <c r="I85" s="28">
        <f t="shared" si="9"/>
        <v>37890</v>
      </c>
      <c r="J85" s="28" t="str">
        <f t="shared" si="9"/>
        <v>＋</v>
      </c>
      <c r="K85" s="28">
        <f t="shared" si="9"/>
        <v>330</v>
      </c>
      <c r="L85" s="28">
        <f t="shared" si="9"/>
        <v>390</v>
      </c>
      <c r="M85" s="28" t="str">
        <f t="shared" si="9"/>
        <v>×加算率</v>
      </c>
      <c r="N85" s="28">
        <f t="shared" si="9"/>
        <v>290</v>
      </c>
      <c r="O85" s="28">
        <f t="shared" si="9"/>
        <v>350</v>
      </c>
      <c r="P85" s="28" t="str">
        <f t="shared" si="9"/>
        <v>×加算率</v>
      </c>
      <c r="Q85" s="28" t="str">
        <f t="shared" si="9"/>
        <v>＋</v>
      </c>
      <c r="R85" s="28">
        <f t="shared" si="9"/>
        <v>6880</v>
      </c>
      <c r="S85" s="28">
        <f t="shared" si="9"/>
        <v>60</v>
      </c>
      <c r="T85" s="28">
        <f t="shared" si="9"/>
        <v>0</v>
      </c>
      <c r="U85" s="28">
        <f t="shared" si="9"/>
        <v>0</v>
      </c>
      <c r="V85" s="28">
        <f t="shared" si="9"/>
        <v>0</v>
      </c>
      <c r="W85" s="28">
        <f t="shared" si="9"/>
        <v>0</v>
      </c>
      <c r="X85" s="28">
        <f t="shared" si="9"/>
        <v>0</v>
      </c>
      <c r="Y85" s="28">
        <f t="shared" si="9"/>
        <v>0</v>
      </c>
      <c r="Z85" s="28">
        <f t="shared" si="9"/>
        <v>0</v>
      </c>
      <c r="AA85" s="28">
        <f t="shared" si="9"/>
        <v>0</v>
      </c>
      <c r="AB85" s="28">
        <f t="shared" si="9"/>
        <v>0</v>
      </c>
      <c r="AC85" s="28">
        <f t="shared" si="9"/>
        <v>0</v>
      </c>
      <c r="AD85" s="28">
        <f t="shared" si="9"/>
        <v>0</v>
      </c>
      <c r="AE85" s="28">
        <f t="shared" si="9"/>
        <v>0</v>
      </c>
      <c r="AF85" s="28">
        <f t="shared" si="9"/>
        <v>0</v>
      </c>
      <c r="AG85" s="28" t="str">
        <f t="shared" si="9"/>
        <v>＋</v>
      </c>
      <c r="AH85" s="28">
        <f t="shared" si="9"/>
        <v>2800</v>
      </c>
      <c r="AI85" s="28">
        <f t="shared" si="9"/>
        <v>3100</v>
      </c>
      <c r="AJ85" s="28" t="str">
        <f t="shared" si="9"/>
        <v>＋</v>
      </c>
      <c r="AK85" s="28" t="str">
        <f t="shared" si="9"/>
        <v>ａ地域</v>
      </c>
      <c r="AL85" s="28">
        <f t="shared" si="9"/>
        <v>5500</v>
      </c>
      <c r="AM85" s="28">
        <f t="shared" si="9"/>
        <v>6200</v>
      </c>
      <c r="AN85" s="28" t="str">
        <f t="shared" si="9"/>
        <v>＋</v>
      </c>
      <c r="AO85" s="28">
        <f t="shared" si="9"/>
        <v>4130</v>
      </c>
      <c r="AP85" s="28" t="str">
        <f t="shared" si="9"/>
        <v>＋</v>
      </c>
      <c r="AQ85" s="28">
        <f t="shared" si="9"/>
        <v>40</v>
      </c>
      <c r="AR85" s="28"/>
      <c r="AS85" s="28"/>
      <c r="AT85" s="28"/>
      <c r="AU85" s="222">
        <f>AU41</f>
        <v>0.1</v>
      </c>
      <c r="AV85" s="28"/>
      <c r="AW85" s="28">
        <f>AW39</f>
        <v>4700</v>
      </c>
      <c r="AX85" s="28"/>
      <c r="AY85" s="28">
        <f>AY39</f>
        <v>40</v>
      </c>
      <c r="AZ85" s="28"/>
      <c r="BA85" s="222">
        <f>BA41</f>
        <v>0.02</v>
      </c>
      <c r="BB85" s="222">
        <f>BB41</f>
        <v>0.03</v>
      </c>
      <c r="BC85" s="222">
        <f>BC41</f>
        <v>0.05</v>
      </c>
      <c r="BD85" s="222">
        <f>BD41</f>
        <v>7.0000000000000007E-2</v>
      </c>
      <c r="BE85" s="28">
        <f t="shared" si="9"/>
        <v>0</v>
      </c>
      <c r="BF85" s="222">
        <f>BF41</f>
        <v>0</v>
      </c>
    </row>
    <row r="86" spans="2:58">
      <c r="B86" s="28">
        <v>101</v>
      </c>
      <c r="D86" s="28" t="str">
        <f>D43</f>
        <v>４歳以上児</v>
      </c>
      <c r="E86" s="28">
        <f t="shared" ref="E86:BE86" si="10">E43</f>
        <v>0</v>
      </c>
      <c r="F86" s="28">
        <f t="shared" si="10"/>
        <v>33970</v>
      </c>
      <c r="G86" s="28">
        <f t="shared" si="10"/>
        <v>40850</v>
      </c>
      <c r="H86" s="28">
        <f t="shared" si="10"/>
        <v>29710</v>
      </c>
      <c r="I86" s="28">
        <f t="shared" si="10"/>
        <v>36590</v>
      </c>
      <c r="J86" s="28" t="str">
        <f t="shared" si="10"/>
        <v>＋</v>
      </c>
      <c r="K86" s="28">
        <f t="shared" si="10"/>
        <v>320</v>
      </c>
      <c r="L86" s="28">
        <f t="shared" si="10"/>
        <v>380</v>
      </c>
      <c r="M86" s="28" t="str">
        <f t="shared" si="10"/>
        <v>×加算率</v>
      </c>
      <c r="N86" s="28">
        <f t="shared" si="10"/>
        <v>270</v>
      </c>
      <c r="O86" s="28">
        <f t="shared" si="10"/>
        <v>330</v>
      </c>
      <c r="P86" s="28" t="str">
        <f t="shared" si="10"/>
        <v>×加算率</v>
      </c>
      <c r="Q86" s="28" t="str">
        <f t="shared" si="10"/>
        <v>＋</v>
      </c>
      <c r="R86" s="28">
        <f t="shared" si="10"/>
        <v>6880</v>
      </c>
      <c r="S86" s="28">
        <f t="shared" si="10"/>
        <v>60</v>
      </c>
      <c r="T86" s="28">
        <f t="shared" si="10"/>
        <v>0</v>
      </c>
      <c r="U86" s="28">
        <f t="shared" si="10"/>
        <v>0</v>
      </c>
      <c r="V86" s="28" t="str">
        <f t="shared" si="10"/>
        <v>　 630人～　699人</v>
      </c>
      <c r="W86" s="28">
        <f t="shared" si="10"/>
        <v>0</v>
      </c>
      <c r="X86" s="28" t="str">
        <f t="shared" si="10"/>
        <v>　 630人～　699人</v>
      </c>
      <c r="Y86" s="28">
        <f t="shared" si="10"/>
        <v>0</v>
      </c>
      <c r="Z86" s="28">
        <f t="shared" si="10"/>
        <v>0</v>
      </c>
      <c r="AA86" s="28">
        <f t="shared" si="10"/>
        <v>0</v>
      </c>
      <c r="AB86" s="28">
        <f t="shared" si="10"/>
        <v>0</v>
      </c>
      <c r="AC86" s="28">
        <f t="shared" si="10"/>
        <v>0</v>
      </c>
      <c r="AD86" s="28">
        <f t="shared" si="10"/>
        <v>0</v>
      </c>
      <c r="AE86" s="28">
        <f t="shared" si="10"/>
        <v>0</v>
      </c>
      <c r="AF86" s="28">
        <f t="shared" si="10"/>
        <v>0</v>
      </c>
      <c r="AG86" s="28" t="str">
        <f t="shared" si="10"/>
        <v>＋</v>
      </c>
      <c r="AH86" s="28">
        <f t="shared" si="10"/>
        <v>3100</v>
      </c>
      <c r="AI86" s="28">
        <f t="shared" si="10"/>
        <v>3400</v>
      </c>
      <c r="AJ86" s="28" t="str">
        <f t="shared" si="10"/>
        <v>＋</v>
      </c>
      <c r="AK86" s="28" t="str">
        <f t="shared" si="10"/>
        <v>ａ地域</v>
      </c>
      <c r="AL86" s="28">
        <f t="shared" si="10"/>
        <v>6100</v>
      </c>
      <c r="AM86" s="28">
        <f t="shared" si="10"/>
        <v>6800</v>
      </c>
      <c r="AN86" s="28" t="str">
        <f t="shared" si="10"/>
        <v>＋</v>
      </c>
      <c r="AO86" s="28">
        <f t="shared" si="10"/>
        <v>3750</v>
      </c>
      <c r="AP86" s="28" t="str">
        <f t="shared" si="10"/>
        <v>＋</v>
      </c>
      <c r="AQ86" s="28">
        <f t="shared" si="10"/>
        <v>30</v>
      </c>
      <c r="AR86" s="28"/>
      <c r="AS86" s="28"/>
      <c r="AT86" s="28"/>
      <c r="AU86" s="28">
        <f t="shared" si="10"/>
        <v>0</v>
      </c>
      <c r="AV86" s="28"/>
      <c r="AW86" s="28">
        <f>AW43</f>
        <v>4280</v>
      </c>
      <c r="AX86" s="28"/>
      <c r="AY86" s="28">
        <f>AY43</f>
        <v>40</v>
      </c>
      <c r="AZ86" s="28"/>
      <c r="BA86" s="222">
        <f>BA45</f>
        <v>0.02</v>
      </c>
      <c r="BB86" s="222">
        <f>BB45</f>
        <v>0.03</v>
      </c>
      <c r="BC86" s="222">
        <f>BC45</f>
        <v>0.05</v>
      </c>
      <c r="BD86" s="222">
        <f>BD45</f>
        <v>7.0000000000000007E-2</v>
      </c>
      <c r="BE86" s="28">
        <f t="shared" si="10"/>
        <v>0</v>
      </c>
      <c r="BF86" s="222">
        <f>BF45</f>
        <v>0</v>
      </c>
    </row>
    <row r="87" spans="2:58">
      <c r="B87" s="28">
        <v>111</v>
      </c>
      <c r="D87" s="28" t="str">
        <f>D47</f>
        <v>４歳以上児</v>
      </c>
      <c r="E87" s="28">
        <f t="shared" ref="E87:BE87" si="11">E47</f>
        <v>0</v>
      </c>
      <c r="F87" s="28">
        <f t="shared" si="11"/>
        <v>32500</v>
      </c>
      <c r="G87" s="28">
        <f t="shared" si="11"/>
        <v>39380</v>
      </c>
      <c r="H87" s="28">
        <f t="shared" si="11"/>
        <v>28600</v>
      </c>
      <c r="I87" s="28">
        <f t="shared" si="11"/>
        <v>35480</v>
      </c>
      <c r="J87" s="28" t="str">
        <f t="shared" si="11"/>
        <v>＋</v>
      </c>
      <c r="K87" s="28">
        <f t="shared" si="11"/>
        <v>300</v>
      </c>
      <c r="L87" s="28">
        <f t="shared" si="11"/>
        <v>360</v>
      </c>
      <c r="M87" s="28" t="str">
        <f t="shared" si="11"/>
        <v>×加算率</v>
      </c>
      <c r="N87" s="28">
        <f t="shared" si="11"/>
        <v>260</v>
      </c>
      <c r="O87" s="28">
        <f t="shared" si="11"/>
        <v>320</v>
      </c>
      <c r="P87" s="28" t="str">
        <f t="shared" si="11"/>
        <v>×加算率</v>
      </c>
      <c r="Q87" s="28" t="str">
        <f t="shared" si="11"/>
        <v>＋</v>
      </c>
      <c r="R87" s="28">
        <f t="shared" si="11"/>
        <v>6880</v>
      </c>
      <c r="S87" s="28">
        <f t="shared" si="11"/>
        <v>60</v>
      </c>
      <c r="T87" s="28">
        <f t="shared" si="11"/>
        <v>0</v>
      </c>
      <c r="U87" s="28">
        <f t="shared" si="11"/>
        <v>0</v>
      </c>
      <c r="V87" s="28">
        <f t="shared" si="11"/>
        <v>494300</v>
      </c>
      <c r="W87" s="28">
        <f t="shared" si="11"/>
        <v>0</v>
      </c>
      <c r="X87" s="28">
        <f t="shared" si="11"/>
        <v>4940</v>
      </c>
      <c r="Y87" s="28">
        <f t="shared" si="11"/>
        <v>0</v>
      </c>
      <c r="Z87" s="28">
        <f t="shared" si="11"/>
        <v>0</v>
      </c>
      <c r="AA87" s="28">
        <f t="shared" si="11"/>
        <v>0</v>
      </c>
      <c r="AB87" s="28">
        <f t="shared" si="11"/>
        <v>0</v>
      </c>
      <c r="AC87" s="28">
        <f t="shared" si="11"/>
        <v>0</v>
      </c>
      <c r="AD87" s="28">
        <f t="shared" si="11"/>
        <v>0</v>
      </c>
      <c r="AE87" s="28">
        <f t="shared" si="11"/>
        <v>0</v>
      </c>
      <c r="AF87" s="28">
        <f t="shared" si="11"/>
        <v>0</v>
      </c>
      <c r="AG87" s="28" t="str">
        <f t="shared" si="11"/>
        <v>＋</v>
      </c>
      <c r="AH87" s="28">
        <f t="shared" si="11"/>
        <v>2800</v>
      </c>
      <c r="AI87" s="28">
        <f t="shared" si="11"/>
        <v>3100</v>
      </c>
      <c r="AJ87" s="28" t="str">
        <f t="shared" si="11"/>
        <v>＋</v>
      </c>
      <c r="AK87" s="28" t="str">
        <f t="shared" si="11"/>
        <v>ａ地域</v>
      </c>
      <c r="AL87" s="28">
        <f t="shared" si="11"/>
        <v>5500</v>
      </c>
      <c r="AM87" s="28">
        <f t="shared" si="11"/>
        <v>6200</v>
      </c>
      <c r="AN87" s="28" t="str">
        <f t="shared" si="11"/>
        <v>＋</v>
      </c>
      <c r="AO87" s="28">
        <f t="shared" si="11"/>
        <v>3440</v>
      </c>
      <c r="AP87" s="28" t="str">
        <f t="shared" si="11"/>
        <v>＋</v>
      </c>
      <c r="AQ87" s="28">
        <f t="shared" si="11"/>
        <v>30</v>
      </c>
      <c r="AR87" s="28"/>
      <c r="AS87" s="28"/>
      <c r="AT87" s="28"/>
      <c r="AU87" s="28">
        <f t="shared" si="11"/>
        <v>0</v>
      </c>
      <c r="AV87" s="28"/>
      <c r="AW87" s="28">
        <f>AW47</f>
        <v>3920</v>
      </c>
      <c r="AX87" s="28"/>
      <c r="AY87" s="28">
        <f>AY47</f>
        <v>30</v>
      </c>
      <c r="AZ87" s="28"/>
      <c r="BA87" s="222">
        <f>BA49</f>
        <v>0.02</v>
      </c>
      <c r="BB87" s="222">
        <f>BB49</f>
        <v>0.03</v>
      </c>
      <c r="BC87" s="222">
        <f>BC49</f>
        <v>0.05</v>
      </c>
      <c r="BD87" s="222">
        <f>BD49</f>
        <v>7.0000000000000007E-2</v>
      </c>
      <c r="BE87" s="28">
        <f t="shared" si="11"/>
        <v>0</v>
      </c>
      <c r="BF87" s="222">
        <f>BF49</f>
        <v>0</v>
      </c>
    </row>
    <row r="88" spans="2:58">
      <c r="B88" s="28">
        <v>121</v>
      </c>
      <c r="D88" s="28" t="str">
        <f>D51</f>
        <v>４歳以上児</v>
      </c>
      <c r="E88" s="28">
        <f t="shared" ref="E88:BE88" si="12">E51</f>
        <v>0</v>
      </c>
      <c r="F88" s="28">
        <f t="shared" si="12"/>
        <v>31260</v>
      </c>
      <c r="G88" s="28">
        <f t="shared" si="12"/>
        <v>38140</v>
      </c>
      <c r="H88" s="28">
        <f t="shared" si="12"/>
        <v>27650</v>
      </c>
      <c r="I88" s="28">
        <f t="shared" si="12"/>
        <v>34530</v>
      </c>
      <c r="J88" s="28" t="str">
        <f t="shared" si="12"/>
        <v>＋</v>
      </c>
      <c r="K88" s="28">
        <f t="shared" si="12"/>
        <v>290</v>
      </c>
      <c r="L88" s="28">
        <f t="shared" si="12"/>
        <v>350</v>
      </c>
      <c r="M88" s="28" t="str">
        <f t="shared" si="12"/>
        <v>×加算率</v>
      </c>
      <c r="N88" s="28">
        <f t="shared" si="12"/>
        <v>250</v>
      </c>
      <c r="O88" s="28">
        <f t="shared" si="12"/>
        <v>310</v>
      </c>
      <c r="P88" s="28" t="str">
        <f t="shared" si="12"/>
        <v>×加算率</v>
      </c>
      <c r="Q88" s="28" t="str">
        <f t="shared" si="12"/>
        <v>＋</v>
      </c>
      <c r="R88" s="28">
        <f t="shared" si="12"/>
        <v>6880</v>
      </c>
      <c r="S88" s="28">
        <f t="shared" si="12"/>
        <v>60</v>
      </c>
      <c r="T88" s="28">
        <f t="shared" si="12"/>
        <v>0</v>
      </c>
      <c r="U88" s="28">
        <f t="shared" si="12"/>
        <v>0</v>
      </c>
      <c r="V88" s="28">
        <f t="shared" si="12"/>
        <v>0</v>
      </c>
      <c r="W88" s="28">
        <f t="shared" si="12"/>
        <v>0</v>
      </c>
      <c r="X88" s="28">
        <f t="shared" si="12"/>
        <v>0</v>
      </c>
      <c r="Y88" s="28">
        <f t="shared" si="12"/>
        <v>0</v>
      </c>
      <c r="Z88" s="28">
        <f t="shared" si="12"/>
        <v>0</v>
      </c>
      <c r="AA88" s="28">
        <f t="shared" si="12"/>
        <v>0</v>
      </c>
      <c r="AB88" s="28">
        <f t="shared" si="12"/>
        <v>0</v>
      </c>
      <c r="AC88" s="28">
        <f t="shared" si="12"/>
        <v>0</v>
      </c>
      <c r="AD88" s="28">
        <f t="shared" si="12"/>
        <v>0</v>
      </c>
      <c r="AE88" s="28">
        <f t="shared" si="12"/>
        <v>0</v>
      </c>
      <c r="AF88" s="28">
        <f t="shared" si="12"/>
        <v>0</v>
      </c>
      <c r="AG88" s="28" t="str">
        <f t="shared" si="12"/>
        <v>＋</v>
      </c>
      <c r="AH88" s="28">
        <f t="shared" si="12"/>
        <v>2600</v>
      </c>
      <c r="AI88" s="28">
        <f t="shared" si="12"/>
        <v>2900</v>
      </c>
      <c r="AJ88" s="28" t="str">
        <f t="shared" si="12"/>
        <v>＋</v>
      </c>
      <c r="AK88" s="28" t="str">
        <f t="shared" si="12"/>
        <v>ａ地域</v>
      </c>
      <c r="AL88" s="28">
        <f t="shared" si="12"/>
        <v>5100</v>
      </c>
      <c r="AM88" s="28">
        <f t="shared" si="12"/>
        <v>5700</v>
      </c>
      <c r="AN88" s="28" t="str">
        <f t="shared" si="12"/>
        <v>＋</v>
      </c>
      <c r="AO88" s="28">
        <f t="shared" si="12"/>
        <v>3170</v>
      </c>
      <c r="AP88" s="28" t="str">
        <f t="shared" si="12"/>
        <v>＋</v>
      </c>
      <c r="AQ88" s="28">
        <f t="shared" si="12"/>
        <v>30</v>
      </c>
      <c r="AR88" s="28"/>
      <c r="AS88" s="28"/>
      <c r="AT88" s="28"/>
      <c r="AU88" s="28">
        <f t="shared" si="12"/>
        <v>0</v>
      </c>
      <c r="AV88" s="28"/>
      <c r="AW88" s="28">
        <f>AW51</f>
        <v>3620</v>
      </c>
      <c r="AX88" s="28"/>
      <c r="AY88" s="28">
        <f>AY51</f>
        <v>30</v>
      </c>
      <c r="AZ88" s="28"/>
      <c r="BA88" s="222">
        <f>BA53</f>
        <v>0.02</v>
      </c>
      <c r="BB88" s="222">
        <f>BB53</f>
        <v>0.03</v>
      </c>
      <c r="BC88" s="222">
        <f>BC53</f>
        <v>0.05</v>
      </c>
      <c r="BD88" s="222">
        <f>BD53</f>
        <v>7.0000000000000007E-2</v>
      </c>
      <c r="BE88" s="28">
        <f t="shared" si="12"/>
        <v>0</v>
      </c>
      <c r="BF88" s="222">
        <f>BF53</f>
        <v>0</v>
      </c>
    </row>
    <row r="89" spans="2:58">
      <c r="B89" s="28">
        <v>131</v>
      </c>
      <c r="D89" s="28" t="str">
        <f>D55</f>
        <v>４歳以上児</v>
      </c>
      <c r="E89" s="28">
        <f t="shared" ref="E89:BE89" si="13">E55</f>
        <v>0</v>
      </c>
      <c r="F89" s="28">
        <f t="shared" si="13"/>
        <v>30220</v>
      </c>
      <c r="G89" s="28">
        <f t="shared" si="13"/>
        <v>37100</v>
      </c>
      <c r="H89" s="28">
        <f t="shared" si="13"/>
        <v>26870</v>
      </c>
      <c r="I89" s="28">
        <f t="shared" si="13"/>
        <v>33750</v>
      </c>
      <c r="J89" s="28" t="str">
        <f t="shared" si="13"/>
        <v>＋</v>
      </c>
      <c r="K89" s="28">
        <f t="shared" si="13"/>
        <v>280</v>
      </c>
      <c r="L89" s="28">
        <f t="shared" si="13"/>
        <v>340</v>
      </c>
      <c r="M89" s="28" t="str">
        <f t="shared" si="13"/>
        <v>×加算率</v>
      </c>
      <c r="N89" s="28">
        <f t="shared" si="13"/>
        <v>250</v>
      </c>
      <c r="O89" s="28">
        <f t="shared" si="13"/>
        <v>310</v>
      </c>
      <c r="P89" s="28" t="str">
        <f t="shared" si="13"/>
        <v>×加算率</v>
      </c>
      <c r="Q89" s="28" t="str">
        <f t="shared" si="13"/>
        <v>＋</v>
      </c>
      <c r="R89" s="28">
        <f t="shared" si="13"/>
        <v>6880</v>
      </c>
      <c r="S89" s="28">
        <f t="shared" si="13"/>
        <v>60</v>
      </c>
      <c r="T89" s="28">
        <f t="shared" si="13"/>
        <v>0</v>
      </c>
      <c r="U89" s="28">
        <f t="shared" si="13"/>
        <v>0</v>
      </c>
      <c r="V89" s="28" t="str">
        <f t="shared" si="13"/>
        <v xml:space="preserve"> 　910人～　979人</v>
      </c>
      <c r="W89" s="28">
        <f t="shared" si="13"/>
        <v>0</v>
      </c>
      <c r="X89" s="28" t="str">
        <f t="shared" si="13"/>
        <v xml:space="preserve"> 　910人～　979人</v>
      </c>
      <c r="Y89" s="28">
        <f t="shared" si="13"/>
        <v>0</v>
      </c>
      <c r="Z89" s="28">
        <f t="shared" si="13"/>
        <v>0</v>
      </c>
      <c r="AA89" s="28">
        <f t="shared" si="13"/>
        <v>0</v>
      </c>
      <c r="AB89" s="28">
        <f t="shared" si="13"/>
        <v>0</v>
      </c>
      <c r="AC89" s="28">
        <f t="shared" si="13"/>
        <v>0</v>
      </c>
      <c r="AD89" s="28">
        <f t="shared" si="13"/>
        <v>0</v>
      </c>
      <c r="AE89" s="28">
        <f t="shared" si="13"/>
        <v>0</v>
      </c>
      <c r="AF89" s="28">
        <f t="shared" si="13"/>
        <v>0</v>
      </c>
      <c r="AG89" s="28" t="str">
        <f t="shared" si="13"/>
        <v>＋</v>
      </c>
      <c r="AH89" s="28">
        <f t="shared" si="13"/>
        <v>2800</v>
      </c>
      <c r="AI89" s="28">
        <f t="shared" si="13"/>
        <v>3100</v>
      </c>
      <c r="AJ89" s="28" t="str">
        <f t="shared" si="13"/>
        <v>＋</v>
      </c>
      <c r="AK89" s="28" t="str">
        <f t="shared" si="13"/>
        <v>ａ地域</v>
      </c>
      <c r="AL89" s="28">
        <f t="shared" si="13"/>
        <v>5500</v>
      </c>
      <c r="AM89" s="28">
        <f t="shared" si="13"/>
        <v>6200</v>
      </c>
      <c r="AN89" s="28" t="str">
        <f t="shared" si="13"/>
        <v>＋</v>
      </c>
      <c r="AO89" s="28">
        <f t="shared" si="13"/>
        <v>2950</v>
      </c>
      <c r="AP89" s="28" t="str">
        <f t="shared" si="13"/>
        <v>＋</v>
      </c>
      <c r="AQ89" s="28">
        <f>AQ55</f>
        <v>20</v>
      </c>
      <c r="AR89" s="28"/>
      <c r="AS89" s="28"/>
      <c r="AT89" s="28"/>
      <c r="AU89" s="28">
        <f t="shared" si="13"/>
        <v>0</v>
      </c>
      <c r="AV89" s="28"/>
      <c r="AW89" s="28">
        <f>AW55</f>
        <v>3360</v>
      </c>
      <c r="AX89" s="28"/>
      <c r="AY89" s="28">
        <f>AY55</f>
        <v>30</v>
      </c>
      <c r="AZ89" s="28"/>
      <c r="BA89" s="222">
        <f>BA57</f>
        <v>0.02</v>
      </c>
      <c r="BB89" s="222">
        <f>BB57</f>
        <v>0.03</v>
      </c>
      <c r="BC89" s="222">
        <f>BC57</f>
        <v>0.05</v>
      </c>
      <c r="BD89" s="222">
        <f>BD57</f>
        <v>7.0000000000000007E-2</v>
      </c>
      <c r="BE89" s="28">
        <f t="shared" si="13"/>
        <v>0</v>
      </c>
      <c r="BF89" s="222">
        <f>BF57</f>
        <v>0</v>
      </c>
    </row>
    <row r="90" spans="2:58">
      <c r="B90" s="28">
        <v>141</v>
      </c>
      <c r="D90" s="28" t="str">
        <f>D59</f>
        <v>４歳以上児</v>
      </c>
      <c r="E90" s="28">
        <f t="shared" ref="E90:BE90" si="14">E59</f>
        <v>0</v>
      </c>
      <c r="F90" s="28">
        <f t="shared" si="14"/>
        <v>29300</v>
      </c>
      <c r="G90" s="28">
        <f t="shared" si="14"/>
        <v>36180</v>
      </c>
      <c r="H90" s="28">
        <f t="shared" si="14"/>
        <v>26180</v>
      </c>
      <c r="I90" s="28">
        <f t="shared" si="14"/>
        <v>33060</v>
      </c>
      <c r="J90" s="28" t="str">
        <f t="shared" si="14"/>
        <v>＋</v>
      </c>
      <c r="K90" s="28">
        <f t="shared" si="14"/>
        <v>270</v>
      </c>
      <c r="L90" s="28">
        <f t="shared" si="14"/>
        <v>330</v>
      </c>
      <c r="M90" s="28" t="str">
        <f t="shared" si="14"/>
        <v>×加算率</v>
      </c>
      <c r="N90" s="28">
        <f t="shared" si="14"/>
        <v>240</v>
      </c>
      <c r="O90" s="28">
        <f t="shared" si="14"/>
        <v>300</v>
      </c>
      <c r="P90" s="28" t="str">
        <f t="shared" si="14"/>
        <v>×加算率</v>
      </c>
      <c r="Q90" s="28" t="str">
        <f t="shared" si="14"/>
        <v>＋</v>
      </c>
      <c r="R90" s="28">
        <f t="shared" si="14"/>
        <v>6880</v>
      </c>
      <c r="S90" s="28">
        <f t="shared" si="14"/>
        <v>60</v>
      </c>
      <c r="T90" s="28">
        <f t="shared" si="14"/>
        <v>0</v>
      </c>
      <c r="U90" s="28">
        <f t="shared" si="14"/>
        <v>0</v>
      </c>
      <c r="V90" s="28">
        <f t="shared" si="14"/>
        <v>629600</v>
      </c>
      <c r="W90" s="28">
        <f t="shared" si="14"/>
        <v>0</v>
      </c>
      <c r="X90" s="28">
        <f t="shared" si="14"/>
        <v>6290</v>
      </c>
      <c r="Y90" s="28">
        <f t="shared" si="14"/>
        <v>0</v>
      </c>
      <c r="Z90" s="28">
        <f t="shared" si="14"/>
        <v>0</v>
      </c>
      <c r="AA90" s="28">
        <f t="shared" si="14"/>
        <v>0</v>
      </c>
      <c r="AB90" s="28">
        <f t="shared" si="14"/>
        <v>0</v>
      </c>
      <c r="AC90" s="28">
        <f t="shared" si="14"/>
        <v>0</v>
      </c>
      <c r="AD90" s="28">
        <f t="shared" si="14"/>
        <v>0</v>
      </c>
      <c r="AE90" s="28">
        <f t="shared" si="14"/>
        <v>0</v>
      </c>
      <c r="AF90" s="28">
        <f t="shared" si="14"/>
        <v>0</v>
      </c>
      <c r="AG90" s="28" t="str">
        <f t="shared" si="14"/>
        <v>＋</v>
      </c>
      <c r="AH90" s="28">
        <f t="shared" si="14"/>
        <v>2600</v>
      </c>
      <c r="AI90" s="28">
        <f t="shared" si="14"/>
        <v>2900</v>
      </c>
      <c r="AJ90" s="28" t="str">
        <f t="shared" si="14"/>
        <v>＋</v>
      </c>
      <c r="AK90" s="28" t="str">
        <f t="shared" si="14"/>
        <v>ａ地域</v>
      </c>
      <c r="AL90" s="28">
        <f t="shared" si="14"/>
        <v>5400</v>
      </c>
      <c r="AM90" s="28">
        <f t="shared" si="14"/>
        <v>6000</v>
      </c>
      <c r="AN90" s="28" t="str">
        <f t="shared" si="14"/>
        <v>＋</v>
      </c>
      <c r="AO90" s="28">
        <f t="shared" si="14"/>
        <v>2750</v>
      </c>
      <c r="AP90" s="28" t="str">
        <f t="shared" si="14"/>
        <v>＋</v>
      </c>
      <c r="AQ90" s="28">
        <f t="shared" si="14"/>
        <v>20</v>
      </c>
      <c r="AR90" s="28"/>
      <c r="AS90" s="28"/>
      <c r="AT90" s="28"/>
      <c r="AU90" s="28">
        <f t="shared" si="14"/>
        <v>0</v>
      </c>
      <c r="AV90" s="28"/>
      <c r="AW90" s="28">
        <f>AW59</f>
        <v>3130</v>
      </c>
      <c r="AX90" s="28"/>
      <c r="AY90" s="28">
        <f>AY59</f>
        <v>30</v>
      </c>
      <c r="AZ90" s="28"/>
      <c r="BA90" s="222">
        <f>BA61</f>
        <v>0.02</v>
      </c>
      <c r="BB90" s="222">
        <f>BB61</f>
        <v>0.03</v>
      </c>
      <c r="BC90" s="222">
        <f>BC61</f>
        <v>0.05</v>
      </c>
      <c r="BD90" s="222">
        <f>BD61</f>
        <v>7.0000000000000007E-2</v>
      </c>
      <c r="BE90" s="28">
        <f t="shared" si="14"/>
        <v>0</v>
      </c>
      <c r="BF90" s="222">
        <f>BF61</f>
        <v>0</v>
      </c>
    </row>
    <row r="91" spans="2:58">
      <c r="B91" s="28">
        <v>151</v>
      </c>
      <c r="D91" s="28" t="str">
        <f>D63</f>
        <v>４歳以上児</v>
      </c>
      <c r="E91" s="28">
        <f t="shared" ref="E91:BE91" si="15">E63</f>
        <v>0</v>
      </c>
      <c r="F91" s="28">
        <f t="shared" si="15"/>
        <v>29360</v>
      </c>
      <c r="G91" s="28">
        <f t="shared" si="15"/>
        <v>36240</v>
      </c>
      <c r="H91" s="28">
        <f t="shared" si="15"/>
        <v>26430</v>
      </c>
      <c r="I91" s="28">
        <f t="shared" si="15"/>
        <v>33310</v>
      </c>
      <c r="J91" s="28" t="str">
        <f t="shared" si="15"/>
        <v>＋</v>
      </c>
      <c r="K91" s="28">
        <f t="shared" si="15"/>
        <v>270</v>
      </c>
      <c r="L91" s="28">
        <f t="shared" si="15"/>
        <v>330</v>
      </c>
      <c r="M91" s="28" t="str">
        <f t="shared" si="15"/>
        <v>×加算率</v>
      </c>
      <c r="N91" s="28">
        <f t="shared" si="15"/>
        <v>240</v>
      </c>
      <c r="O91" s="28">
        <f t="shared" si="15"/>
        <v>300</v>
      </c>
      <c r="P91" s="28" t="str">
        <f t="shared" si="15"/>
        <v>×加算率</v>
      </c>
      <c r="Q91" s="28" t="str">
        <f t="shared" si="15"/>
        <v>＋</v>
      </c>
      <c r="R91" s="28">
        <f t="shared" si="15"/>
        <v>6880</v>
      </c>
      <c r="S91" s="28">
        <f t="shared" si="15"/>
        <v>60</v>
      </c>
      <c r="T91" s="28">
        <f t="shared" si="15"/>
        <v>0</v>
      </c>
      <c r="U91" s="28">
        <f t="shared" si="15"/>
        <v>0</v>
      </c>
      <c r="V91" s="28">
        <f t="shared" si="15"/>
        <v>0</v>
      </c>
      <c r="W91" s="28">
        <f t="shared" si="15"/>
        <v>0</v>
      </c>
      <c r="X91" s="28">
        <f t="shared" si="15"/>
        <v>0</v>
      </c>
      <c r="Y91" s="28">
        <f t="shared" si="15"/>
        <v>0</v>
      </c>
      <c r="Z91" s="28">
        <f t="shared" si="15"/>
        <v>0</v>
      </c>
      <c r="AA91" s="28">
        <f t="shared" si="15"/>
        <v>0</v>
      </c>
      <c r="AB91" s="28">
        <f t="shared" si="15"/>
        <v>0</v>
      </c>
      <c r="AC91" s="28">
        <f t="shared" si="15"/>
        <v>0</v>
      </c>
      <c r="AD91" s="28">
        <f t="shared" si="15"/>
        <v>0</v>
      </c>
      <c r="AE91" s="28">
        <f t="shared" si="15"/>
        <v>0</v>
      </c>
      <c r="AF91" s="28">
        <f t="shared" si="15"/>
        <v>0</v>
      </c>
      <c r="AG91" s="28" t="str">
        <f t="shared" si="15"/>
        <v>＋</v>
      </c>
      <c r="AH91" s="28">
        <f t="shared" si="15"/>
        <v>2400</v>
      </c>
      <c r="AI91" s="28">
        <f t="shared" si="15"/>
        <v>2700</v>
      </c>
      <c r="AJ91" s="28" t="str">
        <f t="shared" si="15"/>
        <v>＋</v>
      </c>
      <c r="AK91" s="28" t="str">
        <f t="shared" si="15"/>
        <v>ａ地域</v>
      </c>
      <c r="AL91" s="28">
        <f t="shared" si="15"/>
        <v>4800</v>
      </c>
      <c r="AM91" s="28">
        <f t="shared" si="15"/>
        <v>5400</v>
      </c>
      <c r="AN91" s="28" t="str">
        <f t="shared" si="15"/>
        <v>＋</v>
      </c>
      <c r="AO91" s="28">
        <f t="shared" si="15"/>
        <v>2580</v>
      </c>
      <c r="AP91" s="28" t="str">
        <f t="shared" si="15"/>
        <v>＋</v>
      </c>
      <c r="AQ91" s="28">
        <f t="shared" si="15"/>
        <v>20</v>
      </c>
      <c r="AR91" s="28"/>
      <c r="AS91" s="28"/>
      <c r="AT91" s="28"/>
      <c r="AU91" s="28">
        <f t="shared" si="15"/>
        <v>0</v>
      </c>
      <c r="AV91" s="28"/>
      <c r="AW91" s="28">
        <f>AW63</f>
        <v>2940</v>
      </c>
      <c r="AX91" s="28"/>
      <c r="AY91" s="28">
        <f>AY63</f>
        <v>20</v>
      </c>
      <c r="AZ91" s="28"/>
      <c r="BA91" s="222">
        <f>BA65</f>
        <v>0.02</v>
      </c>
      <c r="BB91" s="222">
        <f>BB65</f>
        <v>0.03</v>
      </c>
      <c r="BC91" s="222">
        <f>BC65</f>
        <v>0.05</v>
      </c>
      <c r="BD91" s="222">
        <f>BD65</f>
        <v>7.0000000000000007E-2</v>
      </c>
      <c r="BE91" s="28">
        <f t="shared" si="15"/>
        <v>0</v>
      </c>
      <c r="BF91" s="222">
        <f>BF65</f>
        <v>0</v>
      </c>
    </row>
    <row r="92" spans="2:58">
      <c r="B92" s="28">
        <v>161</v>
      </c>
      <c r="D92" s="28" t="str">
        <f>D67</f>
        <v>４歳以上児</v>
      </c>
      <c r="E92" s="28">
        <f t="shared" ref="E92:BE92" si="16">E67</f>
        <v>0</v>
      </c>
      <c r="F92" s="28">
        <f t="shared" si="16"/>
        <v>28620</v>
      </c>
      <c r="G92" s="28">
        <f t="shared" si="16"/>
        <v>35500</v>
      </c>
      <c r="H92" s="28">
        <f t="shared" si="16"/>
        <v>25860</v>
      </c>
      <c r="I92" s="28">
        <f t="shared" si="16"/>
        <v>32740</v>
      </c>
      <c r="J92" s="28" t="str">
        <f t="shared" si="16"/>
        <v>＋</v>
      </c>
      <c r="K92" s="28">
        <f t="shared" si="16"/>
        <v>260</v>
      </c>
      <c r="L92" s="28">
        <f t="shared" si="16"/>
        <v>320</v>
      </c>
      <c r="M92" s="28" t="str">
        <f t="shared" si="16"/>
        <v>×加算率</v>
      </c>
      <c r="N92" s="28">
        <f t="shared" si="16"/>
        <v>240</v>
      </c>
      <c r="O92" s="28">
        <f t="shared" si="16"/>
        <v>300</v>
      </c>
      <c r="P92" s="28" t="str">
        <f t="shared" si="16"/>
        <v>×加算率</v>
      </c>
      <c r="Q92" s="28" t="str">
        <f t="shared" si="16"/>
        <v>＋</v>
      </c>
      <c r="R92" s="28">
        <f t="shared" si="16"/>
        <v>6880</v>
      </c>
      <c r="S92" s="28">
        <f t="shared" si="16"/>
        <v>60</v>
      </c>
      <c r="T92" s="28">
        <f t="shared" si="16"/>
        <v>0</v>
      </c>
      <c r="U92" s="28">
        <f t="shared" si="16"/>
        <v>0</v>
      </c>
      <c r="V92" s="28">
        <f t="shared" si="16"/>
        <v>0</v>
      </c>
      <c r="W92" s="28">
        <f t="shared" si="16"/>
        <v>0</v>
      </c>
      <c r="X92" s="28">
        <f t="shared" si="16"/>
        <v>0</v>
      </c>
      <c r="Y92" s="28">
        <f t="shared" si="16"/>
        <v>0</v>
      </c>
      <c r="Z92" s="28">
        <f t="shared" si="16"/>
        <v>0</v>
      </c>
      <c r="AA92" s="28">
        <f t="shared" si="16"/>
        <v>0</v>
      </c>
      <c r="AB92" s="28">
        <f t="shared" si="16"/>
        <v>0</v>
      </c>
      <c r="AC92" s="28">
        <f t="shared" si="16"/>
        <v>0</v>
      </c>
      <c r="AD92" s="28">
        <f t="shared" si="16"/>
        <v>0</v>
      </c>
      <c r="AE92" s="28">
        <f t="shared" si="16"/>
        <v>0</v>
      </c>
      <c r="AF92" s="28">
        <f t="shared" si="16"/>
        <v>0</v>
      </c>
      <c r="AG92" s="28" t="str">
        <f t="shared" si="16"/>
        <v>＋</v>
      </c>
      <c r="AH92" s="28">
        <f t="shared" si="16"/>
        <v>2600</v>
      </c>
      <c r="AI92" s="28">
        <f t="shared" si="16"/>
        <v>2900</v>
      </c>
      <c r="AJ92" s="28" t="str">
        <f t="shared" si="16"/>
        <v>＋</v>
      </c>
      <c r="AK92" s="28" t="str">
        <f t="shared" si="16"/>
        <v>ａ地域</v>
      </c>
      <c r="AL92" s="28">
        <f t="shared" si="16"/>
        <v>5400</v>
      </c>
      <c r="AM92" s="28">
        <f t="shared" si="16"/>
        <v>6000</v>
      </c>
      <c r="AN92" s="28" t="str">
        <f t="shared" si="16"/>
        <v>＋</v>
      </c>
      <c r="AO92" s="28">
        <f t="shared" si="16"/>
        <v>2420</v>
      </c>
      <c r="AP92" s="28" t="str">
        <f t="shared" si="16"/>
        <v>＋</v>
      </c>
      <c r="AQ92" s="28">
        <f t="shared" si="16"/>
        <v>20</v>
      </c>
      <c r="AR92" s="28"/>
      <c r="AS92" s="28"/>
      <c r="AT92" s="28"/>
      <c r="AU92" s="28">
        <f t="shared" si="16"/>
        <v>0</v>
      </c>
      <c r="AV92" s="28"/>
      <c r="AW92" s="28">
        <f>AW67</f>
        <v>2760</v>
      </c>
      <c r="AX92" s="28"/>
      <c r="AY92" s="28">
        <f>AY67</f>
        <v>20</v>
      </c>
      <c r="AZ92" s="28"/>
      <c r="BA92" s="222">
        <f>BA69</f>
        <v>0.02</v>
      </c>
      <c r="BB92" s="222">
        <f>BB69</f>
        <v>0.03</v>
      </c>
      <c r="BC92" s="222">
        <f>BC69</f>
        <v>0.05</v>
      </c>
      <c r="BD92" s="222">
        <f>BD69</f>
        <v>7.0000000000000007E-2</v>
      </c>
      <c r="BE92" s="28">
        <f t="shared" si="16"/>
        <v>0</v>
      </c>
      <c r="BF92" s="222">
        <f>BF69</f>
        <v>0</v>
      </c>
    </row>
    <row r="93" spans="2:58">
      <c r="B93" s="28">
        <v>171</v>
      </c>
      <c r="D93" s="28" t="str">
        <f>D71</f>
        <v>４歳以上児</v>
      </c>
      <c r="E93" s="28">
        <f t="shared" ref="E93:BE93" si="17">E71</f>
        <v>0</v>
      </c>
      <c r="F93" s="28">
        <f t="shared" si="17"/>
        <v>27940</v>
      </c>
      <c r="G93" s="28">
        <f t="shared" si="17"/>
        <v>34820</v>
      </c>
      <c r="H93" s="28">
        <f t="shared" si="17"/>
        <v>25340</v>
      </c>
      <c r="I93" s="28">
        <f t="shared" si="17"/>
        <v>32220</v>
      </c>
      <c r="J93" s="28" t="str">
        <f t="shared" si="17"/>
        <v>＋</v>
      </c>
      <c r="K93" s="28">
        <f t="shared" si="17"/>
        <v>260</v>
      </c>
      <c r="L93" s="28">
        <f t="shared" si="17"/>
        <v>320</v>
      </c>
      <c r="M93" s="28" t="str">
        <f t="shared" si="17"/>
        <v>×加算率</v>
      </c>
      <c r="N93" s="28">
        <f t="shared" si="17"/>
        <v>230</v>
      </c>
      <c r="O93" s="28">
        <f t="shared" si="17"/>
        <v>290</v>
      </c>
      <c r="P93" s="28" t="str">
        <f t="shared" si="17"/>
        <v>×加算率</v>
      </c>
      <c r="Q93" s="28" t="str">
        <f t="shared" si="17"/>
        <v>＋</v>
      </c>
      <c r="R93" s="28">
        <f t="shared" si="17"/>
        <v>6880</v>
      </c>
      <c r="S93" s="28">
        <f t="shared" si="17"/>
        <v>60</v>
      </c>
      <c r="T93" s="28">
        <f t="shared" si="17"/>
        <v>0</v>
      </c>
      <c r="U93" s="28">
        <f t="shared" si="17"/>
        <v>0</v>
      </c>
      <c r="V93" s="28">
        <f t="shared" si="17"/>
        <v>0</v>
      </c>
      <c r="W93" s="28">
        <f t="shared" si="17"/>
        <v>0</v>
      </c>
      <c r="X93" s="28">
        <f t="shared" si="17"/>
        <v>0</v>
      </c>
      <c r="Y93" s="28">
        <f t="shared" si="17"/>
        <v>0</v>
      </c>
      <c r="Z93" s="28">
        <f t="shared" si="17"/>
        <v>0</v>
      </c>
      <c r="AA93" s="28">
        <f t="shared" si="17"/>
        <v>0</v>
      </c>
      <c r="AB93" s="28">
        <f t="shared" si="17"/>
        <v>0</v>
      </c>
      <c r="AC93" s="28">
        <f t="shared" si="17"/>
        <v>0</v>
      </c>
      <c r="AD93" s="28">
        <f t="shared" si="17"/>
        <v>0</v>
      </c>
      <c r="AE93" s="28">
        <f t="shared" si="17"/>
        <v>0</v>
      </c>
      <c r="AF93" s="28">
        <f t="shared" si="17"/>
        <v>0</v>
      </c>
      <c r="AG93" s="28" t="str">
        <f t="shared" si="17"/>
        <v>＋</v>
      </c>
      <c r="AH93" s="28">
        <f t="shared" si="17"/>
        <v>2500</v>
      </c>
      <c r="AI93" s="28">
        <f t="shared" si="17"/>
        <v>2700</v>
      </c>
      <c r="AJ93" s="28" t="str">
        <f t="shared" si="17"/>
        <v>＋</v>
      </c>
      <c r="AK93" s="28" t="str">
        <f t="shared" si="17"/>
        <v>ａ地域</v>
      </c>
      <c r="AL93" s="28">
        <f t="shared" si="17"/>
        <v>4800</v>
      </c>
      <c r="AM93" s="28">
        <f t="shared" si="17"/>
        <v>5400</v>
      </c>
      <c r="AN93" s="28" t="str">
        <f t="shared" si="17"/>
        <v>＋</v>
      </c>
      <c r="AO93" s="28">
        <f t="shared" si="17"/>
        <v>2290</v>
      </c>
      <c r="AP93" s="28" t="str">
        <f t="shared" si="17"/>
        <v>＋</v>
      </c>
      <c r="AQ93" s="28">
        <f t="shared" si="17"/>
        <v>20</v>
      </c>
      <c r="AR93" s="28"/>
      <c r="AS93" s="28"/>
      <c r="AT93" s="28"/>
      <c r="AU93" s="28">
        <f t="shared" si="17"/>
        <v>0</v>
      </c>
      <c r="AV93" s="28"/>
      <c r="AW93" s="28">
        <f>AW71</f>
        <v>2610</v>
      </c>
      <c r="AX93" s="28"/>
      <c r="AY93" s="28">
        <f>AY71</f>
        <v>20</v>
      </c>
      <c r="AZ93" s="28"/>
      <c r="BA93" s="222">
        <f>BA73</f>
        <v>0.02</v>
      </c>
      <c r="BB93" s="222">
        <f>BB73</f>
        <v>0.03</v>
      </c>
      <c r="BC93" s="222">
        <f>BC73</f>
        <v>0.05</v>
      </c>
      <c r="BD93" s="222">
        <f>BD73</f>
        <v>7.0000000000000007E-2</v>
      </c>
      <c r="BE93" s="28">
        <f t="shared" si="17"/>
        <v>0</v>
      </c>
      <c r="BF93" s="222">
        <f>BF73</f>
        <v>0</v>
      </c>
    </row>
    <row r="95" spans="2:58">
      <c r="B95" s="28">
        <v>20</v>
      </c>
      <c r="D95" s="28" t="str">
        <f>D8</f>
        <v>３歳児</v>
      </c>
      <c r="E95" s="28">
        <f t="shared" ref="E95:AN95" si="18">E8</f>
        <v>0</v>
      </c>
      <c r="F95" s="28">
        <f t="shared" si="18"/>
        <v>118520</v>
      </c>
      <c r="G95" s="28">
        <f t="shared" si="18"/>
        <v>174970</v>
      </c>
      <c r="H95" s="28">
        <f t="shared" si="18"/>
        <v>95090</v>
      </c>
      <c r="I95" s="28">
        <f t="shared" si="18"/>
        <v>151540</v>
      </c>
      <c r="J95" s="28" t="str">
        <f t="shared" si="18"/>
        <v>＋</v>
      </c>
      <c r="K95" s="28">
        <f t="shared" si="18"/>
        <v>1150</v>
      </c>
      <c r="L95" s="28">
        <f t="shared" si="18"/>
        <v>1640</v>
      </c>
      <c r="M95" s="28" t="str">
        <f t="shared" si="18"/>
        <v>×加算率</v>
      </c>
      <c r="N95" s="28">
        <f t="shared" si="18"/>
        <v>920</v>
      </c>
      <c r="O95" s="28">
        <f t="shared" si="18"/>
        <v>1400</v>
      </c>
      <c r="P95" s="28" t="str">
        <f t="shared" si="18"/>
        <v>×加算率</v>
      </c>
      <c r="Q95" s="28" t="str">
        <f t="shared" si="18"/>
        <v>＋</v>
      </c>
      <c r="R95" s="28">
        <f t="shared" si="18"/>
        <v>6880</v>
      </c>
      <c r="S95" s="28">
        <f t="shared" si="18"/>
        <v>60</v>
      </c>
      <c r="T95" s="28">
        <f t="shared" si="18"/>
        <v>0</v>
      </c>
      <c r="U95" s="28">
        <f t="shared" si="18"/>
        <v>0</v>
      </c>
      <c r="V95" s="28">
        <f t="shared" si="18"/>
        <v>0</v>
      </c>
      <c r="W95" s="28">
        <f t="shared" si="18"/>
        <v>0</v>
      </c>
      <c r="X95" s="28">
        <f t="shared" si="18"/>
        <v>0</v>
      </c>
      <c r="Y95" s="28">
        <f t="shared" si="18"/>
        <v>0</v>
      </c>
      <c r="Z95" s="28">
        <f t="shared" si="18"/>
        <v>0</v>
      </c>
      <c r="AA95" s="28">
        <f t="shared" si="18"/>
        <v>0</v>
      </c>
      <c r="AB95" s="28">
        <f t="shared" si="18"/>
        <v>0</v>
      </c>
      <c r="AC95" s="28">
        <f t="shared" si="18"/>
        <v>0</v>
      </c>
      <c r="AD95" s="28">
        <f t="shared" si="18"/>
        <v>28990</v>
      </c>
      <c r="AE95" s="28">
        <f t="shared" si="18"/>
        <v>0</v>
      </c>
      <c r="AF95" s="28">
        <f t="shared" si="18"/>
        <v>0</v>
      </c>
      <c r="AG95" s="28">
        <f t="shared" si="18"/>
        <v>0</v>
      </c>
      <c r="AH95" s="28"/>
      <c r="AI95" s="28"/>
      <c r="AJ95" s="28">
        <f t="shared" si="18"/>
        <v>0</v>
      </c>
      <c r="AK95" s="28" t="str">
        <f t="shared" si="18"/>
        <v>ｂ地域</v>
      </c>
      <c r="AL95" s="28">
        <f t="shared" si="18"/>
        <v>8700</v>
      </c>
      <c r="AM95" s="28">
        <f t="shared" si="18"/>
        <v>9700</v>
      </c>
      <c r="AN95" s="28">
        <f t="shared" si="18"/>
        <v>0</v>
      </c>
      <c r="AO95" s="28"/>
      <c r="AP95" s="28"/>
      <c r="AQ95" s="28"/>
      <c r="AR95" s="28"/>
      <c r="AS95" s="28"/>
      <c r="AT95" s="28"/>
      <c r="AU95" s="28"/>
      <c r="AV95" s="28"/>
      <c r="AW95" s="28"/>
      <c r="AX95" s="28"/>
      <c r="AY95" s="28"/>
      <c r="AZ95" s="28"/>
      <c r="BA95" s="28"/>
      <c r="BB95" s="28"/>
      <c r="BC95" s="28"/>
      <c r="BD95" s="28"/>
      <c r="BE95" s="28"/>
      <c r="BF95" s="28"/>
    </row>
    <row r="96" spans="2:58">
      <c r="B96" s="28">
        <v>21</v>
      </c>
      <c r="D96" s="28" t="str">
        <f>D12</f>
        <v>３歳児</v>
      </c>
      <c r="E96" s="28">
        <f t="shared" ref="E96:AN96" si="19">E12</f>
        <v>0</v>
      </c>
      <c r="F96" s="28">
        <f t="shared" si="19"/>
        <v>87420</v>
      </c>
      <c r="G96" s="28">
        <f t="shared" si="19"/>
        <v>143870</v>
      </c>
      <c r="H96" s="28">
        <f t="shared" si="19"/>
        <v>71800</v>
      </c>
      <c r="I96" s="28">
        <f t="shared" si="19"/>
        <v>128250</v>
      </c>
      <c r="J96" s="28" t="str">
        <f t="shared" si="19"/>
        <v>＋</v>
      </c>
      <c r="K96" s="28">
        <f t="shared" si="19"/>
        <v>840</v>
      </c>
      <c r="L96" s="28">
        <f t="shared" si="19"/>
        <v>1320</v>
      </c>
      <c r="M96" s="28" t="str">
        <f t="shared" si="19"/>
        <v>×加算率</v>
      </c>
      <c r="N96" s="28">
        <f t="shared" si="19"/>
        <v>690</v>
      </c>
      <c r="O96" s="28">
        <f t="shared" si="19"/>
        <v>1170</v>
      </c>
      <c r="P96" s="28" t="str">
        <f t="shared" si="19"/>
        <v>×加算率</v>
      </c>
      <c r="Q96" s="28" t="str">
        <f t="shared" si="19"/>
        <v>＋</v>
      </c>
      <c r="R96" s="28">
        <f t="shared" si="19"/>
        <v>6880</v>
      </c>
      <c r="S96" s="28">
        <f t="shared" si="19"/>
        <v>60</v>
      </c>
      <c r="T96" s="28">
        <f t="shared" si="19"/>
        <v>0</v>
      </c>
      <c r="U96" s="28">
        <f t="shared" si="19"/>
        <v>0</v>
      </c>
      <c r="V96" s="28">
        <f t="shared" si="19"/>
        <v>0</v>
      </c>
      <c r="W96" s="28">
        <f t="shared" si="19"/>
        <v>0</v>
      </c>
      <c r="X96" s="28">
        <f t="shared" si="19"/>
        <v>0</v>
      </c>
      <c r="Y96" s="28">
        <f t="shared" si="19"/>
        <v>0</v>
      </c>
      <c r="Z96" s="28">
        <f t="shared" si="19"/>
        <v>0</v>
      </c>
      <c r="AA96" s="28">
        <f t="shared" si="19"/>
        <v>0</v>
      </c>
      <c r="AB96" s="28">
        <f t="shared" si="19"/>
        <v>0</v>
      </c>
      <c r="AC96" s="28">
        <f t="shared" si="19"/>
        <v>0</v>
      </c>
      <c r="AD96" s="28">
        <f t="shared" si="19"/>
        <v>21090</v>
      </c>
      <c r="AE96" s="28">
        <f t="shared" si="19"/>
        <v>0</v>
      </c>
      <c r="AF96" s="28">
        <f t="shared" si="19"/>
        <v>0</v>
      </c>
      <c r="AG96" s="28">
        <f t="shared" si="19"/>
        <v>0</v>
      </c>
      <c r="AH96" s="28"/>
      <c r="AI96" s="28"/>
      <c r="AJ96" s="28">
        <f t="shared" si="19"/>
        <v>0</v>
      </c>
      <c r="AK96" s="28" t="str">
        <f t="shared" si="19"/>
        <v>ｂ地域</v>
      </c>
      <c r="AL96" s="28">
        <f t="shared" si="19"/>
        <v>6000</v>
      </c>
      <c r="AM96" s="28">
        <f t="shared" si="19"/>
        <v>6700</v>
      </c>
      <c r="AN96" s="28">
        <f t="shared" si="19"/>
        <v>0</v>
      </c>
      <c r="AO96" s="28"/>
      <c r="AP96" s="28"/>
      <c r="AQ96" s="28"/>
      <c r="AR96" s="28"/>
      <c r="AS96" s="28"/>
      <c r="AT96" s="28"/>
      <c r="AU96" s="28"/>
      <c r="AV96" s="28"/>
      <c r="AW96" s="28"/>
      <c r="AX96" s="28"/>
      <c r="AY96" s="28"/>
      <c r="AZ96" s="28"/>
      <c r="BA96" s="28"/>
      <c r="BB96" s="28"/>
      <c r="BC96" s="28"/>
      <c r="BD96" s="28"/>
      <c r="BE96" s="28"/>
      <c r="BF96" s="28"/>
    </row>
    <row r="97" spans="2:58">
      <c r="B97" s="28">
        <v>31</v>
      </c>
      <c r="D97" s="28" t="str">
        <f>D16</f>
        <v>３歳児</v>
      </c>
      <c r="E97" s="28">
        <f t="shared" ref="E97:AN97" si="20">E16</f>
        <v>0</v>
      </c>
      <c r="F97" s="28">
        <f t="shared" si="20"/>
        <v>72000</v>
      </c>
      <c r="G97" s="28">
        <f t="shared" si="20"/>
        <v>128450</v>
      </c>
      <c r="H97" s="28">
        <f t="shared" si="20"/>
        <v>60290</v>
      </c>
      <c r="I97" s="28">
        <f t="shared" si="20"/>
        <v>116740</v>
      </c>
      <c r="J97" s="28" t="str">
        <f t="shared" si="20"/>
        <v>＋</v>
      </c>
      <c r="K97" s="28">
        <f t="shared" si="20"/>
        <v>690</v>
      </c>
      <c r="L97" s="28">
        <f t="shared" si="20"/>
        <v>1170</v>
      </c>
      <c r="M97" s="28" t="str">
        <f t="shared" si="20"/>
        <v>×加算率</v>
      </c>
      <c r="N97" s="28">
        <f t="shared" si="20"/>
        <v>570</v>
      </c>
      <c r="O97" s="28">
        <f t="shared" si="20"/>
        <v>1050</v>
      </c>
      <c r="P97" s="28" t="str">
        <f t="shared" si="20"/>
        <v>×加算率</v>
      </c>
      <c r="Q97" s="28" t="str">
        <f t="shared" si="20"/>
        <v>＋</v>
      </c>
      <c r="R97" s="28">
        <f t="shared" si="20"/>
        <v>6880</v>
      </c>
      <c r="S97" s="28">
        <f t="shared" si="20"/>
        <v>60</v>
      </c>
      <c r="T97" s="28">
        <f t="shared" si="20"/>
        <v>0</v>
      </c>
      <c r="U97" s="28">
        <f t="shared" si="20"/>
        <v>0</v>
      </c>
      <c r="V97" s="28">
        <f t="shared" si="20"/>
        <v>0</v>
      </c>
      <c r="W97" s="28">
        <f t="shared" si="20"/>
        <v>0</v>
      </c>
      <c r="X97" s="28">
        <f t="shared" si="20"/>
        <v>0</v>
      </c>
      <c r="Y97" s="28">
        <f t="shared" si="20"/>
        <v>0</v>
      </c>
      <c r="Z97" s="28">
        <f t="shared" si="20"/>
        <v>0</v>
      </c>
      <c r="AA97" s="28">
        <f t="shared" si="20"/>
        <v>0</v>
      </c>
      <c r="AB97" s="28">
        <f t="shared" si="20"/>
        <v>0</v>
      </c>
      <c r="AC97" s="28">
        <f t="shared" si="20"/>
        <v>0</v>
      </c>
      <c r="AD97" s="28">
        <f t="shared" si="20"/>
        <v>17140</v>
      </c>
      <c r="AE97" s="28">
        <f t="shared" si="20"/>
        <v>0</v>
      </c>
      <c r="AF97" s="28">
        <f t="shared" si="20"/>
        <v>0</v>
      </c>
      <c r="AG97" s="28">
        <f t="shared" si="20"/>
        <v>0</v>
      </c>
      <c r="AH97" s="28"/>
      <c r="AI97" s="28"/>
      <c r="AJ97" s="28">
        <f t="shared" si="20"/>
        <v>0</v>
      </c>
      <c r="AK97" s="28" t="str">
        <f t="shared" si="20"/>
        <v>ｂ地域</v>
      </c>
      <c r="AL97" s="28">
        <f t="shared" si="20"/>
        <v>5400</v>
      </c>
      <c r="AM97" s="28">
        <f t="shared" si="20"/>
        <v>6000</v>
      </c>
      <c r="AN97" s="28">
        <f t="shared" si="20"/>
        <v>0</v>
      </c>
      <c r="AO97" s="28"/>
      <c r="AP97" s="28"/>
      <c r="AQ97" s="28"/>
      <c r="AR97" s="28"/>
      <c r="AS97" s="28"/>
      <c r="AT97" s="28"/>
      <c r="AU97" s="28"/>
      <c r="AV97" s="28"/>
      <c r="AW97" s="28"/>
      <c r="AX97" s="28"/>
      <c r="AY97" s="28"/>
      <c r="AZ97" s="28"/>
      <c r="BA97" s="28"/>
      <c r="BB97" s="28"/>
      <c r="BC97" s="28"/>
      <c r="BD97" s="28"/>
      <c r="BE97" s="28"/>
      <c r="BF97" s="28"/>
    </row>
    <row r="98" spans="2:58">
      <c r="B98" s="28">
        <v>41</v>
      </c>
      <c r="D98" s="28" t="str">
        <f>D20</f>
        <v>３歳児</v>
      </c>
      <c r="E98" s="28">
        <f t="shared" ref="E98:AN98" si="21">E20</f>
        <v>0</v>
      </c>
      <c r="F98" s="28">
        <f t="shared" si="21"/>
        <v>67850</v>
      </c>
      <c r="G98" s="28">
        <f t="shared" si="21"/>
        <v>124300</v>
      </c>
      <c r="H98" s="28">
        <f t="shared" si="21"/>
        <v>58480</v>
      </c>
      <c r="I98" s="28">
        <f t="shared" si="21"/>
        <v>114930</v>
      </c>
      <c r="J98" s="28" t="str">
        <f t="shared" si="21"/>
        <v>＋</v>
      </c>
      <c r="K98" s="28">
        <f t="shared" si="21"/>
        <v>650</v>
      </c>
      <c r="L98" s="28">
        <f t="shared" si="21"/>
        <v>1130</v>
      </c>
      <c r="M98" s="28" t="str">
        <f t="shared" si="21"/>
        <v>×加算率</v>
      </c>
      <c r="N98" s="28">
        <f t="shared" si="21"/>
        <v>550</v>
      </c>
      <c r="O98" s="28">
        <f t="shared" si="21"/>
        <v>1040</v>
      </c>
      <c r="P98" s="28" t="str">
        <f t="shared" si="21"/>
        <v>×加算率</v>
      </c>
      <c r="Q98" s="28" t="str">
        <f t="shared" si="21"/>
        <v>＋</v>
      </c>
      <c r="R98" s="28">
        <f t="shared" si="21"/>
        <v>6880</v>
      </c>
      <c r="S98" s="28">
        <f t="shared" si="21"/>
        <v>60</v>
      </c>
      <c r="T98" s="28">
        <f t="shared" si="21"/>
        <v>0</v>
      </c>
      <c r="U98" s="28">
        <f t="shared" si="21"/>
        <v>0</v>
      </c>
      <c r="V98" s="28">
        <f t="shared" si="21"/>
        <v>0</v>
      </c>
      <c r="W98" s="28">
        <f t="shared" si="21"/>
        <v>0</v>
      </c>
      <c r="X98" s="28">
        <f t="shared" si="21"/>
        <v>0</v>
      </c>
      <c r="Y98" s="28">
        <f t="shared" si="21"/>
        <v>0</v>
      </c>
      <c r="Z98" s="28">
        <f t="shared" si="21"/>
        <v>0</v>
      </c>
      <c r="AA98" s="28">
        <f t="shared" si="21"/>
        <v>0</v>
      </c>
      <c r="AB98" s="28">
        <f t="shared" si="21"/>
        <v>0</v>
      </c>
      <c r="AC98" s="28">
        <f t="shared" si="21"/>
        <v>0</v>
      </c>
      <c r="AD98" s="28">
        <f t="shared" si="21"/>
        <v>14770</v>
      </c>
      <c r="AE98" s="28">
        <f t="shared" si="21"/>
        <v>0</v>
      </c>
      <c r="AF98" s="28">
        <f t="shared" si="21"/>
        <v>0</v>
      </c>
      <c r="AG98" s="28">
        <f t="shared" si="21"/>
        <v>0</v>
      </c>
      <c r="AH98" s="28"/>
      <c r="AI98" s="28"/>
      <c r="AJ98" s="28">
        <f t="shared" si="21"/>
        <v>0</v>
      </c>
      <c r="AK98" s="28" t="str">
        <f t="shared" si="21"/>
        <v>ｂ地域</v>
      </c>
      <c r="AL98" s="28">
        <f t="shared" si="21"/>
        <v>4800</v>
      </c>
      <c r="AM98" s="28">
        <f t="shared" si="21"/>
        <v>5400</v>
      </c>
      <c r="AN98" s="28">
        <f t="shared" si="21"/>
        <v>0</v>
      </c>
      <c r="AO98" s="28"/>
      <c r="AP98" s="28"/>
      <c r="AQ98" s="28"/>
      <c r="AR98" s="28"/>
      <c r="AS98" s="28"/>
      <c r="AT98" s="28"/>
      <c r="AU98" s="28"/>
      <c r="AV98" s="28"/>
      <c r="AW98" s="28"/>
      <c r="AX98" s="28"/>
      <c r="AY98" s="28"/>
      <c r="AZ98" s="28"/>
      <c r="BA98" s="28"/>
      <c r="BB98" s="28"/>
      <c r="BC98" s="28"/>
      <c r="BD98" s="28"/>
      <c r="BE98" s="28"/>
      <c r="BF98" s="28"/>
    </row>
    <row r="99" spans="2:58">
      <c r="B99" s="28">
        <v>51</v>
      </c>
      <c r="D99" s="28" t="str">
        <f>D24</f>
        <v>３歳児</v>
      </c>
      <c r="E99" s="28">
        <f t="shared" ref="E99:AN99" si="22">E24</f>
        <v>0</v>
      </c>
      <c r="F99" s="28">
        <f t="shared" si="22"/>
        <v>60320</v>
      </c>
      <c r="G99" s="28">
        <f t="shared" si="22"/>
        <v>116770</v>
      </c>
      <c r="H99" s="28">
        <f t="shared" si="22"/>
        <v>52510</v>
      </c>
      <c r="I99" s="28">
        <f t="shared" si="22"/>
        <v>108960</v>
      </c>
      <c r="J99" s="28" t="str">
        <f t="shared" si="22"/>
        <v>＋</v>
      </c>
      <c r="K99" s="28">
        <f t="shared" si="22"/>
        <v>570</v>
      </c>
      <c r="L99" s="28">
        <f t="shared" si="22"/>
        <v>1050</v>
      </c>
      <c r="M99" s="28" t="str">
        <f t="shared" si="22"/>
        <v>×加算率</v>
      </c>
      <c r="N99" s="28">
        <f t="shared" si="22"/>
        <v>490</v>
      </c>
      <c r="O99" s="28">
        <f t="shared" si="22"/>
        <v>980</v>
      </c>
      <c r="P99" s="28" t="str">
        <f t="shared" si="22"/>
        <v>×加算率</v>
      </c>
      <c r="Q99" s="28" t="str">
        <f t="shared" si="22"/>
        <v>＋</v>
      </c>
      <c r="R99" s="28">
        <f t="shared" si="22"/>
        <v>6880</v>
      </c>
      <c r="S99" s="28">
        <f t="shared" si="22"/>
        <v>60</v>
      </c>
      <c r="T99" s="28">
        <f t="shared" si="22"/>
        <v>0</v>
      </c>
      <c r="U99" s="28">
        <f t="shared" si="22"/>
        <v>0</v>
      </c>
      <c r="V99" s="28">
        <f t="shared" si="22"/>
        <v>0</v>
      </c>
      <c r="W99" s="28">
        <f t="shared" si="22"/>
        <v>0</v>
      </c>
      <c r="X99" s="28">
        <f t="shared" si="22"/>
        <v>0</v>
      </c>
      <c r="Y99" s="28">
        <f t="shared" si="22"/>
        <v>0</v>
      </c>
      <c r="Z99" s="28">
        <f t="shared" si="22"/>
        <v>0</v>
      </c>
      <c r="AA99" s="28">
        <f t="shared" si="22"/>
        <v>0</v>
      </c>
      <c r="AB99" s="28">
        <f t="shared" si="22"/>
        <v>0</v>
      </c>
      <c r="AC99" s="28">
        <f t="shared" si="22"/>
        <v>0</v>
      </c>
      <c r="AD99" s="28">
        <f t="shared" si="22"/>
        <v>13190</v>
      </c>
      <c r="AE99" s="28">
        <f t="shared" si="22"/>
        <v>0</v>
      </c>
      <c r="AF99" s="28">
        <f t="shared" si="22"/>
        <v>0</v>
      </c>
      <c r="AG99" s="28">
        <f t="shared" si="22"/>
        <v>0</v>
      </c>
      <c r="AH99" s="28"/>
      <c r="AI99" s="28"/>
      <c r="AJ99" s="28">
        <f t="shared" si="22"/>
        <v>0</v>
      </c>
      <c r="AK99" s="28" t="str">
        <f t="shared" si="22"/>
        <v>ｂ地域</v>
      </c>
      <c r="AL99" s="28">
        <f t="shared" si="22"/>
        <v>4000</v>
      </c>
      <c r="AM99" s="28">
        <f t="shared" si="22"/>
        <v>4400</v>
      </c>
      <c r="AN99" s="28">
        <f t="shared" si="22"/>
        <v>0</v>
      </c>
      <c r="AO99" s="28"/>
      <c r="AP99" s="28"/>
      <c r="AQ99" s="28"/>
      <c r="AR99" s="28"/>
      <c r="AS99" s="28"/>
      <c r="AT99" s="28"/>
      <c r="AU99" s="28"/>
      <c r="AV99" s="28"/>
      <c r="AW99" s="28"/>
      <c r="AX99" s="28"/>
      <c r="AY99" s="28"/>
      <c r="AZ99" s="28"/>
      <c r="BA99" s="28"/>
      <c r="BB99" s="28"/>
      <c r="BC99" s="28"/>
      <c r="BD99" s="28"/>
      <c r="BE99" s="28"/>
      <c r="BF99" s="28"/>
    </row>
    <row r="100" spans="2:58">
      <c r="B100" s="28">
        <v>61</v>
      </c>
      <c r="D100" s="28" t="str">
        <f>D28</f>
        <v>３歳児</v>
      </c>
      <c r="E100" s="28">
        <f t="shared" ref="E100:AN100" si="23">E28</f>
        <v>0</v>
      </c>
      <c r="F100" s="28">
        <f t="shared" si="23"/>
        <v>55020</v>
      </c>
      <c r="G100" s="28">
        <f t="shared" si="23"/>
        <v>111470</v>
      </c>
      <c r="H100" s="28">
        <f t="shared" si="23"/>
        <v>48330</v>
      </c>
      <c r="I100" s="28">
        <f t="shared" si="23"/>
        <v>104780</v>
      </c>
      <c r="J100" s="28" t="str">
        <f t="shared" si="23"/>
        <v>＋</v>
      </c>
      <c r="K100" s="28">
        <f t="shared" si="23"/>
        <v>520</v>
      </c>
      <c r="L100" s="28">
        <f t="shared" si="23"/>
        <v>1000</v>
      </c>
      <c r="M100" s="28" t="str">
        <f t="shared" si="23"/>
        <v>×加算率</v>
      </c>
      <c r="N100" s="28">
        <f t="shared" si="23"/>
        <v>450</v>
      </c>
      <c r="O100" s="28">
        <f t="shared" si="23"/>
        <v>930</v>
      </c>
      <c r="P100" s="28" t="str">
        <f t="shared" si="23"/>
        <v>×加算率</v>
      </c>
      <c r="Q100" s="28" t="str">
        <f t="shared" si="23"/>
        <v>＋</v>
      </c>
      <c r="R100" s="28">
        <f t="shared" si="23"/>
        <v>6880</v>
      </c>
      <c r="S100" s="28">
        <f t="shared" si="23"/>
        <v>60</v>
      </c>
      <c r="T100" s="28">
        <f t="shared" si="23"/>
        <v>0</v>
      </c>
      <c r="U100" s="28">
        <f t="shared" si="23"/>
        <v>0</v>
      </c>
      <c r="V100" s="28" t="str">
        <f t="shared" si="23"/>
        <v>　 280人～　349人</v>
      </c>
      <c r="W100" s="28">
        <f t="shared" si="23"/>
        <v>0</v>
      </c>
      <c r="X100" s="28" t="str">
        <f t="shared" si="23"/>
        <v>　 280人～　349人</v>
      </c>
      <c r="Y100" s="28">
        <f t="shared" si="23"/>
        <v>0</v>
      </c>
      <c r="Z100" s="28">
        <f t="shared" si="23"/>
        <v>0</v>
      </c>
      <c r="AA100" s="28">
        <f t="shared" si="23"/>
        <v>0</v>
      </c>
      <c r="AB100" s="28">
        <f t="shared" si="23"/>
        <v>0</v>
      </c>
      <c r="AC100" s="28">
        <f t="shared" si="23"/>
        <v>0</v>
      </c>
      <c r="AD100" s="28">
        <f t="shared" si="23"/>
        <v>12060</v>
      </c>
      <c r="AE100" s="28">
        <f t="shared" si="23"/>
        <v>0</v>
      </c>
      <c r="AF100" s="28">
        <f t="shared" si="23"/>
        <v>0</v>
      </c>
      <c r="AG100" s="28">
        <f t="shared" si="23"/>
        <v>0</v>
      </c>
      <c r="AH100" s="28"/>
      <c r="AI100" s="28"/>
      <c r="AJ100" s="28">
        <f t="shared" si="23"/>
        <v>0</v>
      </c>
      <c r="AK100" s="28" t="str">
        <f t="shared" si="23"/>
        <v>ｂ地域</v>
      </c>
      <c r="AL100" s="28">
        <f t="shared" si="23"/>
        <v>3500</v>
      </c>
      <c r="AM100" s="28">
        <f t="shared" si="23"/>
        <v>3900</v>
      </c>
      <c r="AN100" s="28">
        <f t="shared" si="23"/>
        <v>0</v>
      </c>
      <c r="AO100" s="28"/>
      <c r="AP100" s="28"/>
      <c r="AQ100" s="28"/>
      <c r="AR100" s="28"/>
      <c r="AS100" s="28"/>
      <c r="AT100" s="28"/>
      <c r="AU100" s="28"/>
      <c r="AV100" s="28"/>
      <c r="AW100" s="28"/>
      <c r="AX100" s="28"/>
      <c r="AY100" s="28"/>
      <c r="AZ100" s="28"/>
      <c r="BA100" s="28"/>
      <c r="BB100" s="28"/>
      <c r="BC100" s="28"/>
      <c r="BD100" s="28"/>
      <c r="BE100" s="28"/>
      <c r="BF100" s="28"/>
    </row>
    <row r="101" spans="2:58">
      <c r="B101" s="28">
        <v>71</v>
      </c>
      <c r="D101" s="28" t="str">
        <f>D32</f>
        <v>３歳児</v>
      </c>
      <c r="E101" s="28">
        <f t="shared" ref="E101:AN101" si="24">E32</f>
        <v>0</v>
      </c>
      <c r="F101" s="28">
        <f t="shared" si="24"/>
        <v>51100</v>
      </c>
      <c r="G101" s="28">
        <f t="shared" si="24"/>
        <v>107550</v>
      </c>
      <c r="H101" s="28">
        <f t="shared" si="24"/>
        <v>45240</v>
      </c>
      <c r="I101" s="28">
        <f t="shared" si="24"/>
        <v>101690</v>
      </c>
      <c r="J101" s="28" t="str">
        <f t="shared" si="24"/>
        <v>＋</v>
      </c>
      <c r="K101" s="28">
        <f t="shared" si="24"/>
        <v>480</v>
      </c>
      <c r="L101" s="28">
        <f t="shared" si="24"/>
        <v>960</v>
      </c>
      <c r="M101" s="28" t="str">
        <f t="shared" si="24"/>
        <v>×加算率</v>
      </c>
      <c r="N101" s="28">
        <f t="shared" si="24"/>
        <v>420</v>
      </c>
      <c r="O101" s="28">
        <f t="shared" si="24"/>
        <v>900</v>
      </c>
      <c r="P101" s="28" t="str">
        <f t="shared" si="24"/>
        <v>×加算率</v>
      </c>
      <c r="Q101" s="28" t="str">
        <f t="shared" si="24"/>
        <v>＋</v>
      </c>
      <c r="R101" s="28">
        <f t="shared" si="24"/>
        <v>6880</v>
      </c>
      <c r="S101" s="28">
        <f t="shared" si="24"/>
        <v>60</v>
      </c>
      <c r="T101" s="28">
        <f t="shared" si="24"/>
        <v>0</v>
      </c>
      <c r="U101" s="28">
        <f t="shared" si="24"/>
        <v>0</v>
      </c>
      <c r="V101" s="28">
        <f t="shared" si="24"/>
        <v>325100</v>
      </c>
      <c r="W101" s="28">
        <f t="shared" si="24"/>
        <v>0</v>
      </c>
      <c r="X101" s="28">
        <f t="shared" si="24"/>
        <v>3250</v>
      </c>
      <c r="Y101" s="28">
        <f t="shared" si="24"/>
        <v>0</v>
      </c>
      <c r="Z101" s="28">
        <f t="shared" si="24"/>
        <v>0</v>
      </c>
      <c r="AA101" s="28">
        <f t="shared" si="24"/>
        <v>0</v>
      </c>
      <c r="AB101" s="28">
        <f t="shared" si="24"/>
        <v>0</v>
      </c>
      <c r="AC101" s="28">
        <f t="shared" si="24"/>
        <v>0</v>
      </c>
      <c r="AD101" s="28">
        <f t="shared" si="24"/>
        <v>11220</v>
      </c>
      <c r="AE101" s="28">
        <f t="shared" si="24"/>
        <v>0</v>
      </c>
      <c r="AF101" s="28">
        <f t="shared" si="24"/>
        <v>0</v>
      </c>
      <c r="AG101" s="28">
        <f t="shared" si="24"/>
        <v>0</v>
      </c>
      <c r="AH101" s="28"/>
      <c r="AI101" s="28"/>
      <c r="AJ101" s="28">
        <f t="shared" si="24"/>
        <v>0</v>
      </c>
      <c r="AK101" s="28" t="str">
        <f t="shared" si="24"/>
        <v>ｂ地域</v>
      </c>
      <c r="AL101" s="28">
        <f t="shared" si="24"/>
        <v>3900</v>
      </c>
      <c r="AM101" s="28">
        <f t="shared" si="24"/>
        <v>4300</v>
      </c>
      <c r="AN101" s="28">
        <f t="shared" si="24"/>
        <v>0</v>
      </c>
      <c r="AO101" s="28"/>
      <c r="AP101" s="28"/>
      <c r="AQ101" s="28"/>
      <c r="AR101" s="28"/>
      <c r="AS101" s="28"/>
      <c r="AT101" s="28"/>
      <c r="AU101" s="28"/>
      <c r="AV101" s="28"/>
      <c r="AW101" s="28"/>
      <c r="AX101" s="28"/>
      <c r="AY101" s="28"/>
      <c r="AZ101" s="28"/>
      <c r="BA101" s="28"/>
      <c r="BB101" s="28"/>
      <c r="BC101" s="28"/>
      <c r="BD101" s="28"/>
      <c r="BE101" s="28"/>
      <c r="BF101" s="28"/>
    </row>
    <row r="102" spans="2:58">
      <c r="B102" s="28">
        <v>81</v>
      </c>
      <c r="D102" s="28" t="str">
        <f>D36</f>
        <v>３歳児</v>
      </c>
      <c r="E102" s="28">
        <f t="shared" ref="E102:AN102" si="25">E36</f>
        <v>0</v>
      </c>
      <c r="F102" s="28">
        <f t="shared" si="25"/>
        <v>48000</v>
      </c>
      <c r="G102" s="28">
        <f t="shared" si="25"/>
        <v>104450</v>
      </c>
      <c r="H102" s="28">
        <f t="shared" si="25"/>
        <v>42790</v>
      </c>
      <c r="I102" s="28">
        <f t="shared" si="25"/>
        <v>99240</v>
      </c>
      <c r="J102" s="28" t="str">
        <f t="shared" si="25"/>
        <v>＋</v>
      </c>
      <c r="K102" s="28">
        <f t="shared" si="25"/>
        <v>450</v>
      </c>
      <c r="L102" s="28">
        <f t="shared" si="25"/>
        <v>930</v>
      </c>
      <c r="M102" s="28" t="str">
        <f t="shared" si="25"/>
        <v>×加算率</v>
      </c>
      <c r="N102" s="28">
        <f t="shared" si="25"/>
        <v>400</v>
      </c>
      <c r="O102" s="28">
        <f t="shared" si="25"/>
        <v>880</v>
      </c>
      <c r="P102" s="28" t="str">
        <f t="shared" si="25"/>
        <v>×加算率</v>
      </c>
      <c r="Q102" s="28" t="str">
        <f t="shared" si="25"/>
        <v>＋</v>
      </c>
      <c r="R102" s="28">
        <f t="shared" si="25"/>
        <v>6880</v>
      </c>
      <c r="S102" s="28">
        <f t="shared" si="25"/>
        <v>60</v>
      </c>
      <c r="T102" s="28">
        <f t="shared" si="25"/>
        <v>0</v>
      </c>
      <c r="U102" s="28">
        <f t="shared" si="25"/>
        <v>0</v>
      </c>
      <c r="V102" s="28">
        <f t="shared" si="25"/>
        <v>0</v>
      </c>
      <c r="W102" s="28">
        <f t="shared" si="25"/>
        <v>0</v>
      </c>
      <c r="X102" s="28">
        <f t="shared" si="25"/>
        <v>0</v>
      </c>
      <c r="Y102" s="28">
        <f t="shared" si="25"/>
        <v>0</v>
      </c>
      <c r="Z102" s="28">
        <f t="shared" si="25"/>
        <v>0</v>
      </c>
      <c r="AA102" s="28">
        <f t="shared" si="25"/>
        <v>0</v>
      </c>
      <c r="AB102" s="28">
        <f t="shared" si="25"/>
        <v>0</v>
      </c>
      <c r="AC102" s="28">
        <f t="shared" si="25"/>
        <v>0</v>
      </c>
      <c r="AD102" s="28">
        <f t="shared" si="25"/>
        <v>10560</v>
      </c>
      <c r="AE102" s="28">
        <f t="shared" si="25"/>
        <v>0</v>
      </c>
      <c r="AF102" s="28">
        <f t="shared" si="25"/>
        <v>0</v>
      </c>
      <c r="AG102" s="28">
        <f t="shared" si="25"/>
        <v>0</v>
      </c>
      <c r="AH102" s="28"/>
      <c r="AI102" s="28"/>
      <c r="AJ102" s="28">
        <f t="shared" si="25"/>
        <v>0</v>
      </c>
      <c r="AK102" s="28" t="str">
        <f t="shared" si="25"/>
        <v>ｂ地域</v>
      </c>
      <c r="AL102" s="28">
        <f t="shared" si="25"/>
        <v>3500</v>
      </c>
      <c r="AM102" s="28">
        <f t="shared" si="25"/>
        <v>3900</v>
      </c>
      <c r="AN102" s="28">
        <f t="shared" si="25"/>
        <v>0</v>
      </c>
      <c r="AO102" s="28"/>
      <c r="AP102" s="28"/>
      <c r="AQ102" s="28"/>
      <c r="AR102" s="28"/>
      <c r="AS102" s="28"/>
      <c r="AT102" s="28"/>
      <c r="AU102" s="28"/>
      <c r="AV102" s="28"/>
      <c r="AW102" s="28"/>
      <c r="AX102" s="28"/>
      <c r="AY102" s="28"/>
      <c r="AZ102" s="28"/>
      <c r="BA102" s="28"/>
      <c r="BB102" s="28"/>
      <c r="BC102" s="28"/>
      <c r="BD102" s="28"/>
      <c r="BE102" s="28"/>
      <c r="BF102" s="28"/>
    </row>
    <row r="103" spans="2:58">
      <c r="B103" s="28">
        <v>91</v>
      </c>
      <c r="D103" s="28" t="str">
        <f>D40</f>
        <v>３歳児</v>
      </c>
      <c r="E103" s="28">
        <f t="shared" ref="E103:AN103" si="26">E40</f>
        <v>0</v>
      </c>
      <c r="F103" s="28">
        <f t="shared" si="26"/>
        <v>42570</v>
      </c>
      <c r="G103" s="28">
        <f t="shared" si="26"/>
        <v>99020</v>
      </c>
      <c r="H103" s="28">
        <f t="shared" si="26"/>
        <v>37890</v>
      </c>
      <c r="I103" s="28">
        <f t="shared" si="26"/>
        <v>94340</v>
      </c>
      <c r="J103" s="28" t="str">
        <f t="shared" si="26"/>
        <v>＋</v>
      </c>
      <c r="K103" s="28">
        <f t="shared" si="26"/>
        <v>390</v>
      </c>
      <c r="L103" s="28">
        <f t="shared" si="26"/>
        <v>880</v>
      </c>
      <c r="M103" s="28" t="str">
        <f t="shared" si="26"/>
        <v>×加算率</v>
      </c>
      <c r="N103" s="28">
        <f t="shared" si="26"/>
        <v>350</v>
      </c>
      <c r="O103" s="28">
        <f t="shared" si="26"/>
        <v>830</v>
      </c>
      <c r="P103" s="28" t="str">
        <f t="shared" si="26"/>
        <v>×加算率</v>
      </c>
      <c r="Q103" s="28" t="str">
        <f t="shared" si="26"/>
        <v>＋</v>
      </c>
      <c r="R103" s="28">
        <f t="shared" si="26"/>
        <v>6880</v>
      </c>
      <c r="S103" s="28">
        <f t="shared" si="26"/>
        <v>60</v>
      </c>
      <c r="T103" s="28">
        <f t="shared" si="26"/>
        <v>0</v>
      </c>
      <c r="U103" s="28">
        <f t="shared" si="26"/>
        <v>0</v>
      </c>
      <c r="V103" s="28" t="str">
        <f t="shared" si="26"/>
        <v>　 560人～　629人</v>
      </c>
      <c r="W103" s="28">
        <f t="shared" si="26"/>
        <v>0</v>
      </c>
      <c r="X103" s="28" t="str">
        <f t="shared" si="26"/>
        <v>　 560人～　629人</v>
      </c>
      <c r="Y103" s="28">
        <f t="shared" si="26"/>
        <v>0</v>
      </c>
      <c r="Z103" s="28">
        <f t="shared" si="26"/>
        <v>0</v>
      </c>
      <c r="AA103" s="28" t="str">
        <f t="shared" si="26"/>
        <v>各月初日の</v>
      </c>
      <c r="AB103" s="28">
        <f t="shared" si="26"/>
        <v>0</v>
      </c>
      <c r="AC103" s="28">
        <f t="shared" si="26"/>
        <v>0</v>
      </c>
      <c r="AD103" s="28">
        <f t="shared" si="26"/>
        <v>0</v>
      </c>
      <c r="AE103" s="28">
        <f t="shared" si="26"/>
        <v>0</v>
      </c>
      <c r="AF103" s="28">
        <f t="shared" si="26"/>
        <v>0</v>
      </c>
      <c r="AG103" s="28">
        <f t="shared" si="26"/>
        <v>0</v>
      </c>
      <c r="AH103" s="28"/>
      <c r="AI103" s="28"/>
      <c r="AJ103" s="28">
        <f t="shared" si="26"/>
        <v>0</v>
      </c>
      <c r="AK103" s="28" t="str">
        <f t="shared" si="26"/>
        <v>ｂ地域</v>
      </c>
      <c r="AL103" s="28">
        <f t="shared" si="26"/>
        <v>3000</v>
      </c>
      <c r="AM103" s="28">
        <f t="shared" si="26"/>
        <v>3400</v>
      </c>
      <c r="AN103" s="28">
        <f t="shared" si="26"/>
        <v>0</v>
      </c>
      <c r="AO103" s="28"/>
      <c r="AP103" s="28"/>
      <c r="AQ103" s="28"/>
      <c r="AR103" s="28"/>
      <c r="AS103" s="28"/>
      <c r="AT103" s="28"/>
      <c r="AU103" s="28"/>
      <c r="AV103" s="28"/>
      <c r="AW103" s="28"/>
      <c r="AX103" s="28"/>
      <c r="AY103" s="28"/>
      <c r="AZ103" s="28"/>
      <c r="BA103" s="28"/>
      <c r="BB103" s="28"/>
      <c r="BC103" s="28"/>
      <c r="BD103" s="28"/>
      <c r="BE103" s="28"/>
      <c r="BF103" s="28"/>
    </row>
    <row r="104" spans="2:58">
      <c r="B104" s="28">
        <v>101</v>
      </c>
      <c r="D104" s="28" t="str">
        <f>D44</f>
        <v>３歳児</v>
      </c>
      <c r="E104" s="28">
        <f t="shared" ref="E104:AN104" si="27">E44</f>
        <v>0</v>
      </c>
      <c r="F104" s="28">
        <f t="shared" si="27"/>
        <v>40850</v>
      </c>
      <c r="G104" s="28">
        <f t="shared" si="27"/>
        <v>97300</v>
      </c>
      <c r="H104" s="28">
        <f t="shared" si="27"/>
        <v>36590</v>
      </c>
      <c r="I104" s="28">
        <f t="shared" si="27"/>
        <v>93040</v>
      </c>
      <c r="J104" s="28" t="str">
        <f t="shared" si="27"/>
        <v>＋</v>
      </c>
      <c r="K104" s="28">
        <f t="shared" si="27"/>
        <v>380</v>
      </c>
      <c r="L104" s="28">
        <f t="shared" si="27"/>
        <v>860</v>
      </c>
      <c r="M104" s="28" t="str">
        <f t="shared" si="27"/>
        <v>×加算率</v>
      </c>
      <c r="N104" s="28">
        <f t="shared" si="27"/>
        <v>330</v>
      </c>
      <c r="O104" s="28">
        <f t="shared" si="27"/>
        <v>820</v>
      </c>
      <c r="P104" s="28" t="str">
        <f t="shared" si="27"/>
        <v>×加算率</v>
      </c>
      <c r="Q104" s="28" t="str">
        <f t="shared" si="27"/>
        <v>＋</v>
      </c>
      <c r="R104" s="28">
        <f t="shared" si="27"/>
        <v>6880</v>
      </c>
      <c r="S104" s="28">
        <f t="shared" si="27"/>
        <v>60</v>
      </c>
      <c r="T104" s="28">
        <f t="shared" si="27"/>
        <v>0</v>
      </c>
      <c r="U104" s="28">
        <f t="shared" si="27"/>
        <v>0</v>
      </c>
      <c r="V104" s="28">
        <f t="shared" si="27"/>
        <v>460500</v>
      </c>
      <c r="W104" s="28">
        <f t="shared" si="27"/>
        <v>0</v>
      </c>
      <c r="X104" s="28">
        <f t="shared" si="27"/>
        <v>4600</v>
      </c>
      <c r="Y104" s="28">
        <f t="shared" si="27"/>
        <v>0</v>
      </c>
      <c r="Z104" s="28">
        <f t="shared" si="27"/>
        <v>0</v>
      </c>
      <c r="AA104" s="28">
        <f t="shared" si="27"/>
        <v>0</v>
      </c>
      <c r="AB104" s="28">
        <f t="shared" si="27"/>
        <v>0</v>
      </c>
      <c r="AC104" s="28">
        <f t="shared" si="27"/>
        <v>0</v>
      </c>
      <c r="AD104" s="28">
        <f t="shared" si="27"/>
        <v>0</v>
      </c>
      <c r="AE104" s="28">
        <f t="shared" si="27"/>
        <v>0</v>
      </c>
      <c r="AF104" s="28">
        <f t="shared" si="27"/>
        <v>0</v>
      </c>
      <c r="AG104" s="28">
        <f t="shared" si="27"/>
        <v>0</v>
      </c>
      <c r="AH104" s="28"/>
      <c r="AI104" s="28"/>
      <c r="AJ104" s="28">
        <f t="shared" si="27"/>
        <v>0</v>
      </c>
      <c r="AK104" s="28" t="str">
        <f t="shared" si="27"/>
        <v>ｂ地域</v>
      </c>
      <c r="AL104" s="28">
        <f t="shared" si="27"/>
        <v>3300</v>
      </c>
      <c r="AM104" s="28">
        <f t="shared" si="27"/>
        <v>3700</v>
      </c>
      <c r="AN104" s="28">
        <f t="shared" si="27"/>
        <v>0</v>
      </c>
      <c r="AO104" s="28"/>
      <c r="AP104" s="28"/>
      <c r="AQ104" s="28"/>
      <c r="AR104" s="28"/>
      <c r="AS104" s="28"/>
      <c r="AT104" s="28"/>
      <c r="AU104" s="28"/>
      <c r="AV104" s="28"/>
      <c r="AW104" s="28"/>
      <c r="AX104" s="28"/>
      <c r="AY104" s="28"/>
      <c r="AZ104" s="28"/>
      <c r="BA104" s="28"/>
      <c r="BB104" s="28"/>
      <c r="BC104" s="28"/>
      <c r="BD104" s="28"/>
      <c r="BE104" s="28"/>
      <c r="BF104" s="28"/>
    </row>
    <row r="105" spans="2:58">
      <c r="B105" s="28">
        <v>111</v>
      </c>
      <c r="D105" s="28" t="str">
        <f>D48</f>
        <v>３歳児</v>
      </c>
      <c r="E105" s="28">
        <f t="shared" ref="E105:AN105" si="28">E48</f>
        <v>0</v>
      </c>
      <c r="F105" s="28">
        <f t="shared" si="28"/>
        <v>39380</v>
      </c>
      <c r="G105" s="28">
        <f t="shared" si="28"/>
        <v>95830</v>
      </c>
      <c r="H105" s="28">
        <f t="shared" si="28"/>
        <v>35480</v>
      </c>
      <c r="I105" s="28">
        <f t="shared" si="28"/>
        <v>91930</v>
      </c>
      <c r="J105" s="28" t="str">
        <f t="shared" si="28"/>
        <v>＋</v>
      </c>
      <c r="K105" s="28">
        <f t="shared" si="28"/>
        <v>360</v>
      </c>
      <c r="L105" s="28">
        <f t="shared" si="28"/>
        <v>840</v>
      </c>
      <c r="M105" s="28" t="str">
        <f t="shared" si="28"/>
        <v>×加算率</v>
      </c>
      <c r="N105" s="28">
        <f t="shared" si="28"/>
        <v>320</v>
      </c>
      <c r="O105" s="28">
        <f t="shared" si="28"/>
        <v>810</v>
      </c>
      <c r="P105" s="28" t="str">
        <f t="shared" si="28"/>
        <v>×加算率</v>
      </c>
      <c r="Q105" s="28" t="str">
        <f t="shared" si="28"/>
        <v>＋</v>
      </c>
      <c r="R105" s="28">
        <f t="shared" si="28"/>
        <v>6880</v>
      </c>
      <c r="S105" s="28">
        <f t="shared" si="28"/>
        <v>60</v>
      </c>
      <c r="T105" s="28">
        <f t="shared" si="28"/>
        <v>0</v>
      </c>
      <c r="U105" s="28">
        <f t="shared" si="28"/>
        <v>0</v>
      </c>
      <c r="V105" s="28">
        <f t="shared" si="28"/>
        <v>0</v>
      </c>
      <c r="W105" s="28">
        <f t="shared" si="28"/>
        <v>0</v>
      </c>
      <c r="X105" s="28">
        <f t="shared" si="28"/>
        <v>0</v>
      </c>
      <c r="Y105" s="28">
        <f t="shared" si="28"/>
        <v>0</v>
      </c>
      <c r="Z105" s="28">
        <f t="shared" si="28"/>
        <v>0</v>
      </c>
      <c r="AA105" s="28">
        <f t="shared" si="28"/>
        <v>0</v>
      </c>
      <c r="AB105" s="28">
        <f t="shared" si="28"/>
        <v>0</v>
      </c>
      <c r="AC105" s="28">
        <f t="shared" si="28"/>
        <v>0</v>
      </c>
      <c r="AD105" s="28">
        <f t="shared" si="28"/>
        <v>0</v>
      </c>
      <c r="AE105" s="28">
        <f t="shared" si="28"/>
        <v>0</v>
      </c>
      <c r="AF105" s="28">
        <f t="shared" si="28"/>
        <v>0</v>
      </c>
      <c r="AG105" s="28">
        <f t="shared" si="28"/>
        <v>0</v>
      </c>
      <c r="AH105" s="28"/>
      <c r="AI105" s="28"/>
      <c r="AJ105" s="28">
        <f t="shared" si="28"/>
        <v>0</v>
      </c>
      <c r="AK105" s="28" t="str">
        <f t="shared" si="28"/>
        <v>ｂ地域</v>
      </c>
      <c r="AL105" s="28">
        <f t="shared" si="28"/>
        <v>3000</v>
      </c>
      <c r="AM105" s="28">
        <f t="shared" si="28"/>
        <v>3400</v>
      </c>
      <c r="AN105" s="28">
        <f t="shared" si="28"/>
        <v>0</v>
      </c>
      <c r="AO105" s="28"/>
      <c r="AP105" s="28"/>
      <c r="AQ105" s="28"/>
      <c r="AR105" s="28"/>
      <c r="AS105" s="28"/>
      <c r="AT105" s="28"/>
      <c r="AU105" s="28"/>
      <c r="AV105" s="28"/>
      <c r="AW105" s="28"/>
      <c r="AX105" s="28"/>
      <c r="AY105" s="28"/>
      <c r="AZ105" s="28"/>
      <c r="BA105" s="28"/>
      <c r="BB105" s="28"/>
      <c r="BC105" s="28"/>
      <c r="BD105" s="28"/>
      <c r="BE105" s="28"/>
      <c r="BF105" s="28"/>
    </row>
    <row r="106" spans="2:58">
      <c r="B106" s="28">
        <v>121</v>
      </c>
      <c r="D106" s="28" t="str">
        <f>D52</f>
        <v>３歳児</v>
      </c>
      <c r="E106" s="28">
        <f t="shared" ref="E106:AN106" si="29">E52</f>
        <v>0</v>
      </c>
      <c r="F106" s="28">
        <f t="shared" si="29"/>
        <v>38140</v>
      </c>
      <c r="G106" s="28">
        <f t="shared" si="29"/>
        <v>94590</v>
      </c>
      <c r="H106" s="28">
        <f t="shared" si="29"/>
        <v>34530</v>
      </c>
      <c r="I106" s="28">
        <f t="shared" si="29"/>
        <v>90980</v>
      </c>
      <c r="J106" s="28" t="str">
        <f t="shared" si="29"/>
        <v>＋</v>
      </c>
      <c r="K106" s="28">
        <f t="shared" si="29"/>
        <v>350</v>
      </c>
      <c r="L106" s="28">
        <f t="shared" si="29"/>
        <v>830</v>
      </c>
      <c r="M106" s="28" t="str">
        <f t="shared" si="29"/>
        <v>×加算率</v>
      </c>
      <c r="N106" s="28">
        <f t="shared" si="29"/>
        <v>310</v>
      </c>
      <c r="O106" s="28">
        <f t="shared" si="29"/>
        <v>800</v>
      </c>
      <c r="P106" s="28" t="str">
        <f t="shared" si="29"/>
        <v>×加算率</v>
      </c>
      <c r="Q106" s="28" t="str">
        <f t="shared" si="29"/>
        <v>＋</v>
      </c>
      <c r="R106" s="28">
        <f t="shared" si="29"/>
        <v>6880</v>
      </c>
      <c r="S106" s="28">
        <f t="shared" si="29"/>
        <v>60</v>
      </c>
      <c r="T106" s="28">
        <f t="shared" si="29"/>
        <v>0</v>
      </c>
      <c r="U106" s="28">
        <f t="shared" si="29"/>
        <v>0</v>
      </c>
      <c r="V106" s="28" t="str">
        <f t="shared" si="29"/>
        <v>　 840人～　909人</v>
      </c>
      <c r="W106" s="28">
        <f t="shared" si="29"/>
        <v>0</v>
      </c>
      <c r="X106" s="28" t="str">
        <f t="shared" si="29"/>
        <v>　 840人～　909人</v>
      </c>
      <c r="Y106" s="28">
        <f t="shared" si="29"/>
        <v>0</v>
      </c>
      <c r="Z106" s="28">
        <f t="shared" si="29"/>
        <v>0</v>
      </c>
      <c r="AA106" s="28">
        <f t="shared" si="29"/>
        <v>0</v>
      </c>
      <c r="AB106" s="28">
        <f t="shared" si="29"/>
        <v>0</v>
      </c>
      <c r="AC106" s="28">
        <f t="shared" si="29"/>
        <v>0</v>
      </c>
      <c r="AD106" s="28">
        <f t="shared" si="29"/>
        <v>0</v>
      </c>
      <c r="AE106" s="28">
        <f t="shared" si="29"/>
        <v>0</v>
      </c>
      <c r="AF106" s="28">
        <f t="shared" si="29"/>
        <v>0</v>
      </c>
      <c r="AG106" s="28">
        <f t="shared" si="29"/>
        <v>0</v>
      </c>
      <c r="AH106" s="28"/>
      <c r="AI106" s="28"/>
      <c r="AJ106" s="28">
        <f t="shared" si="29"/>
        <v>0</v>
      </c>
      <c r="AK106" s="28" t="str">
        <f t="shared" si="29"/>
        <v>ｂ地域</v>
      </c>
      <c r="AL106" s="28">
        <f t="shared" si="29"/>
        <v>2800</v>
      </c>
      <c r="AM106" s="28">
        <f t="shared" si="29"/>
        <v>3100</v>
      </c>
      <c r="AN106" s="28">
        <f t="shared" si="29"/>
        <v>0</v>
      </c>
      <c r="AO106" s="28"/>
      <c r="AP106" s="28"/>
      <c r="AQ106" s="28"/>
      <c r="AR106" s="28"/>
      <c r="AS106" s="28"/>
      <c r="AT106" s="28"/>
      <c r="AU106" s="28"/>
      <c r="AV106" s="28"/>
      <c r="AW106" s="28"/>
      <c r="AX106" s="28"/>
      <c r="AY106" s="28"/>
      <c r="AZ106" s="28"/>
      <c r="BA106" s="28"/>
      <c r="BB106" s="28"/>
      <c r="BC106" s="28"/>
      <c r="BD106" s="28"/>
      <c r="BE106" s="28"/>
      <c r="BF106" s="28"/>
    </row>
    <row r="107" spans="2:58">
      <c r="B107" s="28">
        <v>131</v>
      </c>
      <c r="D107" s="28" t="str">
        <f>D56</f>
        <v>３歳児</v>
      </c>
      <c r="E107" s="28">
        <f t="shared" ref="E107:AN107" si="30">E56</f>
        <v>0</v>
      </c>
      <c r="F107" s="28">
        <f t="shared" si="30"/>
        <v>37100</v>
      </c>
      <c r="G107" s="28">
        <f t="shared" si="30"/>
        <v>93550</v>
      </c>
      <c r="H107" s="28">
        <f t="shared" si="30"/>
        <v>33750</v>
      </c>
      <c r="I107" s="28">
        <f t="shared" si="30"/>
        <v>90200</v>
      </c>
      <c r="J107" s="28" t="str">
        <f t="shared" si="30"/>
        <v>＋</v>
      </c>
      <c r="K107" s="28">
        <f t="shared" si="30"/>
        <v>340</v>
      </c>
      <c r="L107" s="28">
        <f t="shared" si="30"/>
        <v>820</v>
      </c>
      <c r="M107" s="28" t="str">
        <f t="shared" si="30"/>
        <v>×加算率</v>
      </c>
      <c r="N107" s="28">
        <f t="shared" si="30"/>
        <v>310</v>
      </c>
      <c r="O107" s="28">
        <f t="shared" si="30"/>
        <v>790</v>
      </c>
      <c r="P107" s="28" t="str">
        <f t="shared" si="30"/>
        <v>×加算率</v>
      </c>
      <c r="Q107" s="28" t="str">
        <f t="shared" si="30"/>
        <v>＋</v>
      </c>
      <c r="R107" s="28">
        <f t="shared" si="30"/>
        <v>6880</v>
      </c>
      <c r="S107" s="28">
        <f t="shared" si="30"/>
        <v>60</v>
      </c>
      <c r="T107" s="28">
        <f t="shared" si="30"/>
        <v>0</v>
      </c>
      <c r="U107" s="28">
        <f t="shared" si="30"/>
        <v>0</v>
      </c>
      <c r="V107" s="28">
        <f t="shared" si="30"/>
        <v>595800</v>
      </c>
      <c r="W107" s="28">
        <f t="shared" si="30"/>
        <v>0</v>
      </c>
      <c r="X107" s="28">
        <f t="shared" si="30"/>
        <v>5950</v>
      </c>
      <c r="Y107" s="28">
        <f t="shared" si="30"/>
        <v>0</v>
      </c>
      <c r="Z107" s="28">
        <f t="shared" si="30"/>
        <v>0</v>
      </c>
      <c r="AA107" s="28">
        <f t="shared" si="30"/>
        <v>0</v>
      </c>
      <c r="AB107" s="28">
        <f t="shared" si="30"/>
        <v>0</v>
      </c>
      <c r="AC107" s="28">
        <f t="shared" si="30"/>
        <v>0</v>
      </c>
      <c r="AD107" s="28">
        <f t="shared" si="30"/>
        <v>0</v>
      </c>
      <c r="AE107" s="28">
        <f t="shared" si="30"/>
        <v>0</v>
      </c>
      <c r="AF107" s="28">
        <f t="shared" si="30"/>
        <v>0</v>
      </c>
      <c r="AG107" s="28">
        <f t="shared" si="30"/>
        <v>0</v>
      </c>
      <c r="AH107" s="28"/>
      <c r="AI107" s="28"/>
      <c r="AJ107" s="28">
        <f t="shared" si="30"/>
        <v>0</v>
      </c>
      <c r="AK107" s="28" t="str">
        <f t="shared" si="30"/>
        <v>ｂ地域</v>
      </c>
      <c r="AL107" s="28">
        <f t="shared" si="30"/>
        <v>3000</v>
      </c>
      <c r="AM107" s="28">
        <f t="shared" si="30"/>
        <v>3400</v>
      </c>
      <c r="AN107" s="28">
        <f t="shared" si="30"/>
        <v>0</v>
      </c>
      <c r="AO107" s="28"/>
      <c r="AP107" s="28"/>
      <c r="AQ107" s="28"/>
      <c r="AR107" s="28"/>
      <c r="AS107" s="28"/>
      <c r="AT107" s="28"/>
      <c r="AU107" s="28"/>
      <c r="AV107" s="28"/>
      <c r="AW107" s="28"/>
      <c r="AX107" s="28"/>
      <c r="AY107" s="28"/>
      <c r="AZ107" s="28"/>
      <c r="BA107" s="28"/>
      <c r="BB107" s="28"/>
      <c r="BC107" s="28"/>
      <c r="BD107" s="28"/>
      <c r="BE107" s="28"/>
      <c r="BF107" s="28"/>
    </row>
    <row r="108" spans="2:58">
      <c r="B108" s="28">
        <v>141</v>
      </c>
      <c r="D108" s="28" t="str">
        <f>D60</f>
        <v>３歳児</v>
      </c>
      <c r="E108" s="28">
        <f t="shared" ref="E108:AN108" si="31">E60</f>
        <v>0</v>
      </c>
      <c r="F108" s="28">
        <f t="shared" si="31"/>
        <v>36180</v>
      </c>
      <c r="G108" s="28">
        <f t="shared" si="31"/>
        <v>92630</v>
      </c>
      <c r="H108" s="28">
        <f t="shared" si="31"/>
        <v>33060</v>
      </c>
      <c r="I108" s="28">
        <f t="shared" si="31"/>
        <v>89510</v>
      </c>
      <c r="J108" s="28" t="str">
        <f t="shared" si="31"/>
        <v>＋</v>
      </c>
      <c r="K108" s="28">
        <f t="shared" si="31"/>
        <v>330</v>
      </c>
      <c r="L108" s="28">
        <f t="shared" si="31"/>
        <v>810</v>
      </c>
      <c r="M108" s="28" t="str">
        <f t="shared" si="31"/>
        <v>×加算率</v>
      </c>
      <c r="N108" s="28">
        <f t="shared" si="31"/>
        <v>300</v>
      </c>
      <c r="O108" s="28">
        <f t="shared" si="31"/>
        <v>780</v>
      </c>
      <c r="P108" s="28" t="str">
        <f t="shared" si="31"/>
        <v>×加算率</v>
      </c>
      <c r="Q108" s="28" t="str">
        <f t="shared" si="31"/>
        <v>＋</v>
      </c>
      <c r="R108" s="28">
        <f t="shared" si="31"/>
        <v>6880</v>
      </c>
      <c r="S108" s="28">
        <f t="shared" si="31"/>
        <v>60</v>
      </c>
      <c r="T108" s="28">
        <f t="shared" si="31"/>
        <v>0</v>
      </c>
      <c r="U108" s="28">
        <f t="shared" si="31"/>
        <v>0</v>
      </c>
      <c r="V108" s="28">
        <f t="shared" si="31"/>
        <v>0</v>
      </c>
      <c r="W108" s="28">
        <f t="shared" si="31"/>
        <v>0</v>
      </c>
      <c r="X108" s="28">
        <f t="shared" si="31"/>
        <v>0</v>
      </c>
      <c r="Y108" s="28">
        <f t="shared" si="31"/>
        <v>0</v>
      </c>
      <c r="Z108" s="28">
        <f t="shared" si="31"/>
        <v>0</v>
      </c>
      <c r="AA108" s="28">
        <f t="shared" si="31"/>
        <v>0</v>
      </c>
      <c r="AB108" s="28">
        <f t="shared" si="31"/>
        <v>0</v>
      </c>
      <c r="AC108" s="28">
        <f t="shared" si="31"/>
        <v>0</v>
      </c>
      <c r="AD108" s="28">
        <f t="shared" si="31"/>
        <v>0</v>
      </c>
      <c r="AE108" s="28">
        <f t="shared" si="31"/>
        <v>0</v>
      </c>
      <c r="AF108" s="28">
        <f t="shared" si="31"/>
        <v>0</v>
      </c>
      <c r="AG108" s="28">
        <f t="shared" si="31"/>
        <v>0</v>
      </c>
      <c r="AH108" s="28"/>
      <c r="AI108" s="28"/>
      <c r="AJ108" s="28">
        <f t="shared" si="31"/>
        <v>0</v>
      </c>
      <c r="AK108" s="28" t="str">
        <f t="shared" si="31"/>
        <v>ｂ地域</v>
      </c>
      <c r="AL108" s="28">
        <f t="shared" si="31"/>
        <v>2900</v>
      </c>
      <c r="AM108" s="28">
        <f t="shared" si="31"/>
        <v>3300</v>
      </c>
      <c r="AN108" s="28">
        <f t="shared" si="31"/>
        <v>0</v>
      </c>
      <c r="AO108" s="28"/>
      <c r="AP108" s="28"/>
      <c r="AQ108" s="28"/>
      <c r="AR108" s="28"/>
      <c r="AS108" s="28"/>
      <c r="AT108" s="28"/>
      <c r="AU108" s="28"/>
      <c r="AV108" s="28"/>
      <c r="AW108" s="28"/>
      <c r="AX108" s="28"/>
      <c r="AY108" s="28"/>
      <c r="AZ108" s="28"/>
      <c r="BA108" s="28"/>
      <c r="BB108" s="28"/>
      <c r="BC108" s="28"/>
      <c r="BD108" s="28"/>
      <c r="BE108" s="28"/>
      <c r="BF108" s="28"/>
    </row>
    <row r="109" spans="2:58">
      <c r="B109" s="28">
        <v>151</v>
      </c>
      <c r="D109" s="28" t="str">
        <f>D64</f>
        <v>３歳児</v>
      </c>
      <c r="E109" s="28">
        <f t="shared" ref="E109:AN109" si="32">E64</f>
        <v>0</v>
      </c>
      <c r="F109" s="28">
        <f t="shared" si="32"/>
        <v>36240</v>
      </c>
      <c r="G109" s="28">
        <f t="shared" si="32"/>
        <v>92690</v>
      </c>
      <c r="H109" s="28">
        <f t="shared" si="32"/>
        <v>33310</v>
      </c>
      <c r="I109" s="28">
        <f t="shared" si="32"/>
        <v>89760</v>
      </c>
      <c r="J109" s="28" t="str">
        <f t="shared" si="32"/>
        <v>＋</v>
      </c>
      <c r="K109" s="28">
        <f t="shared" si="32"/>
        <v>330</v>
      </c>
      <c r="L109" s="28">
        <f t="shared" si="32"/>
        <v>810</v>
      </c>
      <c r="M109" s="28" t="str">
        <f t="shared" si="32"/>
        <v>×加算率</v>
      </c>
      <c r="N109" s="28">
        <f t="shared" si="32"/>
        <v>300</v>
      </c>
      <c r="O109" s="28">
        <f t="shared" si="32"/>
        <v>780</v>
      </c>
      <c r="P109" s="28" t="str">
        <f t="shared" si="32"/>
        <v>×加算率</v>
      </c>
      <c r="Q109" s="28" t="str">
        <f t="shared" si="32"/>
        <v>＋</v>
      </c>
      <c r="R109" s="28">
        <f t="shared" si="32"/>
        <v>6880</v>
      </c>
      <c r="S109" s="28">
        <f t="shared" si="32"/>
        <v>60</v>
      </c>
      <c r="T109" s="28">
        <f t="shared" si="32"/>
        <v>0</v>
      </c>
      <c r="U109" s="28">
        <f t="shared" si="32"/>
        <v>0</v>
      </c>
      <c r="V109" s="28">
        <f t="shared" si="32"/>
        <v>0</v>
      </c>
      <c r="W109" s="28">
        <f t="shared" si="32"/>
        <v>0</v>
      </c>
      <c r="X109" s="28">
        <f t="shared" si="32"/>
        <v>0</v>
      </c>
      <c r="Y109" s="28">
        <f t="shared" si="32"/>
        <v>0</v>
      </c>
      <c r="Z109" s="28">
        <f t="shared" si="32"/>
        <v>0</v>
      </c>
      <c r="AA109" s="28">
        <f t="shared" si="32"/>
        <v>0</v>
      </c>
      <c r="AB109" s="28">
        <f t="shared" si="32"/>
        <v>0</v>
      </c>
      <c r="AC109" s="28">
        <f t="shared" si="32"/>
        <v>0</v>
      </c>
      <c r="AD109" s="28">
        <f t="shared" si="32"/>
        <v>0</v>
      </c>
      <c r="AE109" s="28">
        <f t="shared" si="32"/>
        <v>0</v>
      </c>
      <c r="AF109" s="28">
        <f t="shared" si="32"/>
        <v>0</v>
      </c>
      <c r="AG109" s="28">
        <f t="shared" si="32"/>
        <v>0</v>
      </c>
      <c r="AH109" s="28"/>
      <c r="AI109" s="28"/>
      <c r="AJ109" s="28">
        <f t="shared" si="32"/>
        <v>0</v>
      </c>
      <c r="AK109" s="28" t="str">
        <f t="shared" si="32"/>
        <v>ｂ地域</v>
      </c>
      <c r="AL109" s="28">
        <f t="shared" si="32"/>
        <v>2600</v>
      </c>
      <c r="AM109" s="28">
        <f t="shared" si="32"/>
        <v>2900</v>
      </c>
      <c r="AN109" s="28">
        <f t="shared" si="32"/>
        <v>0</v>
      </c>
      <c r="AO109" s="28"/>
      <c r="AP109" s="28"/>
      <c r="AQ109" s="28"/>
      <c r="AR109" s="28"/>
      <c r="AS109" s="28"/>
      <c r="AT109" s="28"/>
      <c r="AU109" s="28"/>
      <c r="AV109" s="28"/>
      <c r="AW109" s="28"/>
      <c r="AX109" s="28"/>
      <c r="AY109" s="28"/>
      <c r="AZ109" s="28"/>
      <c r="BA109" s="28"/>
      <c r="BB109" s="28"/>
      <c r="BC109" s="28"/>
      <c r="BD109" s="28"/>
      <c r="BE109" s="28"/>
      <c r="BF109" s="28"/>
    </row>
    <row r="110" spans="2:58">
      <c r="B110" s="28">
        <v>161</v>
      </c>
      <c r="D110" s="28" t="str">
        <f>D68</f>
        <v>３歳児</v>
      </c>
      <c r="E110" s="28">
        <f t="shared" ref="E110:AN110" si="33">E68</f>
        <v>0</v>
      </c>
      <c r="F110" s="28">
        <f t="shared" si="33"/>
        <v>35500</v>
      </c>
      <c r="G110" s="28">
        <f t="shared" si="33"/>
        <v>91950</v>
      </c>
      <c r="H110" s="28">
        <f t="shared" si="33"/>
        <v>32740</v>
      </c>
      <c r="I110" s="28">
        <f t="shared" si="33"/>
        <v>89190</v>
      </c>
      <c r="J110" s="28" t="str">
        <f t="shared" si="33"/>
        <v>＋</v>
      </c>
      <c r="K110" s="28">
        <f t="shared" si="33"/>
        <v>320</v>
      </c>
      <c r="L110" s="28">
        <f t="shared" si="33"/>
        <v>810</v>
      </c>
      <c r="M110" s="28" t="str">
        <f t="shared" si="33"/>
        <v>×加算率</v>
      </c>
      <c r="N110" s="28">
        <f t="shared" si="33"/>
        <v>300</v>
      </c>
      <c r="O110" s="28">
        <f t="shared" si="33"/>
        <v>780</v>
      </c>
      <c r="P110" s="28" t="str">
        <f t="shared" si="33"/>
        <v>×加算率</v>
      </c>
      <c r="Q110" s="28" t="str">
        <f t="shared" si="33"/>
        <v>＋</v>
      </c>
      <c r="R110" s="28">
        <f t="shared" si="33"/>
        <v>6880</v>
      </c>
      <c r="S110" s="28">
        <f t="shared" si="33"/>
        <v>60</v>
      </c>
      <c r="T110" s="28">
        <f t="shared" si="33"/>
        <v>0</v>
      </c>
      <c r="U110" s="28">
        <f t="shared" si="33"/>
        <v>0</v>
      </c>
      <c r="V110" s="28">
        <f t="shared" si="33"/>
        <v>0</v>
      </c>
      <c r="W110" s="28">
        <f t="shared" si="33"/>
        <v>0</v>
      </c>
      <c r="X110" s="28">
        <f t="shared" si="33"/>
        <v>0</v>
      </c>
      <c r="Y110" s="28">
        <f t="shared" si="33"/>
        <v>0</v>
      </c>
      <c r="Z110" s="28">
        <f t="shared" si="33"/>
        <v>0</v>
      </c>
      <c r="AA110" s="28">
        <f t="shared" si="33"/>
        <v>0</v>
      </c>
      <c r="AB110" s="28">
        <f t="shared" si="33"/>
        <v>0</v>
      </c>
      <c r="AC110" s="28">
        <f t="shared" si="33"/>
        <v>0</v>
      </c>
      <c r="AD110" s="28">
        <f t="shared" si="33"/>
        <v>0</v>
      </c>
      <c r="AE110" s="28">
        <f t="shared" si="33"/>
        <v>0</v>
      </c>
      <c r="AF110" s="28">
        <f t="shared" si="33"/>
        <v>0</v>
      </c>
      <c r="AG110" s="28">
        <f t="shared" si="33"/>
        <v>0</v>
      </c>
      <c r="AH110" s="28"/>
      <c r="AI110" s="28"/>
      <c r="AJ110" s="28">
        <f t="shared" si="33"/>
        <v>0</v>
      </c>
      <c r="AK110" s="28" t="str">
        <f t="shared" si="33"/>
        <v>ｂ地域</v>
      </c>
      <c r="AL110" s="28">
        <f t="shared" si="33"/>
        <v>2900</v>
      </c>
      <c r="AM110" s="28">
        <f t="shared" si="33"/>
        <v>3300</v>
      </c>
      <c r="AN110" s="28">
        <f t="shared" si="33"/>
        <v>0</v>
      </c>
      <c r="AO110" s="28"/>
      <c r="AP110" s="28"/>
      <c r="AQ110" s="28"/>
      <c r="AR110" s="28"/>
      <c r="AS110" s="28"/>
      <c r="AT110" s="28"/>
      <c r="AU110" s="28"/>
      <c r="AV110" s="28"/>
      <c r="AW110" s="28"/>
      <c r="AX110" s="28"/>
      <c r="AY110" s="28"/>
      <c r="AZ110" s="28"/>
      <c r="BA110" s="28"/>
      <c r="BB110" s="28"/>
      <c r="BC110" s="28"/>
      <c r="BD110" s="28"/>
      <c r="BE110" s="28"/>
      <c r="BF110" s="28"/>
    </row>
    <row r="111" spans="2:58">
      <c r="B111" s="28">
        <v>171</v>
      </c>
      <c r="D111" s="28" t="str">
        <f>D72</f>
        <v>３歳児</v>
      </c>
      <c r="E111" s="28">
        <f t="shared" ref="E111:AN111" si="34">E72</f>
        <v>0</v>
      </c>
      <c r="F111" s="28">
        <f t="shared" si="34"/>
        <v>34820</v>
      </c>
      <c r="G111" s="28">
        <f t="shared" si="34"/>
        <v>91270</v>
      </c>
      <c r="H111" s="28">
        <f t="shared" si="34"/>
        <v>32220</v>
      </c>
      <c r="I111" s="28">
        <f t="shared" si="34"/>
        <v>88670</v>
      </c>
      <c r="J111" s="28" t="str">
        <f t="shared" si="34"/>
        <v>＋</v>
      </c>
      <c r="K111" s="28">
        <f t="shared" si="34"/>
        <v>320</v>
      </c>
      <c r="L111" s="28">
        <f t="shared" si="34"/>
        <v>800</v>
      </c>
      <c r="M111" s="28" t="str">
        <f t="shared" si="34"/>
        <v>×加算率</v>
      </c>
      <c r="N111" s="28">
        <f t="shared" si="34"/>
        <v>290</v>
      </c>
      <c r="O111" s="28">
        <f t="shared" si="34"/>
        <v>770</v>
      </c>
      <c r="P111" s="28" t="str">
        <f t="shared" si="34"/>
        <v>×加算率</v>
      </c>
      <c r="Q111" s="28" t="str">
        <f t="shared" si="34"/>
        <v>＋</v>
      </c>
      <c r="R111" s="28">
        <f t="shared" si="34"/>
        <v>6880</v>
      </c>
      <c r="S111" s="28">
        <f t="shared" si="34"/>
        <v>60</v>
      </c>
      <c r="T111" s="28">
        <f t="shared" si="34"/>
        <v>0</v>
      </c>
      <c r="U111" s="28">
        <f t="shared" si="34"/>
        <v>0</v>
      </c>
      <c r="V111" s="28">
        <f t="shared" si="34"/>
        <v>0</v>
      </c>
      <c r="W111" s="28">
        <f t="shared" si="34"/>
        <v>0</v>
      </c>
      <c r="X111" s="28">
        <f t="shared" si="34"/>
        <v>0</v>
      </c>
      <c r="Y111" s="28">
        <f t="shared" si="34"/>
        <v>0</v>
      </c>
      <c r="Z111" s="28">
        <f t="shared" si="34"/>
        <v>0</v>
      </c>
      <c r="AA111" s="28">
        <f t="shared" si="34"/>
        <v>0</v>
      </c>
      <c r="AB111" s="28">
        <f t="shared" si="34"/>
        <v>0</v>
      </c>
      <c r="AC111" s="28">
        <f t="shared" si="34"/>
        <v>0</v>
      </c>
      <c r="AD111" s="28">
        <f t="shared" si="34"/>
        <v>0</v>
      </c>
      <c r="AE111" s="28">
        <f t="shared" si="34"/>
        <v>0</v>
      </c>
      <c r="AF111" s="28">
        <f t="shared" si="34"/>
        <v>0</v>
      </c>
      <c r="AG111" s="28">
        <f t="shared" si="34"/>
        <v>0</v>
      </c>
      <c r="AH111" s="28"/>
      <c r="AI111" s="28"/>
      <c r="AJ111" s="28">
        <f t="shared" si="34"/>
        <v>0</v>
      </c>
      <c r="AK111" s="28" t="str">
        <f t="shared" si="34"/>
        <v>ｂ地域</v>
      </c>
      <c r="AL111" s="28">
        <f t="shared" si="34"/>
        <v>2600</v>
      </c>
      <c r="AM111" s="28">
        <f t="shared" si="34"/>
        <v>2900</v>
      </c>
      <c r="AN111" s="28">
        <f t="shared" si="34"/>
        <v>0</v>
      </c>
      <c r="AO111" s="28"/>
      <c r="AP111" s="28"/>
      <c r="AQ111" s="28"/>
      <c r="AR111" s="28"/>
      <c r="AS111" s="28"/>
      <c r="AT111" s="28"/>
      <c r="AU111" s="28"/>
      <c r="AV111" s="28"/>
      <c r="AW111" s="28"/>
      <c r="AX111" s="28"/>
      <c r="AY111" s="28"/>
      <c r="AZ111" s="28"/>
      <c r="BA111" s="28"/>
      <c r="BB111" s="28"/>
      <c r="BC111" s="28"/>
      <c r="BD111" s="28"/>
      <c r="BE111" s="28"/>
      <c r="BF111" s="28"/>
    </row>
    <row r="113" spans="2:58">
      <c r="B113" s="28">
        <v>20</v>
      </c>
      <c r="D113" s="28" t="str">
        <f>D9</f>
        <v>１、２歳児</v>
      </c>
      <c r="E113" s="28">
        <f t="shared" ref="E113:AN113" si="35">E9</f>
        <v>0</v>
      </c>
      <c r="F113" s="28">
        <f t="shared" si="35"/>
        <v>174970</v>
      </c>
      <c r="G113" s="28">
        <f t="shared" si="35"/>
        <v>243800</v>
      </c>
      <c r="H113" s="28">
        <f t="shared" si="35"/>
        <v>151540</v>
      </c>
      <c r="I113" s="28">
        <f t="shared" si="35"/>
        <v>220370</v>
      </c>
      <c r="J113" s="28" t="str">
        <f t="shared" si="35"/>
        <v>＋</v>
      </c>
      <c r="K113" s="28">
        <f t="shared" si="35"/>
        <v>1640</v>
      </c>
      <c r="L113" s="28">
        <f t="shared" si="35"/>
        <v>2320</v>
      </c>
      <c r="M113" s="28" t="str">
        <f t="shared" si="35"/>
        <v>×加算率</v>
      </c>
      <c r="N113" s="28">
        <f t="shared" si="35"/>
        <v>1400</v>
      </c>
      <c r="O113" s="28">
        <f t="shared" si="35"/>
        <v>2080</v>
      </c>
      <c r="P113" s="28" t="str">
        <f t="shared" si="35"/>
        <v>×加算率</v>
      </c>
      <c r="Q113" s="28">
        <f t="shared" si="35"/>
        <v>0</v>
      </c>
      <c r="R113" s="28">
        <f t="shared" si="35"/>
        <v>0</v>
      </c>
      <c r="S113" s="28">
        <f t="shared" si="35"/>
        <v>0</v>
      </c>
      <c r="T113" s="28">
        <f t="shared" si="35"/>
        <v>0</v>
      </c>
      <c r="U113" s="28">
        <f t="shared" si="35"/>
        <v>0</v>
      </c>
      <c r="V113" s="28">
        <f t="shared" si="35"/>
        <v>0</v>
      </c>
      <c r="W113" s="28">
        <f t="shared" si="35"/>
        <v>0</v>
      </c>
      <c r="X113" s="28">
        <f t="shared" si="35"/>
        <v>0</v>
      </c>
      <c r="Y113" s="28">
        <f t="shared" si="35"/>
        <v>0</v>
      </c>
      <c r="Z113" s="28">
        <f t="shared" si="35"/>
        <v>0</v>
      </c>
      <c r="AA113" s="28">
        <f t="shared" si="35"/>
        <v>0</v>
      </c>
      <c r="AB113" s="28" t="str">
        <f t="shared" si="35"/>
        <v>＋</v>
      </c>
      <c r="AC113" s="28">
        <f t="shared" si="35"/>
        <v>28990</v>
      </c>
      <c r="AD113" s="28">
        <f t="shared" si="35"/>
        <v>0</v>
      </c>
      <c r="AE113" s="28">
        <f t="shared" si="35"/>
        <v>0</v>
      </c>
      <c r="AF113" s="28">
        <f t="shared" si="35"/>
        <v>0</v>
      </c>
      <c r="AG113" s="28">
        <f t="shared" si="35"/>
        <v>0</v>
      </c>
      <c r="AH113" s="28"/>
      <c r="AI113" s="28"/>
      <c r="AJ113" s="28">
        <f t="shared" si="35"/>
        <v>0</v>
      </c>
      <c r="AK113" s="28" t="str">
        <f t="shared" si="35"/>
        <v>ｃ地域</v>
      </c>
      <c r="AL113" s="28">
        <f t="shared" si="35"/>
        <v>7600</v>
      </c>
      <c r="AM113" s="28">
        <f t="shared" si="35"/>
        <v>8400</v>
      </c>
      <c r="AN113" s="28">
        <f t="shared" si="35"/>
        <v>0</v>
      </c>
      <c r="AO113" s="28"/>
      <c r="AP113" s="28"/>
      <c r="AQ113" s="28"/>
      <c r="AR113" s="28"/>
      <c r="AS113" s="28"/>
      <c r="AT113" s="28"/>
      <c r="AU113" s="28"/>
      <c r="AV113" s="28"/>
      <c r="AW113" s="28"/>
      <c r="AX113" s="28"/>
      <c r="AY113" s="28"/>
      <c r="AZ113" s="28"/>
      <c r="BA113" s="28"/>
      <c r="BB113" s="28"/>
      <c r="BC113" s="28"/>
      <c r="BD113" s="28"/>
      <c r="BE113" s="28"/>
      <c r="BF113" s="28"/>
    </row>
    <row r="114" spans="2:58">
      <c r="B114" s="28">
        <v>21</v>
      </c>
      <c r="D114" s="28" t="str">
        <f>D13</f>
        <v>１、２歳児</v>
      </c>
      <c r="E114" s="28">
        <f t="shared" ref="E114:AN114" si="36">E13</f>
        <v>0</v>
      </c>
      <c r="F114" s="28">
        <f t="shared" si="36"/>
        <v>143870</v>
      </c>
      <c r="G114" s="28">
        <f t="shared" si="36"/>
        <v>212700</v>
      </c>
      <c r="H114" s="28">
        <f t="shared" si="36"/>
        <v>128250</v>
      </c>
      <c r="I114" s="28">
        <f t="shared" si="36"/>
        <v>197080</v>
      </c>
      <c r="J114" s="28" t="str">
        <f t="shared" si="36"/>
        <v>＋</v>
      </c>
      <c r="K114" s="28">
        <f t="shared" si="36"/>
        <v>1320</v>
      </c>
      <c r="L114" s="28">
        <f t="shared" si="36"/>
        <v>2000</v>
      </c>
      <c r="M114" s="28" t="str">
        <f t="shared" si="36"/>
        <v>×加算率</v>
      </c>
      <c r="N114" s="28">
        <f t="shared" si="36"/>
        <v>1170</v>
      </c>
      <c r="O114" s="28">
        <f t="shared" si="36"/>
        <v>1850</v>
      </c>
      <c r="P114" s="28" t="str">
        <f t="shared" si="36"/>
        <v>×加算率</v>
      </c>
      <c r="Q114" s="28">
        <f t="shared" si="36"/>
        <v>0</v>
      </c>
      <c r="R114" s="28">
        <f t="shared" si="36"/>
        <v>0</v>
      </c>
      <c r="S114" s="28">
        <f t="shared" si="36"/>
        <v>0</v>
      </c>
      <c r="T114" s="28">
        <f t="shared" si="36"/>
        <v>0</v>
      </c>
      <c r="U114" s="28">
        <f t="shared" si="36"/>
        <v>0</v>
      </c>
      <c r="V114" s="28">
        <f t="shared" si="36"/>
        <v>0</v>
      </c>
      <c r="W114" s="28">
        <f t="shared" si="36"/>
        <v>0</v>
      </c>
      <c r="X114" s="28">
        <f t="shared" si="36"/>
        <v>0</v>
      </c>
      <c r="Y114" s="28">
        <f t="shared" si="36"/>
        <v>0</v>
      </c>
      <c r="Z114" s="28">
        <f t="shared" si="36"/>
        <v>0</v>
      </c>
      <c r="AA114" s="28">
        <f t="shared" si="36"/>
        <v>0</v>
      </c>
      <c r="AB114" s="28" t="str">
        <f t="shared" si="36"/>
        <v>＋</v>
      </c>
      <c r="AC114" s="28">
        <f t="shared" si="36"/>
        <v>21090</v>
      </c>
      <c r="AD114" s="28">
        <f t="shared" si="36"/>
        <v>0</v>
      </c>
      <c r="AE114" s="28">
        <f t="shared" si="36"/>
        <v>0</v>
      </c>
      <c r="AF114" s="28">
        <f t="shared" si="36"/>
        <v>0</v>
      </c>
      <c r="AG114" s="28">
        <f t="shared" si="36"/>
        <v>0</v>
      </c>
      <c r="AH114" s="28"/>
      <c r="AI114" s="28"/>
      <c r="AJ114" s="28">
        <f t="shared" si="36"/>
        <v>0</v>
      </c>
      <c r="AK114" s="28" t="str">
        <f t="shared" si="36"/>
        <v>ｃ地域</v>
      </c>
      <c r="AL114" s="28">
        <f t="shared" si="36"/>
        <v>5200</v>
      </c>
      <c r="AM114" s="28">
        <f t="shared" si="36"/>
        <v>5800</v>
      </c>
      <c r="AN114" s="28">
        <f t="shared" si="36"/>
        <v>0</v>
      </c>
      <c r="AO114" s="28"/>
      <c r="AP114" s="28"/>
      <c r="AQ114" s="28"/>
      <c r="AR114" s="28"/>
      <c r="AS114" s="28"/>
      <c r="AT114" s="28"/>
      <c r="AU114" s="28"/>
      <c r="AV114" s="28"/>
      <c r="AW114" s="28"/>
      <c r="AX114" s="28"/>
      <c r="AY114" s="28"/>
      <c r="AZ114" s="28"/>
      <c r="BA114" s="28"/>
      <c r="BB114" s="28"/>
      <c r="BC114" s="28"/>
      <c r="BD114" s="28"/>
      <c r="BE114" s="28"/>
      <c r="BF114" s="28"/>
    </row>
    <row r="115" spans="2:58">
      <c r="B115" s="28">
        <v>31</v>
      </c>
      <c r="D115" s="28" t="str">
        <f>D17</f>
        <v>１、２歳児</v>
      </c>
      <c r="E115" s="28">
        <f t="shared" ref="E115:AN115" si="37">E17</f>
        <v>0</v>
      </c>
      <c r="F115" s="28">
        <f t="shared" si="37"/>
        <v>128450</v>
      </c>
      <c r="G115" s="28">
        <f t="shared" si="37"/>
        <v>197280</v>
      </c>
      <c r="H115" s="28">
        <f t="shared" si="37"/>
        <v>116740</v>
      </c>
      <c r="I115" s="28">
        <f t="shared" si="37"/>
        <v>185570</v>
      </c>
      <c r="J115" s="28" t="str">
        <f t="shared" si="37"/>
        <v>＋</v>
      </c>
      <c r="K115" s="28">
        <f t="shared" si="37"/>
        <v>1170</v>
      </c>
      <c r="L115" s="28">
        <f t="shared" si="37"/>
        <v>1850</v>
      </c>
      <c r="M115" s="28" t="str">
        <f t="shared" si="37"/>
        <v>×加算率</v>
      </c>
      <c r="N115" s="28">
        <f t="shared" si="37"/>
        <v>1050</v>
      </c>
      <c r="O115" s="28">
        <f t="shared" si="37"/>
        <v>1730</v>
      </c>
      <c r="P115" s="28" t="str">
        <f t="shared" si="37"/>
        <v>×加算率</v>
      </c>
      <c r="Q115" s="28">
        <f t="shared" si="37"/>
        <v>0</v>
      </c>
      <c r="R115" s="28">
        <f t="shared" si="37"/>
        <v>0</v>
      </c>
      <c r="S115" s="28">
        <f t="shared" si="37"/>
        <v>0</v>
      </c>
      <c r="T115" s="28">
        <f t="shared" si="37"/>
        <v>0</v>
      </c>
      <c r="U115" s="28">
        <f t="shared" si="37"/>
        <v>0</v>
      </c>
      <c r="V115" s="28">
        <f t="shared" si="37"/>
        <v>0</v>
      </c>
      <c r="W115" s="28">
        <f t="shared" si="37"/>
        <v>0</v>
      </c>
      <c r="X115" s="28">
        <f t="shared" si="37"/>
        <v>0</v>
      </c>
      <c r="Y115" s="28">
        <f t="shared" si="37"/>
        <v>0</v>
      </c>
      <c r="Z115" s="28">
        <f t="shared" si="37"/>
        <v>0</v>
      </c>
      <c r="AA115" s="28">
        <f t="shared" si="37"/>
        <v>0</v>
      </c>
      <c r="AB115" s="28" t="str">
        <f t="shared" si="37"/>
        <v>＋</v>
      </c>
      <c r="AC115" s="28">
        <f t="shared" si="37"/>
        <v>17140</v>
      </c>
      <c r="AD115" s="28">
        <f t="shared" si="37"/>
        <v>0</v>
      </c>
      <c r="AE115" s="28">
        <f t="shared" si="37"/>
        <v>0</v>
      </c>
      <c r="AF115" s="28">
        <f t="shared" si="37"/>
        <v>0</v>
      </c>
      <c r="AG115" s="28">
        <f t="shared" si="37"/>
        <v>0</v>
      </c>
      <c r="AH115" s="28"/>
      <c r="AI115" s="28"/>
      <c r="AJ115" s="28">
        <f t="shared" si="37"/>
        <v>0</v>
      </c>
      <c r="AK115" s="28" t="str">
        <f t="shared" si="37"/>
        <v>ｃ地域</v>
      </c>
      <c r="AL115" s="28">
        <f t="shared" si="37"/>
        <v>4700</v>
      </c>
      <c r="AM115" s="28">
        <f t="shared" si="37"/>
        <v>5200</v>
      </c>
      <c r="AN115" s="28">
        <f t="shared" si="37"/>
        <v>0</v>
      </c>
      <c r="AO115" s="28"/>
      <c r="AP115" s="28"/>
      <c r="AQ115" s="28"/>
      <c r="AR115" s="28"/>
      <c r="AS115" s="28"/>
      <c r="AT115" s="28"/>
      <c r="AU115" s="28"/>
      <c r="AV115" s="28"/>
      <c r="AW115" s="28"/>
      <c r="AX115" s="28"/>
      <c r="AY115" s="28"/>
      <c r="AZ115" s="28"/>
      <c r="BA115" s="28"/>
      <c r="BB115" s="28"/>
      <c r="BC115" s="28"/>
      <c r="BD115" s="28"/>
      <c r="BE115" s="28"/>
      <c r="BF115" s="28"/>
    </row>
    <row r="116" spans="2:58">
      <c r="B116" s="28">
        <v>41</v>
      </c>
      <c r="D116" s="28" t="str">
        <f>D21</f>
        <v>１、２歳児</v>
      </c>
      <c r="E116" s="28">
        <f t="shared" ref="E116:AN116" si="38">E21</f>
        <v>0</v>
      </c>
      <c r="F116" s="28">
        <f t="shared" si="38"/>
        <v>124300</v>
      </c>
      <c r="G116" s="28">
        <f t="shared" si="38"/>
        <v>193130</v>
      </c>
      <c r="H116" s="28">
        <f t="shared" si="38"/>
        <v>114930</v>
      </c>
      <c r="I116" s="28">
        <f t="shared" si="38"/>
        <v>183760</v>
      </c>
      <c r="J116" s="28" t="str">
        <f t="shared" si="38"/>
        <v>＋</v>
      </c>
      <c r="K116" s="28">
        <f t="shared" si="38"/>
        <v>1130</v>
      </c>
      <c r="L116" s="28">
        <f t="shared" si="38"/>
        <v>1810</v>
      </c>
      <c r="M116" s="28" t="str">
        <f t="shared" si="38"/>
        <v>×加算率</v>
      </c>
      <c r="N116" s="28">
        <f t="shared" si="38"/>
        <v>1040</v>
      </c>
      <c r="O116" s="28">
        <f t="shared" si="38"/>
        <v>1720</v>
      </c>
      <c r="P116" s="28" t="str">
        <f t="shared" si="38"/>
        <v>×加算率</v>
      </c>
      <c r="Q116" s="28">
        <f t="shared" si="38"/>
        <v>0</v>
      </c>
      <c r="R116" s="28">
        <f t="shared" si="38"/>
        <v>0</v>
      </c>
      <c r="S116" s="28">
        <f t="shared" si="38"/>
        <v>0</v>
      </c>
      <c r="T116" s="28">
        <f t="shared" si="38"/>
        <v>0</v>
      </c>
      <c r="U116" s="28">
        <f t="shared" si="38"/>
        <v>0</v>
      </c>
      <c r="V116" s="28">
        <f t="shared" si="38"/>
        <v>0</v>
      </c>
      <c r="W116" s="28">
        <f t="shared" si="38"/>
        <v>0</v>
      </c>
      <c r="X116" s="28">
        <f t="shared" si="38"/>
        <v>0</v>
      </c>
      <c r="Y116" s="28">
        <f t="shared" si="38"/>
        <v>0</v>
      </c>
      <c r="Z116" s="28">
        <f t="shared" si="38"/>
        <v>0</v>
      </c>
      <c r="AA116" s="28">
        <f t="shared" si="38"/>
        <v>0</v>
      </c>
      <c r="AB116" s="28" t="str">
        <f t="shared" si="38"/>
        <v>＋</v>
      </c>
      <c r="AC116" s="28">
        <f t="shared" si="38"/>
        <v>14770</v>
      </c>
      <c r="AD116" s="28">
        <f t="shared" si="38"/>
        <v>0</v>
      </c>
      <c r="AE116" s="28">
        <f t="shared" si="38"/>
        <v>0</v>
      </c>
      <c r="AF116" s="28">
        <f t="shared" si="38"/>
        <v>0</v>
      </c>
      <c r="AG116" s="28">
        <f t="shared" si="38"/>
        <v>0</v>
      </c>
      <c r="AH116" s="28"/>
      <c r="AI116" s="28"/>
      <c r="AJ116" s="28">
        <f t="shared" si="38"/>
        <v>0</v>
      </c>
      <c r="AK116" s="28" t="str">
        <f t="shared" si="38"/>
        <v>ｃ地域</v>
      </c>
      <c r="AL116" s="28">
        <f t="shared" si="38"/>
        <v>4200</v>
      </c>
      <c r="AM116" s="28">
        <f t="shared" si="38"/>
        <v>4700</v>
      </c>
      <c r="AN116" s="28">
        <f t="shared" si="38"/>
        <v>0</v>
      </c>
      <c r="AO116" s="28"/>
      <c r="AP116" s="28"/>
      <c r="AQ116" s="28"/>
      <c r="AR116" s="28"/>
      <c r="AS116" s="28"/>
      <c r="AT116" s="28"/>
      <c r="AU116" s="28"/>
      <c r="AV116" s="28"/>
      <c r="AW116" s="28"/>
      <c r="AX116" s="28"/>
      <c r="AY116" s="28"/>
      <c r="AZ116" s="28"/>
      <c r="BA116" s="28"/>
      <c r="BB116" s="28"/>
      <c r="BC116" s="28"/>
      <c r="BD116" s="28"/>
      <c r="BE116" s="28"/>
      <c r="BF116" s="28"/>
    </row>
    <row r="117" spans="2:58">
      <c r="B117" s="28">
        <v>51</v>
      </c>
      <c r="D117" s="28" t="str">
        <f>D25</f>
        <v>１、２歳児</v>
      </c>
      <c r="E117" s="28">
        <f t="shared" ref="E117:AN117" si="39">E25</f>
        <v>0</v>
      </c>
      <c r="F117" s="28">
        <f t="shared" si="39"/>
        <v>116770</v>
      </c>
      <c r="G117" s="28">
        <f t="shared" si="39"/>
        <v>185600</v>
      </c>
      <c r="H117" s="28">
        <f t="shared" si="39"/>
        <v>108960</v>
      </c>
      <c r="I117" s="28">
        <f t="shared" si="39"/>
        <v>177790</v>
      </c>
      <c r="J117" s="28" t="str">
        <f t="shared" si="39"/>
        <v>＋</v>
      </c>
      <c r="K117" s="28">
        <f t="shared" si="39"/>
        <v>1050</v>
      </c>
      <c r="L117" s="28">
        <f t="shared" si="39"/>
        <v>1730</v>
      </c>
      <c r="M117" s="28" t="str">
        <f t="shared" si="39"/>
        <v>×加算率</v>
      </c>
      <c r="N117" s="28">
        <f t="shared" si="39"/>
        <v>980</v>
      </c>
      <c r="O117" s="28">
        <f t="shared" si="39"/>
        <v>1660</v>
      </c>
      <c r="P117" s="28" t="str">
        <f t="shared" si="39"/>
        <v>×加算率</v>
      </c>
      <c r="Q117" s="28">
        <f t="shared" si="39"/>
        <v>0</v>
      </c>
      <c r="R117" s="28">
        <f t="shared" si="39"/>
        <v>0</v>
      </c>
      <c r="S117" s="28">
        <f t="shared" si="39"/>
        <v>0</v>
      </c>
      <c r="T117" s="28">
        <f t="shared" si="39"/>
        <v>0</v>
      </c>
      <c r="U117" s="28">
        <f t="shared" si="39"/>
        <v>0</v>
      </c>
      <c r="V117" s="28" t="str">
        <f t="shared" si="39"/>
        <v>　 211人～　279人</v>
      </c>
      <c r="W117" s="28">
        <f t="shared" si="39"/>
        <v>0</v>
      </c>
      <c r="X117" s="28" t="str">
        <f t="shared" si="39"/>
        <v>　 211人～　279人</v>
      </c>
      <c r="Y117" s="28">
        <f t="shared" si="39"/>
        <v>0</v>
      </c>
      <c r="Z117" s="28">
        <f t="shared" si="39"/>
        <v>0</v>
      </c>
      <c r="AA117" s="28">
        <f t="shared" si="39"/>
        <v>0</v>
      </c>
      <c r="AB117" s="28" t="str">
        <f t="shared" si="39"/>
        <v>＋</v>
      </c>
      <c r="AC117" s="28">
        <f t="shared" si="39"/>
        <v>13190</v>
      </c>
      <c r="AD117" s="28">
        <f t="shared" si="39"/>
        <v>0</v>
      </c>
      <c r="AE117" s="28">
        <f t="shared" si="39"/>
        <v>0</v>
      </c>
      <c r="AF117" s="28">
        <f t="shared" si="39"/>
        <v>0</v>
      </c>
      <c r="AG117" s="28">
        <f t="shared" si="39"/>
        <v>0</v>
      </c>
      <c r="AH117" s="28"/>
      <c r="AI117" s="28"/>
      <c r="AJ117" s="28">
        <f t="shared" si="39"/>
        <v>0</v>
      </c>
      <c r="AK117" s="28" t="str">
        <f t="shared" si="39"/>
        <v>ｃ地域</v>
      </c>
      <c r="AL117" s="28">
        <f t="shared" si="39"/>
        <v>3500</v>
      </c>
      <c r="AM117" s="28">
        <f t="shared" si="39"/>
        <v>3800</v>
      </c>
      <c r="AN117" s="28">
        <f t="shared" si="39"/>
        <v>0</v>
      </c>
      <c r="AO117" s="28"/>
      <c r="AP117" s="28"/>
      <c r="AQ117" s="28"/>
      <c r="AR117" s="28"/>
      <c r="AS117" s="28"/>
      <c r="AT117" s="28"/>
      <c r="AU117" s="28"/>
      <c r="AV117" s="28"/>
      <c r="AW117" s="28"/>
      <c r="AX117" s="28"/>
      <c r="AY117" s="28"/>
      <c r="AZ117" s="28"/>
      <c r="BA117" s="28"/>
      <c r="BB117" s="28"/>
      <c r="BC117" s="28"/>
      <c r="BD117" s="28"/>
      <c r="BE117" s="28"/>
      <c r="BF117" s="28"/>
    </row>
    <row r="118" spans="2:58">
      <c r="B118" s="28">
        <v>61</v>
      </c>
      <c r="D118" s="28" t="str">
        <f>D29</f>
        <v>１、２歳児</v>
      </c>
      <c r="E118" s="28">
        <f t="shared" ref="E118:AN118" si="40">E29</f>
        <v>0</v>
      </c>
      <c r="F118" s="28">
        <f t="shared" si="40"/>
        <v>111470</v>
      </c>
      <c r="G118" s="28">
        <f t="shared" si="40"/>
        <v>180300</v>
      </c>
      <c r="H118" s="28">
        <f t="shared" si="40"/>
        <v>104780</v>
      </c>
      <c r="I118" s="28">
        <f t="shared" si="40"/>
        <v>173610</v>
      </c>
      <c r="J118" s="28" t="str">
        <f t="shared" si="40"/>
        <v>＋</v>
      </c>
      <c r="K118" s="28">
        <f t="shared" si="40"/>
        <v>1000</v>
      </c>
      <c r="L118" s="28">
        <f t="shared" si="40"/>
        <v>1680</v>
      </c>
      <c r="M118" s="28" t="str">
        <f t="shared" si="40"/>
        <v>×加算率</v>
      </c>
      <c r="N118" s="28">
        <f t="shared" si="40"/>
        <v>930</v>
      </c>
      <c r="O118" s="28">
        <f t="shared" si="40"/>
        <v>1610</v>
      </c>
      <c r="P118" s="28" t="str">
        <f t="shared" si="40"/>
        <v>×加算率</v>
      </c>
      <c r="Q118" s="28">
        <f t="shared" si="40"/>
        <v>0</v>
      </c>
      <c r="R118" s="28">
        <f t="shared" si="40"/>
        <v>0</v>
      </c>
      <c r="S118" s="28">
        <f t="shared" si="40"/>
        <v>0</v>
      </c>
      <c r="T118" s="28">
        <f t="shared" si="40"/>
        <v>0</v>
      </c>
      <c r="U118" s="28">
        <f t="shared" si="40"/>
        <v>0</v>
      </c>
      <c r="V118" s="28">
        <f t="shared" si="40"/>
        <v>291300</v>
      </c>
      <c r="W118" s="28">
        <f t="shared" si="40"/>
        <v>0</v>
      </c>
      <c r="X118" s="28">
        <f t="shared" si="40"/>
        <v>2910</v>
      </c>
      <c r="Y118" s="28">
        <f t="shared" si="40"/>
        <v>0</v>
      </c>
      <c r="Z118" s="28">
        <f t="shared" si="40"/>
        <v>0</v>
      </c>
      <c r="AA118" s="28">
        <f t="shared" si="40"/>
        <v>0</v>
      </c>
      <c r="AB118" s="28" t="str">
        <f t="shared" si="40"/>
        <v>＋</v>
      </c>
      <c r="AC118" s="28">
        <f t="shared" si="40"/>
        <v>12060</v>
      </c>
      <c r="AD118" s="28">
        <f t="shared" si="40"/>
        <v>0</v>
      </c>
      <c r="AE118" s="28">
        <f t="shared" si="40"/>
        <v>0</v>
      </c>
      <c r="AF118" s="28">
        <f t="shared" si="40"/>
        <v>0</v>
      </c>
      <c r="AG118" s="28">
        <f t="shared" si="40"/>
        <v>0</v>
      </c>
      <c r="AH118" s="28"/>
      <c r="AI118" s="28"/>
      <c r="AJ118" s="28">
        <f t="shared" si="40"/>
        <v>0</v>
      </c>
      <c r="AK118" s="28" t="str">
        <f t="shared" si="40"/>
        <v>ｃ地域</v>
      </c>
      <c r="AL118" s="28">
        <f t="shared" si="40"/>
        <v>3000</v>
      </c>
      <c r="AM118" s="28">
        <f t="shared" si="40"/>
        <v>3400</v>
      </c>
      <c r="AN118" s="28">
        <f t="shared" si="40"/>
        <v>0</v>
      </c>
      <c r="AO118" s="28"/>
      <c r="AP118" s="28"/>
      <c r="AQ118" s="28"/>
      <c r="AR118" s="28"/>
      <c r="AS118" s="28"/>
      <c r="AT118" s="28"/>
      <c r="AU118" s="28"/>
      <c r="AV118" s="28"/>
      <c r="AW118" s="28"/>
      <c r="AX118" s="28"/>
      <c r="AY118" s="28"/>
      <c r="AZ118" s="28"/>
      <c r="BA118" s="28"/>
      <c r="BB118" s="28"/>
      <c r="BC118" s="28"/>
      <c r="BD118" s="28"/>
      <c r="BE118" s="28"/>
      <c r="BF118" s="28"/>
    </row>
    <row r="119" spans="2:58">
      <c r="B119" s="28">
        <v>71</v>
      </c>
      <c r="D119" s="28" t="str">
        <f>D33</f>
        <v>１、２歳児</v>
      </c>
      <c r="E119" s="28">
        <f t="shared" ref="E119:AN119" si="41">E33</f>
        <v>0</v>
      </c>
      <c r="F119" s="28">
        <f t="shared" si="41"/>
        <v>107550</v>
      </c>
      <c r="G119" s="28">
        <f t="shared" si="41"/>
        <v>176380</v>
      </c>
      <c r="H119" s="28">
        <f t="shared" si="41"/>
        <v>101690</v>
      </c>
      <c r="I119" s="28">
        <f t="shared" si="41"/>
        <v>170520</v>
      </c>
      <c r="J119" s="28" t="str">
        <f t="shared" si="41"/>
        <v>＋</v>
      </c>
      <c r="K119" s="28">
        <f t="shared" si="41"/>
        <v>960</v>
      </c>
      <c r="L119" s="28">
        <f t="shared" si="41"/>
        <v>1640</v>
      </c>
      <c r="M119" s="28" t="str">
        <f t="shared" si="41"/>
        <v>×加算率</v>
      </c>
      <c r="N119" s="28">
        <f t="shared" si="41"/>
        <v>900</v>
      </c>
      <c r="O119" s="28">
        <f t="shared" si="41"/>
        <v>1580</v>
      </c>
      <c r="P119" s="28" t="str">
        <f t="shared" si="41"/>
        <v>×加算率</v>
      </c>
      <c r="Q119" s="28">
        <f t="shared" si="41"/>
        <v>0</v>
      </c>
      <c r="R119" s="28">
        <f t="shared" si="41"/>
        <v>0</v>
      </c>
      <c r="S119" s="28">
        <f t="shared" si="41"/>
        <v>0</v>
      </c>
      <c r="T119" s="28">
        <f t="shared" si="41"/>
        <v>0</v>
      </c>
      <c r="U119" s="28">
        <f t="shared" si="41"/>
        <v>0</v>
      </c>
      <c r="V119" s="28">
        <f t="shared" si="41"/>
        <v>0</v>
      </c>
      <c r="W119" s="28">
        <f t="shared" si="41"/>
        <v>0</v>
      </c>
      <c r="X119" s="28">
        <f t="shared" si="41"/>
        <v>0</v>
      </c>
      <c r="Y119" s="28">
        <f t="shared" si="41"/>
        <v>0</v>
      </c>
      <c r="Z119" s="28">
        <f t="shared" si="41"/>
        <v>0</v>
      </c>
      <c r="AA119" s="28">
        <f t="shared" si="41"/>
        <v>0</v>
      </c>
      <c r="AB119" s="28" t="str">
        <f t="shared" si="41"/>
        <v>＋</v>
      </c>
      <c r="AC119" s="28">
        <f t="shared" si="41"/>
        <v>11220</v>
      </c>
      <c r="AD119" s="28">
        <f t="shared" si="41"/>
        <v>0</v>
      </c>
      <c r="AE119" s="28">
        <f t="shared" si="41"/>
        <v>0</v>
      </c>
      <c r="AF119" s="28">
        <f t="shared" si="41"/>
        <v>0</v>
      </c>
      <c r="AG119" s="28">
        <f t="shared" si="41"/>
        <v>0</v>
      </c>
      <c r="AH119" s="28"/>
      <c r="AI119" s="28"/>
      <c r="AJ119" s="28">
        <f t="shared" si="41"/>
        <v>0</v>
      </c>
      <c r="AK119" s="28" t="str">
        <f t="shared" si="41"/>
        <v>ｃ地域</v>
      </c>
      <c r="AL119" s="28">
        <f t="shared" si="41"/>
        <v>3400</v>
      </c>
      <c r="AM119" s="28">
        <f t="shared" si="41"/>
        <v>3800</v>
      </c>
      <c r="AN119" s="28">
        <f t="shared" si="41"/>
        <v>0</v>
      </c>
      <c r="AO119" s="28"/>
      <c r="AP119" s="28"/>
      <c r="AQ119" s="28"/>
      <c r="AR119" s="28"/>
      <c r="AS119" s="28"/>
      <c r="AT119" s="28"/>
      <c r="AU119" s="28"/>
      <c r="AV119" s="28"/>
      <c r="AW119" s="28"/>
      <c r="AX119" s="28"/>
      <c r="AY119" s="28"/>
      <c r="AZ119" s="28"/>
      <c r="BA119" s="28"/>
      <c r="BB119" s="28"/>
      <c r="BC119" s="28"/>
      <c r="BD119" s="28"/>
      <c r="BE119" s="28"/>
      <c r="BF119" s="28"/>
    </row>
    <row r="120" spans="2:58">
      <c r="B120" s="28">
        <v>81</v>
      </c>
      <c r="D120" s="28" t="str">
        <f>D37</f>
        <v>１、２歳児</v>
      </c>
      <c r="E120" s="28">
        <f t="shared" ref="E120:AN120" si="42">E37</f>
        <v>0</v>
      </c>
      <c r="F120" s="28">
        <f t="shared" si="42"/>
        <v>104450</v>
      </c>
      <c r="G120" s="28">
        <f t="shared" si="42"/>
        <v>173280</v>
      </c>
      <c r="H120" s="28">
        <f t="shared" si="42"/>
        <v>99240</v>
      </c>
      <c r="I120" s="28">
        <f t="shared" si="42"/>
        <v>168070</v>
      </c>
      <c r="J120" s="28" t="str">
        <f t="shared" si="42"/>
        <v>＋</v>
      </c>
      <c r="K120" s="28">
        <f t="shared" si="42"/>
        <v>930</v>
      </c>
      <c r="L120" s="28">
        <f t="shared" si="42"/>
        <v>1610</v>
      </c>
      <c r="M120" s="28" t="str">
        <f t="shared" si="42"/>
        <v>×加算率</v>
      </c>
      <c r="N120" s="28">
        <f t="shared" si="42"/>
        <v>880</v>
      </c>
      <c r="O120" s="28">
        <f t="shared" si="42"/>
        <v>1560</v>
      </c>
      <c r="P120" s="28" t="str">
        <f t="shared" si="42"/>
        <v>×加算率</v>
      </c>
      <c r="Q120" s="28">
        <f t="shared" si="42"/>
        <v>0</v>
      </c>
      <c r="R120" s="28">
        <f t="shared" si="42"/>
        <v>0</v>
      </c>
      <c r="S120" s="28">
        <f t="shared" si="42"/>
        <v>0</v>
      </c>
      <c r="T120" s="28">
        <f t="shared" si="42"/>
        <v>0</v>
      </c>
      <c r="U120" s="28">
        <f t="shared" si="42"/>
        <v>0</v>
      </c>
      <c r="V120" s="28" t="str">
        <f t="shared" si="42"/>
        <v xml:space="preserve"> 　490人～　559人</v>
      </c>
      <c r="W120" s="28">
        <f t="shared" si="42"/>
        <v>0</v>
      </c>
      <c r="X120" s="28" t="str">
        <f t="shared" si="42"/>
        <v xml:space="preserve"> 　490人～　559人</v>
      </c>
      <c r="Y120" s="28">
        <f t="shared" si="42"/>
        <v>0</v>
      </c>
      <c r="Z120" s="28">
        <f t="shared" si="42"/>
        <v>0</v>
      </c>
      <c r="AA120" s="28">
        <f t="shared" si="42"/>
        <v>0</v>
      </c>
      <c r="AB120" s="28" t="str">
        <f t="shared" si="42"/>
        <v>＋</v>
      </c>
      <c r="AC120" s="28">
        <f t="shared" si="42"/>
        <v>10560</v>
      </c>
      <c r="AD120" s="28">
        <f t="shared" si="42"/>
        <v>0</v>
      </c>
      <c r="AE120" s="28">
        <f t="shared" si="42"/>
        <v>0</v>
      </c>
      <c r="AF120" s="28">
        <f t="shared" si="42"/>
        <v>0</v>
      </c>
      <c r="AG120" s="28">
        <f t="shared" si="42"/>
        <v>0</v>
      </c>
      <c r="AH120" s="28"/>
      <c r="AI120" s="28"/>
      <c r="AJ120" s="28">
        <f t="shared" si="42"/>
        <v>0</v>
      </c>
      <c r="AK120" s="28" t="str">
        <f t="shared" si="42"/>
        <v>ｃ地域</v>
      </c>
      <c r="AL120" s="28">
        <f t="shared" si="42"/>
        <v>3000</v>
      </c>
      <c r="AM120" s="28">
        <f t="shared" si="42"/>
        <v>3400</v>
      </c>
      <c r="AN120" s="28">
        <f t="shared" si="42"/>
        <v>0</v>
      </c>
      <c r="AO120" s="28"/>
      <c r="AP120" s="28"/>
      <c r="AQ120" s="28"/>
      <c r="AR120" s="28"/>
      <c r="AS120" s="28"/>
      <c r="AT120" s="28"/>
      <c r="AU120" s="28"/>
      <c r="AV120" s="28"/>
      <c r="AW120" s="28"/>
      <c r="AX120" s="28"/>
      <c r="AY120" s="28"/>
      <c r="AZ120" s="28"/>
      <c r="BA120" s="28"/>
      <c r="BB120" s="28"/>
      <c r="BC120" s="28"/>
      <c r="BD120" s="28"/>
      <c r="BE120" s="28"/>
      <c r="BF120" s="28"/>
    </row>
    <row r="121" spans="2:58">
      <c r="B121" s="28">
        <v>91</v>
      </c>
      <c r="D121" s="28" t="str">
        <f>D41</f>
        <v>１、２歳児</v>
      </c>
      <c r="E121" s="28">
        <f t="shared" ref="E121:AN121" si="43">E41</f>
        <v>0</v>
      </c>
      <c r="F121" s="28">
        <f t="shared" si="43"/>
        <v>99020</v>
      </c>
      <c r="G121" s="28">
        <f t="shared" si="43"/>
        <v>167850</v>
      </c>
      <c r="H121" s="28">
        <f t="shared" si="43"/>
        <v>94340</v>
      </c>
      <c r="I121" s="28">
        <f t="shared" si="43"/>
        <v>163170</v>
      </c>
      <c r="J121" s="28" t="str">
        <f t="shared" si="43"/>
        <v>＋</v>
      </c>
      <c r="K121" s="28">
        <f t="shared" si="43"/>
        <v>880</v>
      </c>
      <c r="L121" s="28">
        <f t="shared" si="43"/>
        <v>1560</v>
      </c>
      <c r="M121" s="28" t="str">
        <f t="shared" si="43"/>
        <v>×加算率</v>
      </c>
      <c r="N121" s="28">
        <f t="shared" si="43"/>
        <v>830</v>
      </c>
      <c r="O121" s="28">
        <f t="shared" si="43"/>
        <v>1510</v>
      </c>
      <c r="P121" s="28" t="str">
        <f t="shared" si="43"/>
        <v>×加算率</v>
      </c>
      <c r="Q121" s="28">
        <f t="shared" si="43"/>
        <v>0</v>
      </c>
      <c r="R121" s="28">
        <f t="shared" si="43"/>
        <v>0</v>
      </c>
      <c r="S121" s="28">
        <f t="shared" si="43"/>
        <v>0</v>
      </c>
      <c r="T121" s="28">
        <f t="shared" si="43"/>
        <v>0</v>
      </c>
      <c r="U121" s="28">
        <f t="shared" si="43"/>
        <v>0</v>
      </c>
      <c r="V121" s="28">
        <f t="shared" si="43"/>
        <v>426600</v>
      </c>
      <c r="W121" s="28">
        <f t="shared" si="43"/>
        <v>0</v>
      </c>
      <c r="X121" s="28">
        <f t="shared" si="43"/>
        <v>4260</v>
      </c>
      <c r="Y121" s="28">
        <f t="shared" si="43"/>
        <v>0</v>
      </c>
      <c r="Z121" s="28">
        <f t="shared" si="43"/>
        <v>0</v>
      </c>
      <c r="AA121" s="28" t="str">
        <f t="shared" si="43"/>
        <v>利用子ども数</v>
      </c>
      <c r="AB121" s="28">
        <f t="shared" si="43"/>
        <v>0</v>
      </c>
      <c r="AC121" s="28">
        <f t="shared" si="43"/>
        <v>0</v>
      </c>
      <c r="AD121" s="28">
        <f t="shared" si="43"/>
        <v>0</v>
      </c>
      <c r="AE121" s="28">
        <f t="shared" si="43"/>
        <v>0</v>
      </c>
      <c r="AF121" s="28">
        <f t="shared" si="43"/>
        <v>0</v>
      </c>
      <c r="AG121" s="28">
        <f t="shared" si="43"/>
        <v>0</v>
      </c>
      <c r="AH121" s="28"/>
      <c r="AI121" s="28"/>
      <c r="AJ121" s="28">
        <f t="shared" si="43"/>
        <v>0</v>
      </c>
      <c r="AK121" s="28" t="str">
        <f t="shared" si="43"/>
        <v>ｃ地域</v>
      </c>
      <c r="AL121" s="28">
        <f t="shared" si="43"/>
        <v>2600</v>
      </c>
      <c r="AM121" s="28">
        <f t="shared" si="43"/>
        <v>2900</v>
      </c>
      <c r="AN121" s="28">
        <f t="shared" si="43"/>
        <v>0</v>
      </c>
      <c r="AO121" s="28"/>
      <c r="AP121" s="28"/>
      <c r="AQ121" s="28"/>
      <c r="AR121" s="28"/>
      <c r="AS121" s="28"/>
      <c r="AT121" s="28"/>
      <c r="AU121" s="28"/>
      <c r="AV121" s="28"/>
      <c r="AW121" s="28"/>
      <c r="AX121" s="28"/>
      <c r="AY121" s="28"/>
      <c r="AZ121" s="28"/>
      <c r="BA121" s="28"/>
      <c r="BB121" s="28"/>
      <c r="BC121" s="28"/>
      <c r="BD121" s="28"/>
      <c r="BE121" s="28"/>
      <c r="BF121" s="28"/>
    </row>
    <row r="122" spans="2:58">
      <c r="B122" s="28">
        <v>101</v>
      </c>
      <c r="D122" s="28" t="str">
        <f>D45</f>
        <v>１、２歳児</v>
      </c>
      <c r="E122" s="28">
        <f t="shared" ref="E122:AN122" si="44">E45</f>
        <v>0</v>
      </c>
      <c r="F122" s="28">
        <f t="shared" si="44"/>
        <v>97300</v>
      </c>
      <c r="G122" s="28">
        <f t="shared" si="44"/>
        <v>166130</v>
      </c>
      <c r="H122" s="28">
        <f t="shared" si="44"/>
        <v>93040</v>
      </c>
      <c r="I122" s="28">
        <f t="shared" si="44"/>
        <v>161870</v>
      </c>
      <c r="J122" s="28" t="str">
        <f t="shared" si="44"/>
        <v>＋</v>
      </c>
      <c r="K122" s="28">
        <f t="shared" si="44"/>
        <v>860</v>
      </c>
      <c r="L122" s="28">
        <f t="shared" si="44"/>
        <v>1540</v>
      </c>
      <c r="M122" s="28" t="str">
        <f t="shared" si="44"/>
        <v>×加算率</v>
      </c>
      <c r="N122" s="28">
        <f t="shared" si="44"/>
        <v>820</v>
      </c>
      <c r="O122" s="28">
        <f t="shared" si="44"/>
        <v>1500</v>
      </c>
      <c r="P122" s="28" t="str">
        <f t="shared" si="44"/>
        <v>×加算率</v>
      </c>
      <c r="Q122" s="28">
        <f t="shared" si="44"/>
        <v>0</v>
      </c>
      <c r="R122" s="28">
        <f t="shared" si="44"/>
        <v>0</v>
      </c>
      <c r="S122" s="28">
        <f t="shared" si="44"/>
        <v>0</v>
      </c>
      <c r="T122" s="28">
        <f t="shared" si="44"/>
        <v>0</v>
      </c>
      <c r="U122" s="28">
        <f t="shared" si="44"/>
        <v>0</v>
      </c>
      <c r="V122" s="28">
        <f t="shared" si="44"/>
        <v>0</v>
      </c>
      <c r="W122" s="28">
        <f t="shared" si="44"/>
        <v>0</v>
      </c>
      <c r="X122" s="28">
        <f t="shared" si="44"/>
        <v>0</v>
      </c>
      <c r="Y122" s="28">
        <f t="shared" si="44"/>
        <v>0</v>
      </c>
      <c r="Z122" s="28">
        <f t="shared" si="44"/>
        <v>0</v>
      </c>
      <c r="AA122" s="28">
        <f t="shared" si="44"/>
        <v>0</v>
      </c>
      <c r="AB122" s="28">
        <f t="shared" si="44"/>
        <v>0</v>
      </c>
      <c r="AC122" s="28">
        <f t="shared" si="44"/>
        <v>0</v>
      </c>
      <c r="AD122" s="28">
        <f t="shared" si="44"/>
        <v>0</v>
      </c>
      <c r="AE122" s="28">
        <f t="shared" si="44"/>
        <v>0</v>
      </c>
      <c r="AF122" s="28">
        <f t="shared" si="44"/>
        <v>0</v>
      </c>
      <c r="AG122" s="28">
        <f t="shared" si="44"/>
        <v>0</v>
      </c>
      <c r="AH122" s="28"/>
      <c r="AI122" s="28"/>
      <c r="AJ122" s="28">
        <f t="shared" si="44"/>
        <v>0</v>
      </c>
      <c r="AK122" s="28" t="str">
        <f t="shared" si="44"/>
        <v>ｃ地域</v>
      </c>
      <c r="AL122" s="28">
        <f t="shared" si="44"/>
        <v>2900</v>
      </c>
      <c r="AM122" s="28">
        <f t="shared" si="44"/>
        <v>3200</v>
      </c>
      <c r="AN122" s="28">
        <f t="shared" si="44"/>
        <v>0</v>
      </c>
      <c r="AO122" s="28"/>
      <c r="AP122" s="28"/>
      <c r="AQ122" s="28"/>
      <c r="AR122" s="28"/>
      <c r="AS122" s="28"/>
      <c r="AT122" s="28"/>
      <c r="AU122" s="28"/>
      <c r="AV122" s="28"/>
      <c r="AW122" s="28"/>
      <c r="AX122" s="28"/>
      <c r="AY122" s="28"/>
      <c r="AZ122" s="28"/>
      <c r="BA122" s="28"/>
      <c r="BB122" s="28"/>
      <c r="BC122" s="28"/>
      <c r="BD122" s="28"/>
      <c r="BE122" s="28"/>
      <c r="BF122" s="28"/>
    </row>
    <row r="123" spans="2:58">
      <c r="B123" s="28">
        <v>111</v>
      </c>
      <c r="D123" s="28" t="str">
        <f>D49</f>
        <v>１、２歳児</v>
      </c>
      <c r="E123" s="28">
        <f t="shared" ref="E123:AN123" si="45">E49</f>
        <v>0</v>
      </c>
      <c r="F123" s="28">
        <f t="shared" si="45"/>
        <v>95830</v>
      </c>
      <c r="G123" s="28">
        <f t="shared" si="45"/>
        <v>164660</v>
      </c>
      <c r="H123" s="28">
        <f t="shared" si="45"/>
        <v>91930</v>
      </c>
      <c r="I123" s="28">
        <f t="shared" si="45"/>
        <v>160760</v>
      </c>
      <c r="J123" s="28" t="str">
        <f t="shared" si="45"/>
        <v>＋</v>
      </c>
      <c r="K123" s="28">
        <f t="shared" si="45"/>
        <v>840</v>
      </c>
      <c r="L123" s="28">
        <f t="shared" si="45"/>
        <v>1520</v>
      </c>
      <c r="M123" s="28" t="str">
        <f t="shared" si="45"/>
        <v>×加算率</v>
      </c>
      <c r="N123" s="28">
        <f t="shared" si="45"/>
        <v>810</v>
      </c>
      <c r="O123" s="28">
        <f t="shared" si="45"/>
        <v>1490</v>
      </c>
      <c r="P123" s="28" t="str">
        <f t="shared" si="45"/>
        <v>×加算率</v>
      </c>
      <c r="Q123" s="28">
        <f t="shared" si="45"/>
        <v>0</v>
      </c>
      <c r="R123" s="28">
        <f t="shared" si="45"/>
        <v>0</v>
      </c>
      <c r="S123" s="28">
        <f t="shared" si="45"/>
        <v>0</v>
      </c>
      <c r="T123" s="28">
        <f t="shared" si="45"/>
        <v>0</v>
      </c>
      <c r="U123" s="28">
        <f t="shared" si="45"/>
        <v>0</v>
      </c>
      <c r="V123" s="28" t="str">
        <f t="shared" si="45"/>
        <v xml:space="preserve"> 　770人～　839人</v>
      </c>
      <c r="W123" s="28">
        <f t="shared" si="45"/>
        <v>0</v>
      </c>
      <c r="X123" s="28" t="str">
        <f t="shared" si="45"/>
        <v xml:space="preserve"> 　770人～　839人</v>
      </c>
      <c r="Y123" s="28">
        <f t="shared" si="45"/>
        <v>0</v>
      </c>
      <c r="Z123" s="28">
        <f t="shared" si="45"/>
        <v>0</v>
      </c>
      <c r="AA123" s="28">
        <f t="shared" si="45"/>
        <v>0</v>
      </c>
      <c r="AB123" s="28">
        <f t="shared" si="45"/>
        <v>0</v>
      </c>
      <c r="AC123" s="28">
        <f t="shared" si="45"/>
        <v>0</v>
      </c>
      <c r="AD123" s="28">
        <f t="shared" si="45"/>
        <v>0</v>
      </c>
      <c r="AE123" s="28">
        <f t="shared" si="45"/>
        <v>0</v>
      </c>
      <c r="AF123" s="28">
        <f t="shared" si="45"/>
        <v>0</v>
      </c>
      <c r="AG123" s="28">
        <f t="shared" si="45"/>
        <v>0</v>
      </c>
      <c r="AH123" s="28"/>
      <c r="AI123" s="28"/>
      <c r="AJ123" s="28">
        <f t="shared" si="45"/>
        <v>0</v>
      </c>
      <c r="AK123" s="28" t="str">
        <f t="shared" si="45"/>
        <v>ｃ地域</v>
      </c>
      <c r="AL123" s="28">
        <f t="shared" si="45"/>
        <v>2600</v>
      </c>
      <c r="AM123" s="28">
        <f t="shared" si="45"/>
        <v>2900</v>
      </c>
      <c r="AN123" s="28">
        <f t="shared" si="45"/>
        <v>0</v>
      </c>
      <c r="AO123" s="28"/>
      <c r="AP123" s="28"/>
      <c r="AQ123" s="28"/>
      <c r="AR123" s="28"/>
      <c r="AS123" s="28"/>
      <c r="AT123" s="28"/>
      <c r="AU123" s="28"/>
      <c r="AV123" s="28"/>
      <c r="AW123" s="28"/>
      <c r="AX123" s="28"/>
      <c r="AY123" s="28"/>
      <c r="AZ123" s="28"/>
      <c r="BA123" s="28"/>
      <c r="BB123" s="28"/>
      <c r="BC123" s="28"/>
      <c r="BD123" s="28"/>
      <c r="BE123" s="28"/>
      <c r="BF123" s="28"/>
    </row>
    <row r="124" spans="2:58">
      <c r="B124" s="28">
        <v>121</v>
      </c>
      <c r="D124" s="28" t="str">
        <f t="shared" ref="D124:AN124" si="46">D53</f>
        <v>１、２歳児</v>
      </c>
      <c r="E124" s="28">
        <f t="shared" si="46"/>
        <v>0</v>
      </c>
      <c r="F124" s="28">
        <f t="shared" si="46"/>
        <v>94590</v>
      </c>
      <c r="G124" s="28">
        <f t="shared" si="46"/>
        <v>163420</v>
      </c>
      <c r="H124" s="28">
        <f t="shared" si="46"/>
        <v>90980</v>
      </c>
      <c r="I124" s="28">
        <f t="shared" si="46"/>
        <v>159810</v>
      </c>
      <c r="J124" s="28" t="str">
        <f t="shared" si="46"/>
        <v>＋</v>
      </c>
      <c r="K124" s="28">
        <f t="shared" si="46"/>
        <v>830</v>
      </c>
      <c r="L124" s="28">
        <f t="shared" si="46"/>
        <v>1510</v>
      </c>
      <c r="M124" s="28" t="str">
        <f t="shared" si="46"/>
        <v>×加算率</v>
      </c>
      <c r="N124" s="28">
        <f t="shared" si="46"/>
        <v>800</v>
      </c>
      <c r="O124" s="28">
        <f t="shared" si="46"/>
        <v>1480</v>
      </c>
      <c r="P124" s="28" t="str">
        <f t="shared" si="46"/>
        <v>×加算率</v>
      </c>
      <c r="Q124" s="28">
        <f t="shared" si="46"/>
        <v>0</v>
      </c>
      <c r="R124" s="28">
        <f t="shared" si="46"/>
        <v>0</v>
      </c>
      <c r="S124" s="28">
        <f t="shared" si="46"/>
        <v>0</v>
      </c>
      <c r="T124" s="28">
        <f t="shared" si="46"/>
        <v>0</v>
      </c>
      <c r="U124" s="28">
        <f t="shared" si="46"/>
        <v>0</v>
      </c>
      <c r="V124" s="28">
        <f t="shared" si="46"/>
        <v>562000</v>
      </c>
      <c r="W124" s="28">
        <f t="shared" si="46"/>
        <v>0</v>
      </c>
      <c r="X124" s="28">
        <f t="shared" si="46"/>
        <v>5620</v>
      </c>
      <c r="Y124" s="28">
        <f t="shared" si="46"/>
        <v>0</v>
      </c>
      <c r="Z124" s="28">
        <f t="shared" si="46"/>
        <v>0</v>
      </c>
      <c r="AA124" s="28">
        <f t="shared" si="46"/>
        <v>0</v>
      </c>
      <c r="AB124" s="28">
        <f t="shared" si="46"/>
        <v>0</v>
      </c>
      <c r="AC124" s="28">
        <f t="shared" si="46"/>
        <v>0</v>
      </c>
      <c r="AD124" s="28">
        <f t="shared" si="46"/>
        <v>0</v>
      </c>
      <c r="AE124" s="28">
        <f t="shared" si="46"/>
        <v>0</v>
      </c>
      <c r="AF124" s="28">
        <f t="shared" si="46"/>
        <v>0</v>
      </c>
      <c r="AG124" s="28">
        <f t="shared" si="46"/>
        <v>0</v>
      </c>
      <c r="AH124" s="28"/>
      <c r="AI124" s="28"/>
      <c r="AJ124" s="28">
        <f t="shared" si="46"/>
        <v>0</v>
      </c>
      <c r="AK124" s="28" t="str">
        <f t="shared" si="46"/>
        <v>ｃ地域</v>
      </c>
      <c r="AL124" s="28">
        <f t="shared" si="46"/>
        <v>2400</v>
      </c>
      <c r="AM124" s="28">
        <f t="shared" si="46"/>
        <v>2700</v>
      </c>
      <c r="AN124" s="28">
        <f t="shared" si="46"/>
        <v>0</v>
      </c>
      <c r="AO124" s="28"/>
      <c r="AP124" s="28"/>
      <c r="AQ124" s="28"/>
      <c r="AR124" s="28"/>
      <c r="AS124" s="28"/>
      <c r="AT124" s="28"/>
      <c r="AU124" s="28"/>
      <c r="AV124" s="28"/>
      <c r="AW124" s="28"/>
      <c r="AX124" s="28"/>
      <c r="AY124" s="28"/>
      <c r="AZ124" s="28"/>
      <c r="BA124" s="28"/>
      <c r="BB124" s="28"/>
      <c r="BC124" s="28"/>
      <c r="BD124" s="28"/>
      <c r="BE124" s="28"/>
      <c r="BF124" s="28"/>
    </row>
    <row r="125" spans="2:58">
      <c r="B125" s="28">
        <v>131</v>
      </c>
      <c r="D125" s="28" t="str">
        <f>D57</f>
        <v>１、２歳児</v>
      </c>
      <c r="E125" s="28">
        <f t="shared" ref="E125:AN125" si="47">E57</f>
        <v>0</v>
      </c>
      <c r="F125" s="28">
        <f t="shared" si="47"/>
        <v>93550</v>
      </c>
      <c r="G125" s="28">
        <f t="shared" si="47"/>
        <v>162380</v>
      </c>
      <c r="H125" s="28">
        <f t="shared" si="47"/>
        <v>90200</v>
      </c>
      <c r="I125" s="28">
        <f t="shared" si="47"/>
        <v>159030</v>
      </c>
      <c r="J125" s="28" t="str">
        <f t="shared" si="47"/>
        <v>＋</v>
      </c>
      <c r="K125" s="28">
        <f t="shared" si="47"/>
        <v>820</v>
      </c>
      <c r="L125" s="28">
        <f t="shared" si="47"/>
        <v>1500</v>
      </c>
      <c r="M125" s="28" t="str">
        <f t="shared" si="47"/>
        <v>×加算率</v>
      </c>
      <c r="N125" s="28">
        <f t="shared" si="47"/>
        <v>790</v>
      </c>
      <c r="O125" s="28">
        <f t="shared" si="47"/>
        <v>1470</v>
      </c>
      <c r="P125" s="28" t="str">
        <f t="shared" si="47"/>
        <v>×加算率</v>
      </c>
      <c r="Q125" s="28">
        <f t="shared" si="47"/>
        <v>0</v>
      </c>
      <c r="R125" s="28">
        <f t="shared" si="47"/>
        <v>0</v>
      </c>
      <c r="S125" s="28">
        <f t="shared" si="47"/>
        <v>0</v>
      </c>
      <c r="T125" s="28">
        <f t="shared" si="47"/>
        <v>0</v>
      </c>
      <c r="U125" s="28">
        <f t="shared" si="47"/>
        <v>0</v>
      </c>
      <c r="V125" s="28">
        <f t="shared" si="47"/>
        <v>0</v>
      </c>
      <c r="W125" s="28">
        <f t="shared" si="47"/>
        <v>0</v>
      </c>
      <c r="X125" s="28">
        <f t="shared" si="47"/>
        <v>0</v>
      </c>
      <c r="Y125" s="28">
        <f t="shared" si="47"/>
        <v>0</v>
      </c>
      <c r="Z125" s="28">
        <f t="shared" si="47"/>
        <v>0</v>
      </c>
      <c r="AA125" s="28">
        <f t="shared" si="47"/>
        <v>0</v>
      </c>
      <c r="AB125" s="28">
        <f t="shared" si="47"/>
        <v>0</v>
      </c>
      <c r="AC125" s="28">
        <f t="shared" si="47"/>
        <v>0</v>
      </c>
      <c r="AD125" s="28">
        <f t="shared" si="47"/>
        <v>0</v>
      </c>
      <c r="AE125" s="28">
        <f t="shared" si="47"/>
        <v>0</v>
      </c>
      <c r="AF125" s="28">
        <f t="shared" si="47"/>
        <v>0</v>
      </c>
      <c r="AG125" s="28">
        <f t="shared" si="47"/>
        <v>0</v>
      </c>
      <c r="AH125" s="28"/>
      <c r="AI125" s="28"/>
      <c r="AJ125" s="28">
        <f t="shared" si="47"/>
        <v>0</v>
      </c>
      <c r="AK125" s="28" t="str">
        <f t="shared" si="47"/>
        <v>ｃ地域</v>
      </c>
      <c r="AL125" s="28">
        <f t="shared" si="47"/>
        <v>2600</v>
      </c>
      <c r="AM125" s="28">
        <f t="shared" si="47"/>
        <v>2900</v>
      </c>
      <c r="AN125" s="28">
        <f t="shared" si="47"/>
        <v>0</v>
      </c>
      <c r="AO125" s="28"/>
      <c r="AP125" s="28"/>
      <c r="AQ125" s="28"/>
      <c r="AR125" s="28"/>
      <c r="AS125" s="28"/>
      <c r="AT125" s="28"/>
      <c r="AU125" s="28"/>
      <c r="AV125" s="28"/>
      <c r="AW125" s="28"/>
      <c r="AX125" s="28"/>
      <c r="AY125" s="28"/>
      <c r="AZ125" s="28"/>
      <c r="BA125" s="28"/>
      <c r="BB125" s="28"/>
      <c r="BC125" s="28"/>
      <c r="BD125" s="28"/>
      <c r="BE125" s="28"/>
      <c r="BF125" s="28"/>
    </row>
    <row r="126" spans="2:58">
      <c r="B126" s="28">
        <v>141</v>
      </c>
      <c r="D126" s="28" t="str">
        <f>D61</f>
        <v>１、２歳児</v>
      </c>
      <c r="E126" s="28">
        <f t="shared" ref="E126:AN126" si="48">E61</f>
        <v>0</v>
      </c>
      <c r="F126" s="28">
        <f t="shared" si="48"/>
        <v>92630</v>
      </c>
      <c r="G126" s="28">
        <f t="shared" si="48"/>
        <v>161460</v>
      </c>
      <c r="H126" s="28">
        <f t="shared" si="48"/>
        <v>89510</v>
      </c>
      <c r="I126" s="28">
        <f t="shared" si="48"/>
        <v>158340</v>
      </c>
      <c r="J126" s="28" t="str">
        <f t="shared" si="48"/>
        <v>＋</v>
      </c>
      <c r="K126" s="28">
        <f t="shared" si="48"/>
        <v>810</v>
      </c>
      <c r="L126" s="28">
        <f t="shared" si="48"/>
        <v>1490</v>
      </c>
      <c r="M126" s="28" t="str">
        <f t="shared" si="48"/>
        <v>×加算率</v>
      </c>
      <c r="N126" s="28">
        <f t="shared" si="48"/>
        <v>780</v>
      </c>
      <c r="O126" s="28">
        <f t="shared" si="48"/>
        <v>1460</v>
      </c>
      <c r="P126" s="28" t="str">
        <f t="shared" si="48"/>
        <v>×加算率</v>
      </c>
      <c r="Q126" s="28">
        <f t="shared" si="48"/>
        <v>0</v>
      </c>
      <c r="R126" s="28">
        <f t="shared" si="48"/>
        <v>0</v>
      </c>
      <c r="S126" s="28">
        <f t="shared" si="48"/>
        <v>0</v>
      </c>
      <c r="T126" s="28">
        <f t="shared" si="48"/>
        <v>0</v>
      </c>
      <c r="U126" s="28">
        <f t="shared" si="48"/>
        <v>0</v>
      </c>
      <c r="V126" s="28" t="str">
        <f t="shared" si="48"/>
        <v xml:space="preserve"> 1,050人～</v>
      </c>
      <c r="W126" s="28">
        <f t="shared" si="48"/>
        <v>0</v>
      </c>
      <c r="X126" s="28" t="str">
        <f t="shared" si="48"/>
        <v xml:space="preserve"> 1,050人～</v>
      </c>
      <c r="Y126" s="28">
        <f t="shared" si="48"/>
        <v>0</v>
      </c>
      <c r="Z126" s="28">
        <f t="shared" si="48"/>
        <v>0</v>
      </c>
      <c r="AA126" s="28">
        <f t="shared" si="48"/>
        <v>0</v>
      </c>
      <c r="AB126" s="28">
        <f t="shared" si="48"/>
        <v>0</v>
      </c>
      <c r="AC126" s="28">
        <f t="shared" si="48"/>
        <v>0</v>
      </c>
      <c r="AD126" s="28">
        <f t="shared" si="48"/>
        <v>0</v>
      </c>
      <c r="AE126" s="28">
        <f t="shared" si="48"/>
        <v>0</v>
      </c>
      <c r="AF126" s="28">
        <f t="shared" si="48"/>
        <v>0</v>
      </c>
      <c r="AG126" s="28">
        <f t="shared" si="48"/>
        <v>0</v>
      </c>
      <c r="AH126" s="28"/>
      <c r="AI126" s="28"/>
      <c r="AJ126" s="28">
        <f t="shared" si="48"/>
        <v>0</v>
      </c>
      <c r="AK126" s="28" t="str">
        <f t="shared" si="48"/>
        <v>ｃ地域</v>
      </c>
      <c r="AL126" s="28">
        <f t="shared" si="48"/>
        <v>2500</v>
      </c>
      <c r="AM126" s="28">
        <f t="shared" si="48"/>
        <v>2800</v>
      </c>
      <c r="AN126" s="28">
        <f t="shared" si="48"/>
        <v>0</v>
      </c>
      <c r="AO126" s="28"/>
      <c r="AP126" s="28"/>
      <c r="AQ126" s="28"/>
      <c r="AR126" s="28"/>
      <c r="AS126" s="28"/>
      <c r="AT126" s="28"/>
      <c r="AU126" s="28"/>
      <c r="AV126" s="28"/>
      <c r="AW126" s="28"/>
      <c r="AX126" s="28"/>
      <c r="AY126" s="28"/>
      <c r="AZ126" s="28"/>
      <c r="BA126" s="28"/>
      <c r="BB126" s="28"/>
      <c r="BC126" s="28"/>
      <c r="BD126" s="28"/>
      <c r="BE126" s="28"/>
      <c r="BF126" s="28"/>
    </row>
    <row r="127" spans="2:58">
      <c r="B127" s="28">
        <v>151</v>
      </c>
      <c r="D127" s="28" t="str">
        <f>D65</f>
        <v>１、２歳児</v>
      </c>
      <c r="E127" s="28">
        <f t="shared" ref="E127:AN127" si="49">E65</f>
        <v>0</v>
      </c>
      <c r="F127" s="28">
        <f t="shared" si="49"/>
        <v>92690</v>
      </c>
      <c r="G127" s="28">
        <f t="shared" si="49"/>
        <v>161520</v>
      </c>
      <c r="H127" s="28">
        <f t="shared" si="49"/>
        <v>89760</v>
      </c>
      <c r="I127" s="28">
        <f t="shared" si="49"/>
        <v>158590</v>
      </c>
      <c r="J127" s="28" t="str">
        <f t="shared" si="49"/>
        <v>＋</v>
      </c>
      <c r="K127" s="28">
        <f t="shared" si="49"/>
        <v>810</v>
      </c>
      <c r="L127" s="28">
        <f t="shared" si="49"/>
        <v>1490</v>
      </c>
      <c r="M127" s="28" t="str">
        <f t="shared" si="49"/>
        <v>×加算率</v>
      </c>
      <c r="N127" s="28">
        <f t="shared" si="49"/>
        <v>780</v>
      </c>
      <c r="O127" s="28">
        <f t="shared" si="49"/>
        <v>1460</v>
      </c>
      <c r="P127" s="28" t="str">
        <f t="shared" si="49"/>
        <v>×加算率</v>
      </c>
      <c r="Q127" s="28">
        <f t="shared" si="49"/>
        <v>0</v>
      </c>
      <c r="R127" s="28">
        <f t="shared" si="49"/>
        <v>0</v>
      </c>
      <c r="S127" s="28">
        <f t="shared" si="49"/>
        <v>0</v>
      </c>
      <c r="T127" s="28">
        <f t="shared" si="49"/>
        <v>0</v>
      </c>
      <c r="U127" s="28">
        <f t="shared" si="49"/>
        <v>0</v>
      </c>
      <c r="V127" s="28">
        <f t="shared" si="49"/>
        <v>0</v>
      </c>
      <c r="W127" s="28">
        <f t="shared" si="49"/>
        <v>0</v>
      </c>
      <c r="X127" s="28">
        <f t="shared" si="49"/>
        <v>0</v>
      </c>
      <c r="Y127" s="28">
        <f t="shared" si="49"/>
        <v>0</v>
      </c>
      <c r="Z127" s="28">
        <f t="shared" si="49"/>
        <v>0</v>
      </c>
      <c r="AA127" s="28">
        <f t="shared" si="49"/>
        <v>0</v>
      </c>
      <c r="AB127" s="28">
        <f t="shared" si="49"/>
        <v>0</v>
      </c>
      <c r="AC127" s="28">
        <f t="shared" si="49"/>
        <v>0</v>
      </c>
      <c r="AD127" s="28">
        <f t="shared" si="49"/>
        <v>0</v>
      </c>
      <c r="AE127" s="28">
        <f t="shared" si="49"/>
        <v>0</v>
      </c>
      <c r="AF127" s="28">
        <f t="shared" si="49"/>
        <v>0</v>
      </c>
      <c r="AG127" s="28">
        <f t="shared" si="49"/>
        <v>0</v>
      </c>
      <c r="AH127" s="28"/>
      <c r="AI127" s="28"/>
      <c r="AJ127" s="28">
        <f t="shared" si="49"/>
        <v>0</v>
      </c>
      <c r="AK127" s="28" t="str">
        <f t="shared" si="49"/>
        <v>ｃ地域</v>
      </c>
      <c r="AL127" s="28">
        <f t="shared" si="49"/>
        <v>2300</v>
      </c>
      <c r="AM127" s="28">
        <f t="shared" si="49"/>
        <v>2500</v>
      </c>
      <c r="AN127" s="28">
        <f t="shared" si="49"/>
        <v>0</v>
      </c>
      <c r="AO127" s="28"/>
      <c r="AP127" s="28"/>
      <c r="AQ127" s="28"/>
      <c r="AR127" s="28"/>
      <c r="AS127" s="28"/>
      <c r="AT127" s="28"/>
      <c r="AU127" s="28"/>
      <c r="AV127" s="28"/>
      <c r="AW127" s="28"/>
      <c r="AX127" s="28"/>
      <c r="AY127" s="28"/>
      <c r="AZ127" s="28"/>
      <c r="BA127" s="28"/>
      <c r="BB127" s="28"/>
      <c r="BC127" s="28"/>
      <c r="BD127" s="28"/>
      <c r="BE127" s="28"/>
      <c r="BF127" s="28"/>
    </row>
    <row r="128" spans="2:58">
      <c r="B128" s="28">
        <v>161</v>
      </c>
      <c r="D128" s="28" t="str">
        <f>D69</f>
        <v>１、２歳児</v>
      </c>
      <c r="E128" s="28">
        <f t="shared" ref="E128:AN128" si="50">E69</f>
        <v>0</v>
      </c>
      <c r="F128" s="28">
        <f t="shared" si="50"/>
        <v>91950</v>
      </c>
      <c r="G128" s="28">
        <f t="shared" si="50"/>
        <v>160780</v>
      </c>
      <c r="H128" s="28">
        <f t="shared" si="50"/>
        <v>89190</v>
      </c>
      <c r="I128" s="28">
        <f t="shared" si="50"/>
        <v>158020</v>
      </c>
      <c r="J128" s="28" t="str">
        <f t="shared" si="50"/>
        <v>＋</v>
      </c>
      <c r="K128" s="28">
        <f t="shared" si="50"/>
        <v>810</v>
      </c>
      <c r="L128" s="28">
        <f t="shared" si="50"/>
        <v>1490</v>
      </c>
      <c r="M128" s="28" t="str">
        <f t="shared" si="50"/>
        <v>×加算率</v>
      </c>
      <c r="N128" s="28">
        <f t="shared" si="50"/>
        <v>780</v>
      </c>
      <c r="O128" s="28">
        <f t="shared" si="50"/>
        <v>1460</v>
      </c>
      <c r="P128" s="28" t="str">
        <f t="shared" si="50"/>
        <v>×加算率</v>
      </c>
      <c r="Q128" s="28">
        <f t="shared" si="50"/>
        <v>0</v>
      </c>
      <c r="R128" s="28">
        <f t="shared" si="50"/>
        <v>0</v>
      </c>
      <c r="S128" s="28">
        <f t="shared" si="50"/>
        <v>0</v>
      </c>
      <c r="T128" s="28">
        <f t="shared" si="50"/>
        <v>0</v>
      </c>
      <c r="U128" s="28">
        <f t="shared" si="50"/>
        <v>0</v>
      </c>
      <c r="V128" s="28">
        <f t="shared" si="50"/>
        <v>0</v>
      </c>
      <c r="W128" s="28">
        <f t="shared" si="50"/>
        <v>0</v>
      </c>
      <c r="X128" s="28">
        <f t="shared" si="50"/>
        <v>0</v>
      </c>
      <c r="Y128" s="28">
        <f t="shared" si="50"/>
        <v>0</v>
      </c>
      <c r="Z128" s="28">
        <f t="shared" si="50"/>
        <v>0</v>
      </c>
      <c r="AA128" s="28">
        <f t="shared" si="50"/>
        <v>0</v>
      </c>
      <c r="AB128" s="28">
        <f t="shared" si="50"/>
        <v>0</v>
      </c>
      <c r="AC128" s="28">
        <f t="shared" si="50"/>
        <v>0</v>
      </c>
      <c r="AD128" s="28">
        <f t="shared" si="50"/>
        <v>0</v>
      </c>
      <c r="AE128" s="28">
        <f t="shared" si="50"/>
        <v>0</v>
      </c>
      <c r="AF128" s="28">
        <f t="shared" si="50"/>
        <v>0</v>
      </c>
      <c r="AG128" s="28">
        <f t="shared" si="50"/>
        <v>0</v>
      </c>
      <c r="AH128" s="28"/>
      <c r="AI128" s="28"/>
      <c r="AJ128" s="28">
        <f t="shared" si="50"/>
        <v>0</v>
      </c>
      <c r="AK128" s="28" t="str">
        <f t="shared" si="50"/>
        <v>ｃ地域</v>
      </c>
      <c r="AL128" s="28">
        <f t="shared" si="50"/>
        <v>2500</v>
      </c>
      <c r="AM128" s="28">
        <f t="shared" si="50"/>
        <v>2800</v>
      </c>
      <c r="AN128" s="28">
        <f t="shared" si="50"/>
        <v>0</v>
      </c>
      <c r="AO128" s="28"/>
      <c r="AP128" s="28"/>
      <c r="AQ128" s="28"/>
      <c r="AR128" s="28"/>
      <c r="AS128" s="28"/>
      <c r="AT128" s="28"/>
      <c r="AU128" s="28"/>
      <c r="AV128" s="28"/>
      <c r="AW128" s="28"/>
      <c r="AX128" s="28"/>
      <c r="AY128" s="28"/>
      <c r="AZ128" s="28"/>
      <c r="BA128" s="28"/>
      <c r="BB128" s="28"/>
      <c r="BC128" s="28"/>
      <c r="BD128" s="28"/>
      <c r="BE128" s="28"/>
      <c r="BF128" s="28"/>
    </row>
    <row r="129" spans="2:58">
      <c r="B129" s="28">
        <v>171</v>
      </c>
      <c r="D129" s="28" t="str">
        <f>D73</f>
        <v>１、２歳児</v>
      </c>
      <c r="E129" s="28">
        <f t="shared" ref="E129:AN129" si="51">E73</f>
        <v>0</v>
      </c>
      <c r="F129" s="28">
        <f t="shared" si="51"/>
        <v>91270</v>
      </c>
      <c r="G129" s="28">
        <f t="shared" si="51"/>
        <v>160100</v>
      </c>
      <c r="H129" s="28">
        <f t="shared" si="51"/>
        <v>88670</v>
      </c>
      <c r="I129" s="28">
        <f t="shared" si="51"/>
        <v>157500</v>
      </c>
      <c r="J129" s="28" t="str">
        <f t="shared" si="51"/>
        <v>＋</v>
      </c>
      <c r="K129" s="28">
        <f t="shared" si="51"/>
        <v>800</v>
      </c>
      <c r="L129" s="28">
        <f t="shared" si="51"/>
        <v>1480</v>
      </c>
      <c r="M129" s="28" t="str">
        <f t="shared" si="51"/>
        <v>×加算率</v>
      </c>
      <c r="N129" s="28">
        <f t="shared" si="51"/>
        <v>770</v>
      </c>
      <c r="O129" s="28">
        <f t="shared" si="51"/>
        <v>1450</v>
      </c>
      <c r="P129" s="28" t="str">
        <f t="shared" si="51"/>
        <v>×加算率</v>
      </c>
      <c r="Q129" s="28">
        <f t="shared" si="51"/>
        <v>0</v>
      </c>
      <c r="R129" s="28">
        <f t="shared" si="51"/>
        <v>0</v>
      </c>
      <c r="S129" s="28">
        <f t="shared" si="51"/>
        <v>0</v>
      </c>
      <c r="T129" s="28">
        <f t="shared" si="51"/>
        <v>0</v>
      </c>
      <c r="U129" s="28">
        <f t="shared" si="51"/>
        <v>0</v>
      </c>
      <c r="V129" s="28">
        <f t="shared" si="51"/>
        <v>0</v>
      </c>
      <c r="W129" s="28">
        <f t="shared" si="51"/>
        <v>0</v>
      </c>
      <c r="X129" s="28">
        <f t="shared" si="51"/>
        <v>0</v>
      </c>
      <c r="Y129" s="28">
        <f t="shared" si="51"/>
        <v>0</v>
      </c>
      <c r="Z129" s="28">
        <f t="shared" si="51"/>
        <v>0</v>
      </c>
      <c r="AA129" s="28">
        <f t="shared" si="51"/>
        <v>0</v>
      </c>
      <c r="AB129" s="28">
        <f t="shared" si="51"/>
        <v>0</v>
      </c>
      <c r="AC129" s="28">
        <f t="shared" si="51"/>
        <v>0</v>
      </c>
      <c r="AD129" s="28">
        <f t="shared" si="51"/>
        <v>0</v>
      </c>
      <c r="AE129" s="28">
        <f t="shared" si="51"/>
        <v>0</v>
      </c>
      <c r="AF129" s="28">
        <f t="shared" si="51"/>
        <v>0</v>
      </c>
      <c r="AG129" s="28">
        <f t="shared" si="51"/>
        <v>0</v>
      </c>
      <c r="AH129" s="28"/>
      <c r="AI129" s="28"/>
      <c r="AJ129" s="28">
        <f t="shared" si="51"/>
        <v>0</v>
      </c>
      <c r="AK129" s="28" t="str">
        <f t="shared" si="51"/>
        <v>ｃ地域</v>
      </c>
      <c r="AL129" s="28">
        <f t="shared" si="51"/>
        <v>2300</v>
      </c>
      <c r="AM129" s="28">
        <f t="shared" si="51"/>
        <v>2500</v>
      </c>
      <c r="AN129" s="28">
        <f t="shared" si="51"/>
        <v>0</v>
      </c>
      <c r="AO129" s="28"/>
      <c r="AP129" s="28"/>
      <c r="AQ129" s="28"/>
      <c r="AR129" s="28"/>
      <c r="AS129" s="28"/>
      <c r="AT129" s="28"/>
      <c r="AU129" s="28"/>
      <c r="AV129" s="28"/>
      <c r="AW129" s="28"/>
      <c r="AX129" s="28"/>
      <c r="AY129" s="28"/>
      <c r="AZ129" s="28"/>
      <c r="BA129" s="28"/>
      <c r="BB129" s="28"/>
      <c r="BC129" s="28"/>
      <c r="BD129" s="28"/>
      <c r="BE129" s="28"/>
      <c r="BF129" s="28"/>
    </row>
    <row r="131" spans="2:58">
      <c r="B131" s="28">
        <v>20</v>
      </c>
      <c r="D131" s="28" t="str">
        <f>D10</f>
        <v>乳児</v>
      </c>
      <c r="E131" s="28">
        <f t="shared" ref="E131:AN131" si="52">E10</f>
        <v>0</v>
      </c>
      <c r="F131" s="28">
        <f t="shared" si="52"/>
        <v>243800</v>
      </c>
      <c r="G131" s="28">
        <f t="shared" si="52"/>
        <v>0</v>
      </c>
      <c r="H131" s="28">
        <f t="shared" si="52"/>
        <v>220370</v>
      </c>
      <c r="I131" s="28">
        <f t="shared" si="52"/>
        <v>0</v>
      </c>
      <c r="J131" s="28" t="str">
        <f t="shared" si="52"/>
        <v>＋</v>
      </c>
      <c r="K131" s="28">
        <f t="shared" si="52"/>
        <v>2320</v>
      </c>
      <c r="L131" s="28">
        <f t="shared" si="52"/>
        <v>0</v>
      </c>
      <c r="M131" s="28" t="str">
        <f t="shared" si="52"/>
        <v>×加算率</v>
      </c>
      <c r="N131" s="28">
        <f t="shared" si="52"/>
        <v>2080</v>
      </c>
      <c r="O131" s="28">
        <f t="shared" si="52"/>
        <v>0</v>
      </c>
      <c r="P131" s="28" t="str">
        <f t="shared" si="52"/>
        <v>×加算率</v>
      </c>
      <c r="Q131" s="28">
        <f t="shared" si="52"/>
        <v>0</v>
      </c>
      <c r="R131" s="28">
        <f t="shared" si="52"/>
        <v>0</v>
      </c>
      <c r="S131" s="28">
        <f t="shared" si="52"/>
        <v>0</v>
      </c>
      <c r="T131" s="28">
        <f t="shared" si="52"/>
        <v>0</v>
      </c>
      <c r="U131" s="28">
        <f t="shared" si="52"/>
        <v>0</v>
      </c>
      <c r="V131" s="28">
        <f t="shared" si="52"/>
        <v>0</v>
      </c>
      <c r="W131" s="28">
        <f t="shared" si="52"/>
        <v>0</v>
      </c>
      <c r="X131" s="28">
        <f t="shared" si="52"/>
        <v>0</v>
      </c>
      <c r="Y131" s="28">
        <f t="shared" si="52"/>
        <v>0</v>
      </c>
      <c r="Z131" s="28">
        <f t="shared" si="52"/>
        <v>0</v>
      </c>
      <c r="AA131" s="28">
        <f t="shared" si="52"/>
        <v>0</v>
      </c>
      <c r="AB131" s="28">
        <f t="shared" si="52"/>
        <v>0</v>
      </c>
      <c r="AC131" s="28">
        <f t="shared" si="52"/>
        <v>0</v>
      </c>
      <c r="AD131" s="28">
        <f t="shared" si="52"/>
        <v>0</v>
      </c>
      <c r="AE131" s="28">
        <f t="shared" si="52"/>
        <v>0</v>
      </c>
      <c r="AF131" s="28">
        <f t="shared" si="52"/>
        <v>0</v>
      </c>
      <c r="AG131" s="28">
        <f t="shared" si="52"/>
        <v>0</v>
      </c>
      <c r="AH131" s="28"/>
      <c r="AI131" s="28"/>
      <c r="AJ131" s="28">
        <f t="shared" si="52"/>
        <v>0</v>
      </c>
      <c r="AK131" s="28" t="str">
        <f t="shared" si="52"/>
        <v>ｄ地域</v>
      </c>
      <c r="AL131" s="28">
        <f t="shared" si="52"/>
        <v>6800</v>
      </c>
      <c r="AM131" s="28">
        <f t="shared" si="52"/>
        <v>7500</v>
      </c>
      <c r="AN131" s="28">
        <f t="shared" si="52"/>
        <v>0</v>
      </c>
      <c r="AO131" s="28"/>
      <c r="AP131" s="28"/>
      <c r="AQ131" s="28"/>
      <c r="AR131" s="28"/>
      <c r="AS131" s="28"/>
      <c r="AT131" s="28"/>
      <c r="AU131" s="28"/>
      <c r="AV131" s="28"/>
      <c r="AW131" s="28"/>
      <c r="AX131" s="28"/>
      <c r="AY131" s="28"/>
      <c r="AZ131" s="28"/>
      <c r="BA131" s="28"/>
      <c r="BB131" s="28"/>
      <c r="BC131" s="28"/>
      <c r="BD131" s="28"/>
      <c r="BE131" s="28"/>
      <c r="BF131" s="28"/>
    </row>
    <row r="132" spans="2:58">
      <c r="B132" s="28">
        <v>21</v>
      </c>
      <c r="D132" s="28" t="str">
        <f>D14</f>
        <v>乳児</v>
      </c>
      <c r="E132" s="28">
        <f t="shared" ref="E132:AN132" si="53">E14</f>
        <v>0</v>
      </c>
      <c r="F132" s="28">
        <f t="shared" si="53"/>
        <v>212700</v>
      </c>
      <c r="G132" s="28">
        <f t="shared" si="53"/>
        <v>0</v>
      </c>
      <c r="H132" s="28">
        <f t="shared" si="53"/>
        <v>197080</v>
      </c>
      <c r="I132" s="28">
        <f t="shared" si="53"/>
        <v>0</v>
      </c>
      <c r="J132" s="28" t="str">
        <f t="shared" si="53"/>
        <v>＋</v>
      </c>
      <c r="K132" s="28">
        <f t="shared" si="53"/>
        <v>2000</v>
      </c>
      <c r="L132" s="28">
        <f t="shared" si="53"/>
        <v>0</v>
      </c>
      <c r="M132" s="28" t="str">
        <f t="shared" si="53"/>
        <v>×加算率</v>
      </c>
      <c r="N132" s="28">
        <f t="shared" si="53"/>
        <v>1850</v>
      </c>
      <c r="O132" s="28">
        <f t="shared" si="53"/>
        <v>0</v>
      </c>
      <c r="P132" s="28" t="str">
        <f t="shared" si="53"/>
        <v>×加算率</v>
      </c>
      <c r="Q132" s="28">
        <f t="shared" si="53"/>
        <v>0</v>
      </c>
      <c r="R132" s="28">
        <f t="shared" si="53"/>
        <v>0</v>
      </c>
      <c r="S132" s="28">
        <f t="shared" si="53"/>
        <v>0</v>
      </c>
      <c r="T132" s="28">
        <f t="shared" si="53"/>
        <v>0</v>
      </c>
      <c r="U132" s="28">
        <f t="shared" si="53"/>
        <v>0</v>
      </c>
      <c r="V132" s="28">
        <f t="shared" si="53"/>
        <v>0</v>
      </c>
      <c r="W132" s="28">
        <f t="shared" si="53"/>
        <v>0</v>
      </c>
      <c r="X132" s="28">
        <f t="shared" si="53"/>
        <v>0</v>
      </c>
      <c r="Y132" s="28">
        <f t="shared" si="53"/>
        <v>0</v>
      </c>
      <c r="Z132" s="28">
        <f t="shared" si="53"/>
        <v>0</v>
      </c>
      <c r="AA132" s="28">
        <f t="shared" si="53"/>
        <v>0</v>
      </c>
      <c r="AB132" s="28">
        <f t="shared" si="53"/>
        <v>0</v>
      </c>
      <c r="AC132" s="28">
        <f t="shared" si="53"/>
        <v>0</v>
      </c>
      <c r="AD132" s="28">
        <f t="shared" si="53"/>
        <v>0</v>
      </c>
      <c r="AE132" s="28">
        <f t="shared" si="53"/>
        <v>0</v>
      </c>
      <c r="AF132" s="28">
        <f t="shared" si="53"/>
        <v>0</v>
      </c>
      <c r="AG132" s="28">
        <f t="shared" si="53"/>
        <v>0</v>
      </c>
      <c r="AH132" s="28"/>
      <c r="AI132" s="28"/>
      <c r="AJ132" s="28">
        <f t="shared" si="53"/>
        <v>0</v>
      </c>
      <c r="AK132" s="28" t="str">
        <f t="shared" si="53"/>
        <v>ｄ地域</v>
      </c>
      <c r="AL132" s="28">
        <f t="shared" si="53"/>
        <v>4700</v>
      </c>
      <c r="AM132" s="28">
        <f t="shared" si="53"/>
        <v>5200</v>
      </c>
      <c r="AN132" s="28">
        <f t="shared" si="53"/>
        <v>0</v>
      </c>
      <c r="AO132" s="28"/>
      <c r="AP132" s="28"/>
      <c r="AQ132" s="28"/>
      <c r="AR132" s="28"/>
      <c r="AS132" s="28"/>
      <c r="AT132" s="28"/>
      <c r="AU132" s="28"/>
      <c r="AV132" s="28"/>
      <c r="AW132" s="28"/>
      <c r="AX132" s="28"/>
      <c r="AY132" s="28"/>
      <c r="AZ132" s="28"/>
      <c r="BA132" s="28"/>
      <c r="BB132" s="28"/>
      <c r="BC132" s="28"/>
      <c r="BD132" s="28"/>
      <c r="BE132" s="28"/>
      <c r="BF132" s="28"/>
    </row>
    <row r="133" spans="2:58">
      <c r="B133" s="28">
        <v>31</v>
      </c>
      <c r="D133" s="28" t="str">
        <f>D18</f>
        <v>乳児</v>
      </c>
      <c r="E133" s="28">
        <f t="shared" ref="E133:AN133" si="54">E18</f>
        <v>0</v>
      </c>
      <c r="F133" s="28">
        <f t="shared" si="54"/>
        <v>197280</v>
      </c>
      <c r="G133" s="28">
        <f t="shared" si="54"/>
        <v>0</v>
      </c>
      <c r="H133" s="28">
        <f t="shared" si="54"/>
        <v>185570</v>
      </c>
      <c r="I133" s="28">
        <f t="shared" si="54"/>
        <v>0</v>
      </c>
      <c r="J133" s="28" t="str">
        <f t="shared" si="54"/>
        <v>＋</v>
      </c>
      <c r="K133" s="28">
        <f t="shared" si="54"/>
        <v>1850</v>
      </c>
      <c r="L133" s="28">
        <f t="shared" si="54"/>
        <v>0</v>
      </c>
      <c r="M133" s="28" t="str">
        <f t="shared" si="54"/>
        <v>×加算率</v>
      </c>
      <c r="N133" s="28">
        <f t="shared" si="54"/>
        <v>1730</v>
      </c>
      <c r="O133" s="28">
        <f t="shared" si="54"/>
        <v>0</v>
      </c>
      <c r="P133" s="28" t="str">
        <f t="shared" si="54"/>
        <v>×加算率</v>
      </c>
      <c r="Q133" s="28">
        <f t="shared" si="54"/>
        <v>0</v>
      </c>
      <c r="R133" s="28">
        <f t="shared" si="54"/>
        <v>0</v>
      </c>
      <c r="S133" s="28">
        <f t="shared" si="54"/>
        <v>0</v>
      </c>
      <c r="T133" s="28">
        <f t="shared" si="54"/>
        <v>0</v>
      </c>
      <c r="U133" s="28">
        <f t="shared" si="54"/>
        <v>0</v>
      </c>
      <c r="V133" s="28">
        <f t="shared" si="54"/>
        <v>0</v>
      </c>
      <c r="W133" s="28">
        <f t="shared" si="54"/>
        <v>0</v>
      </c>
      <c r="X133" s="28">
        <f t="shared" si="54"/>
        <v>0</v>
      </c>
      <c r="Y133" s="28">
        <f t="shared" si="54"/>
        <v>0</v>
      </c>
      <c r="Z133" s="28">
        <f t="shared" si="54"/>
        <v>0</v>
      </c>
      <c r="AA133" s="28">
        <f t="shared" si="54"/>
        <v>0</v>
      </c>
      <c r="AB133" s="28">
        <f t="shared" si="54"/>
        <v>0</v>
      </c>
      <c r="AC133" s="28">
        <f t="shared" si="54"/>
        <v>0</v>
      </c>
      <c r="AD133" s="28">
        <f t="shared" si="54"/>
        <v>0</v>
      </c>
      <c r="AE133" s="28">
        <f t="shared" si="54"/>
        <v>0</v>
      </c>
      <c r="AF133" s="28">
        <f t="shared" si="54"/>
        <v>0</v>
      </c>
      <c r="AG133" s="28">
        <f t="shared" si="54"/>
        <v>0</v>
      </c>
      <c r="AH133" s="28"/>
      <c r="AI133" s="28"/>
      <c r="AJ133" s="28">
        <f t="shared" si="54"/>
        <v>0</v>
      </c>
      <c r="AK133" s="28" t="str">
        <f t="shared" si="54"/>
        <v>ｄ地域</v>
      </c>
      <c r="AL133" s="28">
        <f t="shared" si="54"/>
        <v>4200</v>
      </c>
      <c r="AM133" s="28">
        <f t="shared" si="54"/>
        <v>4600</v>
      </c>
      <c r="AN133" s="28">
        <f t="shared" si="54"/>
        <v>0</v>
      </c>
      <c r="AO133" s="28"/>
      <c r="AP133" s="28"/>
      <c r="AQ133" s="28"/>
      <c r="AR133" s="28"/>
      <c r="AS133" s="28"/>
      <c r="AT133" s="28"/>
      <c r="AU133" s="28"/>
      <c r="AV133" s="28"/>
      <c r="AW133" s="28"/>
      <c r="AX133" s="28"/>
      <c r="AY133" s="28"/>
      <c r="AZ133" s="28"/>
      <c r="BA133" s="28"/>
      <c r="BB133" s="28"/>
      <c r="BC133" s="28"/>
      <c r="BD133" s="28"/>
      <c r="BE133" s="28"/>
      <c r="BF133" s="28"/>
    </row>
    <row r="134" spans="2:58">
      <c r="B134" s="28">
        <v>41</v>
      </c>
      <c r="D134" s="28" t="str">
        <f>D22</f>
        <v>乳児</v>
      </c>
      <c r="E134" s="28">
        <f t="shared" ref="E134:AN134" si="55">E22</f>
        <v>0</v>
      </c>
      <c r="F134" s="28">
        <f t="shared" si="55"/>
        <v>193130</v>
      </c>
      <c r="G134" s="28">
        <f t="shared" si="55"/>
        <v>0</v>
      </c>
      <c r="H134" s="28">
        <f t="shared" si="55"/>
        <v>183760</v>
      </c>
      <c r="I134" s="28">
        <f t="shared" si="55"/>
        <v>0</v>
      </c>
      <c r="J134" s="28" t="str">
        <f t="shared" si="55"/>
        <v>＋</v>
      </c>
      <c r="K134" s="28">
        <f t="shared" si="55"/>
        <v>1810</v>
      </c>
      <c r="L134" s="28">
        <f t="shared" si="55"/>
        <v>0</v>
      </c>
      <c r="M134" s="28" t="str">
        <f t="shared" si="55"/>
        <v>×加算率</v>
      </c>
      <c r="N134" s="28">
        <f t="shared" si="55"/>
        <v>1720</v>
      </c>
      <c r="O134" s="28">
        <f t="shared" si="55"/>
        <v>0</v>
      </c>
      <c r="P134" s="28" t="str">
        <f t="shared" si="55"/>
        <v>×加算率</v>
      </c>
      <c r="Q134" s="28">
        <f t="shared" si="55"/>
        <v>0</v>
      </c>
      <c r="R134" s="28">
        <f t="shared" si="55"/>
        <v>0</v>
      </c>
      <c r="S134" s="28">
        <f t="shared" si="55"/>
        <v>0</v>
      </c>
      <c r="T134" s="28">
        <f t="shared" si="55"/>
        <v>0</v>
      </c>
      <c r="U134" s="28">
        <f t="shared" si="55"/>
        <v>0</v>
      </c>
      <c r="V134" s="28" t="str">
        <f t="shared" si="55"/>
        <v>　 　　 ～　210人</v>
      </c>
      <c r="W134" s="28">
        <f t="shared" si="55"/>
        <v>0</v>
      </c>
      <c r="X134" s="28" t="str">
        <f t="shared" si="55"/>
        <v>　 　　 ～　210人</v>
      </c>
      <c r="Y134" s="28">
        <f t="shared" si="55"/>
        <v>0</v>
      </c>
      <c r="Z134" s="28">
        <f t="shared" si="55"/>
        <v>0</v>
      </c>
      <c r="AA134" s="28">
        <f t="shared" si="55"/>
        <v>0</v>
      </c>
      <c r="AB134" s="28">
        <f t="shared" si="55"/>
        <v>0</v>
      </c>
      <c r="AC134" s="28">
        <f t="shared" si="55"/>
        <v>0</v>
      </c>
      <c r="AD134" s="28">
        <f t="shared" si="55"/>
        <v>0</v>
      </c>
      <c r="AE134" s="28">
        <f t="shared" si="55"/>
        <v>0</v>
      </c>
      <c r="AF134" s="28">
        <f t="shared" si="55"/>
        <v>0</v>
      </c>
      <c r="AG134" s="28">
        <f t="shared" si="55"/>
        <v>0</v>
      </c>
      <c r="AH134" s="28"/>
      <c r="AI134" s="28"/>
      <c r="AJ134" s="28">
        <f t="shared" si="55"/>
        <v>0</v>
      </c>
      <c r="AK134" s="28" t="str">
        <f t="shared" si="55"/>
        <v>ｄ地域</v>
      </c>
      <c r="AL134" s="28">
        <f t="shared" si="55"/>
        <v>3800</v>
      </c>
      <c r="AM134" s="28">
        <f t="shared" si="55"/>
        <v>4200</v>
      </c>
      <c r="AN134" s="28">
        <f t="shared" si="55"/>
        <v>0</v>
      </c>
      <c r="AO134" s="28"/>
      <c r="AP134" s="28"/>
      <c r="AQ134" s="28"/>
      <c r="AR134" s="28"/>
      <c r="AS134" s="28"/>
      <c r="AT134" s="28"/>
      <c r="AU134" s="28"/>
      <c r="AV134" s="28"/>
      <c r="AW134" s="28"/>
      <c r="AX134" s="28"/>
      <c r="AY134" s="28"/>
      <c r="AZ134" s="28"/>
      <c r="BA134" s="28"/>
      <c r="BB134" s="28"/>
      <c r="BC134" s="28"/>
      <c r="BD134" s="28"/>
      <c r="BE134" s="28"/>
      <c r="BF134" s="28"/>
    </row>
    <row r="135" spans="2:58">
      <c r="B135" s="28">
        <v>51</v>
      </c>
      <c r="D135" s="28" t="str">
        <f>D26</f>
        <v>乳児</v>
      </c>
      <c r="E135" s="28">
        <f t="shared" ref="E135:AN135" si="56">E26</f>
        <v>0</v>
      </c>
      <c r="F135" s="28">
        <f t="shared" si="56"/>
        <v>185600</v>
      </c>
      <c r="G135" s="28">
        <f t="shared" si="56"/>
        <v>0</v>
      </c>
      <c r="H135" s="28">
        <f t="shared" si="56"/>
        <v>177790</v>
      </c>
      <c r="I135" s="28">
        <f t="shared" si="56"/>
        <v>0</v>
      </c>
      <c r="J135" s="28" t="str">
        <f t="shared" si="56"/>
        <v>＋</v>
      </c>
      <c r="K135" s="28">
        <f t="shared" si="56"/>
        <v>1730</v>
      </c>
      <c r="L135" s="28">
        <f t="shared" si="56"/>
        <v>0</v>
      </c>
      <c r="M135" s="28" t="str">
        <f t="shared" si="56"/>
        <v>×加算率</v>
      </c>
      <c r="N135" s="28">
        <f t="shared" si="56"/>
        <v>1660</v>
      </c>
      <c r="O135" s="28">
        <f t="shared" si="56"/>
        <v>0</v>
      </c>
      <c r="P135" s="28" t="str">
        <f t="shared" si="56"/>
        <v>×加算率</v>
      </c>
      <c r="Q135" s="28">
        <f t="shared" si="56"/>
        <v>0</v>
      </c>
      <c r="R135" s="28">
        <f t="shared" si="56"/>
        <v>0</v>
      </c>
      <c r="S135" s="28">
        <f t="shared" si="56"/>
        <v>0</v>
      </c>
      <c r="T135" s="28">
        <f t="shared" si="56"/>
        <v>0</v>
      </c>
      <c r="U135" s="28">
        <f t="shared" si="56"/>
        <v>0</v>
      </c>
      <c r="V135" s="28">
        <f t="shared" si="56"/>
        <v>257500</v>
      </c>
      <c r="W135" s="28">
        <f t="shared" si="56"/>
        <v>0</v>
      </c>
      <c r="X135" s="28">
        <f t="shared" si="56"/>
        <v>2570</v>
      </c>
      <c r="Y135" s="28">
        <f t="shared" si="56"/>
        <v>0</v>
      </c>
      <c r="Z135" s="28">
        <f t="shared" si="56"/>
        <v>0</v>
      </c>
      <c r="AA135" s="28">
        <f t="shared" si="56"/>
        <v>0</v>
      </c>
      <c r="AB135" s="28">
        <f t="shared" si="56"/>
        <v>0</v>
      </c>
      <c r="AC135" s="28">
        <f t="shared" si="56"/>
        <v>0</v>
      </c>
      <c r="AD135" s="28">
        <f t="shared" si="56"/>
        <v>0</v>
      </c>
      <c r="AE135" s="28">
        <f t="shared" si="56"/>
        <v>0</v>
      </c>
      <c r="AF135" s="28">
        <f t="shared" si="56"/>
        <v>0</v>
      </c>
      <c r="AG135" s="28">
        <f t="shared" si="56"/>
        <v>0</v>
      </c>
      <c r="AH135" s="28"/>
      <c r="AI135" s="28"/>
      <c r="AJ135" s="28">
        <f t="shared" si="56"/>
        <v>0</v>
      </c>
      <c r="AK135" s="28" t="str">
        <f t="shared" si="56"/>
        <v>ｄ地域</v>
      </c>
      <c r="AL135" s="28">
        <f t="shared" si="56"/>
        <v>3100</v>
      </c>
      <c r="AM135" s="28">
        <f t="shared" si="56"/>
        <v>3400</v>
      </c>
      <c r="AN135" s="28">
        <f t="shared" si="56"/>
        <v>0</v>
      </c>
      <c r="AO135" s="28"/>
      <c r="AP135" s="28"/>
      <c r="AQ135" s="28"/>
      <c r="AR135" s="28"/>
      <c r="AS135" s="28"/>
      <c r="AT135" s="28"/>
      <c r="AU135" s="28"/>
      <c r="AV135" s="28"/>
      <c r="AW135" s="28"/>
      <c r="AX135" s="28"/>
      <c r="AY135" s="28"/>
      <c r="AZ135" s="28"/>
      <c r="BA135" s="28"/>
      <c r="BB135" s="28"/>
      <c r="BC135" s="28"/>
      <c r="BD135" s="28"/>
      <c r="BE135" s="28"/>
      <c r="BF135" s="28"/>
    </row>
    <row r="136" spans="2:58">
      <c r="B136" s="28">
        <v>61</v>
      </c>
      <c r="D136" s="28" t="str">
        <f>D30</f>
        <v>乳児</v>
      </c>
      <c r="E136" s="28">
        <f t="shared" ref="E136:AN136" si="57">E30</f>
        <v>0</v>
      </c>
      <c r="F136" s="28">
        <f t="shared" si="57"/>
        <v>180300</v>
      </c>
      <c r="G136" s="28">
        <f t="shared" si="57"/>
        <v>0</v>
      </c>
      <c r="H136" s="28">
        <f t="shared" si="57"/>
        <v>173610</v>
      </c>
      <c r="I136" s="28">
        <f t="shared" si="57"/>
        <v>0</v>
      </c>
      <c r="J136" s="28" t="str">
        <f t="shared" si="57"/>
        <v>＋</v>
      </c>
      <c r="K136" s="28">
        <f t="shared" si="57"/>
        <v>1680</v>
      </c>
      <c r="L136" s="28">
        <f t="shared" si="57"/>
        <v>0</v>
      </c>
      <c r="M136" s="28" t="str">
        <f t="shared" si="57"/>
        <v>×加算率</v>
      </c>
      <c r="N136" s="28">
        <f t="shared" si="57"/>
        <v>1610</v>
      </c>
      <c r="O136" s="28">
        <f t="shared" si="57"/>
        <v>0</v>
      </c>
      <c r="P136" s="28" t="str">
        <f t="shared" si="57"/>
        <v>×加算率</v>
      </c>
      <c r="Q136" s="28">
        <f t="shared" si="57"/>
        <v>0</v>
      </c>
      <c r="R136" s="28">
        <f t="shared" si="57"/>
        <v>0</v>
      </c>
      <c r="S136" s="28">
        <f t="shared" si="57"/>
        <v>0</v>
      </c>
      <c r="T136" s="28">
        <f t="shared" si="57"/>
        <v>0</v>
      </c>
      <c r="U136" s="28">
        <f t="shared" si="57"/>
        <v>0</v>
      </c>
      <c r="V136" s="28">
        <f t="shared" si="57"/>
        <v>0</v>
      </c>
      <c r="W136" s="28">
        <f t="shared" si="57"/>
        <v>0</v>
      </c>
      <c r="X136" s="28">
        <f t="shared" si="57"/>
        <v>0</v>
      </c>
      <c r="Y136" s="28">
        <f t="shared" si="57"/>
        <v>0</v>
      </c>
      <c r="Z136" s="28">
        <f t="shared" si="57"/>
        <v>0</v>
      </c>
      <c r="AA136" s="28">
        <f t="shared" si="57"/>
        <v>0</v>
      </c>
      <c r="AB136" s="28">
        <f t="shared" si="57"/>
        <v>0</v>
      </c>
      <c r="AC136" s="28">
        <f t="shared" si="57"/>
        <v>0</v>
      </c>
      <c r="AD136" s="28">
        <f t="shared" si="57"/>
        <v>0</v>
      </c>
      <c r="AE136" s="28">
        <f t="shared" si="57"/>
        <v>0</v>
      </c>
      <c r="AF136" s="28">
        <f t="shared" si="57"/>
        <v>0</v>
      </c>
      <c r="AG136" s="28">
        <f t="shared" si="57"/>
        <v>0</v>
      </c>
      <c r="AH136" s="28"/>
      <c r="AI136" s="28"/>
      <c r="AJ136" s="28">
        <f t="shared" si="57"/>
        <v>0</v>
      </c>
      <c r="AK136" s="28" t="str">
        <f t="shared" si="57"/>
        <v>ｄ地域</v>
      </c>
      <c r="AL136" s="28">
        <f t="shared" si="57"/>
        <v>2700</v>
      </c>
      <c r="AM136" s="28">
        <f t="shared" si="57"/>
        <v>3000</v>
      </c>
      <c r="AN136" s="28">
        <f t="shared" si="57"/>
        <v>0</v>
      </c>
      <c r="AO136" s="28"/>
      <c r="AP136" s="28"/>
      <c r="AQ136" s="28"/>
      <c r="AR136" s="28"/>
      <c r="AS136" s="28"/>
      <c r="AT136" s="28"/>
      <c r="AU136" s="28"/>
      <c r="AV136" s="28"/>
      <c r="AW136" s="28"/>
      <c r="AX136" s="28"/>
      <c r="AY136" s="28"/>
      <c r="AZ136" s="28"/>
      <c r="BA136" s="28"/>
      <c r="BB136" s="28"/>
      <c r="BC136" s="28"/>
      <c r="BD136" s="28"/>
      <c r="BE136" s="28"/>
      <c r="BF136" s="28"/>
    </row>
    <row r="137" spans="2:58">
      <c r="B137" s="28">
        <v>71</v>
      </c>
      <c r="D137" s="28" t="str">
        <f>D34</f>
        <v>乳児</v>
      </c>
      <c r="E137" s="28">
        <f t="shared" ref="E137:AN137" si="58">E34</f>
        <v>0</v>
      </c>
      <c r="F137" s="28">
        <f t="shared" si="58"/>
        <v>176380</v>
      </c>
      <c r="G137" s="28">
        <f t="shared" si="58"/>
        <v>0</v>
      </c>
      <c r="H137" s="28">
        <f t="shared" si="58"/>
        <v>170520</v>
      </c>
      <c r="I137" s="28">
        <f t="shared" si="58"/>
        <v>0</v>
      </c>
      <c r="J137" s="28" t="str">
        <f t="shared" si="58"/>
        <v>＋</v>
      </c>
      <c r="K137" s="28">
        <f t="shared" si="58"/>
        <v>1640</v>
      </c>
      <c r="L137" s="28">
        <f t="shared" si="58"/>
        <v>0</v>
      </c>
      <c r="M137" s="28" t="str">
        <f t="shared" si="58"/>
        <v>×加算率</v>
      </c>
      <c r="N137" s="28">
        <f t="shared" si="58"/>
        <v>1580</v>
      </c>
      <c r="O137" s="28">
        <f t="shared" si="58"/>
        <v>0</v>
      </c>
      <c r="P137" s="28" t="str">
        <f t="shared" si="58"/>
        <v>×加算率</v>
      </c>
      <c r="Q137" s="28">
        <f t="shared" si="58"/>
        <v>0</v>
      </c>
      <c r="R137" s="28">
        <f t="shared" si="58"/>
        <v>0</v>
      </c>
      <c r="S137" s="28">
        <f t="shared" si="58"/>
        <v>0</v>
      </c>
      <c r="T137" s="28">
        <f t="shared" si="58"/>
        <v>0</v>
      </c>
      <c r="U137" s="28">
        <f t="shared" si="58"/>
        <v>0</v>
      </c>
      <c r="V137" s="28" t="str">
        <f t="shared" si="58"/>
        <v>　 420人～　489人</v>
      </c>
      <c r="W137" s="28">
        <f t="shared" si="58"/>
        <v>0</v>
      </c>
      <c r="X137" s="28" t="str">
        <f t="shared" si="58"/>
        <v>　 420人～　489人</v>
      </c>
      <c r="Y137" s="28">
        <f t="shared" si="58"/>
        <v>0</v>
      </c>
      <c r="Z137" s="28">
        <f t="shared" si="58"/>
        <v>0</v>
      </c>
      <c r="AA137" s="28">
        <f t="shared" si="58"/>
        <v>0</v>
      </c>
      <c r="AB137" s="28">
        <f t="shared" si="58"/>
        <v>0</v>
      </c>
      <c r="AC137" s="28">
        <f t="shared" si="58"/>
        <v>0</v>
      </c>
      <c r="AD137" s="28">
        <f t="shared" si="58"/>
        <v>0</v>
      </c>
      <c r="AE137" s="28">
        <f t="shared" si="58"/>
        <v>0</v>
      </c>
      <c r="AF137" s="28">
        <f t="shared" si="58"/>
        <v>0</v>
      </c>
      <c r="AG137" s="28">
        <f t="shared" si="58"/>
        <v>0</v>
      </c>
      <c r="AH137" s="28"/>
      <c r="AI137" s="28"/>
      <c r="AJ137" s="28">
        <f t="shared" si="58"/>
        <v>0</v>
      </c>
      <c r="AK137" s="28" t="str">
        <f t="shared" si="58"/>
        <v>ｄ地域</v>
      </c>
      <c r="AL137" s="28">
        <f t="shared" si="58"/>
        <v>3000</v>
      </c>
      <c r="AM137" s="28">
        <f t="shared" si="58"/>
        <v>3400</v>
      </c>
      <c r="AN137" s="28">
        <f t="shared" si="58"/>
        <v>0</v>
      </c>
      <c r="AO137" s="28"/>
      <c r="AP137" s="28"/>
      <c r="AQ137" s="28"/>
      <c r="AR137" s="28"/>
      <c r="AS137" s="28"/>
      <c r="AT137" s="28"/>
      <c r="AU137" s="28"/>
      <c r="AV137" s="28"/>
      <c r="AW137" s="28"/>
      <c r="AX137" s="28"/>
      <c r="AY137" s="28"/>
      <c r="AZ137" s="28"/>
      <c r="BA137" s="28"/>
      <c r="BB137" s="28"/>
      <c r="BC137" s="28"/>
      <c r="BD137" s="28"/>
      <c r="BE137" s="28"/>
      <c r="BF137" s="28"/>
    </row>
    <row r="138" spans="2:58">
      <c r="B138" s="28">
        <v>81</v>
      </c>
      <c r="D138" s="28" t="str">
        <f>D38</f>
        <v>乳児</v>
      </c>
      <c r="E138" s="28">
        <f t="shared" ref="E138:AN138" si="59">E38</f>
        <v>0</v>
      </c>
      <c r="F138" s="28">
        <f t="shared" si="59"/>
        <v>173280</v>
      </c>
      <c r="G138" s="28">
        <f t="shared" si="59"/>
        <v>0</v>
      </c>
      <c r="H138" s="28">
        <f t="shared" si="59"/>
        <v>168070</v>
      </c>
      <c r="I138" s="28">
        <f t="shared" si="59"/>
        <v>0</v>
      </c>
      <c r="J138" s="28" t="str">
        <f t="shared" si="59"/>
        <v>＋</v>
      </c>
      <c r="K138" s="28">
        <f t="shared" si="59"/>
        <v>1610</v>
      </c>
      <c r="L138" s="28">
        <f t="shared" si="59"/>
        <v>0</v>
      </c>
      <c r="M138" s="28" t="str">
        <f t="shared" si="59"/>
        <v>×加算率</v>
      </c>
      <c r="N138" s="28">
        <f t="shared" si="59"/>
        <v>1560</v>
      </c>
      <c r="O138" s="28">
        <f t="shared" si="59"/>
        <v>0</v>
      </c>
      <c r="P138" s="28" t="str">
        <f t="shared" si="59"/>
        <v>×加算率</v>
      </c>
      <c r="Q138" s="28">
        <f t="shared" si="59"/>
        <v>0</v>
      </c>
      <c r="R138" s="28">
        <f t="shared" si="59"/>
        <v>0</v>
      </c>
      <c r="S138" s="28">
        <f t="shared" si="59"/>
        <v>0</v>
      </c>
      <c r="T138" s="28">
        <f t="shared" si="59"/>
        <v>0</v>
      </c>
      <c r="U138" s="28">
        <f t="shared" si="59"/>
        <v>0</v>
      </c>
      <c r="V138" s="28">
        <f t="shared" si="59"/>
        <v>392800</v>
      </c>
      <c r="W138" s="28">
        <f t="shared" si="59"/>
        <v>0</v>
      </c>
      <c r="X138" s="28">
        <f t="shared" si="59"/>
        <v>3920</v>
      </c>
      <c r="Y138" s="28">
        <f t="shared" si="59"/>
        <v>0</v>
      </c>
      <c r="Z138" s="28">
        <f t="shared" si="59"/>
        <v>0</v>
      </c>
      <c r="AA138" s="28">
        <f t="shared" si="59"/>
        <v>0</v>
      </c>
      <c r="AB138" s="28">
        <f t="shared" si="59"/>
        <v>0</v>
      </c>
      <c r="AC138" s="28">
        <f t="shared" si="59"/>
        <v>0</v>
      </c>
      <c r="AD138" s="28">
        <f t="shared" si="59"/>
        <v>0</v>
      </c>
      <c r="AE138" s="28">
        <f t="shared" si="59"/>
        <v>0</v>
      </c>
      <c r="AF138" s="28">
        <f t="shared" si="59"/>
        <v>0</v>
      </c>
      <c r="AG138" s="28">
        <f t="shared" si="59"/>
        <v>0</v>
      </c>
      <c r="AH138" s="28"/>
      <c r="AI138" s="28"/>
      <c r="AJ138" s="28">
        <f t="shared" si="59"/>
        <v>0</v>
      </c>
      <c r="AK138" s="28" t="str">
        <f t="shared" si="59"/>
        <v>ｄ地域</v>
      </c>
      <c r="AL138" s="28">
        <f t="shared" si="59"/>
        <v>2700</v>
      </c>
      <c r="AM138" s="28">
        <f t="shared" si="59"/>
        <v>3000</v>
      </c>
      <c r="AN138" s="28">
        <f t="shared" si="59"/>
        <v>0</v>
      </c>
      <c r="AO138" s="28"/>
      <c r="AP138" s="28"/>
      <c r="AQ138" s="28"/>
      <c r="AR138" s="28"/>
      <c r="AS138" s="28"/>
      <c r="AT138" s="28"/>
      <c r="AU138" s="28"/>
      <c r="AV138" s="28"/>
      <c r="AW138" s="28"/>
      <c r="AX138" s="28"/>
      <c r="AY138" s="28"/>
      <c r="AZ138" s="28"/>
      <c r="BA138" s="28"/>
      <c r="BB138" s="28"/>
      <c r="BC138" s="28"/>
      <c r="BD138" s="28"/>
      <c r="BE138" s="28"/>
      <c r="BF138" s="28"/>
    </row>
    <row r="139" spans="2:58">
      <c r="B139" s="28">
        <v>91</v>
      </c>
      <c r="D139" s="28" t="str">
        <f>D42</f>
        <v>乳児</v>
      </c>
      <c r="E139" s="28">
        <f t="shared" ref="E139:AN139" si="60">E42</f>
        <v>0</v>
      </c>
      <c r="F139" s="28">
        <f t="shared" si="60"/>
        <v>167850</v>
      </c>
      <c r="G139" s="28">
        <f t="shared" si="60"/>
        <v>0</v>
      </c>
      <c r="H139" s="28">
        <f t="shared" si="60"/>
        <v>163170</v>
      </c>
      <c r="I139" s="28">
        <f t="shared" si="60"/>
        <v>0</v>
      </c>
      <c r="J139" s="28" t="str">
        <f t="shared" si="60"/>
        <v>＋</v>
      </c>
      <c r="K139" s="28">
        <f t="shared" si="60"/>
        <v>1560</v>
      </c>
      <c r="L139" s="28">
        <f t="shared" si="60"/>
        <v>0</v>
      </c>
      <c r="M139" s="28" t="str">
        <f t="shared" si="60"/>
        <v>×加算率</v>
      </c>
      <c r="N139" s="28">
        <f t="shared" si="60"/>
        <v>1510</v>
      </c>
      <c r="O139" s="28">
        <f t="shared" si="60"/>
        <v>0</v>
      </c>
      <c r="P139" s="28" t="str">
        <f t="shared" si="60"/>
        <v>×加算率</v>
      </c>
      <c r="Q139" s="28">
        <f t="shared" si="60"/>
        <v>0</v>
      </c>
      <c r="R139" s="28">
        <f t="shared" si="60"/>
        <v>0</v>
      </c>
      <c r="S139" s="28">
        <f t="shared" si="60"/>
        <v>0</v>
      </c>
      <c r="T139" s="28">
        <f t="shared" si="60"/>
        <v>0</v>
      </c>
      <c r="U139" s="28">
        <f t="shared" si="60"/>
        <v>0</v>
      </c>
      <c r="V139" s="28">
        <f t="shared" si="60"/>
        <v>0</v>
      </c>
      <c r="W139" s="28">
        <f t="shared" si="60"/>
        <v>0</v>
      </c>
      <c r="X139" s="28">
        <f t="shared" si="60"/>
        <v>0</v>
      </c>
      <c r="Y139" s="28">
        <f t="shared" si="60"/>
        <v>0</v>
      </c>
      <c r="Z139" s="28">
        <f t="shared" si="60"/>
        <v>0</v>
      </c>
      <c r="AA139" s="28">
        <f t="shared" si="60"/>
        <v>0</v>
      </c>
      <c r="AB139" s="28">
        <f t="shared" si="60"/>
        <v>0</v>
      </c>
      <c r="AC139" s="28">
        <f t="shared" si="60"/>
        <v>0</v>
      </c>
      <c r="AD139" s="28">
        <f t="shared" si="60"/>
        <v>0</v>
      </c>
      <c r="AE139" s="28">
        <f t="shared" si="60"/>
        <v>0</v>
      </c>
      <c r="AF139" s="28">
        <f t="shared" si="60"/>
        <v>0</v>
      </c>
      <c r="AG139" s="28">
        <f t="shared" si="60"/>
        <v>0</v>
      </c>
      <c r="AH139" s="28"/>
      <c r="AI139" s="28"/>
      <c r="AJ139" s="28">
        <f t="shared" si="60"/>
        <v>0</v>
      </c>
      <c r="AK139" s="28" t="str">
        <f t="shared" si="60"/>
        <v>ｄ地域</v>
      </c>
      <c r="AL139" s="28">
        <f t="shared" si="60"/>
        <v>2400</v>
      </c>
      <c r="AM139" s="28">
        <f t="shared" si="60"/>
        <v>2600</v>
      </c>
      <c r="AN139" s="28">
        <f t="shared" si="60"/>
        <v>0</v>
      </c>
      <c r="AO139" s="28"/>
      <c r="AP139" s="28"/>
      <c r="AQ139" s="28"/>
      <c r="AR139" s="28"/>
      <c r="AS139" s="28"/>
      <c r="AT139" s="28"/>
      <c r="AU139" s="28"/>
      <c r="AV139" s="28"/>
      <c r="AW139" s="28"/>
      <c r="AX139" s="28"/>
      <c r="AY139" s="28"/>
      <c r="AZ139" s="28"/>
      <c r="BA139" s="28"/>
      <c r="BB139" s="28"/>
      <c r="BC139" s="28"/>
      <c r="BD139" s="28"/>
      <c r="BE139" s="28"/>
      <c r="BF139" s="28"/>
    </row>
    <row r="140" spans="2:58">
      <c r="B140" s="28">
        <v>101</v>
      </c>
      <c r="D140" s="28" t="str">
        <f>D46</f>
        <v>乳児</v>
      </c>
      <c r="E140" s="28">
        <f t="shared" ref="E140:AN140" si="61">E46</f>
        <v>0</v>
      </c>
      <c r="F140" s="28">
        <f t="shared" si="61"/>
        <v>166130</v>
      </c>
      <c r="G140" s="28">
        <f t="shared" si="61"/>
        <v>0</v>
      </c>
      <c r="H140" s="28">
        <f t="shared" si="61"/>
        <v>161870</v>
      </c>
      <c r="I140" s="28">
        <f t="shared" si="61"/>
        <v>0</v>
      </c>
      <c r="J140" s="28" t="str">
        <f t="shared" si="61"/>
        <v>＋</v>
      </c>
      <c r="K140" s="28">
        <f t="shared" si="61"/>
        <v>1540</v>
      </c>
      <c r="L140" s="28">
        <f t="shared" si="61"/>
        <v>0</v>
      </c>
      <c r="M140" s="28" t="str">
        <f t="shared" si="61"/>
        <v>×加算率</v>
      </c>
      <c r="N140" s="28">
        <f t="shared" si="61"/>
        <v>1500</v>
      </c>
      <c r="O140" s="28">
        <f t="shared" si="61"/>
        <v>0</v>
      </c>
      <c r="P140" s="28" t="str">
        <f t="shared" si="61"/>
        <v>×加算率</v>
      </c>
      <c r="Q140" s="28">
        <f t="shared" si="61"/>
        <v>0</v>
      </c>
      <c r="R140" s="28">
        <f t="shared" si="61"/>
        <v>0</v>
      </c>
      <c r="S140" s="28">
        <f t="shared" si="61"/>
        <v>0</v>
      </c>
      <c r="T140" s="28">
        <f t="shared" si="61"/>
        <v>0</v>
      </c>
      <c r="U140" s="28">
        <f t="shared" si="61"/>
        <v>0</v>
      </c>
      <c r="V140" s="28" t="str">
        <f t="shared" si="61"/>
        <v xml:space="preserve"> 　700人～　769人</v>
      </c>
      <c r="W140" s="28">
        <f t="shared" si="61"/>
        <v>0</v>
      </c>
      <c r="X140" s="28" t="str">
        <f t="shared" si="61"/>
        <v xml:space="preserve"> 　700人～　769人</v>
      </c>
      <c r="Y140" s="28">
        <f t="shared" si="61"/>
        <v>0</v>
      </c>
      <c r="Z140" s="28">
        <f t="shared" si="61"/>
        <v>0</v>
      </c>
      <c r="AA140" s="28">
        <f t="shared" si="61"/>
        <v>0</v>
      </c>
      <c r="AB140" s="28">
        <f t="shared" si="61"/>
        <v>0</v>
      </c>
      <c r="AC140" s="28">
        <f t="shared" si="61"/>
        <v>0</v>
      </c>
      <c r="AD140" s="28">
        <f t="shared" si="61"/>
        <v>0</v>
      </c>
      <c r="AE140" s="28">
        <f t="shared" si="61"/>
        <v>0</v>
      </c>
      <c r="AF140" s="28">
        <f t="shared" si="61"/>
        <v>0</v>
      </c>
      <c r="AG140" s="28">
        <f t="shared" si="61"/>
        <v>0</v>
      </c>
      <c r="AH140" s="28"/>
      <c r="AI140" s="28"/>
      <c r="AJ140" s="28">
        <f t="shared" si="61"/>
        <v>0</v>
      </c>
      <c r="AK140" s="28" t="str">
        <f t="shared" si="61"/>
        <v>ｄ地域</v>
      </c>
      <c r="AL140" s="28">
        <f t="shared" si="61"/>
        <v>2600</v>
      </c>
      <c r="AM140" s="28">
        <f t="shared" si="61"/>
        <v>2900</v>
      </c>
      <c r="AN140" s="28">
        <f t="shared" si="61"/>
        <v>0</v>
      </c>
      <c r="AO140" s="28"/>
      <c r="AP140" s="28"/>
      <c r="AQ140" s="28"/>
      <c r="AR140" s="28"/>
      <c r="AS140" s="28"/>
      <c r="AT140" s="28"/>
      <c r="AU140" s="28"/>
      <c r="AV140" s="28"/>
      <c r="AW140" s="28"/>
      <c r="AX140" s="28"/>
      <c r="AY140" s="28"/>
      <c r="AZ140" s="28"/>
      <c r="BA140" s="28"/>
      <c r="BB140" s="28"/>
      <c r="BC140" s="28"/>
      <c r="BD140" s="28"/>
      <c r="BE140" s="28"/>
      <c r="BF140" s="28"/>
    </row>
    <row r="141" spans="2:58">
      <c r="B141" s="28">
        <v>111</v>
      </c>
      <c r="D141" s="28" t="str">
        <f>D50</f>
        <v>乳児</v>
      </c>
      <c r="E141" s="28">
        <f t="shared" ref="E141:AN141" si="62">E50</f>
        <v>0</v>
      </c>
      <c r="F141" s="28">
        <f t="shared" si="62"/>
        <v>164660</v>
      </c>
      <c r="G141" s="28">
        <f t="shared" si="62"/>
        <v>0</v>
      </c>
      <c r="H141" s="28">
        <f t="shared" si="62"/>
        <v>160760</v>
      </c>
      <c r="I141" s="28">
        <f t="shared" si="62"/>
        <v>0</v>
      </c>
      <c r="J141" s="28" t="str">
        <f t="shared" si="62"/>
        <v>＋</v>
      </c>
      <c r="K141" s="28">
        <f t="shared" si="62"/>
        <v>1520</v>
      </c>
      <c r="L141" s="28">
        <f t="shared" si="62"/>
        <v>0</v>
      </c>
      <c r="M141" s="28" t="str">
        <f t="shared" si="62"/>
        <v>×加算率</v>
      </c>
      <c r="N141" s="28">
        <f t="shared" si="62"/>
        <v>1490</v>
      </c>
      <c r="O141" s="28">
        <f t="shared" si="62"/>
        <v>0</v>
      </c>
      <c r="P141" s="28" t="str">
        <f t="shared" si="62"/>
        <v>×加算率</v>
      </c>
      <c r="Q141" s="28">
        <f t="shared" si="62"/>
        <v>0</v>
      </c>
      <c r="R141" s="28">
        <f t="shared" si="62"/>
        <v>0</v>
      </c>
      <c r="S141" s="28">
        <f t="shared" si="62"/>
        <v>0</v>
      </c>
      <c r="T141" s="28">
        <f t="shared" si="62"/>
        <v>0</v>
      </c>
      <c r="U141" s="28">
        <f t="shared" si="62"/>
        <v>0</v>
      </c>
      <c r="V141" s="28">
        <f t="shared" si="62"/>
        <v>528100</v>
      </c>
      <c r="W141" s="28">
        <f t="shared" si="62"/>
        <v>0</v>
      </c>
      <c r="X141" s="28">
        <f t="shared" si="62"/>
        <v>5280</v>
      </c>
      <c r="Y141" s="28">
        <f t="shared" si="62"/>
        <v>0</v>
      </c>
      <c r="Z141" s="28">
        <f t="shared" si="62"/>
        <v>0</v>
      </c>
      <c r="AA141" s="28">
        <f t="shared" si="62"/>
        <v>0</v>
      </c>
      <c r="AB141" s="28">
        <f t="shared" si="62"/>
        <v>0</v>
      </c>
      <c r="AC141" s="28">
        <f t="shared" si="62"/>
        <v>0</v>
      </c>
      <c r="AD141" s="28">
        <f t="shared" si="62"/>
        <v>0</v>
      </c>
      <c r="AE141" s="28">
        <f t="shared" si="62"/>
        <v>0</v>
      </c>
      <c r="AF141" s="28">
        <f t="shared" si="62"/>
        <v>0</v>
      </c>
      <c r="AG141" s="28">
        <f t="shared" si="62"/>
        <v>0</v>
      </c>
      <c r="AH141" s="28"/>
      <c r="AI141" s="28"/>
      <c r="AJ141" s="28">
        <f t="shared" si="62"/>
        <v>0</v>
      </c>
      <c r="AK141" s="28" t="str">
        <f t="shared" si="62"/>
        <v>ｄ地域</v>
      </c>
      <c r="AL141" s="28">
        <f t="shared" si="62"/>
        <v>2400</v>
      </c>
      <c r="AM141" s="28">
        <f t="shared" si="62"/>
        <v>2600</v>
      </c>
      <c r="AN141" s="28">
        <f t="shared" si="62"/>
        <v>0</v>
      </c>
      <c r="AO141" s="28"/>
      <c r="AP141" s="28"/>
      <c r="AQ141" s="28"/>
      <c r="AR141" s="28"/>
      <c r="AS141" s="28"/>
      <c r="AT141" s="28"/>
      <c r="AU141" s="28"/>
      <c r="AV141" s="28"/>
      <c r="AW141" s="28"/>
      <c r="AX141" s="28"/>
      <c r="AY141" s="28"/>
      <c r="AZ141" s="28"/>
      <c r="BA141" s="28"/>
      <c r="BB141" s="28"/>
      <c r="BC141" s="28"/>
      <c r="BD141" s="28"/>
      <c r="BE141" s="28"/>
      <c r="BF141" s="28"/>
    </row>
    <row r="142" spans="2:58">
      <c r="B142" s="28">
        <v>121</v>
      </c>
      <c r="D142" s="28" t="str">
        <f>D54</f>
        <v>乳児</v>
      </c>
      <c r="E142" s="28">
        <f t="shared" ref="E142:AN142" si="63">E54</f>
        <v>0</v>
      </c>
      <c r="F142" s="28">
        <f t="shared" si="63"/>
        <v>163420</v>
      </c>
      <c r="G142" s="28">
        <f t="shared" si="63"/>
        <v>0</v>
      </c>
      <c r="H142" s="28">
        <f t="shared" si="63"/>
        <v>159810</v>
      </c>
      <c r="I142" s="28">
        <f t="shared" si="63"/>
        <v>0</v>
      </c>
      <c r="J142" s="28" t="str">
        <f t="shared" si="63"/>
        <v>＋</v>
      </c>
      <c r="K142" s="28">
        <f t="shared" si="63"/>
        <v>1510</v>
      </c>
      <c r="L142" s="28">
        <f t="shared" si="63"/>
        <v>0</v>
      </c>
      <c r="M142" s="28" t="str">
        <f t="shared" si="63"/>
        <v>×加算率</v>
      </c>
      <c r="N142" s="28">
        <f t="shared" si="63"/>
        <v>1480</v>
      </c>
      <c r="O142" s="28">
        <f t="shared" si="63"/>
        <v>0</v>
      </c>
      <c r="P142" s="28" t="str">
        <f t="shared" si="63"/>
        <v>×加算率</v>
      </c>
      <c r="Q142" s="28">
        <f t="shared" si="63"/>
        <v>0</v>
      </c>
      <c r="R142" s="28">
        <f t="shared" si="63"/>
        <v>0</v>
      </c>
      <c r="S142" s="28">
        <f t="shared" si="63"/>
        <v>0</v>
      </c>
      <c r="T142" s="28">
        <f t="shared" si="63"/>
        <v>0</v>
      </c>
      <c r="U142" s="28">
        <f t="shared" si="63"/>
        <v>0</v>
      </c>
      <c r="V142" s="28">
        <f t="shared" si="63"/>
        <v>0</v>
      </c>
      <c r="W142" s="28">
        <f t="shared" si="63"/>
        <v>0</v>
      </c>
      <c r="X142" s="28">
        <f t="shared" si="63"/>
        <v>0</v>
      </c>
      <c r="Y142" s="28">
        <f t="shared" si="63"/>
        <v>0</v>
      </c>
      <c r="Z142" s="28">
        <f t="shared" si="63"/>
        <v>0</v>
      </c>
      <c r="AA142" s="28">
        <f t="shared" si="63"/>
        <v>0</v>
      </c>
      <c r="AB142" s="28">
        <f t="shared" si="63"/>
        <v>0</v>
      </c>
      <c r="AC142" s="28">
        <f t="shared" si="63"/>
        <v>0</v>
      </c>
      <c r="AD142" s="28">
        <f t="shared" si="63"/>
        <v>0</v>
      </c>
      <c r="AE142" s="28">
        <f t="shared" si="63"/>
        <v>0</v>
      </c>
      <c r="AF142" s="28">
        <f t="shared" si="63"/>
        <v>0</v>
      </c>
      <c r="AG142" s="28">
        <f t="shared" si="63"/>
        <v>0</v>
      </c>
      <c r="AH142" s="28"/>
      <c r="AI142" s="28"/>
      <c r="AJ142" s="28">
        <f t="shared" si="63"/>
        <v>0</v>
      </c>
      <c r="AK142" s="28" t="str">
        <f t="shared" si="63"/>
        <v>ｄ地域</v>
      </c>
      <c r="AL142" s="28">
        <f t="shared" si="63"/>
        <v>2200</v>
      </c>
      <c r="AM142" s="28">
        <f t="shared" si="63"/>
        <v>2400</v>
      </c>
      <c r="AN142" s="28">
        <f t="shared" si="63"/>
        <v>0</v>
      </c>
      <c r="AO142" s="28"/>
      <c r="AP142" s="28"/>
      <c r="AQ142" s="28"/>
      <c r="AR142" s="28"/>
      <c r="AS142" s="28"/>
      <c r="AT142" s="28"/>
      <c r="AU142" s="28"/>
      <c r="AV142" s="28"/>
      <c r="AW142" s="28"/>
      <c r="AX142" s="28"/>
      <c r="AY142" s="28"/>
      <c r="AZ142" s="28"/>
      <c r="BA142" s="28"/>
      <c r="BB142" s="28"/>
      <c r="BC142" s="28"/>
      <c r="BD142" s="28"/>
      <c r="BE142" s="28"/>
      <c r="BF142" s="28"/>
    </row>
    <row r="143" spans="2:58">
      <c r="B143" s="28">
        <v>131</v>
      </c>
      <c r="D143" s="28" t="str">
        <f>D58</f>
        <v>乳児</v>
      </c>
      <c r="E143" s="28">
        <f t="shared" ref="E143:AN143" si="64">E58</f>
        <v>0</v>
      </c>
      <c r="F143" s="28">
        <f t="shared" si="64"/>
        <v>162380</v>
      </c>
      <c r="G143" s="28">
        <f t="shared" si="64"/>
        <v>0</v>
      </c>
      <c r="H143" s="28">
        <f t="shared" si="64"/>
        <v>159030</v>
      </c>
      <c r="I143" s="28">
        <f t="shared" si="64"/>
        <v>0</v>
      </c>
      <c r="J143" s="28" t="str">
        <f t="shared" si="64"/>
        <v>＋</v>
      </c>
      <c r="K143" s="28">
        <f t="shared" si="64"/>
        <v>1500</v>
      </c>
      <c r="L143" s="28">
        <f t="shared" si="64"/>
        <v>0</v>
      </c>
      <c r="M143" s="28" t="str">
        <f t="shared" si="64"/>
        <v>×加算率</v>
      </c>
      <c r="N143" s="28">
        <f t="shared" si="64"/>
        <v>1470</v>
      </c>
      <c r="O143" s="28">
        <f t="shared" si="64"/>
        <v>0</v>
      </c>
      <c r="P143" s="28" t="str">
        <f t="shared" si="64"/>
        <v>×加算率</v>
      </c>
      <c r="Q143" s="28">
        <f t="shared" si="64"/>
        <v>0</v>
      </c>
      <c r="R143" s="28">
        <f t="shared" si="64"/>
        <v>0</v>
      </c>
      <c r="S143" s="28">
        <f t="shared" si="64"/>
        <v>0</v>
      </c>
      <c r="T143" s="28">
        <f t="shared" si="64"/>
        <v>0</v>
      </c>
      <c r="U143" s="28">
        <f t="shared" si="64"/>
        <v>0</v>
      </c>
      <c r="V143" s="28" t="str">
        <f t="shared" si="64"/>
        <v>　 980人～1,049人</v>
      </c>
      <c r="W143" s="28">
        <f t="shared" si="64"/>
        <v>0</v>
      </c>
      <c r="X143" s="28" t="str">
        <f t="shared" si="64"/>
        <v>　 980人～1,049人</v>
      </c>
      <c r="Y143" s="28">
        <f t="shared" si="64"/>
        <v>0</v>
      </c>
      <c r="Z143" s="28">
        <f t="shared" si="64"/>
        <v>0</v>
      </c>
      <c r="AA143" s="28">
        <f t="shared" si="64"/>
        <v>0</v>
      </c>
      <c r="AB143" s="28">
        <f t="shared" si="64"/>
        <v>0</v>
      </c>
      <c r="AC143" s="28">
        <f t="shared" si="64"/>
        <v>0</v>
      </c>
      <c r="AD143" s="28">
        <f t="shared" si="64"/>
        <v>0</v>
      </c>
      <c r="AE143" s="28">
        <f t="shared" si="64"/>
        <v>0</v>
      </c>
      <c r="AF143" s="28">
        <f t="shared" si="64"/>
        <v>0</v>
      </c>
      <c r="AG143" s="28">
        <f t="shared" si="64"/>
        <v>0</v>
      </c>
      <c r="AH143" s="28"/>
      <c r="AI143" s="28"/>
      <c r="AJ143" s="28">
        <f t="shared" si="64"/>
        <v>0</v>
      </c>
      <c r="AK143" s="28" t="str">
        <f t="shared" si="64"/>
        <v>ｄ地域</v>
      </c>
      <c r="AL143" s="28">
        <f t="shared" si="64"/>
        <v>2400</v>
      </c>
      <c r="AM143" s="28">
        <f t="shared" si="64"/>
        <v>2600</v>
      </c>
      <c r="AN143" s="28">
        <f t="shared" si="64"/>
        <v>0</v>
      </c>
      <c r="AO143" s="28"/>
      <c r="AP143" s="28"/>
      <c r="AQ143" s="28"/>
      <c r="AR143" s="28"/>
      <c r="AS143" s="28"/>
      <c r="AT143" s="28"/>
      <c r="AU143" s="28"/>
      <c r="AV143" s="28"/>
      <c r="AW143" s="28"/>
      <c r="AX143" s="28"/>
      <c r="AY143" s="28"/>
      <c r="AZ143" s="28"/>
      <c r="BA143" s="28"/>
      <c r="BB143" s="28"/>
      <c r="BC143" s="28"/>
      <c r="BD143" s="28"/>
      <c r="BE143" s="28"/>
      <c r="BF143" s="28"/>
    </row>
    <row r="144" spans="2:58">
      <c r="B144" s="28">
        <v>141</v>
      </c>
      <c r="D144" s="28" t="str">
        <f>D62</f>
        <v>乳児</v>
      </c>
      <c r="E144" s="28">
        <f t="shared" ref="E144:AN144" si="65">E62</f>
        <v>0</v>
      </c>
      <c r="F144" s="28">
        <f t="shared" si="65"/>
        <v>161460</v>
      </c>
      <c r="G144" s="28">
        <f t="shared" si="65"/>
        <v>0</v>
      </c>
      <c r="H144" s="28">
        <f t="shared" si="65"/>
        <v>158340</v>
      </c>
      <c r="I144" s="28">
        <f t="shared" si="65"/>
        <v>0</v>
      </c>
      <c r="J144" s="28" t="str">
        <f t="shared" si="65"/>
        <v>＋</v>
      </c>
      <c r="K144" s="28">
        <f t="shared" si="65"/>
        <v>1490</v>
      </c>
      <c r="L144" s="28">
        <f t="shared" si="65"/>
        <v>0</v>
      </c>
      <c r="M144" s="28" t="str">
        <f t="shared" si="65"/>
        <v>×加算率</v>
      </c>
      <c r="N144" s="28">
        <f t="shared" si="65"/>
        <v>1460</v>
      </c>
      <c r="O144" s="28">
        <f t="shared" si="65"/>
        <v>0</v>
      </c>
      <c r="P144" s="28" t="str">
        <f t="shared" si="65"/>
        <v>×加算率</v>
      </c>
      <c r="Q144" s="28">
        <f t="shared" si="65"/>
        <v>0</v>
      </c>
      <c r="R144" s="28">
        <f t="shared" si="65"/>
        <v>0</v>
      </c>
      <c r="S144" s="28">
        <f t="shared" si="65"/>
        <v>0</v>
      </c>
      <c r="T144" s="28">
        <f t="shared" si="65"/>
        <v>0</v>
      </c>
      <c r="U144" s="28">
        <f t="shared" si="65"/>
        <v>0</v>
      </c>
      <c r="V144" s="28">
        <f t="shared" si="65"/>
        <v>663500</v>
      </c>
      <c r="W144" s="28">
        <f t="shared" si="65"/>
        <v>0</v>
      </c>
      <c r="X144" s="28">
        <f t="shared" si="65"/>
        <v>6630</v>
      </c>
      <c r="Y144" s="28">
        <f t="shared" si="65"/>
        <v>0</v>
      </c>
      <c r="Z144" s="28">
        <f t="shared" si="65"/>
        <v>0</v>
      </c>
      <c r="AA144" s="28">
        <f t="shared" si="65"/>
        <v>0</v>
      </c>
      <c r="AB144" s="28">
        <f t="shared" si="65"/>
        <v>0</v>
      </c>
      <c r="AC144" s="28">
        <f t="shared" si="65"/>
        <v>0</v>
      </c>
      <c r="AD144" s="28">
        <f t="shared" si="65"/>
        <v>0</v>
      </c>
      <c r="AE144" s="28">
        <f t="shared" si="65"/>
        <v>0</v>
      </c>
      <c r="AF144" s="28">
        <f t="shared" si="65"/>
        <v>0</v>
      </c>
      <c r="AG144" s="28">
        <f t="shared" si="65"/>
        <v>0</v>
      </c>
      <c r="AH144" s="28"/>
      <c r="AI144" s="28"/>
      <c r="AJ144" s="28">
        <f t="shared" si="65"/>
        <v>0</v>
      </c>
      <c r="AK144" s="28" t="str">
        <f t="shared" si="65"/>
        <v>ｄ地域</v>
      </c>
      <c r="AL144" s="28">
        <f t="shared" si="65"/>
        <v>2300</v>
      </c>
      <c r="AM144" s="28">
        <f t="shared" si="65"/>
        <v>2500</v>
      </c>
      <c r="AN144" s="28">
        <f t="shared" si="65"/>
        <v>0</v>
      </c>
      <c r="AO144" s="28"/>
      <c r="AP144" s="28"/>
      <c r="AQ144" s="28"/>
      <c r="AR144" s="28"/>
      <c r="AS144" s="28"/>
      <c r="AT144" s="28"/>
      <c r="AU144" s="28"/>
      <c r="AV144" s="28"/>
      <c r="AW144" s="28"/>
      <c r="AX144" s="28"/>
      <c r="AY144" s="28"/>
      <c r="AZ144" s="28"/>
      <c r="BA144" s="28"/>
      <c r="BB144" s="28"/>
      <c r="BC144" s="28"/>
      <c r="BD144" s="28"/>
      <c r="BE144" s="28"/>
      <c r="BF144" s="28"/>
    </row>
    <row r="145" spans="1:58">
      <c r="B145" s="28">
        <v>151</v>
      </c>
      <c r="D145" s="28" t="str">
        <f>D66</f>
        <v>乳児</v>
      </c>
      <c r="E145" s="28">
        <f t="shared" ref="E145:AN145" si="66">E66</f>
        <v>0</v>
      </c>
      <c r="F145" s="28">
        <f t="shared" si="66"/>
        <v>161520</v>
      </c>
      <c r="G145" s="28">
        <f t="shared" si="66"/>
        <v>0</v>
      </c>
      <c r="H145" s="28">
        <f t="shared" si="66"/>
        <v>158590</v>
      </c>
      <c r="I145" s="28">
        <f t="shared" si="66"/>
        <v>0</v>
      </c>
      <c r="J145" s="28" t="str">
        <f t="shared" si="66"/>
        <v>＋</v>
      </c>
      <c r="K145" s="28">
        <f t="shared" si="66"/>
        <v>1490</v>
      </c>
      <c r="L145" s="28">
        <f t="shared" si="66"/>
        <v>0</v>
      </c>
      <c r="M145" s="28" t="str">
        <f t="shared" si="66"/>
        <v>×加算率</v>
      </c>
      <c r="N145" s="28">
        <f t="shared" si="66"/>
        <v>1460</v>
      </c>
      <c r="O145" s="28">
        <f t="shared" si="66"/>
        <v>0</v>
      </c>
      <c r="P145" s="28" t="str">
        <f t="shared" si="66"/>
        <v>×加算率</v>
      </c>
      <c r="Q145" s="28">
        <f t="shared" si="66"/>
        <v>0</v>
      </c>
      <c r="R145" s="28">
        <f t="shared" si="66"/>
        <v>0</v>
      </c>
      <c r="S145" s="28">
        <f t="shared" si="66"/>
        <v>0</v>
      </c>
      <c r="T145" s="28">
        <f t="shared" si="66"/>
        <v>0</v>
      </c>
      <c r="U145" s="28">
        <f t="shared" si="66"/>
        <v>0</v>
      </c>
      <c r="V145" s="28">
        <f t="shared" si="66"/>
        <v>0</v>
      </c>
      <c r="W145" s="28">
        <f t="shared" si="66"/>
        <v>0</v>
      </c>
      <c r="X145" s="28">
        <f t="shared" si="66"/>
        <v>0</v>
      </c>
      <c r="Y145" s="28">
        <f t="shared" si="66"/>
        <v>0</v>
      </c>
      <c r="Z145" s="28">
        <f t="shared" si="66"/>
        <v>0</v>
      </c>
      <c r="AA145" s="28">
        <f t="shared" si="66"/>
        <v>0</v>
      </c>
      <c r="AB145" s="28">
        <f t="shared" si="66"/>
        <v>0</v>
      </c>
      <c r="AC145" s="28">
        <f t="shared" si="66"/>
        <v>0</v>
      </c>
      <c r="AD145" s="28">
        <f t="shared" si="66"/>
        <v>0</v>
      </c>
      <c r="AE145" s="28">
        <f t="shared" si="66"/>
        <v>0</v>
      </c>
      <c r="AF145" s="28">
        <f t="shared" si="66"/>
        <v>0</v>
      </c>
      <c r="AG145" s="28">
        <f t="shared" si="66"/>
        <v>0</v>
      </c>
      <c r="AH145" s="28"/>
      <c r="AI145" s="28"/>
      <c r="AJ145" s="28">
        <f t="shared" si="66"/>
        <v>0</v>
      </c>
      <c r="AK145" s="28" t="str">
        <f t="shared" si="66"/>
        <v>ｄ地域</v>
      </c>
      <c r="AL145" s="28">
        <f t="shared" si="66"/>
        <v>2000</v>
      </c>
      <c r="AM145" s="28">
        <f t="shared" si="66"/>
        <v>2300</v>
      </c>
      <c r="AN145" s="28">
        <f t="shared" si="66"/>
        <v>0</v>
      </c>
      <c r="AO145" s="28"/>
      <c r="AP145" s="28"/>
      <c r="AQ145" s="28"/>
      <c r="AR145" s="28"/>
      <c r="AS145" s="28"/>
      <c r="AT145" s="28"/>
      <c r="AU145" s="28"/>
      <c r="AV145" s="28"/>
      <c r="AW145" s="28"/>
      <c r="AX145" s="28"/>
      <c r="AY145" s="28"/>
      <c r="AZ145" s="28"/>
      <c r="BA145" s="28"/>
      <c r="BB145" s="28"/>
      <c r="BC145" s="28"/>
      <c r="BD145" s="28"/>
      <c r="BE145" s="28"/>
      <c r="BF145" s="28"/>
    </row>
    <row r="146" spans="1:58">
      <c r="B146" s="28">
        <v>161</v>
      </c>
      <c r="D146" s="28" t="str">
        <f>D70</f>
        <v>乳児</v>
      </c>
      <c r="E146" s="28">
        <f t="shared" ref="E146:AN146" si="67">E70</f>
        <v>0</v>
      </c>
      <c r="F146" s="28">
        <f t="shared" si="67"/>
        <v>160780</v>
      </c>
      <c r="G146" s="28">
        <f t="shared" si="67"/>
        <v>0</v>
      </c>
      <c r="H146" s="28">
        <f t="shared" si="67"/>
        <v>158020</v>
      </c>
      <c r="I146" s="28">
        <f t="shared" si="67"/>
        <v>0</v>
      </c>
      <c r="J146" s="28" t="str">
        <f t="shared" si="67"/>
        <v>＋</v>
      </c>
      <c r="K146" s="28">
        <f t="shared" si="67"/>
        <v>1490</v>
      </c>
      <c r="L146" s="28">
        <f t="shared" si="67"/>
        <v>0</v>
      </c>
      <c r="M146" s="28" t="str">
        <f t="shared" si="67"/>
        <v>×加算率</v>
      </c>
      <c r="N146" s="28">
        <f t="shared" si="67"/>
        <v>1460</v>
      </c>
      <c r="O146" s="28">
        <f t="shared" si="67"/>
        <v>0</v>
      </c>
      <c r="P146" s="28" t="str">
        <f t="shared" si="67"/>
        <v>×加算率</v>
      </c>
      <c r="Q146" s="28">
        <f t="shared" si="67"/>
        <v>0</v>
      </c>
      <c r="R146" s="28">
        <f t="shared" si="67"/>
        <v>0</v>
      </c>
      <c r="S146" s="28">
        <f t="shared" si="67"/>
        <v>0</v>
      </c>
      <c r="T146" s="28">
        <f t="shared" si="67"/>
        <v>0</v>
      </c>
      <c r="U146" s="28">
        <f t="shared" si="67"/>
        <v>0</v>
      </c>
      <c r="V146" s="28">
        <f t="shared" si="67"/>
        <v>0</v>
      </c>
      <c r="W146" s="28">
        <f t="shared" si="67"/>
        <v>0</v>
      </c>
      <c r="X146" s="28">
        <f t="shared" si="67"/>
        <v>0</v>
      </c>
      <c r="Y146" s="28">
        <f t="shared" si="67"/>
        <v>0</v>
      </c>
      <c r="Z146" s="28">
        <f t="shared" si="67"/>
        <v>0</v>
      </c>
      <c r="AA146" s="28">
        <f t="shared" si="67"/>
        <v>0</v>
      </c>
      <c r="AB146" s="28">
        <f t="shared" si="67"/>
        <v>0</v>
      </c>
      <c r="AC146" s="28">
        <f t="shared" si="67"/>
        <v>0</v>
      </c>
      <c r="AD146" s="28">
        <f t="shared" si="67"/>
        <v>0</v>
      </c>
      <c r="AE146" s="28">
        <f t="shared" si="67"/>
        <v>0</v>
      </c>
      <c r="AF146" s="28">
        <f t="shared" si="67"/>
        <v>0</v>
      </c>
      <c r="AG146" s="28">
        <f t="shared" si="67"/>
        <v>0</v>
      </c>
      <c r="AH146" s="28"/>
      <c r="AI146" s="28"/>
      <c r="AJ146" s="28">
        <f t="shared" si="67"/>
        <v>0</v>
      </c>
      <c r="AK146" s="28" t="str">
        <f t="shared" si="67"/>
        <v>ｄ地域</v>
      </c>
      <c r="AL146" s="28">
        <f t="shared" si="67"/>
        <v>2300</v>
      </c>
      <c r="AM146" s="28">
        <f t="shared" si="67"/>
        <v>2500</v>
      </c>
      <c r="AN146" s="28">
        <f t="shared" si="67"/>
        <v>0</v>
      </c>
      <c r="AO146" s="28"/>
      <c r="AP146" s="28"/>
      <c r="AQ146" s="28"/>
      <c r="AR146" s="28"/>
      <c r="AS146" s="28"/>
      <c r="AT146" s="28"/>
      <c r="AU146" s="28"/>
      <c r="AV146" s="28"/>
      <c r="AW146" s="28"/>
      <c r="AX146" s="28"/>
      <c r="AY146" s="28"/>
      <c r="AZ146" s="28"/>
      <c r="BA146" s="28"/>
      <c r="BB146" s="28"/>
      <c r="BC146" s="28"/>
      <c r="BD146" s="28"/>
      <c r="BE146" s="28"/>
      <c r="BF146" s="28"/>
    </row>
    <row r="147" spans="1:58">
      <c r="B147" s="28">
        <v>171</v>
      </c>
      <c r="D147" s="28" t="str">
        <f>D74</f>
        <v>乳児</v>
      </c>
      <c r="E147" s="28">
        <f t="shared" ref="E147:AN147" si="68">E74</f>
        <v>0</v>
      </c>
      <c r="F147" s="28">
        <f t="shared" si="68"/>
        <v>160100</v>
      </c>
      <c r="G147" s="28">
        <f t="shared" si="68"/>
        <v>0</v>
      </c>
      <c r="H147" s="28">
        <f t="shared" si="68"/>
        <v>157500</v>
      </c>
      <c r="I147" s="28">
        <f t="shared" si="68"/>
        <v>0</v>
      </c>
      <c r="J147" s="28" t="str">
        <f t="shared" si="68"/>
        <v>＋</v>
      </c>
      <c r="K147" s="28">
        <f t="shared" si="68"/>
        <v>1480</v>
      </c>
      <c r="L147" s="28">
        <f t="shared" si="68"/>
        <v>0</v>
      </c>
      <c r="M147" s="28" t="str">
        <f t="shared" si="68"/>
        <v>×加算率</v>
      </c>
      <c r="N147" s="28">
        <f t="shared" si="68"/>
        <v>1450</v>
      </c>
      <c r="O147" s="28">
        <f t="shared" si="68"/>
        <v>0</v>
      </c>
      <c r="P147" s="28" t="str">
        <f t="shared" si="68"/>
        <v>×加算率</v>
      </c>
      <c r="Q147" s="28">
        <f t="shared" si="68"/>
        <v>0</v>
      </c>
      <c r="R147" s="28">
        <f t="shared" si="68"/>
        <v>0</v>
      </c>
      <c r="S147" s="28">
        <f t="shared" si="68"/>
        <v>0</v>
      </c>
      <c r="T147" s="28">
        <f t="shared" si="68"/>
        <v>0</v>
      </c>
      <c r="U147" s="28">
        <f t="shared" si="68"/>
        <v>0</v>
      </c>
      <c r="V147" s="28">
        <f t="shared" si="68"/>
        <v>0</v>
      </c>
      <c r="W147" s="28">
        <f t="shared" si="68"/>
        <v>0</v>
      </c>
      <c r="X147" s="28">
        <f t="shared" si="68"/>
        <v>0</v>
      </c>
      <c r="Y147" s="28">
        <f t="shared" si="68"/>
        <v>0</v>
      </c>
      <c r="Z147" s="28">
        <f t="shared" si="68"/>
        <v>0</v>
      </c>
      <c r="AA147" s="28">
        <f t="shared" si="68"/>
        <v>0</v>
      </c>
      <c r="AB147" s="28">
        <f t="shared" si="68"/>
        <v>0</v>
      </c>
      <c r="AC147" s="28">
        <f t="shared" si="68"/>
        <v>0</v>
      </c>
      <c r="AD147" s="28">
        <f t="shared" si="68"/>
        <v>0</v>
      </c>
      <c r="AE147" s="28">
        <f t="shared" si="68"/>
        <v>0</v>
      </c>
      <c r="AF147" s="28">
        <f t="shared" si="68"/>
        <v>0</v>
      </c>
      <c r="AG147" s="28">
        <f t="shared" si="68"/>
        <v>0</v>
      </c>
      <c r="AH147" s="28"/>
      <c r="AI147" s="28"/>
      <c r="AJ147" s="28">
        <f t="shared" si="68"/>
        <v>0</v>
      </c>
      <c r="AK147" s="28" t="str">
        <f t="shared" si="68"/>
        <v>ｄ地域</v>
      </c>
      <c r="AL147" s="28">
        <f t="shared" si="68"/>
        <v>2000</v>
      </c>
      <c r="AM147" s="28">
        <f t="shared" si="68"/>
        <v>2300</v>
      </c>
      <c r="AN147" s="28">
        <f t="shared" si="68"/>
        <v>0</v>
      </c>
      <c r="AO147" s="28"/>
      <c r="AP147" s="28"/>
      <c r="AQ147" s="28"/>
      <c r="AR147" s="28"/>
      <c r="AS147" s="28"/>
      <c r="AT147" s="28"/>
      <c r="AU147" s="28"/>
      <c r="AV147" s="28"/>
      <c r="AW147" s="28"/>
      <c r="AX147" s="28"/>
      <c r="AY147" s="28"/>
      <c r="AZ147" s="28"/>
      <c r="BA147" s="28"/>
      <c r="BB147" s="28"/>
      <c r="BC147" s="28"/>
      <c r="BD147" s="28"/>
      <c r="BE147" s="28"/>
      <c r="BF147" s="28"/>
    </row>
    <row r="149" spans="1:58">
      <c r="A149" s="230" t="s">
        <v>210</v>
      </c>
      <c r="B149" s="28">
        <v>1</v>
      </c>
      <c r="C149" s="28">
        <f>X23</f>
        <v>2400</v>
      </c>
    </row>
    <row r="150" spans="1:58">
      <c r="A150" s="28" t="e">
        <f>IF(ROUNDDOWN(VLOOKUP('入力（加算）保'!$F$19,$B$149:$C$162,2,TRUE)/'入力（加算）保'!$I$71,-1)&lt;10,ROUNDDOWN(VLOOKUP('入力（加算）保'!$F$19,$B$149:$C$162,2,TRUE)/'入力（加算）保'!$I$71,0),ROUNDDOWN(VLOOKUP('入力（加算）保'!$F$19,$B$149:$C$162,2,TRUE)/'入力（加算）保'!$I$71,-1))</f>
        <v>#N/A</v>
      </c>
      <c r="B150" s="28">
        <v>211</v>
      </c>
      <c r="C150" s="28">
        <f>X26</f>
        <v>2570</v>
      </c>
    </row>
    <row r="151" spans="1:58">
      <c r="B151" s="28">
        <v>280</v>
      </c>
      <c r="C151" s="28">
        <f>X29</f>
        <v>2910</v>
      </c>
    </row>
    <row r="152" spans="1:58">
      <c r="B152" s="28">
        <v>350</v>
      </c>
      <c r="C152" s="28">
        <f>X32</f>
        <v>3250</v>
      </c>
    </row>
    <row r="153" spans="1:58">
      <c r="B153" s="28">
        <v>420</v>
      </c>
      <c r="C153" s="28">
        <f>X35</f>
        <v>3590</v>
      </c>
    </row>
    <row r="154" spans="1:58">
      <c r="B154" s="28">
        <v>490</v>
      </c>
      <c r="C154" s="28">
        <f>X38</f>
        <v>3920</v>
      </c>
    </row>
    <row r="155" spans="1:58">
      <c r="B155" s="28">
        <v>560</v>
      </c>
      <c r="C155" s="28">
        <f>X41</f>
        <v>4260</v>
      </c>
    </row>
    <row r="156" spans="1:58">
      <c r="B156" s="28">
        <v>630</v>
      </c>
      <c r="C156" s="28">
        <f>X44</f>
        <v>4600</v>
      </c>
    </row>
    <row r="157" spans="1:58">
      <c r="B157" s="28">
        <v>700</v>
      </c>
      <c r="C157" s="28">
        <f>X47</f>
        <v>4940</v>
      </c>
    </row>
    <row r="158" spans="1:58">
      <c r="B158" s="28">
        <v>770</v>
      </c>
      <c r="C158" s="28">
        <f>X50</f>
        <v>5280</v>
      </c>
    </row>
    <row r="159" spans="1:58">
      <c r="B159" s="28">
        <v>840</v>
      </c>
      <c r="C159" s="28">
        <f>X53</f>
        <v>5620</v>
      </c>
    </row>
    <row r="160" spans="1:58">
      <c r="B160" s="28">
        <v>910</v>
      </c>
      <c r="C160" s="28">
        <f>X56</f>
        <v>5950</v>
      </c>
    </row>
    <row r="161" spans="1:29">
      <c r="B161" s="28">
        <v>980</v>
      </c>
      <c r="C161" s="28">
        <f>X59</f>
        <v>6290</v>
      </c>
    </row>
    <row r="162" spans="1:29">
      <c r="B162" s="28">
        <v>1050</v>
      </c>
      <c r="C162" s="28">
        <f>X62</f>
        <v>6630</v>
      </c>
    </row>
    <row r="164" spans="1:29" ht="21">
      <c r="A164" s="231" t="s">
        <v>512</v>
      </c>
      <c r="B164" s="28" t="s">
        <v>514</v>
      </c>
      <c r="C164" s="222" t="e">
        <f>VLOOKUP($B$169,保育所1!$B$77:$BF$93,52,TRUE)</f>
        <v>#N/A</v>
      </c>
      <c r="D164" s="27"/>
    </row>
    <row r="165" spans="1:29" ht="13.5" customHeight="1">
      <c r="A165" s="231"/>
      <c r="B165" s="28" t="s">
        <v>515</v>
      </c>
      <c r="C165" s="222" t="e">
        <f>VLOOKUP($B$169,保育所1!$B$77:$BF$93,53,TRUE)</f>
        <v>#N/A</v>
      </c>
      <c r="D165" s="27"/>
      <c r="E165" s="27"/>
      <c r="AC165" s="222"/>
    </row>
    <row r="166" spans="1:29">
      <c r="B166" s="28" t="s">
        <v>516</v>
      </c>
      <c r="C166" s="222" t="e">
        <f>VLOOKUP($B$169,保育所1!$B$77:$BF$93,54,TRUE)</f>
        <v>#N/A</v>
      </c>
    </row>
    <row r="167" spans="1:29">
      <c r="B167" s="222" t="s">
        <v>517</v>
      </c>
      <c r="C167" s="222" t="e">
        <f>VLOOKUP($B$169,保育所1!$B$77:$BF$93,55,TRUE)</f>
        <v>#N/A</v>
      </c>
    </row>
    <row r="168" spans="1:29">
      <c r="B168" s="222" t="s">
        <v>536</v>
      </c>
      <c r="C168" s="222">
        <v>0</v>
      </c>
    </row>
    <row r="169" spans="1:29">
      <c r="A169" s="223" t="s">
        <v>513</v>
      </c>
      <c r="B169" s="224">
        <f>'入力（加算）保'!$D$9</f>
        <v>0</v>
      </c>
      <c r="C169" s="27"/>
    </row>
    <row r="170" spans="1:29">
      <c r="A170" s="27"/>
      <c r="B170" s="27"/>
      <c r="H170" s="27"/>
      <c r="I170" s="27"/>
    </row>
    <row r="171" spans="1:29">
      <c r="B171" s="222"/>
    </row>
    <row r="172" spans="1:29">
      <c r="B172" s="222"/>
      <c r="C172" s="27"/>
    </row>
    <row r="173" spans="1:29">
      <c r="B173" s="222"/>
      <c r="C173" s="27"/>
    </row>
    <row r="174" spans="1:29">
      <c r="B174" s="222"/>
      <c r="C174" s="27"/>
    </row>
    <row r="175" spans="1:29">
      <c r="B175" s="222"/>
      <c r="C175" s="27"/>
    </row>
    <row r="176" spans="1:29">
      <c r="B176" s="222"/>
    </row>
    <row r="177" spans="2:2">
      <c r="B177" s="222"/>
    </row>
    <row r="178" spans="2:2">
      <c r="B178" s="222"/>
    </row>
    <row r="179" spans="2:2">
      <c r="B179" s="222"/>
    </row>
  </sheetData>
  <sheetProtection algorithmName="SHA-512" hashValue="mj1X2pEQ8bU2BYEfq/cwrxvPDc1UpR8KhT7G8kayfAfnGpIeyo4xVZ0WhUy9Jqsx5mTVaaoQNojwZdNaDTCYQA==" saltValue="0g8/+nbdW//ECIQr1XUilA==" spinCount="100000" sheet="1" objects="1" scenarios="1" selectLockedCells="1"/>
  <customSheetViews>
    <customSheetView guid="{2E52E5FF-9846-4DC5-A671-268FE925398C}" showPageBreaks="1" printArea="1" state="hidden" view="pageBreakPreview">
      <pane xSplit="4" ySplit="6" topLeftCell="AE73" activePane="bottomRight" state="frozen"/>
      <selection pane="bottomRight" activeCell="K63" sqref="K63:K64"/>
      <rowBreaks count="1" manualBreakCount="1">
        <brk id="6" max="16383" man="1"/>
      </rowBreaks>
      <colBreaks count="3" manualBreakCount="3">
        <brk id="16" max="73" man="1"/>
        <brk id="33" max="73" man="1"/>
        <brk id="48" max="73" man="1"/>
      </colBreaks>
      <pageMargins left="0.39370078740157483" right="0.39370078740157483" top="0.78740157480314965" bottom="0.39370078740157483" header="0.39370078740157483" footer="0.15748031496062992"/>
      <pageSetup paperSize="9" scale="72" pageOrder="overThenDown" orientation="portrait" horizontalDpi="300" verticalDpi="300" r:id="rId1"/>
      <headerFooter differentFirst="1">
        <firstHeader>&amp;L&amp;"ＤＦ特太ゴシック体,標準"&amp;16保育所（保育認定）</firstHeader>
      </headerFooter>
    </customSheetView>
    <customSheetView guid="{BADA99B3-B36A-4925-87A7-F72FC97D3DBA}" showPageBreaks="1" printArea="1" state="hidden" view="pageBreakPreview">
      <pane xSplit="4" ySplit="6" topLeftCell="AE73" activePane="bottomRight" state="frozen"/>
      <selection pane="bottomRight" activeCell="K63" sqref="K63:K64"/>
      <rowBreaks count="1" manualBreakCount="1">
        <brk id="6" max="16383" man="1"/>
      </rowBreaks>
      <colBreaks count="3" manualBreakCount="3">
        <brk id="16" max="73" man="1"/>
        <brk id="33" max="73" man="1"/>
        <brk id="48" max="73" man="1"/>
      </colBreaks>
      <pageMargins left="0.39370078740157483" right="0.39370078740157483" top="0.78740157480314965" bottom="0.39370078740157483" header="0.39370078740157483" footer="0.15748031496062992"/>
      <pageSetup paperSize="9" scale="72" pageOrder="overThenDown" orientation="portrait" horizontalDpi="300" verticalDpi="300" r:id="rId2"/>
      <headerFooter differentFirst="1">
        <firstHeader>&amp;L&amp;"ＤＦ特太ゴシック体,標準"&amp;16保育所（保育認定）</firstHeader>
      </headerFooter>
    </customSheetView>
  </customSheetViews>
  <mergeCells count="598">
    <mergeCell ref="BF71:BF72"/>
    <mergeCell ref="AE71:AE74"/>
    <mergeCell ref="AG71:AG74"/>
    <mergeCell ref="AJ71:AJ74"/>
    <mergeCell ref="BF67:BF68"/>
    <mergeCell ref="BD69:BD70"/>
    <mergeCell ref="C73:C74"/>
    <mergeCell ref="BA73:BA74"/>
    <mergeCell ref="BF73:BF74"/>
    <mergeCell ref="AN71:AN74"/>
    <mergeCell ref="AO71:AO74"/>
    <mergeCell ref="AP71:AP74"/>
    <mergeCell ref="AQ71:AQ74"/>
    <mergeCell ref="AV71:AV74"/>
    <mergeCell ref="AB71:AB74"/>
    <mergeCell ref="BB71:BB72"/>
    <mergeCell ref="BF69:BF70"/>
    <mergeCell ref="AN67:AN70"/>
    <mergeCell ref="AO67:AO70"/>
    <mergeCell ref="AP67:AP70"/>
    <mergeCell ref="AQ67:AQ70"/>
    <mergeCell ref="AV67:AV70"/>
    <mergeCell ref="BB69:BB70"/>
    <mergeCell ref="BC69:BC70"/>
    <mergeCell ref="B67:B70"/>
    <mergeCell ref="C67:C68"/>
    <mergeCell ref="B71:B74"/>
    <mergeCell ref="C71:C72"/>
    <mergeCell ref="BA67:BA68"/>
    <mergeCell ref="AB67:AB70"/>
    <mergeCell ref="AE67:AE70"/>
    <mergeCell ref="AG67:AG70"/>
    <mergeCell ref="AJ67:AJ70"/>
    <mergeCell ref="AH67:AH70"/>
    <mergeCell ref="AI67:AI70"/>
    <mergeCell ref="C69:C70"/>
    <mergeCell ref="BA69:BA70"/>
    <mergeCell ref="BA71:BA72"/>
    <mergeCell ref="AS67:AS68"/>
    <mergeCell ref="AS71:AS72"/>
    <mergeCell ref="BF63:BF64"/>
    <mergeCell ref="C65:C66"/>
    <mergeCell ref="BA65:BA66"/>
    <mergeCell ref="BF65:BF66"/>
    <mergeCell ref="AN63:AN66"/>
    <mergeCell ref="AO63:AO66"/>
    <mergeCell ref="AP63:AP66"/>
    <mergeCell ref="AQ63:AQ66"/>
    <mergeCell ref="AV63:AV66"/>
    <mergeCell ref="BB63:BB64"/>
    <mergeCell ref="AS63:AS64"/>
    <mergeCell ref="AZ63:AZ66"/>
    <mergeCell ref="B55:B58"/>
    <mergeCell ref="C55:C56"/>
    <mergeCell ref="BA55:BA56"/>
    <mergeCell ref="BF59:BF60"/>
    <mergeCell ref="C61:C62"/>
    <mergeCell ref="BA61:BA62"/>
    <mergeCell ref="BF61:BF62"/>
    <mergeCell ref="AN59:AN62"/>
    <mergeCell ref="AO59:AO62"/>
    <mergeCell ref="AP59:AP62"/>
    <mergeCell ref="AQ59:AQ62"/>
    <mergeCell ref="AV59:AV62"/>
    <mergeCell ref="C59:C60"/>
    <mergeCell ref="AX59:AX62"/>
    <mergeCell ref="AY59:AY62"/>
    <mergeCell ref="BD61:BD62"/>
    <mergeCell ref="AZ59:AZ62"/>
    <mergeCell ref="BF55:BF56"/>
    <mergeCell ref="C57:C58"/>
    <mergeCell ref="BA57:BA58"/>
    <mergeCell ref="BF57:BF58"/>
    <mergeCell ref="AN55:AN58"/>
    <mergeCell ref="BB57:BB58"/>
    <mergeCell ref="AO55:AO58"/>
    <mergeCell ref="B63:B66"/>
    <mergeCell ref="C63:C64"/>
    <mergeCell ref="BA59:BA60"/>
    <mergeCell ref="AB59:AB62"/>
    <mergeCell ref="AE59:AE62"/>
    <mergeCell ref="AG59:AG62"/>
    <mergeCell ref="AJ59:AJ62"/>
    <mergeCell ref="AH59:AH62"/>
    <mergeCell ref="AI59:AI62"/>
    <mergeCell ref="B59:B62"/>
    <mergeCell ref="BA63:BA64"/>
    <mergeCell ref="AB63:AB66"/>
    <mergeCell ref="AE63:AE66"/>
    <mergeCell ref="AG63:AG66"/>
    <mergeCell ref="AJ63:AJ66"/>
    <mergeCell ref="AH63:AH66"/>
    <mergeCell ref="AI63:AI66"/>
    <mergeCell ref="AS59:AS60"/>
    <mergeCell ref="AQ51:AQ54"/>
    <mergeCell ref="AV51:AV54"/>
    <mergeCell ref="BA51:BA52"/>
    <mergeCell ref="BF51:BF52"/>
    <mergeCell ref="BB51:BB52"/>
    <mergeCell ref="BC51:BC52"/>
    <mergeCell ref="C53:C54"/>
    <mergeCell ref="BA53:BA54"/>
    <mergeCell ref="BF53:BF54"/>
    <mergeCell ref="BD53:BD54"/>
    <mergeCell ref="AP55:AP58"/>
    <mergeCell ref="AQ55:AQ58"/>
    <mergeCell ref="AV55:AV58"/>
    <mergeCell ref="AB55:AB58"/>
    <mergeCell ref="AE55:AE58"/>
    <mergeCell ref="AZ55:AZ58"/>
    <mergeCell ref="BB55:BB56"/>
    <mergeCell ref="BC55:BC56"/>
    <mergeCell ref="BD55:BD56"/>
    <mergeCell ref="AG55:AG58"/>
    <mergeCell ref="AJ55:AJ58"/>
    <mergeCell ref="AS55:AS56"/>
    <mergeCell ref="BF49:BF50"/>
    <mergeCell ref="B51:B54"/>
    <mergeCell ref="C51:C52"/>
    <mergeCell ref="AB51:AB54"/>
    <mergeCell ref="BB49:BB50"/>
    <mergeCell ref="BC49:BC50"/>
    <mergeCell ref="BD49:BD50"/>
    <mergeCell ref="AE51:AE54"/>
    <mergeCell ref="AG51:AG54"/>
    <mergeCell ref="AJ51:AJ54"/>
    <mergeCell ref="AN51:AN54"/>
    <mergeCell ref="AO51:AO54"/>
    <mergeCell ref="AP51:AP54"/>
    <mergeCell ref="AW47:AW50"/>
    <mergeCell ref="AX47:AX50"/>
    <mergeCell ref="AY47:AY50"/>
    <mergeCell ref="AW51:AW54"/>
    <mergeCell ref="AX51:AX54"/>
    <mergeCell ref="AY51:AY54"/>
    <mergeCell ref="BD51:BD52"/>
    <mergeCell ref="BB53:BB54"/>
    <mergeCell ref="BF47:BF48"/>
    <mergeCell ref="AZ47:AZ50"/>
    <mergeCell ref="AZ51:AZ54"/>
    <mergeCell ref="B39:B42"/>
    <mergeCell ref="BF43:BF44"/>
    <mergeCell ref="C45:C46"/>
    <mergeCell ref="BA45:BA46"/>
    <mergeCell ref="BF45:BF46"/>
    <mergeCell ref="B47:B50"/>
    <mergeCell ref="C47:C48"/>
    <mergeCell ref="BB39:BB40"/>
    <mergeCell ref="BC39:BC40"/>
    <mergeCell ref="AB47:AB50"/>
    <mergeCell ref="AE47:AE50"/>
    <mergeCell ref="AG47:AG50"/>
    <mergeCell ref="AJ47:AJ50"/>
    <mergeCell ref="AN47:AN50"/>
    <mergeCell ref="AO47:AO50"/>
    <mergeCell ref="AO43:AO46"/>
    <mergeCell ref="AP43:AP46"/>
    <mergeCell ref="AQ43:AQ46"/>
    <mergeCell ref="AV43:AV46"/>
    <mergeCell ref="BA43:BA44"/>
    <mergeCell ref="AP47:AP50"/>
    <mergeCell ref="AQ47:AQ50"/>
    <mergeCell ref="AV47:AV50"/>
    <mergeCell ref="C49:C50"/>
    <mergeCell ref="BF39:BF40"/>
    <mergeCell ref="C41:C42"/>
    <mergeCell ref="AU41:AU42"/>
    <mergeCell ref="BA41:BA42"/>
    <mergeCell ref="BF41:BF42"/>
    <mergeCell ref="AO39:AO42"/>
    <mergeCell ref="AP39:AP42"/>
    <mergeCell ref="AQ39:AQ42"/>
    <mergeCell ref="AU39:AU40"/>
    <mergeCell ref="AV39:AV42"/>
    <mergeCell ref="AB39:AB42"/>
    <mergeCell ref="AE39:AE42"/>
    <mergeCell ref="AG39:AG42"/>
    <mergeCell ref="AJ39:AJ42"/>
    <mergeCell ref="AN39:AN42"/>
    <mergeCell ref="AH39:AH42"/>
    <mergeCell ref="AI39:AI42"/>
    <mergeCell ref="BD39:BD40"/>
    <mergeCell ref="BB41:BB42"/>
    <mergeCell ref="BC41:BC42"/>
    <mergeCell ref="BD41:BD42"/>
    <mergeCell ref="C39:C40"/>
    <mergeCell ref="BA39:BA40"/>
    <mergeCell ref="AW39:AW42"/>
    <mergeCell ref="AJ43:AJ46"/>
    <mergeCell ref="AN43:AN46"/>
    <mergeCell ref="B43:B46"/>
    <mergeCell ref="C43:C44"/>
    <mergeCell ref="AB43:AB46"/>
    <mergeCell ref="AE43:AE46"/>
    <mergeCell ref="AG43:AG46"/>
    <mergeCell ref="AH43:AH46"/>
    <mergeCell ref="AI43:AI46"/>
    <mergeCell ref="AW35:AW38"/>
    <mergeCell ref="AX35:AX38"/>
    <mergeCell ref="AY35:AY38"/>
    <mergeCell ref="BF35:BF36"/>
    <mergeCell ref="C37:C38"/>
    <mergeCell ref="AB37:AB38"/>
    <mergeCell ref="AC37:AC38"/>
    <mergeCell ref="BA37:BA38"/>
    <mergeCell ref="BF37:BF38"/>
    <mergeCell ref="AJ35:AJ38"/>
    <mergeCell ref="AN35:AN38"/>
    <mergeCell ref="AO35:AO38"/>
    <mergeCell ref="AP35:AP38"/>
    <mergeCell ref="AV35:AV38"/>
    <mergeCell ref="BA35:BA36"/>
    <mergeCell ref="AQ35:AQ38"/>
    <mergeCell ref="AB35:AB36"/>
    <mergeCell ref="AC35:AC36"/>
    <mergeCell ref="AE35:AE38"/>
    <mergeCell ref="AH35:AH38"/>
    <mergeCell ref="AI35:AI38"/>
    <mergeCell ref="AX39:AX42"/>
    <mergeCell ref="AY39:AY42"/>
    <mergeCell ref="B31:B34"/>
    <mergeCell ref="AF35:AF38"/>
    <mergeCell ref="AG35:AG38"/>
    <mergeCell ref="AV31:AV34"/>
    <mergeCell ref="BA31:BA32"/>
    <mergeCell ref="BF31:BF32"/>
    <mergeCell ref="C33:C34"/>
    <mergeCell ref="AB33:AB34"/>
    <mergeCell ref="AC33:AC34"/>
    <mergeCell ref="BA33:BA34"/>
    <mergeCell ref="BF33:BF34"/>
    <mergeCell ref="AJ31:AJ34"/>
    <mergeCell ref="AN31:AN34"/>
    <mergeCell ref="AO31:AO34"/>
    <mergeCell ref="AP31:AP34"/>
    <mergeCell ref="AQ31:AQ34"/>
    <mergeCell ref="AB31:AB32"/>
    <mergeCell ref="AC31:AC32"/>
    <mergeCell ref="AE31:AE34"/>
    <mergeCell ref="AF31:AF34"/>
    <mergeCell ref="AG31:AG34"/>
    <mergeCell ref="AH31:AH34"/>
    <mergeCell ref="AW31:AW34"/>
    <mergeCell ref="BF27:BF28"/>
    <mergeCell ref="C29:C30"/>
    <mergeCell ref="AB29:AB30"/>
    <mergeCell ref="AC29:AC30"/>
    <mergeCell ref="BA29:BA30"/>
    <mergeCell ref="BF29:BF30"/>
    <mergeCell ref="AJ27:AJ30"/>
    <mergeCell ref="AN27:AN30"/>
    <mergeCell ref="AO27:AO30"/>
    <mergeCell ref="AP27:AP30"/>
    <mergeCell ref="AF27:AF30"/>
    <mergeCell ref="AG27:AG30"/>
    <mergeCell ref="BB27:BB28"/>
    <mergeCell ref="BC27:BC28"/>
    <mergeCell ref="AW27:AW30"/>
    <mergeCell ref="AX27:AX30"/>
    <mergeCell ref="AY27:AY30"/>
    <mergeCell ref="BB31:BB32"/>
    <mergeCell ref="BC31:BC32"/>
    <mergeCell ref="BD31:BD32"/>
    <mergeCell ref="AX31:AX34"/>
    <mergeCell ref="AY31:AY34"/>
    <mergeCell ref="AI31:AI34"/>
    <mergeCell ref="BF23:BF24"/>
    <mergeCell ref="C25:C26"/>
    <mergeCell ref="AB25:AB26"/>
    <mergeCell ref="AC25:AC26"/>
    <mergeCell ref="BA25:BA26"/>
    <mergeCell ref="BF25:BF26"/>
    <mergeCell ref="AN23:AN26"/>
    <mergeCell ref="AO23:AO26"/>
    <mergeCell ref="AP23:AP26"/>
    <mergeCell ref="AQ23:AQ26"/>
    <mergeCell ref="AV23:AV26"/>
    <mergeCell ref="AC23:AC24"/>
    <mergeCell ref="AE23:AE26"/>
    <mergeCell ref="AF23:AF26"/>
    <mergeCell ref="AG23:AG26"/>
    <mergeCell ref="AJ23:AJ26"/>
    <mergeCell ref="AH23:AH26"/>
    <mergeCell ref="AI23:AI26"/>
    <mergeCell ref="AY23:AY26"/>
    <mergeCell ref="BB25:BB26"/>
    <mergeCell ref="BC25:BC26"/>
    <mergeCell ref="BD25:BD26"/>
    <mergeCell ref="AW23:AW26"/>
    <mergeCell ref="AX23:AX26"/>
    <mergeCell ref="BF19:BF20"/>
    <mergeCell ref="C21:C22"/>
    <mergeCell ref="AB21:AB22"/>
    <mergeCell ref="AC21:AC22"/>
    <mergeCell ref="BA21:BA22"/>
    <mergeCell ref="BF21:BF22"/>
    <mergeCell ref="BB21:BB22"/>
    <mergeCell ref="AQ19:AQ22"/>
    <mergeCell ref="AB19:AB20"/>
    <mergeCell ref="AC19:AC20"/>
    <mergeCell ref="AE19:AE22"/>
    <mergeCell ref="AF19:AF22"/>
    <mergeCell ref="AG19:AG22"/>
    <mergeCell ref="V19:V21"/>
    <mergeCell ref="BC21:BC22"/>
    <mergeCell ref="C19:C20"/>
    <mergeCell ref="BB19:BB20"/>
    <mergeCell ref="BC19:BC20"/>
    <mergeCell ref="BD19:BD20"/>
    <mergeCell ref="X19:X21"/>
    <mergeCell ref="AH19:AH22"/>
    <mergeCell ref="AI19:AI22"/>
    <mergeCell ref="BF15:BF16"/>
    <mergeCell ref="C17:C18"/>
    <mergeCell ref="AB17:AB18"/>
    <mergeCell ref="BF17:BF18"/>
    <mergeCell ref="AJ15:AJ18"/>
    <mergeCell ref="AN15:AN18"/>
    <mergeCell ref="AO15:AO18"/>
    <mergeCell ref="AP15:AP18"/>
    <mergeCell ref="AQ15:AQ18"/>
    <mergeCell ref="AB15:AB16"/>
    <mergeCell ref="BC15:BC16"/>
    <mergeCell ref="BD15:BD16"/>
    <mergeCell ref="BB17:BB18"/>
    <mergeCell ref="BC17:BC18"/>
    <mergeCell ref="BD17:BD18"/>
    <mergeCell ref="AN11:AN14"/>
    <mergeCell ref="AT7:AT74"/>
    <mergeCell ref="AV7:AV10"/>
    <mergeCell ref="BA7:BA8"/>
    <mergeCell ref="AC17:AC18"/>
    <mergeCell ref="BA17:BA18"/>
    <mergeCell ref="AN19:AN22"/>
    <mergeCell ref="AO19:AO22"/>
    <mergeCell ref="AJ19:AJ22"/>
    <mergeCell ref="AP19:AP22"/>
    <mergeCell ref="AC9:AC10"/>
    <mergeCell ref="BA9:BA10"/>
    <mergeCell ref="AV15:AV18"/>
    <mergeCell ref="BA15:BA16"/>
    <mergeCell ref="AC15:AC16"/>
    <mergeCell ref="AE15:AE18"/>
    <mergeCell ref="AF15:AF18"/>
    <mergeCell ref="AG15:AG18"/>
    <mergeCell ref="AV19:AV22"/>
    <mergeCell ref="BA19:BA20"/>
    <mergeCell ref="BA23:BA24"/>
    <mergeCell ref="AV27:AV30"/>
    <mergeCell ref="BA27:BA28"/>
    <mergeCell ref="AQ27:AQ30"/>
    <mergeCell ref="AJ11:AJ14"/>
    <mergeCell ref="C15:C16"/>
    <mergeCell ref="AC13:AC14"/>
    <mergeCell ref="AE11:AE14"/>
    <mergeCell ref="B23:B26"/>
    <mergeCell ref="C23:C24"/>
    <mergeCell ref="C11:C12"/>
    <mergeCell ref="C13:C14"/>
    <mergeCell ref="T7:T74"/>
    <mergeCell ref="W7:W74"/>
    <mergeCell ref="Z7:Z74"/>
    <mergeCell ref="C9:C10"/>
    <mergeCell ref="AB9:AB10"/>
    <mergeCell ref="AB23:AB24"/>
    <mergeCell ref="B27:B30"/>
    <mergeCell ref="C27:C28"/>
    <mergeCell ref="C31:C32"/>
    <mergeCell ref="AB27:AB28"/>
    <mergeCell ref="AC27:AC28"/>
    <mergeCell ref="AE27:AE30"/>
    <mergeCell ref="AH27:AH30"/>
    <mergeCell ref="AI27:AI30"/>
    <mergeCell ref="B35:B38"/>
    <mergeCell ref="C35:C36"/>
    <mergeCell ref="BF9:BF10"/>
    <mergeCell ref="AO7:AO10"/>
    <mergeCell ref="AP7:AP10"/>
    <mergeCell ref="AQ7:AQ10"/>
    <mergeCell ref="BF7:BF8"/>
    <mergeCell ref="AK1:AM2"/>
    <mergeCell ref="BF11:BF12"/>
    <mergeCell ref="BA13:BA14"/>
    <mergeCell ref="BF13:BF14"/>
    <mergeCell ref="AO11:AO14"/>
    <mergeCell ref="AP11:AP14"/>
    <mergeCell ref="AQ11:AQ14"/>
    <mergeCell ref="AV11:AV14"/>
    <mergeCell ref="BA11:BA12"/>
    <mergeCell ref="AW11:AW14"/>
    <mergeCell ref="AX11:AX14"/>
    <mergeCell ref="BC7:BC8"/>
    <mergeCell ref="BB9:BB10"/>
    <mergeCell ref="BC9:BC10"/>
    <mergeCell ref="BB11:BB12"/>
    <mergeCell ref="BC11:BC12"/>
    <mergeCell ref="AN7:AN10"/>
    <mergeCell ref="BD7:BD8"/>
    <mergeCell ref="BD9:BD10"/>
    <mergeCell ref="R1:S2"/>
    <mergeCell ref="S3:S4"/>
    <mergeCell ref="AH1:AI2"/>
    <mergeCell ref="BB7:BB8"/>
    <mergeCell ref="AO1:AQ2"/>
    <mergeCell ref="V1:AA2"/>
    <mergeCell ref="AC1:AD2"/>
    <mergeCell ref="BF1:BF4"/>
    <mergeCell ref="X3:X4"/>
    <mergeCell ref="AA3:AA4"/>
    <mergeCell ref="AF3:AF4"/>
    <mergeCell ref="AH3:AI3"/>
    <mergeCell ref="AS1:AS4"/>
    <mergeCell ref="AL3:AM3"/>
    <mergeCell ref="AQ3:AQ4"/>
    <mergeCell ref="AU1:AU4"/>
    <mergeCell ref="AJ7:AJ10"/>
    <mergeCell ref="AB7:AB8"/>
    <mergeCell ref="AC7:AC8"/>
    <mergeCell ref="AE7:AE10"/>
    <mergeCell ref="AF7:AF10"/>
    <mergeCell ref="AG7:AG10"/>
    <mergeCell ref="AK5:AM5"/>
    <mergeCell ref="AO5:AQ5"/>
    <mergeCell ref="A1:A4"/>
    <mergeCell ref="B1:B4"/>
    <mergeCell ref="C1:C4"/>
    <mergeCell ref="D1:D4"/>
    <mergeCell ref="F1:I1"/>
    <mergeCell ref="K1:P1"/>
    <mergeCell ref="F2:G2"/>
    <mergeCell ref="H2:I2"/>
    <mergeCell ref="K2:M2"/>
    <mergeCell ref="N2:P2"/>
    <mergeCell ref="F3:G3"/>
    <mergeCell ref="H3:I3"/>
    <mergeCell ref="F5:G5"/>
    <mergeCell ref="H5:I5"/>
    <mergeCell ref="K5:M5"/>
    <mergeCell ref="N5:P5"/>
    <mergeCell ref="R5:S5"/>
    <mergeCell ref="V5:AA5"/>
    <mergeCell ref="AI15:AI18"/>
    <mergeCell ref="AC5:AF5"/>
    <mergeCell ref="AH5:AI5"/>
    <mergeCell ref="AB11:AB12"/>
    <mergeCell ref="AC11:AC12"/>
    <mergeCell ref="AB13:AB14"/>
    <mergeCell ref="AF11:AF14"/>
    <mergeCell ref="AG11:AG14"/>
    <mergeCell ref="A7:A74"/>
    <mergeCell ref="B7:B10"/>
    <mergeCell ref="C7:C8"/>
    <mergeCell ref="B11:B14"/>
    <mergeCell ref="B15:B18"/>
    <mergeCell ref="AH71:AH74"/>
    <mergeCell ref="AI71:AI74"/>
    <mergeCell ref="B19:B22"/>
    <mergeCell ref="AW1:AY2"/>
    <mergeCell ref="AY3:AY4"/>
    <mergeCell ref="AW5:AY5"/>
    <mergeCell ref="AW7:AW10"/>
    <mergeCell ref="AX7:AX10"/>
    <mergeCell ref="AY7:AY10"/>
    <mergeCell ref="AS31:AS32"/>
    <mergeCell ref="AS35:AS36"/>
    <mergeCell ref="AS39:AS40"/>
    <mergeCell ref="AY11:AY14"/>
    <mergeCell ref="AW15:AW18"/>
    <mergeCell ref="AX15:AX18"/>
    <mergeCell ref="AY15:AY18"/>
    <mergeCell ref="AW19:AW22"/>
    <mergeCell ref="AX19:AX22"/>
    <mergeCell ref="AY19:AY22"/>
    <mergeCell ref="BB13:BB14"/>
    <mergeCell ref="BC13:BC14"/>
    <mergeCell ref="BD13:BD14"/>
    <mergeCell ref="BB15:BB16"/>
    <mergeCell ref="AS43:AS44"/>
    <mergeCell ref="AS47:AS48"/>
    <mergeCell ref="AS51:AS52"/>
    <mergeCell ref="AS7:AS8"/>
    <mergeCell ref="AS11:AS12"/>
    <mergeCell ref="AS15:AS16"/>
    <mergeCell ref="AS19:AS20"/>
    <mergeCell ref="AS23:AS24"/>
    <mergeCell ref="AS27:AS28"/>
    <mergeCell ref="BD21:BD22"/>
    <mergeCell ref="BB23:BB24"/>
    <mergeCell ref="BC23:BC24"/>
    <mergeCell ref="BD23:BD24"/>
    <mergeCell ref="AW43:AW46"/>
    <mergeCell ref="AX43:AX46"/>
    <mergeCell ref="AY43:AY46"/>
    <mergeCell ref="BB47:BB48"/>
    <mergeCell ref="BC47:BC48"/>
    <mergeCell ref="BD47:BD48"/>
    <mergeCell ref="BA47:BA48"/>
    <mergeCell ref="BA1:BD1"/>
    <mergeCell ref="BA2:BA4"/>
    <mergeCell ref="BB2:BB4"/>
    <mergeCell ref="BC2:BC4"/>
    <mergeCell ref="BD2:BD4"/>
    <mergeCell ref="BA5:BD5"/>
    <mergeCell ref="AZ35:AZ38"/>
    <mergeCell ref="AZ39:AZ42"/>
    <mergeCell ref="AZ43:AZ46"/>
    <mergeCell ref="AZ7:AZ10"/>
    <mergeCell ref="AZ11:AZ14"/>
    <mergeCell ref="AZ15:AZ18"/>
    <mergeCell ref="AZ19:AZ22"/>
    <mergeCell ref="AZ23:AZ26"/>
    <mergeCell ref="AZ27:AZ30"/>
    <mergeCell ref="AZ31:AZ34"/>
    <mergeCell ref="BD11:BD12"/>
    <mergeCell ref="BB45:BB46"/>
    <mergeCell ref="BC45:BC46"/>
    <mergeCell ref="BD45:BD46"/>
    <mergeCell ref="BD27:BD28"/>
    <mergeCell ref="BB29:BB30"/>
    <mergeCell ref="BC29:BC30"/>
    <mergeCell ref="BD29:BD30"/>
    <mergeCell ref="BB43:BB44"/>
    <mergeCell ref="BC43:BC44"/>
    <mergeCell ref="BD43:BD44"/>
    <mergeCell ref="BC33:BC34"/>
    <mergeCell ref="BD33:BD34"/>
    <mergeCell ref="BB35:BB36"/>
    <mergeCell ref="BC35:BC36"/>
    <mergeCell ref="BD35:BD36"/>
    <mergeCell ref="BB37:BB38"/>
    <mergeCell ref="BC37:BC38"/>
    <mergeCell ref="BD37:BD38"/>
    <mergeCell ref="BB33:BB34"/>
    <mergeCell ref="BD71:BD72"/>
    <mergeCell ref="BB73:BB74"/>
    <mergeCell ref="BC73:BC74"/>
    <mergeCell ref="BD73:BD74"/>
    <mergeCell ref="AH7:AH10"/>
    <mergeCell ref="AI7:AI10"/>
    <mergeCell ref="AH11:AH14"/>
    <mergeCell ref="AI11:AI14"/>
    <mergeCell ref="AH15:AH18"/>
    <mergeCell ref="BC63:BC64"/>
    <mergeCell ref="BD63:BD64"/>
    <mergeCell ref="BB65:BB66"/>
    <mergeCell ref="BC65:BC66"/>
    <mergeCell ref="BD65:BD66"/>
    <mergeCell ref="BB67:BB68"/>
    <mergeCell ref="BC67:BC68"/>
    <mergeCell ref="BD67:BD68"/>
    <mergeCell ref="BC57:BC58"/>
    <mergeCell ref="BD57:BD58"/>
    <mergeCell ref="BB59:BB60"/>
    <mergeCell ref="BC59:BC60"/>
    <mergeCell ref="BD59:BD60"/>
    <mergeCell ref="BB61:BB62"/>
    <mergeCell ref="BC61:BC62"/>
    <mergeCell ref="AH47:AH50"/>
    <mergeCell ref="AI47:AI50"/>
    <mergeCell ref="AH51:AH54"/>
    <mergeCell ref="AI51:AI54"/>
    <mergeCell ref="AH55:AH58"/>
    <mergeCell ref="AI55:AI58"/>
    <mergeCell ref="BC71:BC72"/>
    <mergeCell ref="AZ67:AZ70"/>
    <mergeCell ref="AZ71:AZ74"/>
    <mergeCell ref="AW71:AW74"/>
    <mergeCell ref="AX71:AX74"/>
    <mergeCell ref="AY71:AY74"/>
    <mergeCell ref="AW63:AW66"/>
    <mergeCell ref="AX63:AX66"/>
    <mergeCell ref="AY63:AY66"/>
    <mergeCell ref="AW67:AW70"/>
    <mergeCell ref="AX67:AX70"/>
    <mergeCell ref="AY67:AY70"/>
    <mergeCell ref="AW55:AW58"/>
    <mergeCell ref="AX55:AX58"/>
    <mergeCell ref="AY55:AY58"/>
    <mergeCell ref="AW59:AW62"/>
    <mergeCell ref="BC53:BC54"/>
    <mergeCell ref="BA49:BA50"/>
    <mergeCell ref="AR43:AR44"/>
    <mergeCell ref="AR47:AR48"/>
    <mergeCell ref="AR51:AR52"/>
    <mergeCell ref="AR55:AR56"/>
    <mergeCell ref="AR59:AR60"/>
    <mergeCell ref="AR63:AR64"/>
    <mergeCell ref="AR67:AR68"/>
    <mergeCell ref="AR71:AR72"/>
    <mergeCell ref="AR7:AR8"/>
    <mergeCell ref="AR11:AR12"/>
    <mergeCell ref="AR15:AR16"/>
    <mergeCell ref="AR19:AR20"/>
    <mergeCell ref="AR23:AR24"/>
    <mergeCell ref="AR27:AR28"/>
    <mergeCell ref="AR31:AR32"/>
    <mergeCell ref="AR35:AR36"/>
    <mergeCell ref="AR39:AR40"/>
  </mergeCells>
  <phoneticPr fontId="8"/>
  <pageMargins left="0.39370078740157483" right="0.39370078740157483" top="0.78740157480314965" bottom="0.39370078740157483" header="0.39370078740157483" footer="0.15748031496062992"/>
  <pageSetup paperSize="9" scale="72" pageOrder="overThenDown" orientation="portrait" horizontalDpi="300" verticalDpi="300" r:id="rId3"/>
  <headerFooter differentFirst="1">
    <firstHeader>&amp;L&amp;"ＤＦ特太ゴシック体,標準"&amp;16保育所（保育認定）</firstHeader>
  </headerFooter>
  <rowBreaks count="1" manualBreakCount="1">
    <brk id="6" max="16383" man="1"/>
  </rowBreaks>
  <colBreaks count="3" manualBreakCount="3">
    <brk id="16" max="73" man="1"/>
    <brk id="33" max="73" man="1"/>
    <brk id="48" max="73" man="1"/>
  </col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E35"/>
  <sheetViews>
    <sheetView view="pageBreakPreview" topLeftCell="A6" zoomScale="85" zoomScaleNormal="100" zoomScaleSheetLayoutView="85" workbookViewId="0">
      <selection activeCell="E31" sqref="E31"/>
    </sheetView>
  </sheetViews>
  <sheetFormatPr defaultRowHeight="13.5"/>
  <cols>
    <col min="1" max="1" width="7.25" style="669" customWidth="1"/>
    <col min="2" max="2" width="19.375" style="669" bestFit="1" customWidth="1"/>
    <col min="3" max="3" width="15.75" style="669" customWidth="1"/>
    <col min="4" max="4" width="62.5" style="669" customWidth="1"/>
    <col min="5" max="5" width="46.375" style="669" customWidth="1"/>
    <col min="6" max="14" width="9" style="671" customWidth="1"/>
    <col min="15" max="16384" width="9" style="671"/>
  </cols>
  <sheetData>
    <row r="1" spans="1:5" ht="14.25">
      <c r="E1" s="670" t="e">
        <f>CONCATENATE(#REF!,"/",#REF!,"/",#REF!)</f>
        <v>#REF!</v>
      </c>
    </row>
    <row r="2" spans="1:5">
      <c r="A2" s="1502"/>
      <c r="B2" s="1502"/>
      <c r="C2" s="1135"/>
      <c r="E2" s="672" t="e">
        <f>#REF!</f>
        <v>#REF!</v>
      </c>
    </row>
    <row r="3" spans="1:5">
      <c r="E3" s="672"/>
    </row>
    <row r="4" spans="1:5" ht="30" customHeight="1">
      <c r="A4" s="673" t="s">
        <v>835</v>
      </c>
      <c r="E4" s="674">
        <f ca="1">+TODAY()</f>
        <v>45120</v>
      </c>
    </row>
    <row r="5" spans="1:5" ht="30" customHeight="1" thickBot="1">
      <c r="A5" s="671"/>
      <c r="E5" s="675"/>
    </row>
    <row r="6" spans="1:5" ht="30" customHeight="1" thickBot="1">
      <c r="A6" s="676" t="s">
        <v>833</v>
      </c>
      <c r="B6" s="676" t="s">
        <v>842</v>
      </c>
      <c r="C6" s="1138" t="s">
        <v>1169</v>
      </c>
      <c r="D6" s="677" t="s">
        <v>836</v>
      </c>
      <c r="E6" s="678" t="s">
        <v>837</v>
      </c>
    </row>
    <row r="7" spans="1:5" ht="30" customHeight="1" thickTop="1">
      <c r="A7" s="1503" t="s">
        <v>852</v>
      </c>
      <c r="B7" s="1504"/>
      <c r="C7" s="1504"/>
      <c r="D7" s="1504"/>
      <c r="E7" s="679"/>
    </row>
    <row r="8" spans="1:5" ht="30" customHeight="1">
      <c r="A8" s="680" t="s">
        <v>834</v>
      </c>
      <c r="B8" s="681" t="s">
        <v>874</v>
      </c>
      <c r="C8" s="1139" t="s">
        <v>1172</v>
      </c>
      <c r="D8" s="682"/>
      <c r="E8" s="683"/>
    </row>
    <row r="9" spans="1:5" ht="30" customHeight="1">
      <c r="A9" s="680" t="s">
        <v>834</v>
      </c>
      <c r="B9" s="681" t="s">
        <v>885</v>
      </c>
      <c r="C9" s="1139" t="s">
        <v>1172</v>
      </c>
      <c r="D9" s="682"/>
      <c r="E9" s="683"/>
    </row>
    <row r="10" spans="1:5" ht="30" customHeight="1">
      <c r="A10" s="680" t="e">
        <f>IF(#REF!&gt;0,"□","×")</f>
        <v>#REF!</v>
      </c>
      <c r="B10" s="681" t="s">
        <v>886</v>
      </c>
      <c r="C10" s="1139" t="s">
        <v>1172</v>
      </c>
      <c r="D10" s="682"/>
      <c r="E10" s="683" t="s">
        <v>887</v>
      </c>
    </row>
    <row r="11" spans="1:5" ht="30" customHeight="1">
      <c r="A11" s="680" t="s">
        <v>834</v>
      </c>
      <c r="B11" s="681" t="s">
        <v>853</v>
      </c>
      <c r="C11" s="1139" t="s">
        <v>1172</v>
      </c>
      <c r="D11" s="682"/>
      <c r="E11" s="684" t="s">
        <v>884</v>
      </c>
    </row>
    <row r="12" spans="1:5" ht="30" customHeight="1">
      <c r="A12" s="680" t="s">
        <v>834</v>
      </c>
      <c r="B12" s="685" t="s">
        <v>854</v>
      </c>
      <c r="C12" s="1139" t="s">
        <v>1172</v>
      </c>
      <c r="D12" s="682"/>
      <c r="E12" s="683"/>
    </row>
    <row r="13" spans="1:5" ht="30" customHeight="1">
      <c r="A13" s="680" t="s">
        <v>834</v>
      </c>
      <c r="B13" s="1136" t="s">
        <v>1171</v>
      </c>
      <c r="C13" s="1139" t="s">
        <v>1173</v>
      </c>
      <c r="D13" s="1136"/>
      <c r="E13" s="1137" t="s">
        <v>1174</v>
      </c>
    </row>
    <row r="14" spans="1:5" ht="30" customHeight="1">
      <c r="A14" s="1503" t="s">
        <v>844</v>
      </c>
      <c r="B14" s="1504"/>
      <c r="C14" s="1504"/>
      <c r="D14" s="1504"/>
      <c r="E14" s="686"/>
    </row>
    <row r="15" spans="1:5" ht="30" customHeight="1">
      <c r="A15" s="680" t="e">
        <f>IF(#REF!="はい","□","×")</f>
        <v>#REF!</v>
      </c>
      <c r="B15" s="681" t="s">
        <v>248</v>
      </c>
      <c r="C15" s="1139" t="s">
        <v>1172</v>
      </c>
      <c r="D15" s="682" t="s">
        <v>847</v>
      </c>
      <c r="E15" s="1500" t="s">
        <v>856</v>
      </c>
    </row>
    <row r="16" spans="1:5" ht="30" customHeight="1">
      <c r="A16" s="687" t="e">
        <f>IF(#REF!="はい","□","×")</f>
        <v>#REF!</v>
      </c>
      <c r="B16" s="687" t="s">
        <v>882</v>
      </c>
      <c r="C16" s="1139" t="s">
        <v>1172</v>
      </c>
      <c r="D16" s="688" t="s">
        <v>883</v>
      </c>
      <c r="E16" s="1501"/>
    </row>
    <row r="17" spans="1:5" ht="30" customHeight="1">
      <c r="A17" s="687" t="s">
        <v>834</v>
      </c>
      <c r="B17" s="687" t="s">
        <v>841</v>
      </c>
      <c r="C17" s="1139" t="s">
        <v>1172</v>
      </c>
      <c r="D17" s="689" t="s">
        <v>1170</v>
      </c>
      <c r="E17" s="690"/>
    </row>
    <row r="18" spans="1:5" ht="30" customHeight="1">
      <c r="A18" s="691" t="s">
        <v>834</v>
      </c>
      <c r="B18" s="687" t="s">
        <v>860</v>
      </c>
      <c r="C18" s="1139" t="s">
        <v>1172</v>
      </c>
      <c r="D18" s="689" t="s">
        <v>848</v>
      </c>
      <c r="E18" s="690"/>
    </row>
    <row r="19" spans="1:5" ht="30" customHeight="1">
      <c r="A19" s="691" t="s">
        <v>834</v>
      </c>
      <c r="B19" s="687" t="s">
        <v>861</v>
      </c>
      <c r="C19" s="1139" t="s">
        <v>1172</v>
      </c>
      <c r="D19" s="689" t="s">
        <v>849</v>
      </c>
      <c r="E19" s="690"/>
    </row>
    <row r="20" spans="1:5" ht="30" customHeight="1">
      <c r="A20" s="1503" t="s">
        <v>845</v>
      </c>
      <c r="B20" s="1504"/>
      <c r="C20" s="1504"/>
      <c r="D20" s="1504"/>
      <c r="E20" s="686"/>
    </row>
    <row r="21" spans="1:5" ht="30" customHeight="1">
      <c r="A21" s="687" t="s">
        <v>834</v>
      </c>
      <c r="B21" s="687" t="s">
        <v>249</v>
      </c>
      <c r="C21" s="1139" t="s">
        <v>1172</v>
      </c>
      <c r="D21" s="689" t="s">
        <v>850</v>
      </c>
      <c r="E21" s="1139"/>
    </row>
    <row r="22" spans="1:5" ht="30" customHeight="1">
      <c r="A22" s="691" t="s">
        <v>834</v>
      </c>
      <c r="B22" s="691" t="s">
        <v>746</v>
      </c>
      <c r="C22" s="1139" t="s">
        <v>1172</v>
      </c>
      <c r="D22" s="689" t="s">
        <v>851</v>
      </c>
      <c r="E22" s="690"/>
    </row>
    <row r="23" spans="1:5" ht="30" customHeight="1">
      <c r="A23" s="691" t="e">
        <f>IF(#REF!=#REF!,"×","□")</f>
        <v>#REF!</v>
      </c>
      <c r="B23" s="692" t="s">
        <v>843</v>
      </c>
      <c r="C23" s="1139" t="s">
        <v>1172</v>
      </c>
      <c r="D23" s="689" t="s">
        <v>862</v>
      </c>
      <c r="E23" s="690" t="s">
        <v>855</v>
      </c>
    </row>
    <row r="24" spans="1:5" ht="30" customHeight="1">
      <c r="A24" s="691" t="s">
        <v>834</v>
      </c>
      <c r="B24" s="691" t="s">
        <v>857</v>
      </c>
      <c r="C24" s="1139" t="s">
        <v>1172</v>
      </c>
      <c r="D24" s="693" t="s">
        <v>863</v>
      </c>
      <c r="E24" s="690"/>
    </row>
    <row r="25" spans="1:5" ht="30" customHeight="1">
      <c r="A25" s="691" t="s">
        <v>834</v>
      </c>
      <c r="B25" s="691" t="s">
        <v>858</v>
      </c>
      <c r="C25" s="1139" t="s">
        <v>1172</v>
      </c>
      <c r="D25" s="694" t="s">
        <v>864</v>
      </c>
      <c r="E25" s="695"/>
    </row>
    <row r="26" spans="1:5" ht="30" customHeight="1">
      <c r="A26" s="691" t="s">
        <v>875</v>
      </c>
      <c r="B26" s="696" t="s">
        <v>880</v>
      </c>
      <c r="C26" s="1139" t="s">
        <v>1172</v>
      </c>
      <c r="D26" s="694" t="s">
        <v>877</v>
      </c>
      <c r="E26" s="697" t="s">
        <v>878</v>
      </c>
    </row>
    <row r="27" spans="1:5" ht="30" customHeight="1">
      <c r="A27" s="698" t="s">
        <v>875</v>
      </c>
      <c r="B27" s="696" t="s">
        <v>881</v>
      </c>
      <c r="C27" s="1139" t="s">
        <v>1172</v>
      </c>
      <c r="D27" s="699" t="s">
        <v>879</v>
      </c>
      <c r="E27" s="700" t="s">
        <v>888</v>
      </c>
    </row>
    <row r="28" spans="1:5" ht="30" customHeight="1" thickBot="1">
      <c r="A28" s="701" t="s">
        <v>875</v>
      </c>
      <c r="B28" s="702" t="s">
        <v>859</v>
      </c>
      <c r="C28" s="1139" t="s">
        <v>1172</v>
      </c>
      <c r="D28" s="703" t="s">
        <v>876</v>
      </c>
      <c r="E28" s="704"/>
    </row>
    <row r="29" spans="1:5" ht="30" customHeight="1">
      <c r="A29" s="705" t="s">
        <v>865</v>
      </c>
      <c r="B29" s="706"/>
      <c r="C29" s="708"/>
      <c r="E29" s="671"/>
    </row>
    <row r="30" spans="1:5" ht="30" customHeight="1">
      <c r="A30" s="707" t="s">
        <v>840</v>
      </c>
    </row>
    <row r="31" spans="1:5" ht="30" customHeight="1">
      <c r="A31" s="708"/>
      <c r="B31" s="708"/>
      <c r="C31" s="708"/>
      <c r="D31" s="709" t="s">
        <v>838</v>
      </c>
      <c r="E31" s="711"/>
    </row>
    <row r="32" spans="1:5" ht="30" customHeight="1">
      <c r="D32" s="649" t="s">
        <v>839</v>
      </c>
      <c r="E32" s="712"/>
    </row>
    <row r="33" spans="1:1">
      <c r="A33" s="707"/>
    </row>
    <row r="34" spans="1:1" ht="21">
      <c r="A34" s="710" t="s">
        <v>846</v>
      </c>
    </row>
    <row r="35" spans="1:1" ht="21">
      <c r="A35" s="710"/>
    </row>
  </sheetData>
  <sheetProtection algorithmName="SHA-512" hashValue="v6iQbDCgy/V0zAGd2CNisZSlB5Xbrya0SNNYSgHaCsKzElzZuxrOA+KLvcVcxWQJSoJpNTd4ATokT9F8gGNwFg==" saltValue="ews0wgd2lVV6Uzq8jDE0+g==" spinCount="100000" sheet="1" objects="1" scenarios="1" selectLockedCells="1"/>
  <mergeCells count="5">
    <mergeCell ref="E15:E16"/>
    <mergeCell ref="A2:B2"/>
    <mergeCell ref="A14:D14"/>
    <mergeCell ref="A20:D20"/>
    <mergeCell ref="A7:D7"/>
  </mergeCells>
  <phoneticPr fontId="4"/>
  <printOptions horizontalCentered="1"/>
  <pageMargins left="0.70866141732283472" right="0.70866141732283472" top="0.74803149606299213" bottom="0.74803149606299213" header="0.31496062992125984" footer="0.31496062992125984"/>
  <pageSetup paperSize="9" scale="58"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FF00"/>
  </sheetPr>
  <dimension ref="A1:W55"/>
  <sheetViews>
    <sheetView view="pageBreakPreview" zoomScaleNormal="100" zoomScaleSheetLayoutView="100" workbookViewId="0">
      <selection activeCell="AA52" sqref="Y6:AB78"/>
    </sheetView>
  </sheetViews>
  <sheetFormatPr defaultColWidth="2.5" defaultRowHeight="25.5" customHeight="1"/>
  <cols>
    <col min="1" max="1" width="23" style="52" customWidth="1"/>
    <col min="2" max="2" width="2.5" style="52" customWidth="1"/>
    <col min="3" max="21" width="2.625" style="52" customWidth="1"/>
    <col min="22" max="22" width="2.75" style="52" customWidth="1"/>
    <col min="23" max="23" width="57.375" style="58" customWidth="1"/>
    <col min="24" max="16384" width="2.5" style="52"/>
  </cols>
  <sheetData>
    <row r="1" spans="1:23" ht="25.5" customHeight="1">
      <c r="A1" s="134" t="s">
        <v>165</v>
      </c>
      <c r="B1" s="135"/>
      <c r="C1" s="135"/>
      <c r="D1" s="135"/>
      <c r="E1" s="135"/>
      <c r="F1" s="135"/>
      <c r="G1" s="135"/>
      <c r="H1" s="135"/>
      <c r="I1" s="135"/>
      <c r="J1" s="135"/>
      <c r="K1" s="135"/>
      <c r="L1" s="135"/>
      <c r="M1" s="135"/>
      <c r="N1" s="135"/>
      <c r="O1" s="135"/>
      <c r="P1" s="135"/>
      <c r="Q1" s="135"/>
      <c r="R1" s="135"/>
      <c r="S1" s="135"/>
      <c r="T1" s="135"/>
      <c r="U1" s="135"/>
      <c r="V1" s="135"/>
      <c r="W1" s="135"/>
    </row>
    <row r="2" spans="1:23" ht="25.5" customHeight="1">
      <c r="A2" s="136"/>
      <c r="B2" s="136"/>
      <c r="C2" s="136"/>
      <c r="D2" s="136"/>
      <c r="E2" s="136"/>
      <c r="F2" s="136"/>
      <c r="G2" s="136"/>
      <c r="H2" s="136"/>
      <c r="I2" s="136"/>
      <c r="J2" s="136"/>
      <c r="K2" s="136"/>
      <c r="L2" s="136"/>
      <c r="M2" s="136"/>
      <c r="N2" s="136"/>
      <c r="O2" s="136"/>
      <c r="P2" s="136"/>
      <c r="Q2" s="136"/>
      <c r="R2" s="136"/>
      <c r="S2" s="136"/>
      <c r="T2" s="136"/>
      <c r="U2" s="136"/>
      <c r="V2" s="136"/>
      <c r="W2" s="137"/>
    </row>
    <row r="3" spans="1:23" ht="20.25" customHeight="1">
      <c r="A3" s="2080" t="s">
        <v>98</v>
      </c>
      <c r="B3" s="2083" t="s">
        <v>503</v>
      </c>
      <c r="C3" s="2106"/>
      <c r="D3" s="1205"/>
      <c r="E3" s="2109" t="s">
        <v>268</v>
      </c>
      <c r="F3" s="2109"/>
      <c r="G3" s="2109"/>
      <c r="H3" s="2109"/>
      <c r="I3" s="2109"/>
      <c r="J3" s="1202"/>
      <c r="K3" s="2110" t="s">
        <v>1058</v>
      </c>
      <c r="L3" s="2110"/>
      <c r="M3" s="2110"/>
      <c r="N3" s="2110"/>
      <c r="O3" s="2110"/>
      <c r="P3" s="2110"/>
      <c r="Q3" s="2110"/>
      <c r="R3" s="2110"/>
      <c r="S3" s="1202"/>
      <c r="T3" s="1202"/>
      <c r="U3" s="1202"/>
      <c r="V3" s="1206"/>
      <c r="W3" s="2129" t="s">
        <v>33</v>
      </c>
    </row>
    <row r="4" spans="1:23" ht="25.5" customHeight="1">
      <c r="A4" s="2081"/>
      <c r="B4" s="2084"/>
      <c r="C4" s="2107"/>
      <c r="D4" s="1207" t="s">
        <v>271</v>
      </c>
      <c r="E4" s="2121">
        <v>256460</v>
      </c>
      <c r="F4" s="2121"/>
      <c r="G4" s="2121"/>
      <c r="H4" s="2121"/>
      <c r="I4" s="2121"/>
      <c r="J4" s="1208" t="s">
        <v>272</v>
      </c>
      <c r="K4" s="2124">
        <v>2560</v>
      </c>
      <c r="L4" s="2124"/>
      <c r="M4" s="2124"/>
      <c r="N4" s="2124"/>
      <c r="O4" s="2124"/>
      <c r="P4" s="2124"/>
      <c r="Q4" s="2124"/>
      <c r="R4" s="2124"/>
      <c r="S4" s="1209" t="s">
        <v>273</v>
      </c>
      <c r="T4" s="1208"/>
      <c r="U4" s="1208"/>
      <c r="V4" s="1210"/>
      <c r="W4" s="2129"/>
    </row>
    <row r="5" spans="1:23" ht="20.25" customHeight="1">
      <c r="A5" s="2082"/>
      <c r="B5" s="2085"/>
      <c r="C5" s="2108"/>
      <c r="D5" s="1203"/>
      <c r="E5" s="1203"/>
      <c r="F5" s="1203"/>
      <c r="G5" s="1204"/>
      <c r="H5" s="1204"/>
      <c r="I5" s="1204"/>
      <c r="J5" s="1204"/>
      <c r="K5" s="1204"/>
      <c r="L5" s="1204"/>
      <c r="M5" s="2125" t="s">
        <v>274</v>
      </c>
      <c r="N5" s="2125"/>
      <c r="O5" s="2125"/>
      <c r="P5" s="2125"/>
      <c r="Q5" s="2125"/>
      <c r="R5" s="2125"/>
      <c r="S5" s="2125"/>
      <c r="T5" s="2125"/>
      <c r="U5" s="2125"/>
      <c r="V5" s="2126"/>
      <c r="W5" s="2129"/>
    </row>
    <row r="6" spans="1:23" ht="25.5" customHeight="1">
      <c r="A6" s="1117"/>
      <c r="B6" s="1117"/>
      <c r="C6" s="1211"/>
      <c r="D6" s="1212"/>
      <c r="E6" s="1212"/>
      <c r="F6" s="1212"/>
      <c r="G6" s="1212"/>
      <c r="H6" s="1213"/>
      <c r="I6" s="1213"/>
      <c r="J6" s="1213"/>
      <c r="K6" s="1213"/>
      <c r="L6" s="1211"/>
      <c r="M6" s="1213"/>
      <c r="N6" s="1213"/>
      <c r="O6" s="1213"/>
      <c r="P6" s="1213"/>
      <c r="Q6" s="1208"/>
      <c r="R6" s="1208"/>
      <c r="S6" s="1208"/>
      <c r="T6" s="1208"/>
      <c r="U6" s="1208"/>
      <c r="V6" s="1208"/>
      <c r="W6" s="138"/>
    </row>
    <row r="7" spans="1:23" ht="20.25" customHeight="1">
      <c r="A7" s="2080" t="s">
        <v>17</v>
      </c>
      <c r="B7" s="2083" t="s">
        <v>1059</v>
      </c>
      <c r="C7" s="2066" t="s">
        <v>795</v>
      </c>
      <c r="D7" s="1205"/>
      <c r="E7" s="2109" t="s">
        <v>268</v>
      </c>
      <c r="F7" s="2109"/>
      <c r="G7" s="2109"/>
      <c r="H7" s="2109"/>
      <c r="I7" s="2109"/>
      <c r="J7" s="1202"/>
      <c r="K7" s="2110" t="s">
        <v>1058</v>
      </c>
      <c r="L7" s="2110"/>
      <c r="M7" s="2110"/>
      <c r="N7" s="2110"/>
      <c r="O7" s="2110"/>
      <c r="P7" s="2110"/>
      <c r="Q7" s="2110"/>
      <c r="R7" s="2110"/>
      <c r="S7" s="1202"/>
      <c r="T7" s="1202"/>
      <c r="U7" s="1202"/>
      <c r="V7" s="1206"/>
      <c r="W7" s="2129" t="s">
        <v>34</v>
      </c>
    </row>
    <row r="8" spans="1:23" ht="25.5" customHeight="1">
      <c r="A8" s="2081"/>
      <c r="B8" s="2084"/>
      <c r="C8" s="2078"/>
      <c r="D8" s="1207" t="s">
        <v>271</v>
      </c>
      <c r="E8" s="2121">
        <v>49870</v>
      </c>
      <c r="F8" s="2121"/>
      <c r="G8" s="2121"/>
      <c r="H8" s="2121"/>
      <c r="I8" s="2121"/>
      <c r="J8" s="1208" t="s">
        <v>272</v>
      </c>
      <c r="K8" s="2124">
        <v>490</v>
      </c>
      <c r="L8" s="2124"/>
      <c r="M8" s="2124"/>
      <c r="N8" s="2124"/>
      <c r="O8" s="2124"/>
      <c r="P8" s="2124"/>
      <c r="Q8" s="2124"/>
      <c r="R8" s="2124"/>
      <c r="S8" s="1209" t="s">
        <v>273</v>
      </c>
      <c r="T8" s="1208"/>
      <c r="U8" s="1208"/>
      <c r="V8" s="1210"/>
      <c r="W8" s="2129"/>
    </row>
    <row r="9" spans="1:23" ht="20.25" customHeight="1">
      <c r="A9" s="2081"/>
      <c r="B9" s="2084"/>
      <c r="C9" s="2067"/>
      <c r="D9" s="1203"/>
      <c r="E9" s="1203"/>
      <c r="F9" s="1203"/>
      <c r="G9" s="1204"/>
      <c r="H9" s="1204"/>
      <c r="I9" s="1204"/>
      <c r="J9" s="1204"/>
      <c r="K9" s="1204"/>
      <c r="L9" s="1204"/>
      <c r="M9" s="2112" t="s">
        <v>274</v>
      </c>
      <c r="N9" s="2112"/>
      <c r="O9" s="2112"/>
      <c r="P9" s="2112"/>
      <c r="Q9" s="2112"/>
      <c r="R9" s="2112"/>
      <c r="S9" s="2112"/>
      <c r="T9" s="2112"/>
      <c r="U9" s="2112"/>
      <c r="V9" s="2115"/>
      <c r="W9" s="2129"/>
    </row>
    <row r="10" spans="1:23" ht="20.25" customHeight="1">
      <c r="A10" s="2081"/>
      <c r="B10" s="2084"/>
      <c r="C10" s="2066" t="s">
        <v>796</v>
      </c>
      <c r="D10" s="1205"/>
      <c r="E10" s="2109" t="s">
        <v>268</v>
      </c>
      <c r="F10" s="2109"/>
      <c r="G10" s="2109"/>
      <c r="H10" s="2109"/>
      <c r="I10" s="2109"/>
      <c r="J10" s="1202"/>
      <c r="K10" s="2110" t="s">
        <v>1058</v>
      </c>
      <c r="L10" s="2110"/>
      <c r="M10" s="2110"/>
      <c r="N10" s="2110"/>
      <c r="O10" s="2110"/>
      <c r="P10" s="2110"/>
      <c r="Q10" s="2110"/>
      <c r="R10" s="2110"/>
      <c r="S10" s="1202"/>
      <c r="T10" s="1202"/>
      <c r="U10" s="1202"/>
      <c r="V10" s="1206"/>
      <c r="W10" s="2129"/>
    </row>
    <row r="11" spans="1:23" ht="25.5" customHeight="1">
      <c r="A11" s="2081"/>
      <c r="B11" s="2084"/>
      <c r="C11" s="2078"/>
      <c r="D11" s="1207" t="s">
        <v>271</v>
      </c>
      <c r="E11" s="2121">
        <v>33250</v>
      </c>
      <c r="F11" s="2121"/>
      <c r="G11" s="2121"/>
      <c r="H11" s="2121"/>
      <c r="I11" s="2121"/>
      <c r="J11" s="1208" t="s">
        <v>272</v>
      </c>
      <c r="K11" s="2124">
        <v>330</v>
      </c>
      <c r="L11" s="2124"/>
      <c r="M11" s="2124"/>
      <c r="N11" s="2124"/>
      <c r="O11" s="2124"/>
      <c r="P11" s="2124"/>
      <c r="Q11" s="2124"/>
      <c r="R11" s="2124"/>
      <c r="S11" s="1209" t="s">
        <v>273</v>
      </c>
      <c r="T11" s="1208"/>
      <c r="U11" s="1208"/>
      <c r="V11" s="1210"/>
      <c r="W11" s="2129"/>
    </row>
    <row r="12" spans="1:23" ht="20.25" customHeight="1">
      <c r="A12" s="2082"/>
      <c r="B12" s="2085"/>
      <c r="C12" s="2067"/>
      <c r="D12" s="1203"/>
      <c r="E12" s="1203"/>
      <c r="F12" s="1203"/>
      <c r="G12" s="1204"/>
      <c r="H12" s="1204"/>
      <c r="I12" s="1204"/>
      <c r="J12" s="1204"/>
      <c r="K12" s="1204"/>
      <c r="L12" s="1204"/>
      <c r="M12" s="2125" t="s">
        <v>274</v>
      </c>
      <c r="N12" s="2125"/>
      <c r="O12" s="2125"/>
      <c r="P12" s="2125"/>
      <c r="Q12" s="2125"/>
      <c r="R12" s="2125"/>
      <c r="S12" s="2125"/>
      <c r="T12" s="2125"/>
      <c r="U12" s="2125"/>
      <c r="V12" s="2126"/>
      <c r="W12" s="2129"/>
    </row>
    <row r="13" spans="1:23" ht="25.5" customHeight="1">
      <c r="A13" s="1117"/>
      <c r="B13" s="1117"/>
      <c r="C13" s="1211"/>
      <c r="D13" s="1212"/>
      <c r="E13" s="1212"/>
      <c r="F13" s="1212"/>
      <c r="G13" s="1212"/>
      <c r="H13" s="1213"/>
      <c r="I13" s="1213"/>
      <c r="J13" s="1213"/>
      <c r="K13" s="1213"/>
      <c r="L13" s="1211"/>
      <c r="M13" s="1213"/>
      <c r="N13" s="1213"/>
      <c r="O13" s="1213"/>
      <c r="P13" s="1213"/>
      <c r="Q13" s="1208"/>
      <c r="R13" s="1208"/>
      <c r="S13" s="1208"/>
      <c r="T13" s="1208"/>
      <c r="U13" s="1208"/>
      <c r="V13" s="1208"/>
      <c r="W13" s="138"/>
    </row>
    <row r="14" spans="1:23" ht="20.25" customHeight="1">
      <c r="A14" s="2080" t="s">
        <v>1060</v>
      </c>
      <c r="B14" s="2083" t="s">
        <v>470</v>
      </c>
      <c r="C14" s="2106"/>
      <c r="D14" s="1205"/>
      <c r="E14" s="2109" t="s">
        <v>268</v>
      </c>
      <c r="F14" s="2109"/>
      <c r="G14" s="2109"/>
      <c r="H14" s="2109"/>
      <c r="I14" s="2109"/>
      <c r="J14" s="1202"/>
      <c r="K14" s="2110" t="s">
        <v>1058</v>
      </c>
      <c r="L14" s="2110"/>
      <c r="M14" s="2110"/>
      <c r="N14" s="2110"/>
      <c r="O14" s="2110"/>
      <c r="P14" s="2110"/>
      <c r="Q14" s="2110"/>
      <c r="R14" s="2110"/>
      <c r="S14" s="1202"/>
      <c r="T14" s="1202"/>
      <c r="U14" s="1202"/>
      <c r="V14" s="1206"/>
      <c r="W14" s="2129" t="s">
        <v>33</v>
      </c>
    </row>
    <row r="15" spans="1:23" ht="25.5" customHeight="1">
      <c r="A15" s="2081"/>
      <c r="B15" s="2084"/>
      <c r="C15" s="2107"/>
      <c r="D15" s="1207" t="s">
        <v>271</v>
      </c>
      <c r="E15" s="2121">
        <v>46100</v>
      </c>
      <c r="F15" s="2121"/>
      <c r="G15" s="2121"/>
      <c r="H15" s="2121"/>
      <c r="I15" s="2121"/>
      <c r="J15" s="1208" t="s">
        <v>272</v>
      </c>
      <c r="K15" s="2124">
        <v>460</v>
      </c>
      <c r="L15" s="2124"/>
      <c r="M15" s="2124"/>
      <c r="N15" s="2124"/>
      <c r="O15" s="2124"/>
      <c r="P15" s="2124"/>
      <c r="Q15" s="2124"/>
      <c r="R15" s="2124"/>
      <c r="S15" s="1209" t="s">
        <v>273</v>
      </c>
      <c r="T15" s="1208"/>
      <c r="U15" s="1208"/>
      <c r="V15" s="1210"/>
      <c r="W15" s="2129"/>
    </row>
    <row r="16" spans="1:23" ht="20.25" customHeight="1">
      <c r="A16" s="2082"/>
      <c r="B16" s="2085"/>
      <c r="C16" s="2108"/>
      <c r="D16" s="1203"/>
      <c r="E16" s="1203"/>
      <c r="F16" s="1203"/>
      <c r="G16" s="1204"/>
      <c r="H16" s="1204"/>
      <c r="I16" s="1204"/>
      <c r="J16" s="1204"/>
      <c r="K16" s="1204"/>
      <c r="L16" s="1204"/>
      <c r="M16" s="2125" t="s">
        <v>274</v>
      </c>
      <c r="N16" s="2125"/>
      <c r="O16" s="2125"/>
      <c r="P16" s="2125"/>
      <c r="Q16" s="2125"/>
      <c r="R16" s="2125"/>
      <c r="S16" s="2125"/>
      <c r="T16" s="2125"/>
      <c r="U16" s="2125"/>
      <c r="V16" s="2126"/>
      <c r="W16" s="2129"/>
    </row>
    <row r="17" spans="1:23" ht="25.5" customHeight="1">
      <c r="A17" s="1118"/>
      <c r="B17" s="1118"/>
      <c r="C17" s="1211"/>
      <c r="D17" s="1214"/>
      <c r="E17" s="1214"/>
      <c r="F17" s="1214"/>
      <c r="G17" s="1215"/>
      <c r="H17" s="1215"/>
      <c r="I17" s="1215"/>
      <c r="J17" s="1215"/>
      <c r="K17" s="1215"/>
      <c r="L17" s="1215"/>
      <c r="M17" s="1216"/>
      <c r="N17" s="1216"/>
      <c r="O17" s="1216"/>
      <c r="P17" s="1216"/>
      <c r="Q17" s="1216"/>
      <c r="R17" s="1216"/>
      <c r="S17" s="1216"/>
      <c r="T17" s="1216"/>
      <c r="U17" s="1216"/>
      <c r="V17" s="1216"/>
      <c r="W17" s="139"/>
    </row>
    <row r="18" spans="1:23" ht="30" customHeight="1">
      <c r="A18" s="2080" t="s">
        <v>462</v>
      </c>
      <c r="B18" s="2083" t="s">
        <v>360</v>
      </c>
      <c r="C18" s="2116" t="s">
        <v>463</v>
      </c>
      <c r="D18" s="2117"/>
      <c r="E18" s="2117"/>
      <c r="F18" s="2117"/>
      <c r="G18" s="2117"/>
      <c r="H18" s="2117"/>
      <c r="I18" s="2117"/>
      <c r="J18" s="2117"/>
      <c r="K18" s="2117"/>
      <c r="L18" s="2117"/>
      <c r="M18" s="2117"/>
      <c r="N18" s="2117"/>
      <c r="O18" s="2117"/>
      <c r="P18" s="2117"/>
      <c r="Q18" s="2117"/>
      <c r="R18" s="2117"/>
      <c r="S18" s="2117"/>
      <c r="T18" s="2117"/>
      <c r="U18" s="2117"/>
      <c r="V18" s="2118"/>
      <c r="W18" s="2130" t="s">
        <v>199</v>
      </c>
    </row>
    <row r="19" spans="1:23" ht="30" customHeight="1">
      <c r="A19" s="2127"/>
      <c r="B19" s="2104"/>
      <c r="C19" s="2119" t="s">
        <v>465</v>
      </c>
      <c r="D19" s="2120"/>
      <c r="E19" s="2120"/>
      <c r="F19" s="2120"/>
      <c r="G19" s="2120"/>
      <c r="H19" s="2120"/>
      <c r="I19" s="2120"/>
      <c r="J19" s="2120"/>
      <c r="K19" s="2120"/>
      <c r="L19" s="2121">
        <v>48900</v>
      </c>
      <c r="M19" s="2122"/>
      <c r="N19" s="2122"/>
      <c r="O19" s="2120" t="s">
        <v>466</v>
      </c>
      <c r="P19" s="2120"/>
      <c r="Q19" s="2120"/>
      <c r="R19" s="2120"/>
      <c r="S19" s="2120"/>
      <c r="T19" s="2120"/>
      <c r="U19" s="2120"/>
      <c r="V19" s="2123"/>
      <c r="W19" s="2131"/>
    </row>
    <row r="20" spans="1:23" ht="30" customHeight="1">
      <c r="A20" s="2128"/>
      <c r="B20" s="2105"/>
      <c r="C20" s="2111" t="s">
        <v>467</v>
      </c>
      <c r="D20" s="2112"/>
      <c r="E20" s="2112"/>
      <c r="F20" s="2112"/>
      <c r="G20" s="2112"/>
      <c r="H20" s="2112"/>
      <c r="I20" s="2112"/>
      <c r="J20" s="2112"/>
      <c r="K20" s="2112"/>
      <c r="L20" s="2113">
        <v>6110</v>
      </c>
      <c r="M20" s="2114"/>
      <c r="N20" s="2114"/>
      <c r="O20" s="2112" t="s">
        <v>468</v>
      </c>
      <c r="P20" s="2112"/>
      <c r="Q20" s="2112"/>
      <c r="R20" s="2112"/>
      <c r="S20" s="2112"/>
      <c r="T20" s="2112"/>
      <c r="U20" s="2112"/>
      <c r="V20" s="2115"/>
      <c r="W20" s="2132"/>
    </row>
    <row r="21" spans="1:23" ht="25.5" customHeight="1">
      <c r="A21" s="1117"/>
      <c r="B21" s="1117"/>
      <c r="C21" s="1211"/>
      <c r="D21" s="1212"/>
      <c r="E21" s="1212"/>
      <c r="F21" s="1212"/>
      <c r="G21" s="1212"/>
      <c r="H21" s="1213"/>
      <c r="I21" s="1213"/>
      <c r="J21" s="1213"/>
      <c r="K21" s="1213"/>
      <c r="L21" s="1211"/>
      <c r="M21" s="1213"/>
      <c r="N21" s="1213"/>
      <c r="O21" s="1213"/>
      <c r="P21" s="1213"/>
      <c r="Q21" s="1208"/>
      <c r="R21" s="1208"/>
      <c r="S21" s="1208"/>
      <c r="T21" s="1208"/>
      <c r="U21" s="1208"/>
      <c r="V21" s="1208"/>
      <c r="W21" s="138"/>
    </row>
    <row r="22" spans="1:23" ht="25.5" customHeight="1">
      <c r="A22" s="2116" t="s">
        <v>1183</v>
      </c>
      <c r="B22" s="2135" t="s">
        <v>494</v>
      </c>
      <c r="C22" s="2106"/>
      <c r="D22" s="2137">
        <v>11000</v>
      </c>
      <c r="E22" s="2138"/>
      <c r="F22" s="2138"/>
      <c r="G22" s="2138"/>
      <c r="H22" s="2138"/>
      <c r="I22" s="2138"/>
      <c r="J22" s="1202" t="s">
        <v>1184</v>
      </c>
      <c r="K22" s="2139" t="s">
        <v>1185</v>
      </c>
      <c r="L22" s="2139"/>
      <c r="M22" s="2139"/>
      <c r="N22" s="2139"/>
      <c r="O22" s="2139"/>
      <c r="P22" s="2139"/>
      <c r="Q22" s="2139"/>
      <c r="R22" s="2139"/>
      <c r="S22" s="2139"/>
      <c r="T22" s="2139"/>
      <c r="U22" s="2139"/>
      <c r="V22" s="2140"/>
      <c r="W22" s="2133" t="s">
        <v>1186</v>
      </c>
    </row>
    <row r="23" spans="1:23" ht="25.5" customHeight="1">
      <c r="A23" s="2134"/>
      <c r="B23" s="2136"/>
      <c r="C23" s="2108"/>
      <c r="D23" s="1203"/>
      <c r="E23" s="1203"/>
      <c r="F23" s="1203"/>
      <c r="G23" s="1204"/>
      <c r="H23" s="1204"/>
      <c r="I23" s="1204"/>
      <c r="J23" s="1204"/>
      <c r="K23" s="1204"/>
      <c r="L23" s="1204"/>
      <c r="M23" s="2112" t="s">
        <v>274</v>
      </c>
      <c r="N23" s="2112"/>
      <c r="O23" s="2112"/>
      <c r="P23" s="2112"/>
      <c r="Q23" s="2112"/>
      <c r="R23" s="2112"/>
      <c r="S23" s="2112"/>
      <c r="T23" s="2112"/>
      <c r="U23" s="2112"/>
      <c r="V23" s="2115"/>
      <c r="W23" s="2133"/>
    </row>
    <row r="24" spans="1:23" ht="25.5" customHeight="1">
      <c r="A24" s="1117"/>
      <c r="B24" s="1117"/>
      <c r="C24" s="1211"/>
      <c r="D24" s="1212"/>
      <c r="E24" s="1212"/>
      <c r="F24" s="1212"/>
      <c r="G24" s="1212"/>
      <c r="H24" s="1213"/>
      <c r="I24" s="1213"/>
      <c r="J24" s="1213"/>
      <c r="K24" s="1213"/>
      <c r="L24" s="1211"/>
      <c r="M24" s="1213"/>
      <c r="N24" s="1213"/>
      <c r="O24" s="1213"/>
      <c r="P24" s="1213"/>
      <c r="Q24" s="1208"/>
      <c r="R24" s="1208"/>
      <c r="S24" s="1208"/>
      <c r="T24" s="1208"/>
      <c r="U24" s="1208"/>
      <c r="V24" s="1208"/>
      <c r="W24" s="138"/>
    </row>
    <row r="25" spans="1:23" ht="30" customHeight="1">
      <c r="A25" s="2080" t="s">
        <v>469</v>
      </c>
      <c r="B25" s="2083" t="s">
        <v>481</v>
      </c>
      <c r="C25" s="2086" t="s">
        <v>471</v>
      </c>
      <c r="D25" s="2087"/>
      <c r="E25" s="2087"/>
      <c r="F25" s="2087"/>
      <c r="G25" s="2087"/>
      <c r="H25" s="2088">
        <v>1840</v>
      </c>
      <c r="I25" s="2088"/>
      <c r="J25" s="2088"/>
      <c r="K25" s="2088"/>
      <c r="L25" s="2089"/>
      <c r="M25" s="2086" t="s">
        <v>472</v>
      </c>
      <c r="N25" s="2087"/>
      <c r="O25" s="2087"/>
      <c r="P25" s="2087"/>
      <c r="Q25" s="2087"/>
      <c r="R25" s="2088">
        <v>1270</v>
      </c>
      <c r="S25" s="2088"/>
      <c r="T25" s="2088"/>
      <c r="U25" s="2088"/>
      <c r="V25" s="2089"/>
      <c r="W25" s="2129" t="s">
        <v>35</v>
      </c>
    </row>
    <row r="26" spans="1:23" ht="25.5" customHeight="1">
      <c r="A26" s="2081"/>
      <c r="B26" s="2084"/>
      <c r="C26" s="2086" t="s">
        <v>474</v>
      </c>
      <c r="D26" s="2087"/>
      <c r="E26" s="2087"/>
      <c r="F26" s="2087"/>
      <c r="G26" s="2087"/>
      <c r="H26" s="2088">
        <v>1630</v>
      </c>
      <c r="I26" s="2088"/>
      <c r="J26" s="2088"/>
      <c r="K26" s="2088"/>
      <c r="L26" s="2089"/>
      <c r="M26" s="2086" t="s">
        <v>475</v>
      </c>
      <c r="N26" s="2087"/>
      <c r="O26" s="2087"/>
      <c r="P26" s="2087"/>
      <c r="Q26" s="2087"/>
      <c r="R26" s="2088">
        <v>110</v>
      </c>
      <c r="S26" s="2088"/>
      <c r="T26" s="2088"/>
      <c r="U26" s="2088"/>
      <c r="V26" s="2089"/>
      <c r="W26" s="2129"/>
    </row>
    <row r="27" spans="1:23" ht="30" customHeight="1">
      <c r="A27" s="2082"/>
      <c r="B27" s="2085"/>
      <c r="C27" s="2086" t="s">
        <v>476</v>
      </c>
      <c r="D27" s="2087"/>
      <c r="E27" s="2087"/>
      <c r="F27" s="2087"/>
      <c r="G27" s="2087"/>
      <c r="H27" s="2088">
        <v>1610</v>
      </c>
      <c r="I27" s="2088"/>
      <c r="J27" s="2088"/>
      <c r="K27" s="2088"/>
      <c r="L27" s="2089"/>
      <c r="M27" s="2101"/>
      <c r="N27" s="2102"/>
      <c r="O27" s="2102"/>
      <c r="P27" s="2102"/>
      <c r="Q27" s="2102"/>
      <c r="R27" s="2102"/>
      <c r="S27" s="2102"/>
      <c r="T27" s="2102"/>
      <c r="U27" s="2102"/>
      <c r="V27" s="2103"/>
      <c r="W27" s="2129"/>
    </row>
    <row r="28" spans="1:23" ht="25.5" customHeight="1">
      <c r="A28" s="1117"/>
      <c r="B28" s="1117"/>
      <c r="C28" s="1211"/>
      <c r="D28" s="1212"/>
      <c r="E28" s="1212"/>
      <c r="F28" s="1212"/>
      <c r="G28" s="1212"/>
      <c r="H28" s="1213"/>
      <c r="I28" s="1213"/>
      <c r="J28" s="1213"/>
      <c r="K28" s="1213"/>
      <c r="L28" s="1211"/>
      <c r="M28" s="1213"/>
      <c r="N28" s="1213"/>
      <c r="O28" s="1213"/>
      <c r="P28" s="1213"/>
      <c r="Q28" s="1208"/>
      <c r="R28" s="1208"/>
      <c r="S28" s="1208"/>
      <c r="T28" s="1208"/>
      <c r="U28" s="1208"/>
      <c r="V28" s="1208"/>
      <c r="W28" s="138"/>
    </row>
    <row r="29" spans="1:23" ht="18" customHeight="1">
      <c r="A29" s="1119" t="s">
        <v>477</v>
      </c>
      <c r="B29" s="1120" t="s">
        <v>483</v>
      </c>
      <c r="C29" s="2090">
        <v>6180</v>
      </c>
      <c r="D29" s="2090"/>
      <c r="E29" s="2090"/>
      <c r="F29" s="2090"/>
      <c r="G29" s="2090"/>
      <c r="H29" s="2090"/>
      <c r="I29" s="2090"/>
      <c r="J29" s="2090"/>
      <c r="K29" s="2090"/>
      <c r="L29" s="2090"/>
      <c r="M29" s="2090"/>
      <c r="N29" s="2090"/>
      <c r="O29" s="2090"/>
      <c r="P29" s="2090"/>
      <c r="Q29" s="2090"/>
      <c r="R29" s="2090"/>
      <c r="S29" s="2090"/>
      <c r="T29" s="2090"/>
      <c r="U29" s="2090"/>
      <c r="V29" s="2091"/>
      <c r="W29" s="141" t="s">
        <v>36</v>
      </c>
    </row>
    <row r="30" spans="1:23" ht="18" customHeight="1">
      <c r="A30" s="1117"/>
      <c r="B30" s="1117"/>
      <c r="C30" s="1211"/>
      <c r="D30" s="1212"/>
      <c r="E30" s="1212"/>
      <c r="F30" s="1212"/>
      <c r="G30" s="1212"/>
      <c r="H30" s="1213"/>
      <c r="I30" s="1213"/>
      <c r="J30" s="1213"/>
      <c r="K30" s="1213"/>
      <c r="L30" s="1211"/>
      <c r="M30" s="1213"/>
      <c r="N30" s="1213"/>
      <c r="O30" s="1213"/>
      <c r="P30" s="1213"/>
      <c r="Q30" s="1208"/>
      <c r="R30" s="1208"/>
      <c r="S30" s="1208"/>
      <c r="T30" s="1208"/>
      <c r="U30" s="1208"/>
      <c r="V30" s="1208"/>
      <c r="W30" s="140"/>
    </row>
    <row r="31" spans="1:23" ht="18" customHeight="1">
      <c r="A31" s="1119" t="s">
        <v>480</v>
      </c>
      <c r="B31" s="1120" t="s">
        <v>1061</v>
      </c>
      <c r="C31" s="2092">
        <v>155870</v>
      </c>
      <c r="D31" s="2092"/>
      <c r="E31" s="2092"/>
      <c r="F31" s="2092"/>
      <c r="G31" s="2092"/>
      <c r="H31" s="2092"/>
      <c r="I31" s="2092"/>
      <c r="J31" s="2092"/>
      <c r="K31" s="2092"/>
      <c r="L31" s="2092"/>
      <c r="M31" s="2092"/>
      <c r="N31" s="2092"/>
      <c r="O31" s="2092"/>
      <c r="P31" s="2092"/>
      <c r="Q31" s="2092"/>
      <c r="R31" s="2092"/>
      <c r="S31" s="2092"/>
      <c r="T31" s="2092"/>
      <c r="U31" s="2092"/>
      <c r="V31" s="2093"/>
      <c r="W31" s="141" t="s">
        <v>36</v>
      </c>
    </row>
    <row r="32" spans="1:23" ht="18" customHeight="1">
      <c r="A32" s="1117"/>
      <c r="B32" s="1117"/>
      <c r="C32" s="1211"/>
      <c r="D32" s="1212"/>
      <c r="E32" s="1212"/>
      <c r="F32" s="1212"/>
      <c r="G32" s="1212"/>
      <c r="H32" s="1213"/>
      <c r="I32" s="1213"/>
      <c r="J32" s="1213"/>
      <c r="K32" s="1213"/>
      <c r="L32" s="1211"/>
      <c r="M32" s="1213"/>
      <c r="N32" s="1213"/>
      <c r="O32" s="1213"/>
      <c r="P32" s="1213"/>
      <c r="Q32" s="1208"/>
      <c r="R32" s="1208"/>
      <c r="S32" s="1208"/>
      <c r="T32" s="1208"/>
      <c r="U32" s="1208"/>
      <c r="V32" s="1208"/>
      <c r="W32" s="140"/>
    </row>
    <row r="33" spans="1:23" ht="18" customHeight="1">
      <c r="A33" s="2080" t="s">
        <v>361</v>
      </c>
      <c r="B33" s="2083" t="s">
        <v>384</v>
      </c>
      <c r="C33" s="2094" t="s">
        <v>1062</v>
      </c>
      <c r="D33" s="2095"/>
      <c r="E33" s="2095"/>
      <c r="F33" s="2095"/>
      <c r="G33" s="2095"/>
      <c r="H33" s="2095"/>
      <c r="I33" s="2095"/>
      <c r="J33" s="2095"/>
      <c r="K33" s="2095"/>
      <c r="L33" s="2098">
        <v>456000</v>
      </c>
      <c r="M33" s="2098"/>
      <c r="N33" s="2098"/>
      <c r="O33" s="2098"/>
      <c r="P33" s="1217"/>
      <c r="Q33" s="1217"/>
      <c r="R33" s="1217"/>
      <c r="S33" s="1217"/>
      <c r="T33" s="1217"/>
      <c r="U33" s="1217"/>
      <c r="V33" s="1218"/>
      <c r="W33" s="2129" t="s">
        <v>168</v>
      </c>
    </row>
    <row r="34" spans="1:23" ht="18" customHeight="1">
      <c r="A34" s="2081"/>
      <c r="B34" s="2084"/>
      <c r="C34" s="2096"/>
      <c r="D34" s="2097"/>
      <c r="E34" s="2097"/>
      <c r="F34" s="2097"/>
      <c r="G34" s="2097"/>
      <c r="H34" s="2097"/>
      <c r="I34" s="2097"/>
      <c r="J34" s="2097"/>
      <c r="K34" s="2097"/>
      <c r="L34" s="2099" t="s">
        <v>1063</v>
      </c>
      <c r="M34" s="2099"/>
      <c r="N34" s="2099"/>
      <c r="O34" s="2099"/>
      <c r="P34" s="2099"/>
      <c r="Q34" s="2099"/>
      <c r="R34" s="2099"/>
      <c r="S34" s="2099"/>
      <c r="T34" s="2099"/>
      <c r="U34" s="2099"/>
      <c r="V34" s="2100"/>
      <c r="W34" s="2129"/>
    </row>
    <row r="35" spans="1:23" ht="25.5" customHeight="1">
      <c r="A35" s="2081"/>
      <c r="B35" s="2084"/>
      <c r="C35" s="2094" t="s">
        <v>1064</v>
      </c>
      <c r="D35" s="2095"/>
      <c r="E35" s="2095"/>
      <c r="F35" s="2095"/>
      <c r="G35" s="2095"/>
      <c r="H35" s="2095"/>
      <c r="I35" s="2095"/>
      <c r="J35" s="2095"/>
      <c r="K35" s="2095"/>
      <c r="L35" s="2098">
        <v>760000</v>
      </c>
      <c r="M35" s="2098"/>
      <c r="N35" s="2098"/>
      <c r="O35" s="2098"/>
      <c r="P35" s="1217"/>
      <c r="Q35" s="1217"/>
      <c r="R35" s="1217"/>
      <c r="S35" s="1217"/>
      <c r="T35" s="1217"/>
      <c r="U35" s="1217"/>
      <c r="V35" s="1218"/>
      <c r="W35" s="2129"/>
    </row>
    <row r="36" spans="1:23" ht="30" customHeight="1">
      <c r="A36" s="2081"/>
      <c r="B36" s="2084"/>
      <c r="C36" s="2096"/>
      <c r="D36" s="2097"/>
      <c r="E36" s="2097"/>
      <c r="F36" s="2097"/>
      <c r="G36" s="2097"/>
      <c r="H36" s="2097"/>
      <c r="I36" s="2097"/>
      <c r="J36" s="2097"/>
      <c r="K36" s="2097"/>
      <c r="L36" s="2099" t="s">
        <v>1063</v>
      </c>
      <c r="M36" s="2099"/>
      <c r="N36" s="2099"/>
      <c r="O36" s="2099"/>
      <c r="P36" s="2099"/>
      <c r="Q36" s="2099"/>
      <c r="R36" s="2099"/>
      <c r="S36" s="2099"/>
      <c r="T36" s="2099"/>
      <c r="U36" s="2099"/>
      <c r="V36" s="2100"/>
      <c r="W36" s="2129"/>
    </row>
    <row r="37" spans="1:23" ht="25.5" customHeight="1">
      <c r="A37" s="2081"/>
      <c r="B37" s="2084"/>
      <c r="C37" s="2094" t="s">
        <v>1065</v>
      </c>
      <c r="D37" s="2095"/>
      <c r="E37" s="2095"/>
      <c r="F37" s="2095"/>
      <c r="G37" s="2095"/>
      <c r="H37" s="2095"/>
      <c r="I37" s="2095"/>
      <c r="J37" s="2095"/>
      <c r="K37" s="2095"/>
      <c r="L37" s="2098">
        <v>1065000</v>
      </c>
      <c r="M37" s="2098"/>
      <c r="N37" s="2098"/>
      <c r="O37" s="2098"/>
      <c r="P37" s="1217"/>
      <c r="Q37" s="1217"/>
      <c r="R37" s="1217"/>
      <c r="S37" s="1217"/>
      <c r="T37" s="1217"/>
      <c r="U37" s="1217"/>
      <c r="V37" s="1218"/>
      <c r="W37" s="2129"/>
    </row>
    <row r="38" spans="1:23" ht="30" customHeight="1">
      <c r="A38" s="2082"/>
      <c r="B38" s="2085"/>
      <c r="C38" s="2096"/>
      <c r="D38" s="2097"/>
      <c r="E38" s="2097"/>
      <c r="F38" s="2097"/>
      <c r="G38" s="2097"/>
      <c r="H38" s="2097"/>
      <c r="I38" s="2097"/>
      <c r="J38" s="2097"/>
      <c r="K38" s="2097"/>
      <c r="L38" s="2099" t="s">
        <v>1063</v>
      </c>
      <c r="M38" s="2099"/>
      <c r="N38" s="2099"/>
      <c r="O38" s="2099"/>
      <c r="P38" s="2099"/>
      <c r="Q38" s="2099"/>
      <c r="R38" s="2099"/>
      <c r="S38" s="2099"/>
      <c r="T38" s="2099"/>
      <c r="U38" s="2099"/>
      <c r="V38" s="2100"/>
      <c r="W38" s="2129"/>
    </row>
    <row r="39" spans="1:23" ht="25.5" customHeight="1">
      <c r="A39" s="1117"/>
      <c r="B39" s="1117"/>
      <c r="C39" s="1211"/>
      <c r="D39" s="1212"/>
      <c r="E39" s="1212"/>
      <c r="F39" s="1212"/>
      <c r="G39" s="1212"/>
      <c r="H39" s="1213"/>
      <c r="I39" s="1213"/>
      <c r="J39" s="1213"/>
      <c r="K39" s="1213"/>
      <c r="L39" s="1211"/>
      <c r="M39" s="1208"/>
      <c r="N39" s="1213"/>
      <c r="O39" s="1213"/>
      <c r="P39" s="1213"/>
      <c r="Q39" s="1208"/>
      <c r="R39" s="1208"/>
      <c r="S39" s="1208"/>
      <c r="T39" s="1208"/>
      <c r="U39" s="1208"/>
      <c r="V39" s="1208"/>
      <c r="W39" s="140"/>
    </row>
    <row r="40" spans="1:23" ht="30" customHeight="1">
      <c r="A40" s="1119" t="s">
        <v>482</v>
      </c>
      <c r="B40" s="1120" t="s">
        <v>1066</v>
      </c>
      <c r="C40" s="2148">
        <v>160000</v>
      </c>
      <c r="D40" s="2148"/>
      <c r="E40" s="2148"/>
      <c r="F40" s="2148"/>
      <c r="G40" s="2148"/>
      <c r="H40" s="2148"/>
      <c r="I40" s="2148"/>
      <c r="J40" s="2148"/>
      <c r="K40" s="2148"/>
      <c r="L40" s="2148"/>
      <c r="M40" s="2148"/>
      <c r="N40" s="2148"/>
      <c r="O40" s="2148"/>
      <c r="P40" s="2148"/>
      <c r="Q40" s="2148"/>
      <c r="R40" s="2148"/>
      <c r="S40" s="2148"/>
      <c r="T40" s="2148"/>
      <c r="U40" s="2148"/>
      <c r="V40" s="2149"/>
      <c r="W40" s="141" t="s">
        <v>36</v>
      </c>
    </row>
    <row r="41" spans="1:23" ht="25.5" customHeight="1">
      <c r="A41" s="1117"/>
      <c r="B41" s="1117"/>
      <c r="C41" s="1211"/>
      <c r="D41" s="1212"/>
      <c r="E41" s="1212"/>
      <c r="F41" s="1212"/>
      <c r="G41" s="1212"/>
      <c r="H41" s="1213"/>
      <c r="I41" s="1213"/>
      <c r="J41" s="1213"/>
      <c r="K41" s="1213"/>
      <c r="L41" s="1211"/>
      <c r="M41" s="1208"/>
      <c r="N41" s="1213"/>
      <c r="O41" s="1213"/>
      <c r="P41" s="1213"/>
      <c r="Q41" s="1208"/>
      <c r="R41" s="1208"/>
      <c r="S41" s="1208"/>
      <c r="T41" s="1208"/>
      <c r="U41" s="1208"/>
      <c r="V41" s="1208"/>
      <c r="W41" s="142"/>
    </row>
    <row r="42" spans="1:23" ht="30" customHeight="1">
      <c r="A42" s="1119" t="s">
        <v>1067</v>
      </c>
      <c r="B42" s="1120" t="s">
        <v>1068</v>
      </c>
      <c r="C42" s="2092">
        <v>96840</v>
      </c>
      <c r="D42" s="2092"/>
      <c r="E42" s="2092"/>
      <c r="F42" s="2092"/>
      <c r="G42" s="2092"/>
      <c r="H42" s="2092"/>
      <c r="I42" s="2092"/>
      <c r="J42" s="2092"/>
      <c r="K42" s="2092"/>
      <c r="L42" s="2092"/>
      <c r="M42" s="2092"/>
      <c r="N42" s="2092"/>
      <c r="O42" s="2092"/>
      <c r="P42" s="2092"/>
      <c r="Q42" s="2092"/>
      <c r="R42" s="2092"/>
      <c r="S42" s="2092"/>
      <c r="T42" s="2092"/>
      <c r="U42" s="2092"/>
      <c r="V42" s="2093"/>
      <c r="W42" s="141" t="s">
        <v>36</v>
      </c>
    </row>
    <row r="43" spans="1:23" ht="25.5" customHeight="1">
      <c r="A43" s="1121"/>
      <c r="B43" s="1118"/>
      <c r="C43" s="1219"/>
      <c r="D43" s="1219"/>
      <c r="E43" s="1219"/>
      <c r="F43" s="1219"/>
      <c r="G43" s="1219"/>
      <c r="H43" s="1219"/>
      <c r="I43" s="1219"/>
      <c r="J43" s="1219"/>
      <c r="K43" s="1219"/>
      <c r="L43" s="1219"/>
      <c r="M43" s="1219"/>
      <c r="N43" s="1219"/>
      <c r="O43" s="1219"/>
      <c r="P43" s="1219"/>
      <c r="Q43" s="1219"/>
      <c r="R43" s="1219"/>
      <c r="S43" s="1219"/>
      <c r="T43" s="1219"/>
      <c r="U43" s="1219"/>
      <c r="V43" s="1219"/>
      <c r="W43" s="142" t="s">
        <v>169</v>
      </c>
    </row>
    <row r="44" spans="1:23" ht="25.5" customHeight="1">
      <c r="A44" s="2080" t="s">
        <v>266</v>
      </c>
      <c r="B44" s="2142" t="s">
        <v>267</v>
      </c>
      <c r="C44" s="2066" t="s">
        <v>795</v>
      </c>
      <c r="D44" s="1220"/>
      <c r="E44" s="2069" t="s">
        <v>268</v>
      </c>
      <c r="F44" s="2069"/>
      <c r="G44" s="2069"/>
      <c r="H44" s="2069"/>
      <c r="I44" s="2069"/>
      <c r="J44" s="1221"/>
      <c r="K44" s="2079" t="s">
        <v>269</v>
      </c>
      <c r="L44" s="2079"/>
      <c r="M44" s="2079"/>
      <c r="N44" s="2079"/>
      <c r="O44" s="2079"/>
      <c r="P44" s="2079"/>
      <c r="Q44" s="2079"/>
      <c r="R44" s="2079"/>
      <c r="S44" s="1220"/>
      <c r="T44" s="1221"/>
      <c r="U44" s="1221"/>
      <c r="V44" s="1222"/>
      <c r="W44" s="2145" t="s">
        <v>270</v>
      </c>
    </row>
    <row r="45" spans="1:23" ht="25.5" customHeight="1">
      <c r="A45" s="2127"/>
      <c r="B45" s="2143"/>
      <c r="C45" s="2078"/>
      <c r="D45" s="1223" t="s">
        <v>271</v>
      </c>
      <c r="E45" s="2074">
        <v>76960</v>
      </c>
      <c r="F45" s="2074"/>
      <c r="G45" s="2074"/>
      <c r="H45" s="2074"/>
      <c r="I45" s="2074"/>
      <c r="J45" s="1223" t="s">
        <v>272</v>
      </c>
      <c r="K45" s="2075">
        <v>760</v>
      </c>
      <c r="L45" s="2075"/>
      <c r="M45" s="2075"/>
      <c r="N45" s="2075"/>
      <c r="O45" s="2075"/>
      <c r="P45" s="2075"/>
      <c r="Q45" s="2075"/>
      <c r="R45" s="2075"/>
      <c r="S45" s="1224" t="s">
        <v>273</v>
      </c>
      <c r="T45" s="1223"/>
      <c r="U45" s="1223"/>
      <c r="V45" s="1225"/>
      <c r="W45" s="2146"/>
    </row>
    <row r="46" spans="1:23" ht="25.5" customHeight="1">
      <c r="A46" s="2127"/>
      <c r="B46" s="2143"/>
      <c r="C46" s="2067"/>
      <c r="D46" s="1226"/>
      <c r="E46" s="1227"/>
      <c r="F46" s="1227"/>
      <c r="G46" s="1227"/>
      <c r="H46" s="1227"/>
      <c r="I46" s="2076" t="s">
        <v>274</v>
      </c>
      <c r="J46" s="2076"/>
      <c r="K46" s="2076"/>
      <c r="L46" s="2076"/>
      <c r="M46" s="2076"/>
      <c r="N46" s="2076"/>
      <c r="O46" s="2076"/>
      <c r="P46" s="2076"/>
      <c r="Q46" s="2076"/>
      <c r="R46" s="2076"/>
      <c r="S46" s="2076"/>
      <c r="T46" s="2076"/>
      <c r="U46" s="2076"/>
      <c r="V46" s="2077"/>
      <c r="W46" s="2146"/>
    </row>
    <row r="47" spans="1:23" ht="25.5" customHeight="1">
      <c r="A47" s="2127"/>
      <c r="B47" s="2143"/>
      <c r="C47" s="2066" t="s">
        <v>1070</v>
      </c>
      <c r="D47" s="1220"/>
      <c r="E47" s="2069" t="s">
        <v>268</v>
      </c>
      <c r="F47" s="2069"/>
      <c r="G47" s="2069"/>
      <c r="H47" s="2069"/>
      <c r="I47" s="2069"/>
      <c r="J47" s="1221"/>
      <c r="K47" s="2079" t="s">
        <v>269</v>
      </c>
      <c r="L47" s="2079"/>
      <c r="M47" s="2079"/>
      <c r="N47" s="2079"/>
      <c r="O47" s="2079"/>
      <c r="P47" s="2079"/>
      <c r="Q47" s="2079"/>
      <c r="R47" s="2079"/>
      <c r="S47" s="1220"/>
      <c r="T47" s="1221"/>
      <c r="U47" s="1221"/>
      <c r="V47" s="1222"/>
      <c r="W47" s="2146"/>
    </row>
    <row r="48" spans="1:23" ht="25.5" customHeight="1">
      <c r="A48" s="2127"/>
      <c r="B48" s="2143"/>
      <c r="C48" s="2078"/>
      <c r="D48" s="1223" t="s">
        <v>271</v>
      </c>
      <c r="E48" s="2074">
        <v>50000</v>
      </c>
      <c r="F48" s="2074"/>
      <c r="G48" s="2074"/>
      <c r="H48" s="2074"/>
      <c r="I48" s="2074"/>
      <c r="J48" s="1223" t="s">
        <v>272</v>
      </c>
      <c r="K48" s="2075">
        <v>500</v>
      </c>
      <c r="L48" s="2075"/>
      <c r="M48" s="2075"/>
      <c r="N48" s="2075"/>
      <c r="O48" s="2075"/>
      <c r="P48" s="2075"/>
      <c r="Q48" s="2075"/>
      <c r="R48" s="2075"/>
      <c r="S48" s="1224" t="s">
        <v>273</v>
      </c>
      <c r="T48" s="1223"/>
      <c r="U48" s="1223"/>
      <c r="V48" s="1225"/>
      <c r="W48" s="2146"/>
    </row>
    <row r="49" spans="1:23" ht="25.5" customHeight="1">
      <c r="A49" s="2127"/>
      <c r="B49" s="2143"/>
      <c r="C49" s="2067"/>
      <c r="D49" s="1226"/>
      <c r="E49" s="1227"/>
      <c r="F49" s="1227"/>
      <c r="G49" s="1227"/>
      <c r="H49" s="1227"/>
      <c r="I49" s="2076" t="s">
        <v>274</v>
      </c>
      <c r="J49" s="2076"/>
      <c r="K49" s="2076"/>
      <c r="L49" s="2076"/>
      <c r="M49" s="2076"/>
      <c r="N49" s="2076"/>
      <c r="O49" s="2076"/>
      <c r="P49" s="2076"/>
      <c r="Q49" s="2076"/>
      <c r="R49" s="2076"/>
      <c r="S49" s="2076"/>
      <c r="T49" s="2076"/>
      <c r="U49" s="2076"/>
      <c r="V49" s="2077"/>
      <c r="W49" s="2146"/>
    </row>
    <row r="50" spans="1:23" ht="25.5" customHeight="1">
      <c r="A50" s="2127"/>
      <c r="B50" s="2143"/>
      <c r="C50" s="2066" t="s">
        <v>1071</v>
      </c>
      <c r="D50" s="2068" t="s">
        <v>268</v>
      </c>
      <c r="E50" s="2069"/>
      <c r="F50" s="2069"/>
      <c r="G50" s="2069"/>
      <c r="H50" s="2069"/>
      <c r="I50" s="2069"/>
      <c r="J50" s="2069"/>
      <c r="K50" s="2069"/>
      <c r="L50" s="2069"/>
      <c r="M50" s="1228"/>
      <c r="N50" s="1228"/>
      <c r="O50" s="1228"/>
      <c r="P50" s="1228"/>
      <c r="Q50" s="1228"/>
      <c r="R50" s="1228"/>
      <c r="S50" s="1228"/>
      <c r="T50" s="1228"/>
      <c r="U50" s="1228"/>
      <c r="V50" s="1229"/>
      <c r="W50" s="2146"/>
    </row>
    <row r="51" spans="1:23" ht="25.5" customHeight="1">
      <c r="A51" s="2128"/>
      <c r="B51" s="2144"/>
      <c r="C51" s="2067"/>
      <c r="D51" s="2070">
        <v>10000</v>
      </c>
      <c r="E51" s="2071"/>
      <c r="F51" s="2071"/>
      <c r="G51" s="2071"/>
      <c r="H51" s="2071"/>
      <c r="I51" s="2071"/>
      <c r="J51" s="2072" t="s">
        <v>275</v>
      </c>
      <c r="K51" s="2072"/>
      <c r="L51" s="2072"/>
      <c r="M51" s="2072"/>
      <c r="N51" s="2072"/>
      <c r="O51" s="2072"/>
      <c r="P51" s="2072"/>
      <c r="Q51" s="2072"/>
      <c r="R51" s="2072"/>
      <c r="S51" s="2072"/>
      <c r="T51" s="2072"/>
      <c r="U51" s="2072"/>
      <c r="V51" s="2073"/>
      <c r="W51" s="2147"/>
    </row>
    <row r="52" spans="1:23" ht="25.5" customHeight="1">
      <c r="A52" s="1117"/>
      <c r="B52" s="1117"/>
      <c r="C52" s="1211"/>
      <c r="D52" s="1212"/>
      <c r="E52" s="1212"/>
      <c r="F52" s="1212"/>
      <c r="G52" s="1212"/>
      <c r="H52" s="1213"/>
      <c r="I52" s="1213"/>
      <c r="J52" s="1213"/>
      <c r="K52" s="1213"/>
      <c r="L52" s="1211"/>
      <c r="M52" s="1208"/>
      <c r="N52" s="1213"/>
      <c r="O52" s="1213"/>
      <c r="P52" s="1213"/>
      <c r="Q52" s="1208"/>
      <c r="R52" s="1208"/>
      <c r="S52" s="1208"/>
      <c r="T52" s="1208"/>
      <c r="U52" s="1208"/>
      <c r="V52" s="1208"/>
      <c r="W52" s="142" t="s">
        <v>169</v>
      </c>
    </row>
    <row r="53" spans="1:23" ht="25.5" customHeight="1">
      <c r="A53" s="1119" t="s">
        <v>486</v>
      </c>
      <c r="B53" s="1120" t="s">
        <v>1072</v>
      </c>
      <c r="C53" s="2092">
        <v>150000</v>
      </c>
      <c r="D53" s="2092"/>
      <c r="E53" s="2092"/>
      <c r="F53" s="2092"/>
      <c r="G53" s="2092"/>
      <c r="H53" s="2092"/>
      <c r="I53" s="2092"/>
      <c r="J53" s="2092"/>
      <c r="K53" s="2092"/>
      <c r="L53" s="2092"/>
      <c r="M53" s="2092"/>
      <c r="N53" s="2092"/>
      <c r="O53" s="2092"/>
      <c r="P53" s="2092"/>
      <c r="Q53" s="2092"/>
      <c r="R53" s="2092"/>
      <c r="S53" s="2092"/>
      <c r="T53" s="2092"/>
      <c r="U53" s="2092"/>
      <c r="V53" s="2093"/>
      <c r="W53" s="141" t="s">
        <v>36</v>
      </c>
    </row>
    <row r="54" spans="1:23" ht="25.5" customHeight="1">
      <c r="A54" s="2141"/>
      <c r="B54" s="2141"/>
      <c r="C54" s="2141"/>
      <c r="D54" s="2141"/>
      <c r="E54" s="2141"/>
      <c r="F54" s="2141"/>
      <c r="G54" s="2141"/>
      <c r="H54" s="2141"/>
      <c r="I54" s="2141"/>
      <c r="J54" s="2141"/>
      <c r="K54" s="2141"/>
      <c r="L54" s="2141"/>
      <c r="M54" s="2141"/>
      <c r="N54" s="2141"/>
      <c r="O54" s="2141"/>
      <c r="P54" s="2141"/>
      <c r="Q54" s="2141"/>
      <c r="R54" s="2141"/>
      <c r="S54" s="2141"/>
      <c r="T54" s="2141"/>
      <c r="U54" s="2141"/>
      <c r="V54" s="2141"/>
      <c r="W54" s="2141"/>
    </row>
    <row r="55" spans="1:23" ht="25.5" customHeight="1">
      <c r="A55" s="2141" t="s">
        <v>170</v>
      </c>
      <c r="B55" s="2141"/>
      <c r="C55" s="2141"/>
      <c r="D55" s="2141"/>
      <c r="E55" s="2141"/>
      <c r="F55" s="2141"/>
      <c r="G55" s="2141"/>
      <c r="H55" s="2141"/>
      <c r="I55" s="2141"/>
      <c r="J55" s="2141"/>
      <c r="K55" s="2141"/>
      <c r="L55" s="2141"/>
      <c r="M55" s="2141"/>
      <c r="N55" s="2141"/>
      <c r="O55" s="2141"/>
      <c r="P55" s="2141"/>
      <c r="Q55" s="2141"/>
      <c r="R55" s="2141"/>
      <c r="S55" s="2141"/>
      <c r="T55" s="2141"/>
      <c r="U55" s="2141"/>
      <c r="V55" s="2141"/>
      <c r="W55" s="2141"/>
    </row>
  </sheetData>
  <sheetProtection algorithmName="SHA-512" hashValue="fNvU2oe++eqG/0d+p7Cxy/+OHsB9hZlinglhhwOpZETZe09RqTlyG/4WmLrJuAAHbdhA0i8zFJGtaGwv3Ztq4w==" saltValue="pQt3ERM1tB6fjgMblqAftw==" spinCount="100000" sheet="1" objects="1" scenarios="1" selectLockedCells="1"/>
  <customSheetViews>
    <customSheetView guid="{2E52E5FF-9846-4DC5-A671-268FE925398C}" showPageBreaks="1" state="hidden" view="pageBreakPreview" topLeftCell="A35">
      <selection activeCell="K63" sqref="K63:K64"/>
      <pageMargins left="0.39370078740157483" right="0.39370078740157483" top="0.39370078740157483" bottom="0.39370078740157483" header="0.31496062992125984" footer="0.15748031496062992"/>
      <printOptions horizontalCentered="1"/>
      <pageSetup paperSize="9" scale="72" orientation="portrait" r:id="rId1"/>
      <headerFooter alignWithMargins="0"/>
    </customSheetView>
    <customSheetView guid="{BADA99B3-B36A-4925-87A7-F72FC97D3DBA}" showPageBreaks="1" state="hidden" view="pageBreakPreview" topLeftCell="A35">
      <selection activeCell="K63" sqref="K63:K64"/>
      <pageMargins left="0.39370078740157483" right="0.39370078740157483" top="0.39370078740157483" bottom="0.39370078740157483" header="0.31496062992125984" footer="0.15748031496062992"/>
      <printOptions horizontalCentered="1"/>
      <pageSetup paperSize="9" scale="72" orientation="portrait" r:id="rId2"/>
      <headerFooter alignWithMargins="0"/>
    </customSheetView>
  </customSheetViews>
  <mergeCells count="102">
    <mergeCell ref="W22:W23"/>
    <mergeCell ref="M23:V23"/>
    <mergeCell ref="A22:A23"/>
    <mergeCell ref="B22:B23"/>
    <mergeCell ref="C22:C23"/>
    <mergeCell ref="D22:I22"/>
    <mergeCell ref="K22:V22"/>
    <mergeCell ref="A55:W55"/>
    <mergeCell ref="L35:O35"/>
    <mergeCell ref="L36:V36"/>
    <mergeCell ref="C37:K38"/>
    <mergeCell ref="L37:O37"/>
    <mergeCell ref="A44:A51"/>
    <mergeCell ref="B44:B51"/>
    <mergeCell ref="W44:W51"/>
    <mergeCell ref="C42:V42"/>
    <mergeCell ref="W33:W38"/>
    <mergeCell ref="C53:V53"/>
    <mergeCell ref="A54:W54"/>
    <mergeCell ref="C40:V40"/>
    <mergeCell ref="C44:C46"/>
    <mergeCell ref="E44:I44"/>
    <mergeCell ref="K44:R44"/>
    <mergeCell ref="W25:W27"/>
    <mergeCell ref="W3:W5"/>
    <mergeCell ref="E4:I4"/>
    <mergeCell ref="K4:R4"/>
    <mergeCell ref="M5:V5"/>
    <mergeCell ref="E11:I11"/>
    <mergeCell ref="K11:R11"/>
    <mergeCell ref="W7:W12"/>
    <mergeCell ref="W14:W16"/>
    <mergeCell ref="W18:W20"/>
    <mergeCell ref="A3:A5"/>
    <mergeCell ref="B3:B5"/>
    <mergeCell ref="C3:C5"/>
    <mergeCell ref="E3:I3"/>
    <mergeCell ref="K3:R3"/>
    <mergeCell ref="C19:K19"/>
    <mergeCell ref="L19:N19"/>
    <mergeCell ref="O19:V19"/>
    <mergeCell ref="A7:A12"/>
    <mergeCell ref="B7:B12"/>
    <mergeCell ref="C7:C9"/>
    <mergeCell ref="E7:I7"/>
    <mergeCell ref="K7:R7"/>
    <mergeCell ref="E10:I10"/>
    <mergeCell ref="K10:R10"/>
    <mergeCell ref="E8:I8"/>
    <mergeCell ref="K8:R8"/>
    <mergeCell ref="M9:V9"/>
    <mergeCell ref="C10:C12"/>
    <mergeCell ref="M12:V12"/>
    <mergeCell ref="E15:I15"/>
    <mergeCell ref="K15:R15"/>
    <mergeCell ref="M16:V16"/>
    <mergeCell ref="A18:A20"/>
    <mergeCell ref="B18:B20"/>
    <mergeCell ref="A14:A16"/>
    <mergeCell ref="B14:B16"/>
    <mergeCell ref="C14:C16"/>
    <mergeCell ref="E14:I14"/>
    <mergeCell ref="K14:R14"/>
    <mergeCell ref="C20:K20"/>
    <mergeCell ref="L20:N20"/>
    <mergeCell ref="O20:V20"/>
    <mergeCell ref="C18:V18"/>
    <mergeCell ref="A25:A27"/>
    <mergeCell ref="B25:B27"/>
    <mergeCell ref="C25:G25"/>
    <mergeCell ref="H25:L25"/>
    <mergeCell ref="M25:Q25"/>
    <mergeCell ref="C29:V29"/>
    <mergeCell ref="C31:V31"/>
    <mergeCell ref="A33:A38"/>
    <mergeCell ref="B33:B38"/>
    <mergeCell ref="C33:K34"/>
    <mergeCell ref="L33:O33"/>
    <mergeCell ref="L34:V34"/>
    <mergeCell ref="C35:K36"/>
    <mergeCell ref="L38:V38"/>
    <mergeCell ref="C26:G26"/>
    <mergeCell ref="H26:L26"/>
    <mergeCell ref="M26:Q26"/>
    <mergeCell ref="R26:V26"/>
    <mergeCell ref="C27:G27"/>
    <mergeCell ref="H27:L27"/>
    <mergeCell ref="M27:V27"/>
    <mergeCell ref="R25:V25"/>
    <mergeCell ref="C50:C51"/>
    <mergeCell ref="D50:L50"/>
    <mergeCell ref="D51:I51"/>
    <mergeCell ref="J51:V51"/>
    <mergeCell ref="E45:I45"/>
    <mergeCell ref="K45:R45"/>
    <mergeCell ref="I46:V46"/>
    <mergeCell ref="C47:C49"/>
    <mergeCell ref="E47:I47"/>
    <mergeCell ref="K47:R47"/>
    <mergeCell ref="E48:I48"/>
    <mergeCell ref="K48:R48"/>
    <mergeCell ref="I49:V49"/>
  </mergeCells>
  <phoneticPr fontId="4"/>
  <printOptions horizontalCentered="1"/>
  <pageMargins left="0.39370078740157483" right="0.39370078740157483" top="0.39370078740157483" bottom="0.39370078740157483" header="0.31496062992125984" footer="0.15748031496062992"/>
  <pageSetup paperSize="9" scale="72" orientation="portrait" r:id="rId3"/>
  <headerFooter alignWithMargins="0"/>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10F20-912F-40B4-9140-39469E3E6F26}">
  <sheetPr>
    <tabColor rgb="FFFFFF00"/>
  </sheetPr>
  <dimension ref="A1:U551"/>
  <sheetViews>
    <sheetView view="pageBreakPreview" zoomScale="85" zoomScaleNormal="55" zoomScaleSheetLayoutView="85" workbookViewId="0">
      <selection activeCell="AA52" sqref="Y6:AB78"/>
    </sheetView>
  </sheetViews>
  <sheetFormatPr defaultRowHeight="13.5"/>
  <cols>
    <col min="1" max="1" width="5.625" style="1231" customWidth="1"/>
    <col min="2" max="2" width="7.25" style="1231" customWidth="1"/>
    <col min="3" max="3" width="4.5" style="1231" bestFit="1" customWidth="1"/>
    <col min="4" max="4" width="9.375" style="1231" customWidth="1"/>
    <col min="5" max="16384" width="9" style="1232"/>
  </cols>
  <sheetData>
    <row r="1" spans="1:21" ht="18.75">
      <c r="A1" s="1230" t="s">
        <v>1187</v>
      </c>
    </row>
    <row r="3" spans="1:21">
      <c r="A3" s="2156" t="s">
        <v>1188</v>
      </c>
      <c r="B3" s="2156" t="s">
        <v>1189</v>
      </c>
      <c r="C3" s="2156" t="s">
        <v>1190</v>
      </c>
      <c r="D3" s="2156" t="s">
        <v>1191</v>
      </c>
      <c r="E3" s="2158" t="s">
        <v>1192</v>
      </c>
      <c r="F3" s="2159"/>
      <c r="G3" s="2159"/>
      <c r="H3" s="2159"/>
      <c r="I3" s="2159"/>
      <c r="J3" s="2159"/>
      <c r="K3" s="2159"/>
      <c r="L3" s="2159"/>
      <c r="M3" s="2159"/>
      <c r="N3" s="2159"/>
      <c r="O3" s="2159"/>
      <c r="P3" s="2159"/>
      <c r="Q3" s="2159"/>
      <c r="R3" s="2159"/>
      <c r="S3" s="2159"/>
      <c r="T3" s="2159"/>
      <c r="U3" s="2160"/>
    </row>
    <row r="4" spans="1:21" ht="25.5" customHeight="1">
      <c r="A4" s="2156"/>
      <c r="B4" s="2156"/>
      <c r="C4" s="2156"/>
      <c r="D4" s="2156"/>
      <c r="E4" s="2161" t="s">
        <v>1193</v>
      </c>
      <c r="F4" s="2153" t="s">
        <v>1194</v>
      </c>
      <c r="G4" s="2153" t="s">
        <v>1195</v>
      </c>
      <c r="H4" s="2153" t="s">
        <v>1196</v>
      </c>
      <c r="I4" s="2153" t="s">
        <v>1197</v>
      </c>
      <c r="J4" s="2153" t="s">
        <v>1198</v>
      </c>
      <c r="K4" s="2153" t="s">
        <v>1199</v>
      </c>
      <c r="L4" s="2153" t="s">
        <v>1200</v>
      </c>
      <c r="M4" s="2153" t="s">
        <v>1201</v>
      </c>
      <c r="N4" s="2153" t="s">
        <v>1202</v>
      </c>
      <c r="O4" s="2153" t="s">
        <v>1203</v>
      </c>
      <c r="P4" s="2153" t="s">
        <v>1204</v>
      </c>
      <c r="Q4" s="2153" t="s">
        <v>1205</v>
      </c>
      <c r="R4" s="2153" t="s">
        <v>1206</v>
      </c>
      <c r="S4" s="2153" t="s">
        <v>1207</v>
      </c>
      <c r="T4" s="2153" t="s">
        <v>1208</v>
      </c>
      <c r="U4" s="2150" t="s">
        <v>1209</v>
      </c>
    </row>
    <row r="5" spans="1:21" ht="14.25" customHeight="1">
      <c r="A5" s="2156"/>
      <c r="B5" s="2156"/>
      <c r="C5" s="2156"/>
      <c r="D5" s="2156"/>
      <c r="E5" s="2162"/>
      <c r="F5" s="2154"/>
      <c r="G5" s="2154"/>
      <c r="H5" s="2154"/>
      <c r="I5" s="2154"/>
      <c r="J5" s="2154"/>
      <c r="K5" s="2154"/>
      <c r="L5" s="2154"/>
      <c r="M5" s="2154"/>
      <c r="N5" s="2154"/>
      <c r="O5" s="2154"/>
      <c r="P5" s="2154"/>
      <c r="Q5" s="2154"/>
      <c r="R5" s="2154"/>
      <c r="S5" s="2154"/>
      <c r="T5" s="2154"/>
      <c r="U5" s="2151"/>
    </row>
    <row r="6" spans="1:21">
      <c r="A6" s="2157"/>
      <c r="B6" s="2157"/>
      <c r="C6" s="2157"/>
      <c r="D6" s="2157"/>
      <c r="E6" s="2163"/>
      <c r="F6" s="2155"/>
      <c r="G6" s="2155"/>
      <c r="H6" s="2155"/>
      <c r="I6" s="2155"/>
      <c r="J6" s="2155"/>
      <c r="K6" s="2155"/>
      <c r="L6" s="2155"/>
      <c r="M6" s="2155"/>
      <c r="N6" s="2155"/>
      <c r="O6" s="2155"/>
      <c r="P6" s="2155"/>
      <c r="Q6" s="2155"/>
      <c r="R6" s="2155"/>
      <c r="S6" s="2155"/>
      <c r="T6" s="2155"/>
      <c r="U6" s="2152"/>
    </row>
    <row r="7" spans="1:21" ht="3.75" customHeight="1">
      <c r="A7" s="6"/>
      <c r="B7" s="1233"/>
      <c r="C7" s="1233"/>
      <c r="D7" s="1233"/>
      <c r="E7" s="1234"/>
      <c r="F7" s="1234"/>
      <c r="G7" s="1234"/>
      <c r="H7" s="1234"/>
      <c r="I7" s="1234"/>
      <c r="J7" s="1234"/>
      <c r="K7" s="1234"/>
      <c r="L7" s="1234"/>
      <c r="M7" s="1234"/>
      <c r="N7" s="1234"/>
      <c r="O7" s="1234"/>
      <c r="P7" s="1234"/>
      <c r="Q7" s="1234"/>
      <c r="R7" s="1234"/>
      <c r="S7" s="1234"/>
      <c r="T7" s="1234"/>
      <c r="U7" s="1234"/>
    </row>
    <row r="8" spans="1:21" ht="14.25" customHeight="1">
      <c r="A8" s="2157" t="s">
        <v>1210</v>
      </c>
      <c r="B8" s="2166" t="s">
        <v>1211</v>
      </c>
      <c r="C8" s="2168" t="s">
        <v>1212</v>
      </c>
      <c r="D8" s="1235" t="s">
        <v>1213</v>
      </c>
      <c r="E8" s="2170"/>
      <c r="F8" s="2171">
        <v>0.79</v>
      </c>
      <c r="G8" s="2171">
        <v>0.68730000000000002</v>
      </c>
      <c r="H8" s="2171">
        <v>0.65980799999999995</v>
      </c>
      <c r="I8" s="2171">
        <v>0.60702336000000001</v>
      </c>
      <c r="J8" s="2171">
        <v>0.57060195839999994</v>
      </c>
      <c r="K8" s="2171">
        <v>0.54207186047999989</v>
      </c>
      <c r="L8" s="2171">
        <v>0.52038898606079986</v>
      </c>
      <c r="M8" s="2171">
        <v>0.48396175703654387</v>
      </c>
      <c r="N8" s="2171">
        <v>0.47428252189581299</v>
      </c>
      <c r="O8" s="2171">
        <v>0.46479687145789672</v>
      </c>
      <c r="P8" s="2171">
        <v>0.45550093402873876</v>
      </c>
      <c r="Q8" s="2171">
        <v>0.45094592468845135</v>
      </c>
      <c r="R8" s="2171">
        <v>0.44192700619468234</v>
      </c>
      <c r="S8" s="2171">
        <v>0.43750773613273553</v>
      </c>
      <c r="T8" s="2171">
        <v>0.43313265877140816</v>
      </c>
      <c r="U8" s="2181">
        <v>0.42880133218369409</v>
      </c>
    </row>
    <row r="9" spans="1:21">
      <c r="A9" s="2164"/>
      <c r="B9" s="2167"/>
      <c r="C9" s="2169"/>
      <c r="D9" s="1236" t="s">
        <v>1214</v>
      </c>
      <c r="E9" s="2170"/>
      <c r="F9" s="2172"/>
      <c r="G9" s="2172"/>
      <c r="H9" s="2172"/>
      <c r="I9" s="2172"/>
      <c r="J9" s="2172"/>
      <c r="K9" s="2172"/>
      <c r="L9" s="2172"/>
      <c r="M9" s="2172"/>
      <c r="N9" s="2172"/>
      <c r="O9" s="2172"/>
      <c r="P9" s="2172"/>
      <c r="Q9" s="2172"/>
      <c r="R9" s="2172"/>
      <c r="S9" s="2172"/>
      <c r="T9" s="2172"/>
      <c r="U9" s="2182"/>
    </row>
    <row r="10" spans="1:21">
      <c r="A10" s="2164"/>
      <c r="B10" s="2167"/>
      <c r="C10" s="2173" t="s">
        <v>1215</v>
      </c>
      <c r="D10" s="1236" t="s">
        <v>1216</v>
      </c>
      <c r="E10" s="2170"/>
      <c r="F10" s="2172"/>
      <c r="G10" s="2172"/>
      <c r="H10" s="2172"/>
      <c r="I10" s="2172"/>
      <c r="J10" s="2172"/>
      <c r="K10" s="2172"/>
      <c r="L10" s="2172"/>
      <c r="M10" s="2172"/>
      <c r="N10" s="2172"/>
      <c r="O10" s="2172"/>
      <c r="P10" s="2172"/>
      <c r="Q10" s="2172"/>
      <c r="R10" s="2172"/>
      <c r="S10" s="2172"/>
      <c r="T10" s="2172"/>
      <c r="U10" s="2182"/>
    </row>
    <row r="11" spans="1:21">
      <c r="A11" s="2164"/>
      <c r="B11" s="2167"/>
      <c r="C11" s="2174"/>
      <c r="D11" s="1237" t="s">
        <v>1217</v>
      </c>
      <c r="E11" s="2170"/>
      <c r="F11" s="2172"/>
      <c r="G11" s="2172"/>
      <c r="H11" s="2172"/>
      <c r="I11" s="2172"/>
      <c r="J11" s="2172"/>
      <c r="K11" s="2172"/>
      <c r="L11" s="2172"/>
      <c r="M11" s="2172"/>
      <c r="N11" s="2172"/>
      <c r="O11" s="2172"/>
      <c r="P11" s="2172"/>
      <c r="Q11" s="2172"/>
      <c r="R11" s="2172"/>
      <c r="S11" s="2172"/>
      <c r="T11" s="2172"/>
      <c r="U11" s="2182"/>
    </row>
    <row r="12" spans="1:21" ht="14.25" customHeight="1">
      <c r="A12" s="2164"/>
      <c r="B12" s="2175" t="s">
        <v>1194</v>
      </c>
      <c r="C12" s="2168" t="s">
        <v>1212</v>
      </c>
      <c r="D12" s="1235" t="s">
        <v>1213</v>
      </c>
      <c r="E12" s="2170"/>
      <c r="F12" s="2179"/>
      <c r="G12" s="2176">
        <v>0.87</v>
      </c>
      <c r="H12" s="2176">
        <v>0.83519999999999994</v>
      </c>
      <c r="I12" s="2176">
        <v>0.76838399999999996</v>
      </c>
      <c r="J12" s="2176">
        <v>0.72228095999999997</v>
      </c>
      <c r="K12" s="2176">
        <v>0.68616691199999991</v>
      </c>
      <c r="L12" s="2176">
        <v>0.65872023551999992</v>
      </c>
      <c r="M12" s="2176">
        <v>0.61260981903360001</v>
      </c>
      <c r="N12" s="2176">
        <v>0.60035762265292802</v>
      </c>
      <c r="O12" s="2176">
        <v>0.58835047019986941</v>
      </c>
      <c r="P12" s="2176">
        <v>0.57658346079587197</v>
      </c>
      <c r="Q12" s="2176">
        <v>0.57081762618791321</v>
      </c>
      <c r="R12" s="2176">
        <v>0.55940127366415493</v>
      </c>
      <c r="S12" s="2176">
        <v>0.55380726092751342</v>
      </c>
      <c r="T12" s="2176">
        <v>0.54826918831823823</v>
      </c>
      <c r="U12" s="2180">
        <v>0.54278649643505583</v>
      </c>
    </row>
    <row r="13" spans="1:21">
      <c r="A13" s="2164"/>
      <c r="B13" s="2167"/>
      <c r="C13" s="2169"/>
      <c r="D13" s="1236" t="s">
        <v>1214</v>
      </c>
      <c r="E13" s="2170"/>
      <c r="F13" s="2179"/>
      <c r="G13" s="2176"/>
      <c r="H13" s="2176"/>
      <c r="I13" s="2176"/>
      <c r="J13" s="2176"/>
      <c r="K13" s="2176"/>
      <c r="L13" s="2176"/>
      <c r="M13" s="2176"/>
      <c r="N13" s="2176"/>
      <c r="O13" s="2176"/>
      <c r="P13" s="2176"/>
      <c r="Q13" s="2176"/>
      <c r="R13" s="2176"/>
      <c r="S13" s="2176"/>
      <c r="T13" s="2176"/>
      <c r="U13" s="2180"/>
    </row>
    <row r="14" spans="1:21">
      <c r="A14" s="2164"/>
      <c r="B14" s="2167"/>
      <c r="C14" s="2173" t="s">
        <v>1215</v>
      </c>
      <c r="D14" s="1236" t="s">
        <v>1216</v>
      </c>
      <c r="E14" s="2170"/>
      <c r="F14" s="2179"/>
      <c r="G14" s="2176"/>
      <c r="H14" s="2176"/>
      <c r="I14" s="2176"/>
      <c r="J14" s="2176"/>
      <c r="K14" s="2176"/>
      <c r="L14" s="2176"/>
      <c r="M14" s="2176"/>
      <c r="N14" s="2176"/>
      <c r="O14" s="2176"/>
      <c r="P14" s="2176"/>
      <c r="Q14" s="2176"/>
      <c r="R14" s="2176"/>
      <c r="S14" s="2176"/>
      <c r="T14" s="2176"/>
      <c r="U14" s="2180"/>
    </row>
    <row r="15" spans="1:21">
      <c r="A15" s="2164"/>
      <c r="B15" s="2167"/>
      <c r="C15" s="2174"/>
      <c r="D15" s="1237" t="s">
        <v>1217</v>
      </c>
      <c r="E15" s="2170"/>
      <c r="F15" s="2179"/>
      <c r="G15" s="2176"/>
      <c r="H15" s="2176"/>
      <c r="I15" s="2176"/>
      <c r="J15" s="2176"/>
      <c r="K15" s="2176"/>
      <c r="L15" s="2176"/>
      <c r="M15" s="2176"/>
      <c r="N15" s="2176"/>
      <c r="O15" s="2176"/>
      <c r="P15" s="2176"/>
      <c r="Q15" s="2176"/>
      <c r="R15" s="2176"/>
      <c r="S15" s="2176"/>
      <c r="T15" s="2176"/>
      <c r="U15" s="2180"/>
    </row>
    <row r="16" spans="1:21" ht="14.25" customHeight="1">
      <c r="A16" s="2164"/>
      <c r="B16" s="2175" t="s">
        <v>1195</v>
      </c>
      <c r="C16" s="2168" t="s">
        <v>1212</v>
      </c>
      <c r="D16" s="1235" t="s">
        <v>1213</v>
      </c>
      <c r="E16" s="2170"/>
      <c r="F16" s="2179"/>
      <c r="G16" s="2179"/>
      <c r="H16" s="2176">
        <v>0.96</v>
      </c>
      <c r="I16" s="2176">
        <v>0.88319999999999999</v>
      </c>
      <c r="J16" s="2176">
        <v>0.83020799999999995</v>
      </c>
      <c r="K16" s="2176">
        <v>0.78869759999999989</v>
      </c>
      <c r="L16" s="2176">
        <v>0.75714969599999982</v>
      </c>
      <c r="M16" s="2176">
        <v>0.70414921727999991</v>
      </c>
      <c r="N16" s="2176">
        <v>0.69006623293439995</v>
      </c>
      <c r="O16" s="2176">
        <v>0.67626490827571195</v>
      </c>
      <c r="P16" s="2176">
        <v>0.66273961011019766</v>
      </c>
      <c r="Q16" s="2176">
        <v>0.6561122140090957</v>
      </c>
      <c r="R16" s="2176">
        <v>0.64298996972891376</v>
      </c>
      <c r="S16" s="2176">
        <v>0.63656007003162463</v>
      </c>
      <c r="T16" s="2176">
        <v>0.6301944693313084</v>
      </c>
      <c r="U16" s="2180">
        <v>0.62389252463799527</v>
      </c>
    </row>
    <row r="17" spans="1:21">
      <c r="A17" s="2164"/>
      <c r="B17" s="2167"/>
      <c r="C17" s="2169"/>
      <c r="D17" s="1236" t="s">
        <v>1214</v>
      </c>
      <c r="E17" s="2170"/>
      <c r="F17" s="2179"/>
      <c r="G17" s="2179"/>
      <c r="H17" s="2176"/>
      <c r="I17" s="2176"/>
      <c r="J17" s="2176"/>
      <c r="K17" s="2176"/>
      <c r="L17" s="2176"/>
      <c r="M17" s="2176"/>
      <c r="N17" s="2176"/>
      <c r="O17" s="2176"/>
      <c r="P17" s="2176"/>
      <c r="Q17" s="2176"/>
      <c r="R17" s="2176"/>
      <c r="S17" s="2176"/>
      <c r="T17" s="2176"/>
      <c r="U17" s="2180"/>
    </row>
    <row r="18" spans="1:21">
      <c r="A18" s="2164"/>
      <c r="B18" s="2167"/>
      <c r="C18" s="2173" t="s">
        <v>1215</v>
      </c>
      <c r="D18" s="1236" t="s">
        <v>1216</v>
      </c>
      <c r="E18" s="2170"/>
      <c r="F18" s="2179"/>
      <c r="G18" s="2179"/>
      <c r="H18" s="2176"/>
      <c r="I18" s="2176"/>
      <c r="J18" s="2176"/>
      <c r="K18" s="2176"/>
      <c r="L18" s="2176"/>
      <c r="M18" s="2176"/>
      <c r="N18" s="2176"/>
      <c r="O18" s="2176"/>
      <c r="P18" s="2176"/>
      <c r="Q18" s="2176"/>
      <c r="R18" s="2176"/>
      <c r="S18" s="2176"/>
      <c r="T18" s="2176"/>
      <c r="U18" s="2180"/>
    </row>
    <row r="19" spans="1:21">
      <c r="A19" s="2164"/>
      <c r="B19" s="2167"/>
      <c r="C19" s="2174"/>
      <c r="D19" s="1237" t="s">
        <v>1217</v>
      </c>
      <c r="E19" s="2170"/>
      <c r="F19" s="2179"/>
      <c r="G19" s="2179"/>
      <c r="H19" s="2176"/>
      <c r="I19" s="2176"/>
      <c r="J19" s="2176"/>
      <c r="K19" s="2176"/>
      <c r="L19" s="2176"/>
      <c r="M19" s="2176"/>
      <c r="N19" s="2176"/>
      <c r="O19" s="2176"/>
      <c r="P19" s="2176"/>
      <c r="Q19" s="2176"/>
      <c r="R19" s="2176"/>
      <c r="S19" s="2176"/>
      <c r="T19" s="2176"/>
      <c r="U19" s="2180"/>
    </row>
    <row r="20" spans="1:21" ht="14.25" customHeight="1">
      <c r="A20" s="2164"/>
      <c r="B20" s="2166" t="s">
        <v>1196</v>
      </c>
      <c r="C20" s="2168" t="s">
        <v>1212</v>
      </c>
      <c r="D20" s="1235" t="s">
        <v>1213</v>
      </c>
      <c r="E20" s="2170"/>
      <c r="F20" s="2179"/>
      <c r="G20" s="2179"/>
      <c r="H20" s="2179"/>
      <c r="I20" s="2176">
        <v>0.92</v>
      </c>
      <c r="J20" s="2176">
        <v>0.86480000000000001</v>
      </c>
      <c r="K20" s="2176">
        <v>0.82155999999999996</v>
      </c>
      <c r="L20" s="2176">
        <v>0.78869759999999989</v>
      </c>
      <c r="M20" s="2176">
        <v>0.73348876799999996</v>
      </c>
      <c r="N20" s="2176">
        <v>0.71881899263999993</v>
      </c>
      <c r="O20" s="2176">
        <v>0.70444261278719988</v>
      </c>
      <c r="P20" s="2176">
        <v>0.69035376053145592</v>
      </c>
      <c r="Q20" s="2176">
        <v>0.68345022292614133</v>
      </c>
      <c r="R20" s="2176">
        <v>0.66978121846761851</v>
      </c>
      <c r="S20" s="2176">
        <v>0.66308340628294227</v>
      </c>
      <c r="T20" s="2176">
        <v>0.65645257222011288</v>
      </c>
      <c r="U20" s="2180">
        <v>0.64988804649791176</v>
      </c>
    </row>
    <row r="21" spans="1:21">
      <c r="A21" s="2164"/>
      <c r="B21" s="2167"/>
      <c r="C21" s="2169"/>
      <c r="D21" s="1236" t="s">
        <v>1214</v>
      </c>
      <c r="E21" s="2170"/>
      <c r="F21" s="2179"/>
      <c r="G21" s="2179"/>
      <c r="H21" s="2179"/>
      <c r="I21" s="2176"/>
      <c r="J21" s="2176"/>
      <c r="K21" s="2176"/>
      <c r="L21" s="2176"/>
      <c r="M21" s="2176"/>
      <c r="N21" s="2176"/>
      <c r="O21" s="2176"/>
      <c r="P21" s="2176"/>
      <c r="Q21" s="2176"/>
      <c r="R21" s="2176"/>
      <c r="S21" s="2176"/>
      <c r="T21" s="2176"/>
      <c r="U21" s="2180"/>
    </row>
    <row r="22" spans="1:21">
      <c r="A22" s="2164"/>
      <c r="B22" s="2167"/>
      <c r="C22" s="2173" t="s">
        <v>1215</v>
      </c>
      <c r="D22" s="1236" t="s">
        <v>1216</v>
      </c>
      <c r="E22" s="2170"/>
      <c r="F22" s="2179"/>
      <c r="G22" s="2179"/>
      <c r="H22" s="2179"/>
      <c r="I22" s="2176"/>
      <c r="J22" s="2176"/>
      <c r="K22" s="2176"/>
      <c r="L22" s="2176"/>
      <c r="M22" s="2176"/>
      <c r="N22" s="2176"/>
      <c r="O22" s="2176"/>
      <c r="P22" s="2176"/>
      <c r="Q22" s="2176"/>
      <c r="R22" s="2176"/>
      <c r="S22" s="2176"/>
      <c r="T22" s="2176"/>
      <c r="U22" s="2180"/>
    </row>
    <row r="23" spans="1:21">
      <c r="A23" s="2164"/>
      <c r="B23" s="2167"/>
      <c r="C23" s="2174"/>
      <c r="D23" s="1237" t="s">
        <v>1217</v>
      </c>
      <c r="E23" s="2170"/>
      <c r="F23" s="2179"/>
      <c r="G23" s="2179"/>
      <c r="H23" s="2179"/>
      <c r="I23" s="2176"/>
      <c r="J23" s="2176"/>
      <c r="K23" s="2176"/>
      <c r="L23" s="2176"/>
      <c r="M23" s="2176"/>
      <c r="N23" s="2176"/>
      <c r="O23" s="2176"/>
      <c r="P23" s="2176"/>
      <c r="Q23" s="2176"/>
      <c r="R23" s="2176"/>
      <c r="S23" s="2176"/>
      <c r="T23" s="2176"/>
      <c r="U23" s="2180"/>
    </row>
    <row r="24" spans="1:21" ht="14.25" customHeight="1">
      <c r="A24" s="2164"/>
      <c r="B24" s="2177" t="s">
        <v>1197</v>
      </c>
      <c r="C24" s="2168" t="s">
        <v>1212</v>
      </c>
      <c r="D24" s="1235" t="s">
        <v>1213</v>
      </c>
      <c r="E24" s="2170"/>
      <c r="F24" s="2179"/>
      <c r="G24" s="2179"/>
      <c r="H24" s="2179"/>
      <c r="I24" s="2179"/>
      <c r="J24" s="2176">
        <v>0.94</v>
      </c>
      <c r="K24" s="2176">
        <v>0.8929999999999999</v>
      </c>
      <c r="L24" s="2176">
        <v>0.85727999999999993</v>
      </c>
      <c r="M24" s="2176">
        <v>0.79727039999999993</v>
      </c>
      <c r="N24" s="2176">
        <v>0.78132499199999994</v>
      </c>
      <c r="O24" s="2176">
        <v>0.76569849215999997</v>
      </c>
      <c r="P24" s="2176">
        <v>0.75038452231679997</v>
      </c>
      <c r="Q24" s="2176">
        <v>0.74288067709363192</v>
      </c>
      <c r="R24" s="2176">
        <v>0.72802306355175928</v>
      </c>
      <c r="S24" s="2176">
        <v>0.72074283291624164</v>
      </c>
      <c r="T24" s="2176">
        <v>0.7135354045870792</v>
      </c>
      <c r="U24" s="2180">
        <v>0.70640005054120836</v>
      </c>
    </row>
    <row r="25" spans="1:21">
      <c r="A25" s="2164"/>
      <c r="B25" s="2178"/>
      <c r="C25" s="2169"/>
      <c r="D25" s="1236" t="s">
        <v>1214</v>
      </c>
      <c r="E25" s="2170"/>
      <c r="F25" s="2179"/>
      <c r="G25" s="2179"/>
      <c r="H25" s="2179"/>
      <c r="I25" s="2179"/>
      <c r="J25" s="2176"/>
      <c r="K25" s="2176"/>
      <c r="L25" s="2176"/>
      <c r="M25" s="2176"/>
      <c r="N25" s="2176"/>
      <c r="O25" s="2176"/>
      <c r="P25" s="2176"/>
      <c r="Q25" s="2176"/>
      <c r="R25" s="2176"/>
      <c r="S25" s="2176"/>
      <c r="T25" s="2176"/>
      <c r="U25" s="2180"/>
    </row>
    <row r="26" spans="1:21">
      <c r="A26" s="2164"/>
      <c r="B26" s="2178"/>
      <c r="C26" s="2173" t="s">
        <v>1215</v>
      </c>
      <c r="D26" s="1236" t="s">
        <v>1216</v>
      </c>
      <c r="E26" s="2170"/>
      <c r="F26" s="2179"/>
      <c r="G26" s="2179"/>
      <c r="H26" s="2179"/>
      <c r="I26" s="2179"/>
      <c r="J26" s="2176"/>
      <c r="K26" s="2176"/>
      <c r="L26" s="2176"/>
      <c r="M26" s="2176"/>
      <c r="N26" s="2176"/>
      <c r="O26" s="2176"/>
      <c r="P26" s="2176"/>
      <c r="Q26" s="2176"/>
      <c r="R26" s="2176"/>
      <c r="S26" s="2176"/>
      <c r="T26" s="2176"/>
      <c r="U26" s="2180"/>
    </row>
    <row r="27" spans="1:21">
      <c r="A27" s="2164"/>
      <c r="B27" s="2178"/>
      <c r="C27" s="2174"/>
      <c r="D27" s="1237" t="s">
        <v>1217</v>
      </c>
      <c r="E27" s="2170"/>
      <c r="F27" s="2179"/>
      <c r="G27" s="2179"/>
      <c r="H27" s="2179"/>
      <c r="I27" s="2179"/>
      <c r="J27" s="2176"/>
      <c r="K27" s="2176"/>
      <c r="L27" s="2176"/>
      <c r="M27" s="2176"/>
      <c r="N27" s="2176"/>
      <c r="O27" s="2176"/>
      <c r="P27" s="2176"/>
      <c r="Q27" s="2176"/>
      <c r="R27" s="2176"/>
      <c r="S27" s="2176"/>
      <c r="T27" s="2176"/>
      <c r="U27" s="2180"/>
    </row>
    <row r="28" spans="1:21" ht="14.25" customHeight="1">
      <c r="A28" s="2164"/>
      <c r="B28" s="2166" t="s">
        <v>1198</v>
      </c>
      <c r="C28" s="2168" t="s">
        <v>1212</v>
      </c>
      <c r="D28" s="1235" t="s">
        <v>1213</v>
      </c>
      <c r="E28" s="2170"/>
      <c r="F28" s="2179"/>
      <c r="G28" s="2179"/>
      <c r="H28" s="2179"/>
      <c r="I28" s="2179"/>
      <c r="J28" s="2179"/>
      <c r="K28" s="2176">
        <v>0.95</v>
      </c>
      <c r="L28" s="2176">
        <v>0.91199999999999992</v>
      </c>
      <c r="M28" s="2176">
        <v>0.84816000000000003</v>
      </c>
      <c r="N28" s="2176">
        <v>0.83119679999999996</v>
      </c>
      <c r="O28" s="2176">
        <v>0.81457286399999995</v>
      </c>
      <c r="P28" s="2176">
        <v>0.79828140671999992</v>
      </c>
      <c r="Q28" s="2176">
        <v>0.79029859265279989</v>
      </c>
      <c r="R28" s="2176">
        <v>0.7744926207997439</v>
      </c>
      <c r="S28" s="2176">
        <v>0.76674769459174641</v>
      </c>
      <c r="T28" s="2176">
        <v>0.75908021764582889</v>
      </c>
      <c r="U28" s="2180">
        <v>0.75148941546937065</v>
      </c>
    </row>
    <row r="29" spans="1:21">
      <c r="A29" s="2164"/>
      <c r="B29" s="2167"/>
      <c r="C29" s="2169"/>
      <c r="D29" s="1236" t="s">
        <v>1214</v>
      </c>
      <c r="E29" s="2170"/>
      <c r="F29" s="2179"/>
      <c r="G29" s="2179"/>
      <c r="H29" s="2179"/>
      <c r="I29" s="2179"/>
      <c r="J29" s="2179"/>
      <c r="K29" s="2176"/>
      <c r="L29" s="2176"/>
      <c r="M29" s="2176"/>
      <c r="N29" s="2176"/>
      <c r="O29" s="2176"/>
      <c r="P29" s="2176"/>
      <c r="Q29" s="2176"/>
      <c r="R29" s="2176"/>
      <c r="S29" s="2176"/>
      <c r="T29" s="2176"/>
      <c r="U29" s="2180"/>
    </row>
    <row r="30" spans="1:21">
      <c r="A30" s="2164"/>
      <c r="B30" s="2167"/>
      <c r="C30" s="2173" t="s">
        <v>1215</v>
      </c>
      <c r="D30" s="1236" t="s">
        <v>1216</v>
      </c>
      <c r="E30" s="2170"/>
      <c r="F30" s="2179"/>
      <c r="G30" s="2179"/>
      <c r="H30" s="2179"/>
      <c r="I30" s="2179"/>
      <c r="J30" s="2179"/>
      <c r="K30" s="2176"/>
      <c r="L30" s="2176"/>
      <c r="M30" s="2176"/>
      <c r="N30" s="2176"/>
      <c r="O30" s="2176"/>
      <c r="P30" s="2176"/>
      <c r="Q30" s="2176"/>
      <c r="R30" s="2176"/>
      <c r="S30" s="2176"/>
      <c r="T30" s="2176"/>
      <c r="U30" s="2180"/>
    </row>
    <row r="31" spans="1:21">
      <c r="A31" s="2164"/>
      <c r="B31" s="2167"/>
      <c r="C31" s="2174"/>
      <c r="D31" s="1237" t="s">
        <v>1217</v>
      </c>
      <c r="E31" s="2170"/>
      <c r="F31" s="2179"/>
      <c r="G31" s="2179"/>
      <c r="H31" s="2179"/>
      <c r="I31" s="2179"/>
      <c r="J31" s="2179"/>
      <c r="K31" s="2176"/>
      <c r="L31" s="2176"/>
      <c r="M31" s="2176"/>
      <c r="N31" s="2176"/>
      <c r="O31" s="2176"/>
      <c r="P31" s="2176"/>
      <c r="Q31" s="2176"/>
      <c r="R31" s="2176"/>
      <c r="S31" s="2176"/>
      <c r="T31" s="2176"/>
      <c r="U31" s="2180"/>
    </row>
    <row r="32" spans="1:21">
      <c r="A32" s="2164"/>
      <c r="B32" s="2177" t="s">
        <v>1199</v>
      </c>
      <c r="C32" s="2168" t="s">
        <v>1212</v>
      </c>
      <c r="D32" s="1235" t="s">
        <v>1213</v>
      </c>
      <c r="E32" s="2170"/>
      <c r="F32" s="2179"/>
      <c r="G32" s="2179"/>
      <c r="H32" s="2179"/>
      <c r="I32" s="2179"/>
      <c r="J32" s="2179"/>
      <c r="K32" s="2179"/>
      <c r="L32" s="2176">
        <v>0.96</v>
      </c>
      <c r="M32" s="2176">
        <v>0.89280000000000004</v>
      </c>
      <c r="N32" s="2176">
        <v>0.87494400000000006</v>
      </c>
      <c r="O32" s="2176">
        <v>0.85744512000000006</v>
      </c>
      <c r="P32" s="2176">
        <v>0.84029621760000006</v>
      </c>
      <c r="Q32" s="2176">
        <v>0.83189325542400006</v>
      </c>
      <c r="R32" s="2176">
        <v>0.81525539031552008</v>
      </c>
      <c r="S32" s="2176">
        <v>0.80710283641236491</v>
      </c>
      <c r="T32" s="2176">
        <v>0.79903180804824125</v>
      </c>
      <c r="U32" s="2180">
        <v>0.7910414899677588</v>
      </c>
    </row>
    <row r="33" spans="1:21">
      <c r="A33" s="2164"/>
      <c r="B33" s="2183"/>
      <c r="C33" s="2169"/>
      <c r="D33" s="1236" t="s">
        <v>1214</v>
      </c>
      <c r="E33" s="2170"/>
      <c r="F33" s="2179"/>
      <c r="G33" s="2179"/>
      <c r="H33" s="2179"/>
      <c r="I33" s="2179"/>
      <c r="J33" s="2179"/>
      <c r="K33" s="2179"/>
      <c r="L33" s="2176"/>
      <c r="M33" s="2176"/>
      <c r="N33" s="2176"/>
      <c r="O33" s="2176"/>
      <c r="P33" s="2176"/>
      <c r="Q33" s="2176"/>
      <c r="R33" s="2176"/>
      <c r="S33" s="2176"/>
      <c r="T33" s="2176"/>
      <c r="U33" s="2180"/>
    </row>
    <row r="34" spans="1:21">
      <c r="A34" s="2164"/>
      <c r="B34" s="2183"/>
      <c r="C34" s="2173" t="s">
        <v>1215</v>
      </c>
      <c r="D34" s="1236" t="s">
        <v>1216</v>
      </c>
      <c r="E34" s="2170"/>
      <c r="F34" s="2179"/>
      <c r="G34" s="2179"/>
      <c r="H34" s="2179"/>
      <c r="I34" s="2179"/>
      <c r="J34" s="2179"/>
      <c r="K34" s="2179"/>
      <c r="L34" s="2176"/>
      <c r="M34" s="2176"/>
      <c r="N34" s="2176"/>
      <c r="O34" s="2176"/>
      <c r="P34" s="2176"/>
      <c r="Q34" s="2176"/>
      <c r="R34" s="2176"/>
      <c r="S34" s="2176"/>
      <c r="T34" s="2176"/>
      <c r="U34" s="2180"/>
    </row>
    <row r="35" spans="1:21">
      <c r="A35" s="2164"/>
      <c r="B35" s="2183"/>
      <c r="C35" s="2174"/>
      <c r="D35" s="1237" t="s">
        <v>1217</v>
      </c>
      <c r="E35" s="2170"/>
      <c r="F35" s="2179"/>
      <c r="G35" s="2179"/>
      <c r="H35" s="2179"/>
      <c r="I35" s="2179"/>
      <c r="J35" s="2179"/>
      <c r="K35" s="2179"/>
      <c r="L35" s="2176"/>
      <c r="M35" s="2176"/>
      <c r="N35" s="2176"/>
      <c r="O35" s="2176"/>
      <c r="P35" s="2176"/>
      <c r="Q35" s="2176"/>
      <c r="R35" s="2176"/>
      <c r="S35" s="2176"/>
      <c r="T35" s="2176"/>
      <c r="U35" s="2180"/>
    </row>
    <row r="36" spans="1:21">
      <c r="A36" s="2164"/>
      <c r="B36" s="2177" t="s">
        <v>1200</v>
      </c>
      <c r="C36" s="2168" t="s">
        <v>1212</v>
      </c>
      <c r="D36" s="1235" t="s">
        <v>1213</v>
      </c>
      <c r="E36" s="2170"/>
      <c r="F36" s="2179"/>
      <c r="G36" s="2179"/>
      <c r="H36" s="2179"/>
      <c r="I36" s="2179"/>
      <c r="J36" s="2179"/>
      <c r="K36" s="2179"/>
      <c r="L36" s="2179"/>
      <c r="M36" s="2176">
        <v>0.93</v>
      </c>
      <c r="N36" s="2176">
        <v>0.91139999999999999</v>
      </c>
      <c r="O36" s="2176">
        <v>0.89317199999999997</v>
      </c>
      <c r="P36" s="2176">
        <v>0.8753085599999999</v>
      </c>
      <c r="Q36" s="2176">
        <v>0.86655547439999991</v>
      </c>
      <c r="R36" s="2176">
        <v>0.84922436491199993</v>
      </c>
      <c r="S36" s="2176">
        <v>0.84073212126287988</v>
      </c>
      <c r="T36" s="2176">
        <v>0.83232480005025111</v>
      </c>
      <c r="U36" s="2180">
        <v>0.82400155204974856</v>
      </c>
    </row>
    <row r="37" spans="1:21">
      <c r="A37" s="2164"/>
      <c r="B37" s="2183"/>
      <c r="C37" s="2169"/>
      <c r="D37" s="1236" t="s">
        <v>1214</v>
      </c>
      <c r="E37" s="2170"/>
      <c r="F37" s="2179"/>
      <c r="G37" s="2179"/>
      <c r="H37" s="2179"/>
      <c r="I37" s="2179"/>
      <c r="J37" s="2179"/>
      <c r="K37" s="2179"/>
      <c r="L37" s="2179"/>
      <c r="M37" s="2176"/>
      <c r="N37" s="2176"/>
      <c r="O37" s="2176"/>
      <c r="P37" s="2176"/>
      <c r="Q37" s="2176"/>
      <c r="R37" s="2176"/>
      <c r="S37" s="2176"/>
      <c r="T37" s="2176"/>
      <c r="U37" s="2180"/>
    </row>
    <row r="38" spans="1:21">
      <c r="A38" s="2164"/>
      <c r="B38" s="2183"/>
      <c r="C38" s="2173" t="s">
        <v>1215</v>
      </c>
      <c r="D38" s="1236" t="s">
        <v>1216</v>
      </c>
      <c r="E38" s="2170"/>
      <c r="F38" s="2179"/>
      <c r="G38" s="2179"/>
      <c r="H38" s="2179"/>
      <c r="I38" s="2179"/>
      <c r="J38" s="2179"/>
      <c r="K38" s="2179"/>
      <c r="L38" s="2179"/>
      <c r="M38" s="2176"/>
      <c r="N38" s="2176"/>
      <c r="O38" s="2176"/>
      <c r="P38" s="2176"/>
      <c r="Q38" s="2176"/>
      <c r="R38" s="2176"/>
      <c r="S38" s="2176"/>
      <c r="T38" s="2176"/>
      <c r="U38" s="2180"/>
    </row>
    <row r="39" spans="1:21">
      <c r="A39" s="2164"/>
      <c r="B39" s="2183"/>
      <c r="C39" s="2174"/>
      <c r="D39" s="1237" t="s">
        <v>1217</v>
      </c>
      <c r="E39" s="2170"/>
      <c r="F39" s="2179"/>
      <c r="G39" s="2179"/>
      <c r="H39" s="2179"/>
      <c r="I39" s="2179"/>
      <c r="J39" s="2179"/>
      <c r="K39" s="2179"/>
      <c r="L39" s="2179"/>
      <c r="M39" s="2176"/>
      <c r="N39" s="2176"/>
      <c r="O39" s="2176"/>
      <c r="P39" s="2176"/>
      <c r="Q39" s="2176"/>
      <c r="R39" s="2176"/>
      <c r="S39" s="2176"/>
      <c r="T39" s="2176"/>
      <c r="U39" s="2180"/>
    </row>
    <row r="40" spans="1:21">
      <c r="A40" s="2164"/>
      <c r="B40" s="2177" t="s">
        <v>1201</v>
      </c>
      <c r="C40" s="2168" t="s">
        <v>1212</v>
      </c>
      <c r="D40" s="1235" t="s">
        <v>1213</v>
      </c>
      <c r="E40" s="2170"/>
      <c r="F40" s="2179"/>
      <c r="G40" s="2179"/>
      <c r="H40" s="2179"/>
      <c r="I40" s="2179"/>
      <c r="J40" s="2179"/>
      <c r="K40" s="2179"/>
      <c r="L40" s="2179"/>
      <c r="M40" s="2179"/>
      <c r="N40" s="2176">
        <v>0.98</v>
      </c>
      <c r="O40" s="2176">
        <v>0.96039999999999992</v>
      </c>
      <c r="P40" s="2176">
        <v>0.94119199999999992</v>
      </c>
      <c r="Q40" s="2176">
        <v>0.9317800799999999</v>
      </c>
      <c r="R40" s="2176">
        <v>0.9131444783999999</v>
      </c>
      <c r="S40" s="2176">
        <v>0.90401303361599994</v>
      </c>
      <c r="T40" s="2176">
        <v>0.89497290327983992</v>
      </c>
      <c r="U40" s="2180">
        <v>0.88602317424704147</v>
      </c>
    </row>
    <row r="41" spans="1:21">
      <c r="A41" s="2164"/>
      <c r="B41" s="2183"/>
      <c r="C41" s="2169"/>
      <c r="D41" s="1236" t="s">
        <v>1214</v>
      </c>
      <c r="E41" s="2170"/>
      <c r="F41" s="2179"/>
      <c r="G41" s="2179"/>
      <c r="H41" s="2179"/>
      <c r="I41" s="2179"/>
      <c r="J41" s="2179"/>
      <c r="K41" s="2179"/>
      <c r="L41" s="2179"/>
      <c r="M41" s="2179"/>
      <c r="N41" s="2176"/>
      <c r="O41" s="2176"/>
      <c r="P41" s="2176"/>
      <c r="Q41" s="2176"/>
      <c r="R41" s="2176"/>
      <c r="S41" s="2176"/>
      <c r="T41" s="2176"/>
      <c r="U41" s="2180"/>
    </row>
    <row r="42" spans="1:21">
      <c r="A42" s="2164"/>
      <c r="B42" s="2183"/>
      <c r="C42" s="2173" t="s">
        <v>1215</v>
      </c>
      <c r="D42" s="1236" t="s">
        <v>1216</v>
      </c>
      <c r="E42" s="2170"/>
      <c r="F42" s="2179"/>
      <c r="G42" s="2179"/>
      <c r="H42" s="2179"/>
      <c r="I42" s="2179"/>
      <c r="J42" s="2179"/>
      <c r="K42" s="2179"/>
      <c r="L42" s="2179"/>
      <c r="M42" s="2179"/>
      <c r="N42" s="2176"/>
      <c r="O42" s="2176"/>
      <c r="P42" s="2176"/>
      <c r="Q42" s="2176"/>
      <c r="R42" s="2176"/>
      <c r="S42" s="2176"/>
      <c r="T42" s="2176"/>
      <c r="U42" s="2180"/>
    </row>
    <row r="43" spans="1:21">
      <c r="A43" s="2164"/>
      <c r="B43" s="2183"/>
      <c r="C43" s="2174"/>
      <c r="D43" s="1237" t="s">
        <v>1217</v>
      </c>
      <c r="E43" s="2170"/>
      <c r="F43" s="2179"/>
      <c r="G43" s="2179"/>
      <c r="H43" s="2179"/>
      <c r="I43" s="2179"/>
      <c r="J43" s="2179"/>
      <c r="K43" s="2179"/>
      <c r="L43" s="2179"/>
      <c r="M43" s="2179"/>
      <c r="N43" s="2176"/>
      <c r="O43" s="2176"/>
      <c r="P43" s="2176"/>
      <c r="Q43" s="2176"/>
      <c r="R43" s="2176"/>
      <c r="S43" s="2176"/>
      <c r="T43" s="2176"/>
      <c r="U43" s="2180"/>
    </row>
    <row r="44" spans="1:21">
      <c r="A44" s="2164"/>
      <c r="B44" s="2177" t="s">
        <v>1202</v>
      </c>
      <c r="C44" s="2168" t="s">
        <v>1212</v>
      </c>
      <c r="D44" s="1235" t="s">
        <v>1213</v>
      </c>
      <c r="E44" s="2170"/>
      <c r="F44" s="2179"/>
      <c r="G44" s="2179"/>
      <c r="H44" s="2179"/>
      <c r="I44" s="2179"/>
      <c r="J44" s="2179"/>
      <c r="K44" s="2179"/>
      <c r="L44" s="2179"/>
      <c r="M44" s="2179"/>
      <c r="N44" s="2179"/>
      <c r="O44" s="2176">
        <v>0.98</v>
      </c>
      <c r="P44" s="2176">
        <v>0.96039999999999992</v>
      </c>
      <c r="Q44" s="2176">
        <v>0.95079599999999986</v>
      </c>
      <c r="R44" s="2176">
        <v>0.9317800799999999</v>
      </c>
      <c r="S44" s="2176">
        <v>0.9224622791999999</v>
      </c>
      <c r="T44" s="2176">
        <v>0.91323765640799992</v>
      </c>
      <c r="U44" s="2180">
        <v>0.90410527984391986</v>
      </c>
    </row>
    <row r="45" spans="1:21">
      <c r="A45" s="2164"/>
      <c r="B45" s="2183"/>
      <c r="C45" s="2169"/>
      <c r="D45" s="1236" t="s">
        <v>1214</v>
      </c>
      <c r="E45" s="2170"/>
      <c r="F45" s="2179"/>
      <c r="G45" s="2179"/>
      <c r="H45" s="2179"/>
      <c r="I45" s="2179"/>
      <c r="J45" s="2179"/>
      <c r="K45" s="2179"/>
      <c r="L45" s="2179"/>
      <c r="M45" s="2179"/>
      <c r="N45" s="2179"/>
      <c r="O45" s="2176"/>
      <c r="P45" s="2176"/>
      <c r="Q45" s="2176"/>
      <c r="R45" s="2176"/>
      <c r="S45" s="2176"/>
      <c r="T45" s="2176"/>
      <c r="U45" s="2180"/>
    </row>
    <row r="46" spans="1:21">
      <c r="A46" s="2164"/>
      <c r="B46" s="2183"/>
      <c r="C46" s="2173" t="s">
        <v>1215</v>
      </c>
      <c r="D46" s="1236" t="s">
        <v>1216</v>
      </c>
      <c r="E46" s="2170"/>
      <c r="F46" s="2179"/>
      <c r="G46" s="2179"/>
      <c r="H46" s="2179"/>
      <c r="I46" s="2179"/>
      <c r="J46" s="2179"/>
      <c r="K46" s="2179"/>
      <c r="L46" s="2179"/>
      <c r="M46" s="2179"/>
      <c r="N46" s="2179"/>
      <c r="O46" s="2176"/>
      <c r="P46" s="2176"/>
      <c r="Q46" s="2176"/>
      <c r="R46" s="2176"/>
      <c r="S46" s="2176"/>
      <c r="T46" s="2176"/>
      <c r="U46" s="2180"/>
    </row>
    <row r="47" spans="1:21">
      <c r="A47" s="2164"/>
      <c r="B47" s="2183"/>
      <c r="C47" s="2174"/>
      <c r="D47" s="1237" t="s">
        <v>1217</v>
      </c>
      <c r="E47" s="2170"/>
      <c r="F47" s="2179"/>
      <c r="G47" s="2179"/>
      <c r="H47" s="2179"/>
      <c r="I47" s="2179"/>
      <c r="J47" s="2179"/>
      <c r="K47" s="2179"/>
      <c r="L47" s="2179"/>
      <c r="M47" s="2179"/>
      <c r="N47" s="2179"/>
      <c r="O47" s="2176"/>
      <c r="P47" s="2176"/>
      <c r="Q47" s="2176"/>
      <c r="R47" s="2176"/>
      <c r="S47" s="2176"/>
      <c r="T47" s="2176"/>
      <c r="U47" s="2180"/>
    </row>
    <row r="48" spans="1:21">
      <c r="A48" s="2164"/>
      <c r="B48" s="2184" t="s">
        <v>1203</v>
      </c>
      <c r="C48" s="2168" t="s">
        <v>1212</v>
      </c>
      <c r="D48" s="1235" t="s">
        <v>1213</v>
      </c>
      <c r="E48" s="2170"/>
      <c r="F48" s="2179"/>
      <c r="G48" s="2179"/>
      <c r="H48" s="2179"/>
      <c r="I48" s="2179"/>
      <c r="J48" s="2179"/>
      <c r="K48" s="2179"/>
      <c r="L48" s="2179"/>
      <c r="M48" s="2179"/>
      <c r="N48" s="2179"/>
      <c r="O48" s="2179"/>
      <c r="P48" s="2176">
        <v>0.98</v>
      </c>
      <c r="Q48" s="2176">
        <v>0.97019999999999995</v>
      </c>
      <c r="R48" s="2176">
        <v>0.95079599999999997</v>
      </c>
      <c r="S48" s="2176">
        <v>0.94128803999999999</v>
      </c>
      <c r="T48" s="2176">
        <v>0.9318751596</v>
      </c>
      <c r="U48" s="2180">
        <v>0.92255640800399996</v>
      </c>
    </row>
    <row r="49" spans="1:21">
      <c r="A49" s="2164"/>
      <c r="B49" s="2185"/>
      <c r="C49" s="2169"/>
      <c r="D49" s="1236" t="s">
        <v>1214</v>
      </c>
      <c r="E49" s="2170"/>
      <c r="F49" s="2179"/>
      <c r="G49" s="2179"/>
      <c r="H49" s="2179"/>
      <c r="I49" s="2179"/>
      <c r="J49" s="2179"/>
      <c r="K49" s="2179"/>
      <c r="L49" s="2179"/>
      <c r="M49" s="2179"/>
      <c r="N49" s="2179"/>
      <c r="O49" s="2179"/>
      <c r="P49" s="2176"/>
      <c r="Q49" s="2176"/>
      <c r="R49" s="2176"/>
      <c r="S49" s="2176"/>
      <c r="T49" s="2176"/>
      <c r="U49" s="2180"/>
    </row>
    <row r="50" spans="1:21">
      <c r="A50" s="2164"/>
      <c r="B50" s="2185"/>
      <c r="C50" s="2173" t="s">
        <v>1215</v>
      </c>
      <c r="D50" s="1236" t="s">
        <v>1216</v>
      </c>
      <c r="E50" s="2170"/>
      <c r="F50" s="2179"/>
      <c r="G50" s="2179"/>
      <c r="H50" s="2179"/>
      <c r="I50" s="2179"/>
      <c r="J50" s="2179"/>
      <c r="K50" s="2179"/>
      <c r="L50" s="2179"/>
      <c r="M50" s="2179"/>
      <c r="N50" s="2179"/>
      <c r="O50" s="2179"/>
      <c r="P50" s="2176"/>
      <c r="Q50" s="2176"/>
      <c r="R50" s="2176"/>
      <c r="S50" s="2176"/>
      <c r="T50" s="2176"/>
      <c r="U50" s="2180"/>
    </row>
    <row r="51" spans="1:21">
      <c r="A51" s="2164"/>
      <c r="B51" s="2186"/>
      <c r="C51" s="2174"/>
      <c r="D51" s="1237" t="s">
        <v>1217</v>
      </c>
      <c r="E51" s="2170"/>
      <c r="F51" s="2179"/>
      <c r="G51" s="2179"/>
      <c r="H51" s="2179"/>
      <c r="I51" s="2179"/>
      <c r="J51" s="2179"/>
      <c r="K51" s="2179"/>
      <c r="L51" s="2179"/>
      <c r="M51" s="2179"/>
      <c r="N51" s="2179"/>
      <c r="O51" s="2179"/>
      <c r="P51" s="2176"/>
      <c r="Q51" s="2176"/>
      <c r="R51" s="2176"/>
      <c r="S51" s="2176"/>
      <c r="T51" s="2176"/>
      <c r="U51" s="2180"/>
    </row>
    <row r="52" spans="1:21">
      <c r="A52" s="2164"/>
      <c r="B52" s="2178" t="s">
        <v>1204</v>
      </c>
      <c r="C52" s="2168" t="s">
        <v>1212</v>
      </c>
      <c r="D52" s="1235" t="s">
        <v>1213</v>
      </c>
      <c r="E52" s="2170"/>
      <c r="F52" s="2179"/>
      <c r="G52" s="2179"/>
      <c r="H52" s="2179"/>
      <c r="I52" s="2179"/>
      <c r="J52" s="2179"/>
      <c r="K52" s="2179"/>
      <c r="L52" s="2179"/>
      <c r="M52" s="2179"/>
      <c r="N52" s="2179"/>
      <c r="O52" s="2179"/>
      <c r="P52" s="2179"/>
      <c r="Q52" s="2176">
        <v>0.99</v>
      </c>
      <c r="R52" s="2176">
        <v>0.97019999999999995</v>
      </c>
      <c r="S52" s="2176">
        <v>0.96049799999999996</v>
      </c>
      <c r="T52" s="2176">
        <v>0.95089301999999998</v>
      </c>
      <c r="U52" s="2180">
        <v>0.94138408979999999</v>
      </c>
    </row>
    <row r="53" spans="1:21">
      <c r="A53" s="2164"/>
      <c r="B53" s="2183"/>
      <c r="C53" s="2169"/>
      <c r="D53" s="1236" t="s">
        <v>1214</v>
      </c>
      <c r="E53" s="2170"/>
      <c r="F53" s="2179"/>
      <c r="G53" s="2179"/>
      <c r="H53" s="2179"/>
      <c r="I53" s="2179"/>
      <c r="J53" s="2179"/>
      <c r="K53" s="2179"/>
      <c r="L53" s="2179"/>
      <c r="M53" s="2179"/>
      <c r="N53" s="2179"/>
      <c r="O53" s="2179"/>
      <c r="P53" s="2179"/>
      <c r="Q53" s="2176"/>
      <c r="R53" s="2176"/>
      <c r="S53" s="2176"/>
      <c r="T53" s="2176"/>
      <c r="U53" s="2180"/>
    </row>
    <row r="54" spans="1:21">
      <c r="A54" s="2164"/>
      <c r="B54" s="2183"/>
      <c r="C54" s="2173" t="s">
        <v>1215</v>
      </c>
      <c r="D54" s="1236" t="s">
        <v>1216</v>
      </c>
      <c r="E54" s="2170"/>
      <c r="F54" s="2179"/>
      <c r="G54" s="2179"/>
      <c r="H54" s="2179"/>
      <c r="I54" s="2179"/>
      <c r="J54" s="2179"/>
      <c r="K54" s="2179"/>
      <c r="L54" s="2179"/>
      <c r="M54" s="2179"/>
      <c r="N54" s="2179"/>
      <c r="O54" s="2179"/>
      <c r="P54" s="2179"/>
      <c r="Q54" s="2176"/>
      <c r="R54" s="2176"/>
      <c r="S54" s="2176"/>
      <c r="T54" s="2176"/>
      <c r="U54" s="2180"/>
    </row>
    <row r="55" spans="1:21">
      <c r="A55" s="2164"/>
      <c r="B55" s="2183"/>
      <c r="C55" s="2174"/>
      <c r="D55" s="1237" t="s">
        <v>1217</v>
      </c>
      <c r="E55" s="2170"/>
      <c r="F55" s="2179"/>
      <c r="G55" s="2179"/>
      <c r="H55" s="2179"/>
      <c r="I55" s="2179"/>
      <c r="J55" s="2179"/>
      <c r="K55" s="2179"/>
      <c r="L55" s="2179"/>
      <c r="M55" s="2179"/>
      <c r="N55" s="2179"/>
      <c r="O55" s="2179"/>
      <c r="P55" s="2179"/>
      <c r="Q55" s="2176"/>
      <c r="R55" s="2176"/>
      <c r="S55" s="2176"/>
      <c r="T55" s="2176"/>
      <c r="U55" s="2180"/>
    </row>
    <row r="56" spans="1:21">
      <c r="A56" s="2164"/>
      <c r="B56" s="2177" t="s">
        <v>1205</v>
      </c>
      <c r="C56" s="2168" t="s">
        <v>1212</v>
      </c>
      <c r="D56" s="1235" t="s">
        <v>1213</v>
      </c>
      <c r="E56" s="2170"/>
      <c r="F56" s="2179"/>
      <c r="G56" s="2179"/>
      <c r="H56" s="2179"/>
      <c r="I56" s="2179"/>
      <c r="J56" s="2179"/>
      <c r="K56" s="2179"/>
      <c r="L56" s="2179"/>
      <c r="M56" s="2179"/>
      <c r="N56" s="2179"/>
      <c r="O56" s="2179"/>
      <c r="P56" s="2179"/>
      <c r="Q56" s="2179"/>
      <c r="R56" s="2176">
        <v>0.98</v>
      </c>
      <c r="S56" s="2176">
        <v>0.97019999999999995</v>
      </c>
      <c r="T56" s="2176">
        <v>0.96049799999999996</v>
      </c>
      <c r="U56" s="2180">
        <v>0.95089301999999998</v>
      </c>
    </row>
    <row r="57" spans="1:21">
      <c r="A57" s="2164"/>
      <c r="B57" s="2183"/>
      <c r="C57" s="2169"/>
      <c r="D57" s="1236" t="s">
        <v>1214</v>
      </c>
      <c r="E57" s="2170"/>
      <c r="F57" s="2179"/>
      <c r="G57" s="2179"/>
      <c r="H57" s="2179"/>
      <c r="I57" s="2179"/>
      <c r="J57" s="2179"/>
      <c r="K57" s="2179"/>
      <c r="L57" s="2179"/>
      <c r="M57" s="2179"/>
      <c r="N57" s="2179"/>
      <c r="O57" s="2179"/>
      <c r="P57" s="2179"/>
      <c r="Q57" s="2179"/>
      <c r="R57" s="2176"/>
      <c r="S57" s="2176"/>
      <c r="T57" s="2176"/>
      <c r="U57" s="2180"/>
    </row>
    <row r="58" spans="1:21">
      <c r="A58" s="2164"/>
      <c r="B58" s="2183"/>
      <c r="C58" s="2173" t="s">
        <v>1215</v>
      </c>
      <c r="D58" s="1236" t="s">
        <v>1216</v>
      </c>
      <c r="E58" s="2170"/>
      <c r="F58" s="2179"/>
      <c r="G58" s="2179"/>
      <c r="H58" s="2179"/>
      <c r="I58" s="2179"/>
      <c r="J58" s="2179"/>
      <c r="K58" s="2179"/>
      <c r="L58" s="2179"/>
      <c r="M58" s="2179"/>
      <c r="N58" s="2179"/>
      <c r="O58" s="2179"/>
      <c r="P58" s="2179"/>
      <c r="Q58" s="2179"/>
      <c r="R58" s="2176"/>
      <c r="S58" s="2176"/>
      <c r="T58" s="2176"/>
      <c r="U58" s="2180"/>
    </row>
    <row r="59" spans="1:21">
      <c r="A59" s="2164"/>
      <c r="B59" s="2183"/>
      <c r="C59" s="2174"/>
      <c r="D59" s="1237" t="s">
        <v>1217</v>
      </c>
      <c r="E59" s="2170"/>
      <c r="F59" s="2179"/>
      <c r="G59" s="2179"/>
      <c r="H59" s="2179"/>
      <c r="I59" s="2179"/>
      <c r="J59" s="2179"/>
      <c r="K59" s="2179"/>
      <c r="L59" s="2179"/>
      <c r="M59" s="2179"/>
      <c r="N59" s="2179"/>
      <c r="O59" s="2179"/>
      <c r="P59" s="2179"/>
      <c r="Q59" s="2179"/>
      <c r="R59" s="2176"/>
      <c r="S59" s="2176"/>
      <c r="T59" s="2176"/>
      <c r="U59" s="2180"/>
    </row>
    <row r="60" spans="1:21">
      <c r="A60" s="2164"/>
      <c r="B60" s="2177" t="s">
        <v>1206</v>
      </c>
      <c r="C60" s="2168" t="s">
        <v>1212</v>
      </c>
      <c r="D60" s="1235" t="s">
        <v>1213</v>
      </c>
      <c r="E60" s="2170"/>
      <c r="F60" s="2179"/>
      <c r="G60" s="2179"/>
      <c r="H60" s="2179"/>
      <c r="I60" s="2179"/>
      <c r="J60" s="2179"/>
      <c r="K60" s="2179"/>
      <c r="L60" s="2179"/>
      <c r="M60" s="2179"/>
      <c r="N60" s="2179"/>
      <c r="O60" s="2179"/>
      <c r="P60" s="2179"/>
      <c r="Q60" s="2179"/>
      <c r="R60" s="2179"/>
      <c r="S60" s="2176">
        <v>0.99</v>
      </c>
      <c r="T60" s="2176">
        <v>0.98009999999999997</v>
      </c>
      <c r="U60" s="2180">
        <v>0.97029899999999991</v>
      </c>
    </row>
    <row r="61" spans="1:21">
      <c r="A61" s="2164"/>
      <c r="B61" s="2183"/>
      <c r="C61" s="2169"/>
      <c r="D61" s="1236" t="s">
        <v>1214</v>
      </c>
      <c r="E61" s="2170"/>
      <c r="F61" s="2179"/>
      <c r="G61" s="2179"/>
      <c r="H61" s="2179"/>
      <c r="I61" s="2179"/>
      <c r="J61" s="2179"/>
      <c r="K61" s="2179"/>
      <c r="L61" s="2179"/>
      <c r="M61" s="2179"/>
      <c r="N61" s="2179"/>
      <c r="O61" s="2179"/>
      <c r="P61" s="2179"/>
      <c r="Q61" s="2179"/>
      <c r="R61" s="2179"/>
      <c r="S61" s="2176"/>
      <c r="T61" s="2176"/>
      <c r="U61" s="2180"/>
    </row>
    <row r="62" spans="1:21">
      <c r="A62" s="2164"/>
      <c r="B62" s="2183"/>
      <c r="C62" s="2173" t="s">
        <v>1215</v>
      </c>
      <c r="D62" s="1236" t="s">
        <v>1216</v>
      </c>
      <c r="E62" s="2170"/>
      <c r="F62" s="2179"/>
      <c r="G62" s="2179"/>
      <c r="H62" s="2179"/>
      <c r="I62" s="2179"/>
      <c r="J62" s="2179"/>
      <c r="K62" s="2179"/>
      <c r="L62" s="2179"/>
      <c r="M62" s="2179"/>
      <c r="N62" s="2179"/>
      <c r="O62" s="2179"/>
      <c r="P62" s="2179"/>
      <c r="Q62" s="2179"/>
      <c r="R62" s="2179"/>
      <c r="S62" s="2176"/>
      <c r="T62" s="2176"/>
      <c r="U62" s="2180"/>
    </row>
    <row r="63" spans="1:21">
      <c r="A63" s="2164"/>
      <c r="B63" s="2183"/>
      <c r="C63" s="2174"/>
      <c r="D63" s="1237" t="s">
        <v>1217</v>
      </c>
      <c r="E63" s="2170"/>
      <c r="F63" s="2179"/>
      <c r="G63" s="2179"/>
      <c r="H63" s="2179"/>
      <c r="I63" s="2179"/>
      <c r="J63" s="2179"/>
      <c r="K63" s="2179"/>
      <c r="L63" s="2179"/>
      <c r="M63" s="2179"/>
      <c r="N63" s="2179"/>
      <c r="O63" s="2179"/>
      <c r="P63" s="2179"/>
      <c r="Q63" s="2179"/>
      <c r="R63" s="2179"/>
      <c r="S63" s="2176"/>
      <c r="T63" s="2176"/>
      <c r="U63" s="2180"/>
    </row>
    <row r="64" spans="1:21">
      <c r="A64" s="2164"/>
      <c r="B64" s="2177" t="s">
        <v>1207</v>
      </c>
      <c r="C64" s="2168" t="s">
        <v>1212</v>
      </c>
      <c r="D64" s="1235" t="s">
        <v>1213</v>
      </c>
      <c r="E64" s="2170"/>
      <c r="F64" s="2179"/>
      <c r="G64" s="2179"/>
      <c r="H64" s="2179"/>
      <c r="I64" s="2179"/>
      <c r="J64" s="2179"/>
      <c r="K64" s="2179"/>
      <c r="L64" s="2179"/>
      <c r="M64" s="2179"/>
      <c r="N64" s="2179"/>
      <c r="O64" s="2179"/>
      <c r="P64" s="2179"/>
      <c r="Q64" s="2179"/>
      <c r="R64" s="2179"/>
      <c r="S64" s="2179"/>
      <c r="T64" s="2171">
        <v>0.99</v>
      </c>
      <c r="U64" s="2180">
        <v>0.98009999999999997</v>
      </c>
    </row>
    <row r="65" spans="1:21">
      <c r="A65" s="2164"/>
      <c r="B65" s="2183"/>
      <c r="C65" s="2169"/>
      <c r="D65" s="1236" t="s">
        <v>1214</v>
      </c>
      <c r="E65" s="2170"/>
      <c r="F65" s="2179"/>
      <c r="G65" s="2179"/>
      <c r="H65" s="2179"/>
      <c r="I65" s="2179"/>
      <c r="J65" s="2179"/>
      <c r="K65" s="2179"/>
      <c r="L65" s="2179"/>
      <c r="M65" s="2179"/>
      <c r="N65" s="2179"/>
      <c r="O65" s="2179"/>
      <c r="P65" s="2179"/>
      <c r="Q65" s="2179"/>
      <c r="R65" s="2179"/>
      <c r="S65" s="2179"/>
      <c r="T65" s="2172"/>
      <c r="U65" s="2180"/>
    </row>
    <row r="66" spans="1:21">
      <c r="A66" s="2164"/>
      <c r="B66" s="2183"/>
      <c r="C66" s="2173" t="s">
        <v>1215</v>
      </c>
      <c r="D66" s="1236" t="s">
        <v>1216</v>
      </c>
      <c r="E66" s="2170"/>
      <c r="F66" s="2179"/>
      <c r="G66" s="2179"/>
      <c r="H66" s="2179"/>
      <c r="I66" s="2179"/>
      <c r="J66" s="2179"/>
      <c r="K66" s="2179"/>
      <c r="L66" s="2179"/>
      <c r="M66" s="2179"/>
      <c r="N66" s="2179"/>
      <c r="O66" s="2179"/>
      <c r="P66" s="2179"/>
      <c r="Q66" s="2179"/>
      <c r="R66" s="2179"/>
      <c r="S66" s="2179"/>
      <c r="T66" s="2172"/>
      <c r="U66" s="2180"/>
    </row>
    <row r="67" spans="1:21">
      <c r="A67" s="2164"/>
      <c r="B67" s="2183"/>
      <c r="C67" s="2174"/>
      <c r="D67" s="1237" t="s">
        <v>1217</v>
      </c>
      <c r="E67" s="2170"/>
      <c r="F67" s="2179"/>
      <c r="G67" s="2179"/>
      <c r="H67" s="2179"/>
      <c r="I67" s="2179"/>
      <c r="J67" s="2179"/>
      <c r="K67" s="2179"/>
      <c r="L67" s="2179"/>
      <c r="M67" s="2179"/>
      <c r="N67" s="2179"/>
      <c r="O67" s="2179"/>
      <c r="P67" s="2179"/>
      <c r="Q67" s="2179"/>
      <c r="R67" s="2179"/>
      <c r="S67" s="2179"/>
      <c r="T67" s="2187"/>
      <c r="U67" s="2180"/>
    </row>
    <row r="68" spans="1:21">
      <c r="A68" s="2164"/>
      <c r="B68" s="2184" t="s">
        <v>1208</v>
      </c>
      <c r="C68" s="2168" t="s">
        <v>1212</v>
      </c>
      <c r="D68" s="1235" t="s">
        <v>1213</v>
      </c>
      <c r="E68" s="2170"/>
      <c r="F68" s="2179"/>
      <c r="G68" s="2179"/>
      <c r="H68" s="2179"/>
      <c r="I68" s="2179"/>
      <c r="J68" s="2179"/>
      <c r="K68" s="2179"/>
      <c r="L68" s="2179"/>
      <c r="M68" s="2179"/>
      <c r="N68" s="2179"/>
      <c r="O68" s="2179"/>
      <c r="P68" s="2179"/>
      <c r="Q68" s="2179"/>
      <c r="R68" s="2179"/>
      <c r="S68" s="2179"/>
      <c r="T68" s="2179"/>
      <c r="U68" s="2180">
        <v>0.99</v>
      </c>
    </row>
    <row r="69" spans="1:21">
      <c r="A69" s="2164"/>
      <c r="B69" s="2185"/>
      <c r="C69" s="2169"/>
      <c r="D69" s="1236" t="s">
        <v>1214</v>
      </c>
      <c r="E69" s="2170"/>
      <c r="F69" s="2179"/>
      <c r="G69" s="2179"/>
      <c r="H69" s="2179"/>
      <c r="I69" s="2179"/>
      <c r="J69" s="2179"/>
      <c r="K69" s="2179"/>
      <c r="L69" s="2179"/>
      <c r="M69" s="2179"/>
      <c r="N69" s="2179"/>
      <c r="O69" s="2179"/>
      <c r="P69" s="2179"/>
      <c r="Q69" s="2179"/>
      <c r="R69" s="2179"/>
      <c r="S69" s="2179"/>
      <c r="T69" s="2179"/>
      <c r="U69" s="2180"/>
    </row>
    <row r="70" spans="1:21">
      <c r="A70" s="2164"/>
      <c r="B70" s="2185"/>
      <c r="C70" s="2173" t="s">
        <v>1215</v>
      </c>
      <c r="D70" s="1236" t="s">
        <v>1216</v>
      </c>
      <c r="E70" s="2170"/>
      <c r="F70" s="2179"/>
      <c r="G70" s="2179"/>
      <c r="H70" s="2179"/>
      <c r="I70" s="2179"/>
      <c r="J70" s="2179"/>
      <c r="K70" s="2179"/>
      <c r="L70" s="2179"/>
      <c r="M70" s="2179"/>
      <c r="N70" s="2179"/>
      <c r="O70" s="2179"/>
      <c r="P70" s="2179"/>
      <c r="Q70" s="2179"/>
      <c r="R70" s="2179"/>
      <c r="S70" s="2179"/>
      <c r="T70" s="2179"/>
      <c r="U70" s="2180"/>
    </row>
    <row r="71" spans="1:21">
      <c r="A71" s="2164"/>
      <c r="B71" s="2186"/>
      <c r="C71" s="2174"/>
      <c r="D71" s="1237" t="s">
        <v>1217</v>
      </c>
      <c r="E71" s="2170"/>
      <c r="F71" s="2179"/>
      <c r="G71" s="2179"/>
      <c r="H71" s="2179"/>
      <c r="I71" s="2179"/>
      <c r="J71" s="2179"/>
      <c r="K71" s="2179"/>
      <c r="L71" s="2179"/>
      <c r="M71" s="2179"/>
      <c r="N71" s="2179"/>
      <c r="O71" s="2179"/>
      <c r="P71" s="2179"/>
      <c r="Q71" s="2179"/>
      <c r="R71" s="2179"/>
      <c r="S71" s="2179"/>
      <c r="T71" s="2179"/>
      <c r="U71" s="2180"/>
    </row>
    <row r="72" spans="1:21">
      <c r="A72" s="2164"/>
      <c r="B72" s="2178" t="s">
        <v>1209</v>
      </c>
      <c r="C72" s="2168" t="s">
        <v>1212</v>
      </c>
      <c r="D72" s="1235" t="s">
        <v>1213</v>
      </c>
      <c r="E72" s="2188"/>
      <c r="F72" s="2191"/>
      <c r="G72" s="2191"/>
      <c r="H72" s="2191"/>
      <c r="I72" s="2191"/>
      <c r="J72" s="2191"/>
      <c r="K72" s="2191"/>
      <c r="L72" s="2191"/>
      <c r="M72" s="2191"/>
      <c r="N72" s="2191"/>
      <c r="O72" s="2191"/>
      <c r="P72" s="2191"/>
      <c r="Q72" s="2191"/>
      <c r="R72" s="2191"/>
      <c r="S72" s="2191"/>
      <c r="T72" s="2191"/>
      <c r="U72" s="2194"/>
    </row>
    <row r="73" spans="1:21">
      <c r="A73" s="2164"/>
      <c r="B73" s="2183"/>
      <c r="C73" s="2169"/>
      <c r="D73" s="1236" t="s">
        <v>1214</v>
      </c>
      <c r="E73" s="2189"/>
      <c r="F73" s="2192"/>
      <c r="G73" s="2192"/>
      <c r="H73" s="2192"/>
      <c r="I73" s="2192"/>
      <c r="J73" s="2192"/>
      <c r="K73" s="2192"/>
      <c r="L73" s="2192"/>
      <c r="M73" s="2192"/>
      <c r="N73" s="2192"/>
      <c r="O73" s="2192"/>
      <c r="P73" s="2192"/>
      <c r="Q73" s="2192"/>
      <c r="R73" s="2192"/>
      <c r="S73" s="2192"/>
      <c r="T73" s="2192"/>
      <c r="U73" s="2195"/>
    </row>
    <row r="74" spans="1:21">
      <c r="A74" s="2164"/>
      <c r="B74" s="2183"/>
      <c r="C74" s="2173" t="s">
        <v>1215</v>
      </c>
      <c r="D74" s="1236" t="s">
        <v>1216</v>
      </c>
      <c r="E74" s="2189"/>
      <c r="F74" s="2192"/>
      <c r="G74" s="2192"/>
      <c r="H74" s="2192"/>
      <c r="I74" s="2192"/>
      <c r="J74" s="2192"/>
      <c r="K74" s="2192"/>
      <c r="L74" s="2192"/>
      <c r="M74" s="2192"/>
      <c r="N74" s="2192"/>
      <c r="O74" s="2192"/>
      <c r="P74" s="2192"/>
      <c r="Q74" s="2192"/>
      <c r="R74" s="2192"/>
      <c r="S74" s="2192"/>
      <c r="T74" s="2192"/>
      <c r="U74" s="2195"/>
    </row>
    <row r="75" spans="1:21">
      <c r="A75" s="2165"/>
      <c r="B75" s="2197"/>
      <c r="C75" s="2174"/>
      <c r="D75" s="1237" t="s">
        <v>1217</v>
      </c>
      <c r="E75" s="2190"/>
      <c r="F75" s="2193"/>
      <c r="G75" s="2193"/>
      <c r="H75" s="2193"/>
      <c r="I75" s="2193"/>
      <c r="J75" s="2193"/>
      <c r="K75" s="2193"/>
      <c r="L75" s="2193"/>
      <c r="M75" s="2193"/>
      <c r="N75" s="2193"/>
      <c r="O75" s="2193"/>
      <c r="P75" s="2193"/>
      <c r="Q75" s="2193"/>
      <c r="R75" s="2193"/>
      <c r="S75" s="2193"/>
      <c r="T75" s="2193"/>
      <c r="U75" s="2196"/>
    </row>
    <row r="76" spans="1:21">
      <c r="A76" s="2157" t="s">
        <v>1218</v>
      </c>
      <c r="B76" s="2175" t="s">
        <v>1211</v>
      </c>
      <c r="C76" s="2168" t="s">
        <v>1212</v>
      </c>
      <c r="D76" s="1235" t="s">
        <v>1213</v>
      </c>
      <c r="E76" s="2170"/>
      <c r="F76" s="2171">
        <v>0.79</v>
      </c>
      <c r="G76" s="2171">
        <v>0.68730000000000002</v>
      </c>
      <c r="H76" s="2171">
        <v>0.65980799999999995</v>
      </c>
      <c r="I76" s="2171">
        <v>0.60702336000000001</v>
      </c>
      <c r="J76" s="2171">
        <v>0.57060195839999994</v>
      </c>
      <c r="K76" s="2171">
        <v>0.54207186047999989</v>
      </c>
      <c r="L76" s="2171">
        <v>0.52038898606079986</v>
      </c>
      <c r="M76" s="2171">
        <v>0.48396175703654387</v>
      </c>
      <c r="N76" s="2171">
        <v>0.47428252189581299</v>
      </c>
      <c r="O76" s="2171">
        <v>0.46479687145789672</v>
      </c>
      <c r="P76" s="2171">
        <v>0.45550093402873876</v>
      </c>
      <c r="Q76" s="2171">
        <v>0.45094592468845135</v>
      </c>
      <c r="R76" s="2171">
        <v>0.44192700619468234</v>
      </c>
      <c r="S76" s="2171">
        <v>0.43750773613273553</v>
      </c>
      <c r="T76" s="2171">
        <v>0.43313265877140816</v>
      </c>
      <c r="U76" s="2181">
        <v>0.42880133218369409</v>
      </c>
    </row>
    <row r="77" spans="1:21">
      <c r="A77" s="2164"/>
      <c r="B77" s="2167"/>
      <c r="C77" s="2169"/>
      <c r="D77" s="1236" t="s">
        <v>1214</v>
      </c>
      <c r="E77" s="2170"/>
      <c r="F77" s="2172"/>
      <c r="G77" s="2172"/>
      <c r="H77" s="2172"/>
      <c r="I77" s="2172"/>
      <c r="J77" s="2172"/>
      <c r="K77" s="2172"/>
      <c r="L77" s="2172"/>
      <c r="M77" s="2172"/>
      <c r="N77" s="2172"/>
      <c r="O77" s="2172"/>
      <c r="P77" s="2172"/>
      <c r="Q77" s="2172"/>
      <c r="R77" s="2172"/>
      <c r="S77" s="2172"/>
      <c r="T77" s="2172"/>
      <c r="U77" s="2182"/>
    </row>
    <row r="78" spans="1:21">
      <c r="A78" s="2164"/>
      <c r="B78" s="2167"/>
      <c r="C78" s="2173" t="s">
        <v>1215</v>
      </c>
      <c r="D78" s="1236" t="s">
        <v>1216</v>
      </c>
      <c r="E78" s="2170"/>
      <c r="F78" s="2172"/>
      <c r="G78" s="2172"/>
      <c r="H78" s="2172"/>
      <c r="I78" s="2172"/>
      <c r="J78" s="2172"/>
      <c r="K78" s="2172"/>
      <c r="L78" s="2172"/>
      <c r="M78" s="2172"/>
      <c r="N78" s="2172"/>
      <c r="O78" s="2172"/>
      <c r="P78" s="2172"/>
      <c r="Q78" s="2172"/>
      <c r="R78" s="2172"/>
      <c r="S78" s="2172"/>
      <c r="T78" s="2172"/>
      <c r="U78" s="2182"/>
    </row>
    <row r="79" spans="1:21">
      <c r="A79" s="2164"/>
      <c r="B79" s="2167"/>
      <c r="C79" s="2174"/>
      <c r="D79" s="1237" t="s">
        <v>1217</v>
      </c>
      <c r="E79" s="2170"/>
      <c r="F79" s="2172"/>
      <c r="G79" s="2172"/>
      <c r="H79" s="2172"/>
      <c r="I79" s="2172"/>
      <c r="J79" s="2172"/>
      <c r="K79" s="2172"/>
      <c r="L79" s="2172"/>
      <c r="M79" s="2172"/>
      <c r="N79" s="2172"/>
      <c r="O79" s="2172"/>
      <c r="P79" s="2172"/>
      <c r="Q79" s="2172"/>
      <c r="R79" s="2172"/>
      <c r="S79" s="2172"/>
      <c r="T79" s="2172"/>
      <c r="U79" s="2182"/>
    </row>
    <row r="80" spans="1:21">
      <c r="A80" s="2164"/>
      <c r="B80" s="2175" t="s">
        <v>1194</v>
      </c>
      <c r="C80" s="2168" t="s">
        <v>1212</v>
      </c>
      <c r="D80" s="1235" t="s">
        <v>1213</v>
      </c>
      <c r="E80" s="2170"/>
      <c r="F80" s="2179"/>
      <c r="G80" s="2176">
        <v>0.87</v>
      </c>
      <c r="H80" s="2176">
        <v>0.83519999999999994</v>
      </c>
      <c r="I80" s="2176">
        <v>0.76838399999999996</v>
      </c>
      <c r="J80" s="2176">
        <v>0.72228095999999997</v>
      </c>
      <c r="K80" s="2176">
        <v>0.68616691199999991</v>
      </c>
      <c r="L80" s="2176">
        <v>0.65872023551999992</v>
      </c>
      <c r="M80" s="2176">
        <v>0.61260981903360001</v>
      </c>
      <c r="N80" s="2176">
        <v>0.60035762265292802</v>
      </c>
      <c r="O80" s="2176">
        <v>0.58835047019986941</v>
      </c>
      <c r="P80" s="2176">
        <v>0.57658346079587197</v>
      </c>
      <c r="Q80" s="2176">
        <v>0.57081762618791321</v>
      </c>
      <c r="R80" s="2176">
        <v>0.55940127366415493</v>
      </c>
      <c r="S80" s="2176">
        <v>0.55380726092751342</v>
      </c>
      <c r="T80" s="2176">
        <v>0.54826918831823823</v>
      </c>
      <c r="U80" s="2180">
        <v>0.54278649643505583</v>
      </c>
    </row>
    <row r="81" spans="1:21">
      <c r="A81" s="2164"/>
      <c r="B81" s="2167"/>
      <c r="C81" s="2169"/>
      <c r="D81" s="1236" t="s">
        <v>1214</v>
      </c>
      <c r="E81" s="2170"/>
      <c r="F81" s="2179"/>
      <c r="G81" s="2176"/>
      <c r="H81" s="2176"/>
      <c r="I81" s="2176"/>
      <c r="J81" s="2176"/>
      <c r="K81" s="2176"/>
      <c r="L81" s="2176"/>
      <c r="M81" s="2176"/>
      <c r="N81" s="2176"/>
      <c r="O81" s="2176"/>
      <c r="P81" s="2176"/>
      <c r="Q81" s="2176"/>
      <c r="R81" s="2176"/>
      <c r="S81" s="2176"/>
      <c r="T81" s="2176"/>
      <c r="U81" s="2180"/>
    </row>
    <row r="82" spans="1:21">
      <c r="A82" s="2164"/>
      <c r="B82" s="2167"/>
      <c r="C82" s="2173" t="s">
        <v>1215</v>
      </c>
      <c r="D82" s="1236" t="s">
        <v>1216</v>
      </c>
      <c r="E82" s="2170"/>
      <c r="F82" s="2179"/>
      <c r="G82" s="2176"/>
      <c r="H82" s="2176"/>
      <c r="I82" s="2176"/>
      <c r="J82" s="2176"/>
      <c r="K82" s="2176"/>
      <c r="L82" s="2176"/>
      <c r="M82" s="2176"/>
      <c r="N82" s="2176"/>
      <c r="O82" s="2176"/>
      <c r="P82" s="2176"/>
      <c r="Q82" s="2176"/>
      <c r="R82" s="2176"/>
      <c r="S82" s="2176"/>
      <c r="T82" s="2176"/>
      <c r="U82" s="2180"/>
    </row>
    <row r="83" spans="1:21">
      <c r="A83" s="2164"/>
      <c r="B83" s="2167"/>
      <c r="C83" s="2174"/>
      <c r="D83" s="1237" t="s">
        <v>1217</v>
      </c>
      <c r="E83" s="2170"/>
      <c r="F83" s="2179"/>
      <c r="G83" s="2176"/>
      <c r="H83" s="2176"/>
      <c r="I83" s="2176"/>
      <c r="J83" s="2176"/>
      <c r="K83" s="2176"/>
      <c r="L83" s="2176"/>
      <c r="M83" s="2176"/>
      <c r="N83" s="2176"/>
      <c r="O83" s="2176"/>
      <c r="P83" s="2176"/>
      <c r="Q83" s="2176"/>
      <c r="R83" s="2176"/>
      <c r="S83" s="2176"/>
      <c r="T83" s="2176"/>
      <c r="U83" s="2180"/>
    </row>
    <row r="84" spans="1:21">
      <c r="A84" s="2164"/>
      <c r="B84" s="2177" t="s">
        <v>1195</v>
      </c>
      <c r="C84" s="2168" t="s">
        <v>1212</v>
      </c>
      <c r="D84" s="1235" t="s">
        <v>1213</v>
      </c>
      <c r="E84" s="2170"/>
      <c r="F84" s="2179"/>
      <c r="G84" s="2179"/>
      <c r="H84" s="2176">
        <v>0.96</v>
      </c>
      <c r="I84" s="2176">
        <v>0.88319999999999999</v>
      </c>
      <c r="J84" s="2176">
        <v>0.83020799999999995</v>
      </c>
      <c r="K84" s="2176">
        <v>0.78869759999999989</v>
      </c>
      <c r="L84" s="2176">
        <v>0.75714969599999982</v>
      </c>
      <c r="M84" s="2176">
        <v>0.70414921727999991</v>
      </c>
      <c r="N84" s="2176">
        <v>0.69006623293439995</v>
      </c>
      <c r="O84" s="2176">
        <v>0.67626490827571195</v>
      </c>
      <c r="P84" s="2176">
        <v>0.66273961011019766</v>
      </c>
      <c r="Q84" s="2176">
        <v>0.6561122140090957</v>
      </c>
      <c r="R84" s="2176">
        <v>0.64298996972891376</v>
      </c>
      <c r="S84" s="2176">
        <v>0.63656007003162463</v>
      </c>
      <c r="T84" s="2176">
        <v>0.6301944693313084</v>
      </c>
      <c r="U84" s="2180">
        <v>0.62389252463799527</v>
      </c>
    </row>
    <row r="85" spans="1:21">
      <c r="A85" s="2164"/>
      <c r="B85" s="2183"/>
      <c r="C85" s="2169"/>
      <c r="D85" s="1236" t="s">
        <v>1214</v>
      </c>
      <c r="E85" s="2170"/>
      <c r="F85" s="2179"/>
      <c r="G85" s="2179"/>
      <c r="H85" s="2176"/>
      <c r="I85" s="2176"/>
      <c r="J85" s="2176"/>
      <c r="K85" s="2176"/>
      <c r="L85" s="2176"/>
      <c r="M85" s="2176"/>
      <c r="N85" s="2176"/>
      <c r="O85" s="2176"/>
      <c r="P85" s="2176"/>
      <c r="Q85" s="2176"/>
      <c r="R85" s="2176"/>
      <c r="S85" s="2176"/>
      <c r="T85" s="2176"/>
      <c r="U85" s="2180"/>
    </row>
    <row r="86" spans="1:21">
      <c r="A86" s="2164"/>
      <c r="B86" s="2183"/>
      <c r="C86" s="2173" t="s">
        <v>1215</v>
      </c>
      <c r="D86" s="1236" t="s">
        <v>1216</v>
      </c>
      <c r="E86" s="2170"/>
      <c r="F86" s="2179"/>
      <c r="G86" s="2179"/>
      <c r="H86" s="2176"/>
      <c r="I86" s="2176"/>
      <c r="J86" s="2176"/>
      <c r="K86" s="2176"/>
      <c r="L86" s="2176"/>
      <c r="M86" s="2176"/>
      <c r="N86" s="2176"/>
      <c r="O86" s="2176"/>
      <c r="P86" s="2176"/>
      <c r="Q86" s="2176"/>
      <c r="R86" s="2176"/>
      <c r="S86" s="2176"/>
      <c r="T86" s="2176"/>
      <c r="U86" s="2180"/>
    </row>
    <row r="87" spans="1:21">
      <c r="A87" s="2164"/>
      <c r="B87" s="2183"/>
      <c r="C87" s="2174"/>
      <c r="D87" s="1237" t="s">
        <v>1217</v>
      </c>
      <c r="E87" s="2170"/>
      <c r="F87" s="2179"/>
      <c r="G87" s="2179"/>
      <c r="H87" s="2176"/>
      <c r="I87" s="2176"/>
      <c r="J87" s="2176"/>
      <c r="K87" s="2176"/>
      <c r="L87" s="2176"/>
      <c r="M87" s="2176"/>
      <c r="N87" s="2176"/>
      <c r="O87" s="2176"/>
      <c r="P87" s="2176"/>
      <c r="Q87" s="2176"/>
      <c r="R87" s="2176"/>
      <c r="S87" s="2176"/>
      <c r="T87" s="2176"/>
      <c r="U87" s="2180"/>
    </row>
    <row r="88" spans="1:21">
      <c r="A88" s="2164"/>
      <c r="B88" s="2166" t="s">
        <v>1196</v>
      </c>
      <c r="C88" s="2168" t="s">
        <v>1212</v>
      </c>
      <c r="D88" s="1235" t="s">
        <v>1213</v>
      </c>
      <c r="E88" s="2170"/>
      <c r="F88" s="2179"/>
      <c r="G88" s="2179"/>
      <c r="H88" s="2179"/>
      <c r="I88" s="2176">
        <v>0.92</v>
      </c>
      <c r="J88" s="2176">
        <v>0.86480000000000001</v>
      </c>
      <c r="K88" s="2176">
        <v>0.82155999999999996</v>
      </c>
      <c r="L88" s="2176">
        <v>0.78869759999999989</v>
      </c>
      <c r="M88" s="2176">
        <v>0.73348876799999996</v>
      </c>
      <c r="N88" s="2176">
        <v>0.71881899263999993</v>
      </c>
      <c r="O88" s="2176">
        <v>0.70444261278719988</v>
      </c>
      <c r="P88" s="2176">
        <v>0.69035376053145592</v>
      </c>
      <c r="Q88" s="2176">
        <v>0.68345022292614133</v>
      </c>
      <c r="R88" s="2176">
        <v>0.66978121846761851</v>
      </c>
      <c r="S88" s="2176">
        <v>0.66308340628294227</v>
      </c>
      <c r="T88" s="2176">
        <v>0.65645257222011288</v>
      </c>
      <c r="U88" s="2180">
        <v>0.64988804649791176</v>
      </c>
    </row>
    <row r="89" spans="1:21">
      <c r="A89" s="2164"/>
      <c r="B89" s="2167"/>
      <c r="C89" s="2169"/>
      <c r="D89" s="1236" t="s">
        <v>1214</v>
      </c>
      <c r="E89" s="2170"/>
      <c r="F89" s="2179"/>
      <c r="G89" s="2179"/>
      <c r="H89" s="2179"/>
      <c r="I89" s="2176"/>
      <c r="J89" s="2176"/>
      <c r="K89" s="2176"/>
      <c r="L89" s="2176"/>
      <c r="M89" s="2176"/>
      <c r="N89" s="2176"/>
      <c r="O89" s="2176"/>
      <c r="P89" s="2176"/>
      <c r="Q89" s="2176"/>
      <c r="R89" s="2176"/>
      <c r="S89" s="2176"/>
      <c r="T89" s="2176"/>
      <c r="U89" s="2180"/>
    </row>
    <row r="90" spans="1:21">
      <c r="A90" s="2164"/>
      <c r="B90" s="2167"/>
      <c r="C90" s="2173" t="s">
        <v>1215</v>
      </c>
      <c r="D90" s="1236" t="s">
        <v>1216</v>
      </c>
      <c r="E90" s="2170"/>
      <c r="F90" s="2179"/>
      <c r="G90" s="2179"/>
      <c r="H90" s="2179"/>
      <c r="I90" s="2176"/>
      <c r="J90" s="2176"/>
      <c r="K90" s="2176"/>
      <c r="L90" s="2176"/>
      <c r="M90" s="2176"/>
      <c r="N90" s="2176"/>
      <c r="O90" s="2176"/>
      <c r="P90" s="2176"/>
      <c r="Q90" s="2176"/>
      <c r="R90" s="2176"/>
      <c r="S90" s="2176"/>
      <c r="T90" s="2176"/>
      <c r="U90" s="2180"/>
    </row>
    <row r="91" spans="1:21">
      <c r="A91" s="2164"/>
      <c r="B91" s="2167"/>
      <c r="C91" s="2174"/>
      <c r="D91" s="1237" t="s">
        <v>1217</v>
      </c>
      <c r="E91" s="2170"/>
      <c r="F91" s="2179"/>
      <c r="G91" s="2179"/>
      <c r="H91" s="2179"/>
      <c r="I91" s="2176"/>
      <c r="J91" s="2176"/>
      <c r="K91" s="2176"/>
      <c r="L91" s="2176"/>
      <c r="M91" s="2176"/>
      <c r="N91" s="2176"/>
      <c r="O91" s="2176"/>
      <c r="P91" s="2176"/>
      <c r="Q91" s="2176"/>
      <c r="R91" s="2176"/>
      <c r="S91" s="2176"/>
      <c r="T91" s="2176"/>
      <c r="U91" s="2180"/>
    </row>
    <row r="92" spans="1:21">
      <c r="A92" s="2164"/>
      <c r="B92" s="2166" t="s">
        <v>1197</v>
      </c>
      <c r="C92" s="2168" t="s">
        <v>1212</v>
      </c>
      <c r="D92" s="1235" t="s">
        <v>1213</v>
      </c>
      <c r="E92" s="2170"/>
      <c r="F92" s="2179"/>
      <c r="G92" s="2179"/>
      <c r="H92" s="2179"/>
      <c r="I92" s="2179"/>
      <c r="J92" s="2176">
        <v>0.94</v>
      </c>
      <c r="K92" s="2176">
        <v>0.8929999999999999</v>
      </c>
      <c r="L92" s="2176">
        <v>0.85727999999999993</v>
      </c>
      <c r="M92" s="2176">
        <v>0.79727039999999993</v>
      </c>
      <c r="N92" s="2176">
        <v>0.78132499199999994</v>
      </c>
      <c r="O92" s="2176">
        <v>0.76569849215999997</v>
      </c>
      <c r="P92" s="2176">
        <v>0.75038452231679997</v>
      </c>
      <c r="Q92" s="2176">
        <v>0.74288067709363192</v>
      </c>
      <c r="R92" s="2176">
        <v>0.72802306355175928</v>
      </c>
      <c r="S92" s="2176">
        <v>0.72074283291624164</v>
      </c>
      <c r="T92" s="2176">
        <v>0.7135354045870792</v>
      </c>
      <c r="U92" s="2180">
        <v>0.70640005054120836</v>
      </c>
    </row>
    <row r="93" spans="1:21">
      <c r="A93" s="2164"/>
      <c r="B93" s="2167"/>
      <c r="C93" s="2169"/>
      <c r="D93" s="1236" t="s">
        <v>1214</v>
      </c>
      <c r="E93" s="2170"/>
      <c r="F93" s="2179"/>
      <c r="G93" s="2179"/>
      <c r="H93" s="2179"/>
      <c r="I93" s="2179"/>
      <c r="J93" s="2176"/>
      <c r="K93" s="2176"/>
      <c r="L93" s="2176"/>
      <c r="M93" s="2176"/>
      <c r="N93" s="2176"/>
      <c r="O93" s="2176"/>
      <c r="P93" s="2176"/>
      <c r="Q93" s="2176"/>
      <c r="R93" s="2176"/>
      <c r="S93" s="2176"/>
      <c r="T93" s="2176"/>
      <c r="U93" s="2180"/>
    </row>
    <row r="94" spans="1:21">
      <c r="A94" s="2164"/>
      <c r="B94" s="2167"/>
      <c r="C94" s="2173" t="s">
        <v>1215</v>
      </c>
      <c r="D94" s="1236" t="s">
        <v>1216</v>
      </c>
      <c r="E94" s="2170"/>
      <c r="F94" s="2179"/>
      <c r="G94" s="2179"/>
      <c r="H94" s="2179"/>
      <c r="I94" s="2179"/>
      <c r="J94" s="2176"/>
      <c r="K94" s="2176"/>
      <c r="L94" s="2176"/>
      <c r="M94" s="2176"/>
      <c r="N94" s="2176"/>
      <c r="O94" s="2176"/>
      <c r="P94" s="2176"/>
      <c r="Q94" s="2176"/>
      <c r="R94" s="2176"/>
      <c r="S94" s="2176"/>
      <c r="T94" s="2176"/>
      <c r="U94" s="2180"/>
    </row>
    <row r="95" spans="1:21">
      <c r="A95" s="2164"/>
      <c r="B95" s="2167"/>
      <c r="C95" s="2174"/>
      <c r="D95" s="1237" t="s">
        <v>1217</v>
      </c>
      <c r="E95" s="2170"/>
      <c r="F95" s="2179"/>
      <c r="G95" s="2179"/>
      <c r="H95" s="2179"/>
      <c r="I95" s="2179"/>
      <c r="J95" s="2176"/>
      <c r="K95" s="2176"/>
      <c r="L95" s="2176"/>
      <c r="M95" s="2176"/>
      <c r="N95" s="2176"/>
      <c r="O95" s="2176"/>
      <c r="P95" s="2176"/>
      <c r="Q95" s="2176"/>
      <c r="R95" s="2176"/>
      <c r="S95" s="2176"/>
      <c r="T95" s="2176"/>
      <c r="U95" s="2180"/>
    </row>
    <row r="96" spans="1:21">
      <c r="A96" s="2164"/>
      <c r="B96" s="2166" t="s">
        <v>1198</v>
      </c>
      <c r="C96" s="2168" t="s">
        <v>1212</v>
      </c>
      <c r="D96" s="1235" t="s">
        <v>1213</v>
      </c>
      <c r="E96" s="2170"/>
      <c r="F96" s="2179"/>
      <c r="G96" s="2179"/>
      <c r="H96" s="2179"/>
      <c r="I96" s="2179"/>
      <c r="J96" s="2179"/>
      <c r="K96" s="2176">
        <v>0.95</v>
      </c>
      <c r="L96" s="2176">
        <v>0.91199999999999992</v>
      </c>
      <c r="M96" s="2176">
        <v>0.84816000000000003</v>
      </c>
      <c r="N96" s="2176">
        <v>0.83119679999999996</v>
      </c>
      <c r="O96" s="2176">
        <v>0.81457286399999995</v>
      </c>
      <c r="P96" s="2176">
        <v>0.79828140671999992</v>
      </c>
      <c r="Q96" s="2176">
        <v>0.79029859265279989</v>
      </c>
      <c r="R96" s="2176">
        <v>0.7744926207997439</v>
      </c>
      <c r="S96" s="2176">
        <v>0.76674769459174641</v>
      </c>
      <c r="T96" s="2176">
        <v>0.75908021764582889</v>
      </c>
      <c r="U96" s="2180">
        <v>0.75148941546937065</v>
      </c>
    </row>
    <row r="97" spans="1:21">
      <c r="A97" s="2164"/>
      <c r="B97" s="2167"/>
      <c r="C97" s="2169"/>
      <c r="D97" s="1236" t="s">
        <v>1214</v>
      </c>
      <c r="E97" s="2170"/>
      <c r="F97" s="2179"/>
      <c r="G97" s="2179"/>
      <c r="H97" s="2179"/>
      <c r="I97" s="2179"/>
      <c r="J97" s="2179"/>
      <c r="K97" s="2176"/>
      <c r="L97" s="2176"/>
      <c r="M97" s="2176"/>
      <c r="N97" s="2176"/>
      <c r="O97" s="2176"/>
      <c r="P97" s="2176"/>
      <c r="Q97" s="2176"/>
      <c r="R97" s="2176"/>
      <c r="S97" s="2176"/>
      <c r="T97" s="2176"/>
      <c r="U97" s="2180"/>
    </row>
    <row r="98" spans="1:21">
      <c r="A98" s="2164"/>
      <c r="B98" s="2167"/>
      <c r="C98" s="2173" t="s">
        <v>1215</v>
      </c>
      <c r="D98" s="1236" t="s">
        <v>1216</v>
      </c>
      <c r="E98" s="2170"/>
      <c r="F98" s="2179"/>
      <c r="G98" s="2179"/>
      <c r="H98" s="2179"/>
      <c r="I98" s="2179"/>
      <c r="J98" s="2179"/>
      <c r="K98" s="2176"/>
      <c r="L98" s="2176"/>
      <c r="M98" s="2176"/>
      <c r="N98" s="2176"/>
      <c r="O98" s="2176"/>
      <c r="P98" s="2176"/>
      <c r="Q98" s="2176"/>
      <c r="R98" s="2176"/>
      <c r="S98" s="2176"/>
      <c r="T98" s="2176"/>
      <c r="U98" s="2180"/>
    </row>
    <row r="99" spans="1:21">
      <c r="A99" s="2164"/>
      <c r="B99" s="2167"/>
      <c r="C99" s="2174"/>
      <c r="D99" s="1237" t="s">
        <v>1217</v>
      </c>
      <c r="E99" s="2170"/>
      <c r="F99" s="2179"/>
      <c r="G99" s="2179"/>
      <c r="H99" s="2179"/>
      <c r="I99" s="2179"/>
      <c r="J99" s="2179"/>
      <c r="K99" s="2176"/>
      <c r="L99" s="2176"/>
      <c r="M99" s="2176"/>
      <c r="N99" s="2176"/>
      <c r="O99" s="2176"/>
      <c r="P99" s="2176"/>
      <c r="Q99" s="2176"/>
      <c r="R99" s="2176"/>
      <c r="S99" s="2176"/>
      <c r="T99" s="2176"/>
      <c r="U99" s="2180"/>
    </row>
    <row r="100" spans="1:21">
      <c r="A100" s="2164"/>
      <c r="B100" s="2166" t="s">
        <v>1199</v>
      </c>
      <c r="C100" s="2168" t="s">
        <v>1212</v>
      </c>
      <c r="D100" s="1235" t="s">
        <v>1213</v>
      </c>
      <c r="E100" s="2170"/>
      <c r="F100" s="2179"/>
      <c r="G100" s="2179"/>
      <c r="H100" s="2179"/>
      <c r="I100" s="2179"/>
      <c r="J100" s="2179"/>
      <c r="K100" s="2179"/>
      <c r="L100" s="2176">
        <v>0.96</v>
      </c>
      <c r="M100" s="2176">
        <v>0.89280000000000004</v>
      </c>
      <c r="N100" s="2176">
        <v>0.87494400000000006</v>
      </c>
      <c r="O100" s="2176">
        <v>0.85744512000000006</v>
      </c>
      <c r="P100" s="2176">
        <v>0.84029621760000006</v>
      </c>
      <c r="Q100" s="2176">
        <v>0.83189325542400006</v>
      </c>
      <c r="R100" s="2176">
        <v>0.81525539031552008</v>
      </c>
      <c r="S100" s="2176">
        <v>0.80710283641236491</v>
      </c>
      <c r="T100" s="2176">
        <v>0.79903180804824125</v>
      </c>
      <c r="U100" s="2180">
        <v>0.7910414899677588</v>
      </c>
    </row>
    <row r="101" spans="1:21">
      <c r="A101" s="2164"/>
      <c r="B101" s="2167"/>
      <c r="C101" s="2169"/>
      <c r="D101" s="1236" t="s">
        <v>1214</v>
      </c>
      <c r="E101" s="2170"/>
      <c r="F101" s="2179"/>
      <c r="G101" s="2179"/>
      <c r="H101" s="2179"/>
      <c r="I101" s="2179"/>
      <c r="J101" s="2179"/>
      <c r="K101" s="2179"/>
      <c r="L101" s="2176"/>
      <c r="M101" s="2176"/>
      <c r="N101" s="2176"/>
      <c r="O101" s="2176"/>
      <c r="P101" s="2176"/>
      <c r="Q101" s="2176"/>
      <c r="R101" s="2176"/>
      <c r="S101" s="2176"/>
      <c r="T101" s="2176"/>
      <c r="U101" s="2180"/>
    </row>
    <row r="102" spans="1:21">
      <c r="A102" s="2164"/>
      <c r="B102" s="2167"/>
      <c r="C102" s="2173" t="s">
        <v>1215</v>
      </c>
      <c r="D102" s="1236" t="s">
        <v>1216</v>
      </c>
      <c r="E102" s="2170"/>
      <c r="F102" s="2179"/>
      <c r="G102" s="2179"/>
      <c r="H102" s="2179"/>
      <c r="I102" s="2179"/>
      <c r="J102" s="2179"/>
      <c r="K102" s="2179"/>
      <c r="L102" s="2176"/>
      <c r="M102" s="2176"/>
      <c r="N102" s="2176"/>
      <c r="O102" s="2176"/>
      <c r="P102" s="2176"/>
      <c r="Q102" s="2176"/>
      <c r="R102" s="2176"/>
      <c r="S102" s="2176"/>
      <c r="T102" s="2176"/>
      <c r="U102" s="2180"/>
    </row>
    <row r="103" spans="1:21">
      <c r="A103" s="2164"/>
      <c r="B103" s="2167"/>
      <c r="C103" s="2174"/>
      <c r="D103" s="1237" t="s">
        <v>1217</v>
      </c>
      <c r="E103" s="2170"/>
      <c r="F103" s="2179"/>
      <c r="G103" s="2179"/>
      <c r="H103" s="2179"/>
      <c r="I103" s="2179"/>
      <c r="J103" s="2179"/>
      <c r="K103" s="2179"/>
      <c r="L103" s="2176"/>
      <c r="M103" s="2176"/>
      <c r="N103" s="2176"/>
      <c r="O103" s="2176"/>
      <c r="P103" s="2176"/>
      <c r="Q103" s="2176"/>
      <c r="R103" s="2176"/>
      <c r="S103" s="2176"/>
      <c r="T103" s="2176"/>
      <c r="U103" s="2180"/>
    </row>
    <row r="104" spans="1:21">
      <c r="A104" s="2164"/>
      <c r="B104" s="2166" t="s">
        <v>1200</v>
      </c>
      <c r="C104" s="2168" t="s">
        <v>1212</v>
      </c>
      <c r="D104" s="1235" t="s">
        <v>1213</v>
      </c>
      <c r="E104" s="2170"/>
      <c r="F104" s="2179"/>
      <c r="G104" s="2179"/>
      <c r="H104" s="2179"/>
      <c r="I104" s="2179"/>
      <c r="J104" s="2179"/>
      <c r="K104" s="2179"/>
      <c r="L104" s="2179"/>
      <c r="M104" s="2176">
        <v>0.93</v>
      </c>
      <c r="N104" s="2176">
        <v>0.91139999999999999</v>
      </c>
      <c r="O104" s="2176">
        <v>0.89317199999999997</v>
      </c>
      <c r="P104" s="2176">
        <v>0.8753085599999999</v>
      </c>
      <c r="Q104" s="2176">
        <v>0.86655547439999991</v>
      </c>
      <c r="R104" s="2176">
        <v>0.84922436491199993</v>
      </c>
      <c r="S104" s="2176">
        <v>0.84073212126287988</v>
      </c>
      <c r="T104" s="2176">
        <v>0.83232480005025111</v>
      </c>
      <c r="U104" s="2180">
        <v>0.82400155204974856</v>
      </c>
    </row>
    <row r="105" spans="1:21">
      <c r="A105" s="2164"/>
      <c r="B105" s="2167"/>
      <c r="C105" s="2169"/>
      <c r="D105" s="1236" t="s">
        <v>1214</v>
      </c>
      <c r="E105" s="2170"/>
      <c r="F105" s="2179"/>
      <c r="G105" s="2179"/>
      <c r="H105" s="2179"/>
      <c r="I105" s="2179"/>
      <c r="J105" s="2179"/>
      <c r="K105" s="2179"/>
      <c r="L105" s="2179"/>
      <c r="M105" s="2176"/>
      <c r="N105" s="2176"/>
      <c r="O105" s="2176"/>
      <c r="P105" s="2176"/>
      <c r="Q105" s="2176"/>
      <c r="R105" s="2176"/>
      <c r="S105" s="2176"/>
      <c r="T105" s="2176"/>
      <c r="U105" s="2180"/>
    </row>
    <row r="106" spans="1:21">
      <c r="A106" s="2164"/>
      <c r="B106" s="2167"/>
      <c r="C106" s="2173" t="s">
        <v>1215</v>
      </c>
      <c r="D106" s="1236" t="s">
        <v>1216</v>
      </c>
      <c r="E106" s="2170"/>
      <c r="F106" s="2179"/>
      <c r="G106" s="2179"/>
      <c r="H106" s="2179"/>
      <c r="I106" s="2179"/>
      <c r="J106" s="2179"/>
      <c r="K106" s="2179"/>
      <c r="L106" s="2179"/>
      <c r="M106" s="2176"/>
      <c r="N106" s="2176"/>
      <c r="O106" s="2176"/>
      <c r="P106" s="2176"/>
      <c r="Q106" s="2176"/>
      <c r="R106" s="2176"/>
      <c r="S106" s="2176"/>
      <c r="T106" s="2176"/>
      <c r="U106" s="2180"/>
    </row>
    <row r="107" spans="1:21">
      <c r="A107" s="2164"/>
      <c r="B107" s="2167"/>
      <c r="C107" s="2174"/>
      <c r="D107" s="1237" t="s">
        <v>1217</v>
      </c>
      <c r="E107" s="2170"/>
      <c r="F107" s="2179"/>
      <c r="G107" s="2179"/>
      <c r="H107" s="2179"/>
      <c r="I107" s="2179"/>
      <c r="J107" s="2179"/>
      <c r="K107" s="2179"/>
      <c r="L107" s="2179"/>
      <c r="M107" s="2176"/>
      <c r="N107" s="2176"/>
      <c r="O107" s="2176"/>
      <c r="P107" s="2176"/>
      <c r="Q107" s="2176"/>
      <c r="R107" s="2176"/>
      <c r="S107" s="2176"/>
      <c r="T107" s="2176"/>
      <c r="U107" s="2180"/>
    </row>
    <row r="108" spans="1:21">
      <c r="A108" s="2164"/>
      <c r="B108" s="2166" t="s">
        <v>1201</v>
      </c>
      <c r="C108" s="2168" t="s">
        <v>1212</v>
      </c>
      <c r="D108" s="1235" t="s">
        <v>1213</v>
      </c>
      <c r="E108" s="2170"/>
      <c r="F108" s="2179"/>
      <c r="G108" s="2179"/>
      <c r="H108" s="2179"/>
      <c r="I108" s="2179"/>
      <c r="J108" s="2179"/>
      <c r="K108" s="2179"/>
      <c r="L108" s="2179"/>
      <c r="M108" s="2179"/>
      <c r="N108" s="2176">
        <v>0.98</v>
      </c>
      <c r="O108" s="2176">
        <v>0.96039999999999992</v>
      </c>
      <c r="P108" s="2176">
        <v>0.94119199999999992</v>
      </c>
      <c r="Q108" s="2176">
        <v>0.9317800799999999</v>
      </c>
      <c r="R108" s="2176">
        <v>0.9131444783999999</v>
      </c>
      <c r="S108" s="2176">
        <v>0.90401303361599994</v>
      </c>
      <c r="T108" s="2176">
        <v>0.89497290327983992</v>
      </c>
      <c r="U108" s="2180">
        <v>0.88602317424704147</v>
      </c>
    </row>
    <row r="109" spans="1:21">
      <c r="A109" s="2164"/>
      <c r="B109" s="2167"/>
      <c r="C109" s="2169"/>
      <c r="D109" s="1236" t="s">
        <v>1214</v>
      </c>
      <c r="E109" s="2170"/>
      <c r="F109" s="2179"/>
      <c r="G109" s="2179"/>
      <c r="H109" s="2179"/>
      <c r="I109" s="2179"/>
      <c r="J109" s="2179"/>
      <c r="K109" s="2179"/>
      <c r="L109" s="2179"/>
      <c r="M109" s="2179"/>
      <c r="N109" s="2176"/>
      <c r="O109" s="2176"/>
      <c r="P109" s="2176"/>
      <c r="Q109" s="2176"/>
      <c r="R109" s="2176"/>
      <c r="S109" s="2176"/>
      <c r="T109" s="2176"/>
      <c r="U109" s="2180"/>
    </row>
    <row r="110" spans="1:21">
      <c r="A110" s="2164"/>
      <c r="B110" s="2167"/>
      <c r="C110" s="2173" t="s">
        <v>1215</v>
      </c>
      <c r="D110" s="1236" t="s">
        <v>1216</v>
      </c>
      <c r="E110" s="2170"/>
      <c r="F110" s="2179"/>
      <c r="G110" s="2179"/>
      <c r="H110" s="2179"/>
      <c r="I110" s="2179"/>
      <c r="J110" s="2179"/>
      <c r="K110" s="2179"/>
      <c r="L110" s="2179"/>
      <c r="M110" s="2179"/>
      <c r="N110" s="2176"/>
      <c r="O110" s="2176"/>
      <c r="P110" s="2176"/>
      <c r="Q110" s="2176"/>
      <c r="R110" s="2176"/>
      <c r="S110" s="2176"/>
      <c r="T110" s="2176"/>
      <c r="U110" s="2180"/>
    </row>
    <row r="111" spans="1:21">
      <c r="A111" s="2164"/>
      <c r="B111" s="2167"/>
      <c r="C111" s="2174"/>
      <c r="D111" s="1237" t="s">
        <v>1217</v>
      </c>
      <c r="E111" s="2170"/>
      <c r="F111" s="2179"/>
      <c r="G111" s="2179"/>
      <c r="H111" s="2179"/>
      <c r="I111" s="2179"/>
      <c r="J111" s="2179"/>
      <c r="K111" s="2179"/>
      <c r="L111" s="2179"/>
      <c r="M111" s="2179"/>
      <c r="N111" s="2176"/>
      <c r="O111" s="2176"/>
      <c r="P111" s="2176"/>
      <c r="Q111" s="2176"/>
      <c r="R111" s="2176"/>
      <c r="S111" s="2176"/>
      <c r="T111" s="2176"/>
      <c r="U111" s="2180"/>
    </row>
    <row r="112" spans="1:21">
      <c r="A112" s="2164"/>
      <c r="B112" s="2166" t="s">
        <v>1202</v>
      </c>
      <c r="C112" s="2168" t="s">
        <v>1212</v>
      </c>
      <c r="D112" s="1235" t="s">
        <v>1213</v>
      </c>
      <c r="E112" s="2170"/>
      <c r="F112" s="2179"/>
      <c r="G112" s="2179"/>
      <c r="H112" s="2179"/>
      <c r="I112" s="2179"/>
      <c r="J112" s="2179"/>
      <c r="K112" s="2179"/>
      <c r="L112" s="2179"/>
      <c r="M112" s="2179"/>
      <c r="N112" s="2179"/>
      <c r="O112" s="2176">
        <v>0.98</v>
      </c>
      <c r="P112" s="2176">
        <v>0.96039999999999992</v>
      </c>
      <c r="Q112" s="2176">
        <v>0.95079599999999986</v>
      </c>
      <c r="R112" s="2176">
        <v>0.9317800799999999</v>
      </c>
      <c r="S112" s="2176">
        <v>0.9224622791999999</v>
      </c>
      <c r="T112" s="2176">
        <v>0.91323765640799992</v>
      </c>
      <c r="U112" s="2180">
        <v>0.90410527984391986</v>
      </c>
    </row>
    <row r="113" spans="1:21">
      <c r="A113" s="2164"/>
      <c r="B113" s="2167"/>
      <c r="C113" s="2169"/>
      <c r="D113" s="1236" t="s">
        <v>1214</v>
      </c>
      <c r="E113" s="2170"/>
      <c r="F113" s="2179"/>
      <c r="G113" s="2179"/>
      <c r="H113" s="2179"/>
      <c r="I113" s="2179"/>
      <c r="J113" s="2179"/>
      <c r="K113" s="2179"/>
      <c r="L113" s="2179"/>
      <c r="M113" s="2179"/>
      <c r="N113" s="2179"/>
      <c r="O113" s="2176"/>
      <c r="P113" s="2176"/>
      <c r="Q113" s="2176"/>
      <c r="R113" s="2176"/>
      <c r="S113" s="2176"/>
      <c r="T113" s="2176"/>
      <c r="U113" s="2180"/>
    </row>
    <row r="114" spans="1:21">
      <c r="A114" s="2164"/>
      <c r="B114" s="2167"/>
      <c r="C114" s="2173" t="s">
        <v>1215</v>
      </c>
      <c r="D114" s="1236" t="s">
        <v>1216</v>
      </c>
      <c r="E114" s="2170"/>
      <c r="F114" s="2179"/>
      <c r="G114" s="2179"/>
      <c r="H114" s="2179"/>
      <c r="I114" s="2179"/>
      <c r="J114" s="2179"/>
      <c r="K114" s="2179"/>
      <c r="L114" s="2179"/>
      <c r="M114" s="2179"/>
      <c r="N114" s="2179"/>
      <c r="O114" s="2176"/>
      <c r="P114" s="2176"/>
      <c r="Q114" s="2176"/>
      <c r="R114" s="2176"/>
      <c r="S114" s="2176"/>
      <c r="T114" s="2176"/>
      <c r="U114" s="2180"/>
    </row>
    <row r="115" spans="1:21">
      <c r="A115" s="2164"/>
      <c r="B115" s="2167"/>
      <c r="C115" s="2174"/>
      <c r="D115" s="1237" t="s">
        <v>1217</v>
      </c>
      <c r="E115" s="2170"/>
      <c r="F115" s="2179"/>
      <c r="G115" s="2179"/>
      <c r="H115" s="2179"/>
      <c r="I115" s="2179"/>
      <c r="J115" s="2179"/>
      <c r="K115" s="2179"/>
      <c r="L115" s="2179"/>
      <c r="M115" s="2179"/>
      <c r="N115" s="2179"/>
      <c r="O115" s="2176"/>
      <c r="P115" s="2176"/>
      <c r="Q115" s="2176"/>
      <c r="R115" s="2176"/>
      <c r="S115" s="2176"/>
      <c r="T115" s="2176"/>
      <c r="U115" s="2180"/>
    </row>
    <row r="116" spans="1:21">
      <c r="A116" s="2164"/>
      <c r="B116" s="2166" t="s">
        <v>1203</v>
      </c>
      <c r="C116" s="2168" t="s">
        <v>1212</v>
      </c>
      <c r="D116" s="1235" t="s">
        <v>1213</v>
      </c>
      <c r="E116" s="2170"/>
      <c r="F116" s="2179"/>
      <c r="G116" s="2179"/>
      <c r="H116" s="2179"/>
      <c r="I116" s="2179"/>
      <c r="J116" s="2179"/>
      <c r="K116" s="2179"/>
      <c r="L116" s="2179"/>
      <c r="M116" s="2179"/>
      <c r="N116" s="2179"/>
      <c r="O116" s="2179"/>
      <c r="P116" s="2176">
        <v>0.98</v>
      </c>
      <c r="Q116" s="2176">
        <v>0.97019999999999995</v>
      </c>
      <c r="R116" s="2176">
        <v>0.95079599999999997</v>
      </c>
      <c r="S116" s="2176">
        <v>0.94128803999999999</v>
      </c>
      <c r="T116" s="2176">
        <v>0.9318751596</v>
      </c>
      <c r="U116" s="2180">
        <v>0.92255640800399996</v>
      </c>
    </row>
    <row r="117" spans="1:21">
      <c r="A117" s="2164"/>
      <c r="B117" s="2167"/>
      <c r="C117" s="2169"/>
      <c r="D117" s="1236" t="s">
        <v>1214</v>
      </c>
      <c r="E117" s="2170"/>
      <c r="F117" s="2179"/>
      <c r="G117" s="2179"/>
      <c r="H117" s="2179"/>
      <c r="I117" s="2179"/>
      <c r="J117" s="2179"/>
      <c r="K117" s="2179"/>
      <c r="L117" s="2179"/>
      <c r="M117" s="2179"/>
      <c r="N117" s="2179"/>
      <c r="O117" s="2179"/>
      <c r="P117" s="2176"/>
      <c r="Q117" s="2176"/>
      <c r="R117" s="2176"/>
      <c r="S117" s="2176"/>
      <c r="T117" s="2176"/>
      <c r="U117" s="2180"/>
    </row>
    <row r="118" spans="1:21">
      <c r="A118" s="2164"/>
      <c r="B118" s="2167"/>
      <c r="C118" s="2173" t="s">
        <v>1215</v>
      </c>
      <c r="D118" s="1236" t="s">
        <v>1216</v>
      </c>
      <c r="E118" s="2170"/>
      <c r="F118" s="2179"/>
      <c r="G118" s="2179"/>
      <c r="H118" s="2179"/>
      <c r="I118" s="2179"/>
      <c r="J118" s="2179"/>
      <c r="K118" s="2179"/>
      <c r="L118" s="2179"/>
      <c r="M118" s="2179"/>
      <c r="N118" s="2179"/>
      <c r="O118" s="2179"/>
      <c r="P118" s="2176"/>
      <c r="Q118" s="2176"/>
      <c r="R118" s="2176"/>
      <c r="S118" s="2176"/>
      <c r="T118" s="2176"/>
      <c r="U118" s="2180"/>
    </row>
    <row r="119" spans="1:21">
      <c r="A119" s="2164"/>
      <c r="B119" s="2167"/>
      <c r="C119" s="2174"/>
      <c r="D119" s="1237" t="s">
        <v>1217</v>
      </c>
      <c r="E119" s="2170"/>
      <c r="F119" s="2179"/>
      <c r="G119" s="2179"/>
      <c r="H119" s="2179"/>
      <c r="I119" s="2179"/>
      <c r="J119" s="2179"/>
      <c r="K119" s="2179"/>
      <c r="L119" s="2179"/>
      <c r="M119" s="2179"/>
      <c r="N119" s="2179"/>
      <c r="O119" s="2179"/>
      <c r="P119" s="2176"/>
      <c r="Q119" s="2176"/>
      <c r="R119" s="2176"/>
      <c r="S119" s="2176"/>
      <c r="T119" s="2176"/>
      <c r="U119" s="2180"/>
    </row>
    <row r="120" spans="1:21">
      <c r="A120" s="2164"/>
      <c r="B120" s="2166" t="s">
        <v>1204</v>
      </c>
      <c r="C120" s="2168" t="s">
        <v>1212</v>
      </c>
      <c r="D120" s="1235" t="s">
        <v>1213</v>
      </c>
      <c r="E120" s="2170"/>
      <c r="F120" s="2179"/>
      <c r="G120" s="2179"/>
      <c r="H120" s="2179"/>
      <c r="I120" s="2179"/>
      <c r="J120" s="2179"/>
      <c r="K120" s="2179"/>
      <c r="L120" s="2179"/>
      <c r="M120" s="2179"/>
      <c r="N120" s="2179"/>
      <c r="O120" s="2179"/>
      <c r="P120" s="2179"/>
      <c r="Q120" s="2176">
        <v>0.99</v>
      </c>
      <c r="R120" s="2176">
        <v>0.97019999999999995</v>
      </c>
      <c r="S120" s="2176">
        <v>0.96049799999999996</v>
      </c>
      <c r="T120" s="2176">
        <v>0.95089301999999998</v>
      </c>
      <c r="U120" s="2180">
        <v>0.94138408979999999</v>
      </c>
    </row>
    <row r="121" spans="1:21">
      <c r="A121" s="2164"/>
      <c r="B121" s="2167"/>
      <c r="C121" s="2169"/>
      <c r="D121" s="1236" t="s">
        <v>1214</v>
      </c>
      <c r="E121" s="2170"/>
      <c r="F121" s="2179"/>
      <c r="G121" s="2179"/>
      <c r="H121" s="2179"/>
      <c r="I121" s="2179"/>
      <c r="J121" s="2179"/>
      <c r="K121" s="2179"/>
      <c r="L121" s="2179"/>
      <c r="M121" s="2179"/>
      <c r="N121" s="2179"/>
      <c r="O121" s="2179"/>
      <c r="P121" s="2179"/>
      <c r="Q121" s="2176"/>
      <c r="R121" s="2176"/>
      <c r="S121" s="2176"/>
      <c r="T121" s="2176"/>
      <c r="U121" s="2180"/>
    </row>
    <row r="122" spans="1:21">
      <c r="A122" s="2164"/>
      <c r="B122" s="2167"/>
      <c r="C122" s="2173" t="s">
        <v>1215</v>
      </c>
      <c r="D122" s="1236" t="s">
        <v>1216</v>
      </c>
      <c r="E122" s="2170"/>
      <c r="F122" s="2179"/>
      <c r="G122" s="2179"/>
      <c r="H122" s="2179"/>
      <c r="I122" s="2179"/>
      <c r="J122" s="2179"/>
      <c r="K122" s="2179"/>
      <c r="L122" s="2179"/>
      <c r="M122" s="2179"/>
      <c r="N122" s="2179"/>
      <c r="O122" s="2179"/>
      <c r="P122" s="2179"/>
      <c r="Q122" s="2176"/>
      <c r="R122" s="2176"/>
      <c r="S122" s="2176"/>
      <c r="T122" s="2176"/>
      <c r="U122" s="2180"/>
    </row>
    <row r="123" spans="1:21">
      <c r="A123" s="2164"/>
      <c r="B123" s="2167"/>
      <c r="C123" s="2174"/>
      <c r="D123" s="1237" t="s">
        <v>1217</v>
      </c>
      <c r="E123" s="2170"/>
      <c r="F123" s="2179"/>
      <c r="G123" s="2179"/>
      <c r="H123" s="2179"/>
      <c r="I123" s="2179"/>
      <c r="J123" s="2179"/>
      <c r="K123" s="2179"/>
      <c r="L123" s="2179"/>
      <c r="M123" s="2179"/>
      <c r="N123" s="2179"/>
      <c r="O123" s="2179"/>
      <c r="P123" s="2179"/>
      <c r="Q123" s="2176"/>
      <c r="R123" s="2176"/>
      <c r="S123" s="2176"/>
      <c r="T123" s="2176"/>
      <c r="U123" s="2180"/>
    </row>
    <row r="124" spans="1:21">
      <c r="A124" s="2164"/>
      <c r="B124" s="2166" t="s">
        <v>1205</v>
      </c>
      <c r="C124" s="2168" t="s">
        <v>1212</v>
      </c>
      <c r="D124" s="1235" t="s">
        <v>1213</v>
      </c>
      <c r="E124" s="2170"/>
      <c r="F124" s="2179"/>
      <c r="G124" s="2179"/>
      <c r="H124" s="2179"/>
      <c r="I124" s="2179"/>
      <c r="J124" s="2179"/>
      <c r="K124" s="2179"/>
      <c r="L124" s="2179"/>
      <c r="M124" s="2179"/>
      <c r="N124" s="2179"/>
      <c r="O124" s="2179"/>
      <c r="P124" s="2179"/>
      <c r="Q124" s="2179"/>
      <c r="R124" s="2176">
        <v>0.98</v>
      </c>
      <c r="S124" s="2176">
        <v>0.97019999999999995</v>
      </c>
      <c r="T124" s="2176">
        <v>0.96049799999999996</v>
      </c>
      <c r="U124" s="2180">
        <v>0.95089301999999998</v>
      </c>
    </row>
    <row r="125" spans="1:21">
      <c r="A125" s="2164"/>
      <c r="B125" s="2167"/>
      <c r="C125" s="2169"/>
      <c r="D125" s="1236" t="s">
        <v>1214</v>
      </c>
      <c r="E125" s="2170"/>
      <c r="F125" s="2179"/>
      <c r="G125" s="2179"/>
      <c r="H125" s="2179"/>
      <c r="I125" s="2179"/>
      <c r="J125" s="2179"/>
      <c r="K125" s="2179"/>
      <c r="L125" s="2179"/>
      <c r="M125" s="2179"/>
      <c r="N125" s="2179"/>
      <c r="O125" s="2179"/>
      <c r="P125" s="2179"/>
      <c r="Q125" s="2179"/>
      <c r="R125" s="2176"/>
      <c r="S125" s="2176"/>
      <c r="T125" s="2176"/>
      <c r="U125" s="2180"/>
    </row>
    <row r="126" spans="1:21">
      <c r="A126" s="2164"/>
      <c r="B126" s="2167"/>
      <c r="C126" s="2173" t="s">
        <v>1215</v>
      </c>
      <c r="D126" s="1236" t="s">
        <v>1216</v>
      </c>
      <c r="E126" s="2170"/>
      <c r="F126" s="2179"/>
      <c r="G126" s="2179"/>
      <c r="H126" s="2179"/>
      <c r="I126" s="2179"/>
      <c r="J126" s="2179"/>
      <c r="K126" s="2179"/>
      <c r="L126" s="2179"/>
      <c r="M126" s="2179"/>
      <c r="N126" s="2179"/>
      <c r="O126" s="2179"/>
      <c r="P126" s="2179"/>
      <c r="Q126" s="2179"/>
      <c r="R126" s="2176"/>
      <c r="S126" s="2176"/>
      <c r="T126" s="2176"/>
      <c r="U126" s="2180"/>
    </row>
    <row r="127" spans="1:21">
      <c r="A127" s="2164"/>
      <c r="B127" s="2167"/>
      <c r="C127" s="2174"/>
      <c r="D127" s="1237" t="s">
        <v>1217</v>
      </c>
      <c r="E127" s="2170"/>
      <c r="F127" s="2179"/>
      <c r="G127" s="2179"/>
      <c r="H127" s="2179"/>
      <c r="I127" s="2179"/>
      <c r="J127" s="2179"/>
      <c r="K127" s="2179"/>
      <c r="L127" s="2179"/>
      <c r="M127" s="2179"/>
      <c r="N127" s="2179"/>
      <c r="O127" s="2179"/>
      <c r="P127" s="2179"/>
      <c r="Q127" s="2179"/>
      <c r="R127" s="2176"/>
      <c r="S127" s="2176"/>
      <c r="T127" s="2176"/>
      <c r="U127" s="2180"/>
    </row>
    <row r="128" spans="1:21">
      <c r="A128" s="2164"/>
      <c r="B128" s="2166" t="s">
        <v>1206</v>
      </c>
      <c r="C128" s="2168" t="s">
        <v>1212</v>
      </c>
      <c r="D128" s="1235" t="s">
        <v>1213</v>
      </c>
      <c r="E128" s="2170"/>
      <c r="F128" s="2179"/>
      <c r="G128" s="2179"/>
      <c r="H128" s="2179"/>
      <c r="I128" s="2179"/>
      <c r="J128" s="2179"/>
      <c r="K128" s="2179"/>
      <c r="L128" s="2179"/>
      <c r="M128" s="2179"/>
      <c r="N128" s="2179"/>
      <c r="O128" s="2179"/>
      <c r="P128" s="2179"/>
      <c r="Q128" s="2179"/>
      <c r="R128" s="2179"/>
      <c r="S128" s="2176">
        <v>0.99</v>
      </c>
      <c r="T128" s="2176">
        <v>0.98009999999999997</v>
      </c>
      <c r="U128" s="2180">
        <v>0.97029899999999991</v>
      </c>
    </row>
    <row r="129" spans="1:21">
      <c r="A129" s="2164"/>
      <c r="B129" s="2167"/>
      <c r="C129" s="2169"/>
      <c r="D129" s="1236" t="s">
        <v>1214</v>
      </c>
      <c r="E129" s="2170"/>
      <c r="F129" s="2179"/>
      <c r="G129" s="2179"/>
      <c r="H129" s="2179"/>
      <c r="I129" s="2179"/>
      <c r="J129" s="2179"/>
      <c r="K129" s="2179"/>
      <c r="L129" s="2179"/>
      <c r="M129" s="2179"/>
      <c r="N129" s="2179"/>
      <c r="O129" s="2179"/>
      <c r="P129" s="2179"/>
      <c r="Q129" s="2179"/>
      <c r="R129" s="2179"/>
      <c r="S129" s="2176"/>
      <c r="T129" s="2176"/>
      <c r="U129" s="2180"/>
    </row>
    <row r="130" spans="1:21">
      <c r="A130" s="2164"/>
      <c r="B130" s="2167"/>
      <c r="C130" s="2173" t="s">
        <v>1215</v>
      </c>
      <c r="D130" s="1236" t="s">
        <v>1216</v>
      </c>
      <c r="E130" s="2170"/>
      <c r="F130" s="2179"/>
      <c r="G130" s="2179"/>
      <c r="H130" s="2179"/>
      <c r="I130" s="2179"/>
      <c r="J130" s="2179"/>
      <c r="K130" s="2179"/>
      <c r="L130" s="2179"/>
      <c r="M130" s="2179"/>
      <c r="N130" s="2179"/>
      <c r="O130" s="2179"/>
      <c r="P130" s="2179"/>
      <c r="Q130" s="2179"/>
      <c r="R130" s="2179"/>
      <c r="S130" s="2176"/>
      <c r="T130" s="2176"/>
      <c r="U130" s="2180"/>
    </row>
    <row r="131" spans="1:21">
      <c r="A131" s="2164"/>
      <c r="B131" s="2167"/>
      <c r="C131" s="2174"/>
      <c r="D131" s="1237" t="s">
        <v>1217</v>
      </c>
      <c r="E131" s="2170"/>
      <c r="F131" s="2179"/>
      <c r="G131" s="2179"/>
      <c r="H131" s="2179"/>
      <c r="I131" s="2179"/>
      <c r="J131" s="2179"/>
      <c r="K131" s="2179"/>
      <c r="L131" s="2179"/>
      <c r="M131" s="2179"/>
      <c r="N131" s="2179"/>
      <c r="O131" s="2179"/>
      <c r="P131" s="2179"/>
      <c r="Q131" s="2179"/>
      <c r="R131" s="2179"/>
      <c r="S131" s="2176"/>
      <c r="T131" s="2176"/>
      <c r="U131" s="2180"/>
    </row>
    <row r="132" spans="1:21">
      <c r="A132" s="2164"/>
      <c r="B132" s="2166" t="s">
        <v>1207</v>
      </c>
      <c r="C132" s="2168" t="s">
        <v>1212</v>
      </c>
      <c r="D132" s="1235" t="s">
        <v>1213</v>
      </c>
      <c r="E132" s="2170"/>
      <c r="F132" s="2179"/>
      <c r="G132" s="2179"/>
      <c r="H132" s="2179"/>
      <c r="I132" s="2179"/>
      <c r="J132" s="2179"/>
      <c r="K132" s="2179"/>
      <c r="L132" s="2179"/>
      <c r="M132" s="2179"/>
      <c r="N132" s="2179"/>
      <c r="O132" s="2179"/>
      <c r="P132" s="2179"/>
      <c r="Q132" s="2179"/>
      <c r="R132" s="2179"/>
      <c r="S132" s="2179"/>
      <c r="T132" s="2171">
        <v>0.99</v>
      </c>
      <c r="U132" s="2180">
        <v>0.98009999999999997</v>
      </c>
    </row>
    <row r="133" spans="1:21">
      <c r="A133" s="2164"/>
      <c r="B133" s="2167"/>
      <c r="C133" s="2169"/>
      <c r="D133" s="1236" t="s">
        <v>1214</v>
      </c>
      <c r="E133" s="2170"/>
      <c r="F133" s="2179"/>
      <c r="G133" s="2179"/>
      <c r="H133" s="2179"/>
      <c r="I133" s="2179"/>
      <c r="J133" s="2179"/>
      <c r="K133" s="2179"/>
      <c r="L133" s="2179"/>
      <c r="M133" s="2179"/>
      <c r="N133" s="2179"/>
      <c r="O133" s="2179"/>
      <c r="P133" s="2179"/>
      <c r="Q133" s="2179"/>
      <c r="R133" s="2179"/>
      <c r="S133" s="2179"/>
      <c r="T133" s="2172"/>
      <c r="U133" s="2180"/>
    </row>
    <row r="134" spans="1:21">
      <c r="A134" s="2164"/>
      <c r="B134" s="2167"/>
      <c r="C134" s="2173" t="s">
        <v>1215</v>
      </c>
      <c r="D134" s="1236" t="s">
        <v>1216</v>
      </c>
      <c r="E134" s="2170"/>
      <c r="F134" s="2179"/>
      <c r="G134" s="2179"/>
      <c r="H134" s="2179"/>
      <c r="I134" s="2179"/>
      <c r="J134" s="2179"/>
      <c r="K134" s="2179"/>
      <c r="L134" s="2179"/>
      <c r="M134" s="2179"/>
      <c r="N134" s="2179"/>
      <c r="O134" s="2179"/>
      <c r="P134" s="2179"/>
      <c r="Q134" s="2179"/>
      <c r="R134" s="2179"/>
      <c r="S134" s="2179"/>
      <c r="T134" s="2172"/>
      <c r="U134" s="2180"/>
    </row>
    <row r="135" spans="1:21">
      <c r="A135" s="2164"/>
      <c r="B135" s="2167"/>
      <c r="C135" s="2174"/>
      <c r="D135" s="1237" t="s">
        <v>1217</v>
      </c>
      <c r="E135" s="2170"/>
      <c r="F135" s="2179"/>
      <c r="G135" s="2179"/>
      <c r="H135" s="2179"/>
      <c r="I135" s="2179"/>
      <c r="J135" s="2179"/>
      <c r="K135" s="2179"/>
      <c r="L135" s="2179"/>
      <c r="M135" s="2179"/>
      <c r="N135" s="2179"/>
      <c r="O135" s="2179"/>
      <c r="P135" s="2179"/>
      <c r="Q135" s="2179"/>
      <c r="R135" s="2179"/>
      <c r="S135" s="2179"/>
      <c r="T135" s="2187"/>
      <c r="U135" s="2180"/>
    </row>
    <row r="136" spans="1:21">
      <c r="A136" s="2164"/>
      <c r="B136" s="2166" t="s">
        <v>1208</v>
      </c>
      <c r="C136" s="2168" t="s">
        <v>1212</v>
      </c>
      <c r="D136" s="1235" t="s">
        <v>1213</v>
      </c>
      <c r="E136" s="2170"/>
      <c r="F136" s="2179"/>
      <c r="G136" s="2179"/>
      <c r="H136" s="2179"/>
      <c r="I136" s="2179"/>
      <c r="J136" s="2179"/>
      <c r="K136" s="2179"/>
      <c r="L136" s="2179"/>
      <c r="M136" s="2179"/>
      <c r="N136" s="2179"/>
      <c r="O136" s="2179"/>
      <c r="P136" s="2179"/>
      <c r="Q136" s="2179"/>
      <c r="R136" s="2179"/>
      <c r="S136" s="2179"/>
      <c r="T136" s="2179"/>
      <c r="U136" s="2180">
        <v>0.99</v>
      </c>
    </row>
    <row r="137" spans="1:21">
      <c r="A137" s="2164"/>
      <c r="B137" s="2167"/>
      <c r="C137" s="2169"/>
      <c r="D137" s="1236" t="s">
        <v>1214</v>
      </c>
      <c r="E137" s="2170"/>
      <c r="F137" s="2179"/>
      <c r="G137" s="2179"/>
      <c r="H137" s="2179"/>
      <c r="I137" s="2179"/>
      <c r="J137" s="2179"/>
      <c r="K137" s="2179"/>
      <c r="L137" s="2179"/>
      <c r="M137" s="2179"/>
      <c r="N137" s="2179"/>
      <c r="O137" s="2179"/>
      <c r="P137" s="2179"/>
      <c r="Q137" s="2179"/>
      <c r="R137" s="2179"/>
      <c r="S137" s="2179"/>
      <c r="T137" s="2179"/>
      <c r="U137" s="2180"/>
    </row>
    <row r="138" spans="1:21">
      <c r="A138" s="2164"/>
      <c r="B138" s="2167"/>
      <c r="C138" s="2173" t="s">
        <v>1215</v>
      </c>
      <c r="D138" s="1236" t="s">
        <v>1216</v>
      </c>
      <c r="E138" s="2170"/>
      <c r="F138" s="2179"/>
      <c r="G138" s="2179"/>
      <c r="H138" s="2179"/>
      <c r="I138" s="2179"/>
      <c r="J138" s="2179"/>
      <c r="K138" s="2179"/>
      <c r="L138" s="2179"/>
      <c r="M138" s="2179"/>
      <c r="N138" s="2179"/>
      <c r="O138" s="2179"/>
      <c r="P138" s="2179"/>
      <c r="Q138" s="2179"/>
      <c r="R138" s="2179"/>
      <c r="S138" s="2179"/>
      <c r="T138" s="2179"/>
      <c r="U138" s="2180"/>
    </row>
    <row r="139" spans="1:21">
      <c r="A139" s="2164"/>
      <c r="B139" s="2167"/>
      <c r="C139" s="2174"/>
      <c r="D139" s="1237" t="s">
        <v>1217</v>
      </c>
      <c r="E139" s="2170"/>
      <c r="F139" s="2179"/>
      <c r="G139" s="2179"/>
      <c r="H139" s="2179"/>
      <c r="I139" s="2179"/>
      <c r="J139" s="2179"/>
      <c r="K139" s="2179"/>
      <c r="L139" s="2179"/>
      <c r="M139" s="2179"/>
      <c r="N139" s="2179"/>
      <c r="O139" s="2179"/>
      <c r="P139" s="2179"/>
      <c r="Q139" s="2179"/>
      <c r="R139" s="2179"/>
      <c r="S139" s="2179"/>
      <c r="T139" s="2179"/>
      <c r="U139" s="2180"/>
    </row>
    <row r="140" spans="1:21">
      <c r="A140" s="2164"/>
      <c r="B140" s="2166" t="s">
        <v>1209</v>
      </c>
      <c r="C140" s="2168" t="s">
        <v>1212</v>
      </c>
      <c r="D140" s="1235" t="s">
        <v>1213</v>
      </c>
      <c r="E140" s="2188"/>
      <c r="F140" s="2191"/>
      <c r="G140" s="2191"/>
      <c r="H140" s="2191"/>
      <c r="I140" s="2191"/>
      <c r="J140" s="2191"/>
      <c r="K140" s="2191"/>
      <c r="L140" s="2191"/>
      <c r="M140" s="2191"/>
      <c r="N140" s="2191"/>
      <c r="O140" s="2191"/>
      <c r="P140" s="2191"/>
      <c r="Q140" s="2191"/>
      <c r="R140" s="2191"/>
      <c r="S140" s="2191"/>
      <c r="T140" s="2191"/>
      <c r="U140" s="2194"/>
    </row>
    <row r="141" spans="1:21">
      <c r="A141" s="2164"/>
      <c r="B141" s="2167"/>
      <c r="C141" s="2169"/>
      <c r="D141" s="1236" t="s">
        <v>1214</v>
      </c>
      <c r="E141" s="2189"/>
      <c r="F141" s="2192"/>
      <c r="G141" s="2192"/>
      <c r="H141" s="2192"/>
      <c r="I141" s="2192"/>
      <c r="J141" s="2192"/>
      <c r="K141" s="2192"/>
      <c r="L141" s="2192"/>
      <c r="M141" s="2192"/>
      <c r="N141" s="2192"/>
      <c r="O141" s="2192"/>
      <c r="P141" s="2192"/>
      <c r="Q141" s="2192"/>
      <c r="R141" s="2192"/>
      <c r="S141" s="2192"/>
      <c r="T141" s="2192"/>
      <c r="U141" s="2195"/>
    </row>
    <row r="142" spans="1:21">
      <c r="A142" s="2164"/>
      <c r="B142" s="2167"/>
      <c r="C142" s="2173" t="s">
        <v>1215</v>
      </c>
      <c r="D142" s="1236" t="s">
        <v>1216</v>
      </c>
      <c r="E142" s="2189"/>
      <c r="F142" s="2192"/>
      <c r="G142" s="2192"/>
      <c r="H142" s="2192"/>
      <c r="I142" s="2192"/>
      <c r="J142" s="2192"/>
      <c r="K142" s="2192"/>
      <c r="L142" s="2192"/>
      <c r="M142" s="2192"/>
      <c r="N142" s="2192"/>
      <c r="O142" s="2192"/>
      <c r="P142" s="2192"/>
      <c r="Q142" s="2192"/>
      <c r="R142" s="2192"/>
      <c r="S142" s="2192"/>
      <c r="T142" s="2192"/>
      <c r="U142" s="2195"/>
    </row>
    <row r="143" spans="1:21">
      <c r="A143" s="2165"/>
      <c r="B143" s="2167"/>
      <c r="C143" s="2174"/>
      <c r="D143" s="1237" t="s">
        <v>1217</v>
      </c>
      <c r="E143" s="2190"/>
      <c r="F143" s="2193"/>
      <c r="G143" s="2193"/>
      <c r="H143" s="2193"/>
      <c r="I143" s="2193"/>
      <c r="J143" s="2193"/>
      <c r="K143" s="2193"/>
      <c r="L143" s="2193"/>
      <c r="M143" s="2193"/>
      <c r="N143" s="2193"/>
      <c r="O143" s="2193"/>
      <c r="P143" s="2193"/>
      <c r="Q143" s="2193"/>
      <c r="R143" s="2193"/>
      <c r="S143" s="2193"/>
      <c r="T143" s="2193"/>
      <c r="U143" s="2196"/>
    </row>
    <row r="144" spans="1:21">
      <c r="A144" s="2157" t="s">
        <v>1219</v>
      </c>
      <c r="B144" s="2166" t="s">
        <v>1211</v>
      </c>
      <c r="C144" s="2168" t="s">
        <v>1212</v>
      </c>
      <c r="D144" s="1235" t="s">
        <v>1213</v>
      </c>
      <c r="E144" s="2170"/>
      <c r="F144" s="2171">
        <v>0.79</v>
      </c>
      <c r="G144" s="2171">
        <v>0.69520000000000004</v>
      </c>
      <c r="H144" s="2171">
        <v>0.66739199999999999</v>
      </c>
      <c r="I144" s="2171">
        <v>0.61400063999999999</v>
      </c>
      <c r="J144" s="2171">
        <v>0.57716060159999993</v>
      </c>
      <c r="K144" s="2171">
        <v>0.54830257151999995</v>
      </c>
      <c r="L144" s="2171">
        <v>0.5263704686591999</v>
      </c>
      <c r="M144" s="2171">
        <v>0.48952453585305594</v>
      </c>
      <c r="N144" s="2171">
        <v>0.47973404513599482</v>
      </c>
      <c r="O144" s="2171">
        <v>0.4701393642332749</v>
      </c>
      <c r="P144" s="2171">
        <v>0.46073657694860942</v>
      </c>
      <c r="Q144" s="2171">
        <v>0.45612921117912331</v>
      </c>
      <c r="R144" s="2171">
        <v>0.45156791906733207</v>
      </c>
      <c r="S144" s="2171">
        <v>0.44705223987665876</v>
      </c>
      <c r="T144" s="2171">
        <v>0.44258171747789216</v>
      </c>
      <c r="U144" s="2181">
        <v>0.43815590030311324</v>
      </c>
    </row>
    <row r="145" spans="1:21">
      <c r="A145" s="2164"/>
      <c r="B145" s="2167"/>
      <c r="C145" s="2169"/>
      <c r="D145" s="1236" t="s">
        <v>1214</v>
      </c>
      <c r="E145" s="2170"/>
      <c r="F145" s="2172"/>
      <c r="G145" s="2172"/>
      <c r="H145" s="2172"/>
      <c r="I145" s="2172"/>
      <c r="J145" s="2172"/>
      <c r="K145" s="2172"/>
      <c r="L145" s="2172"/>
      <c r="M145" s="2172"/>
      <c r="N145" s="2172"/>
      <c r="O145" s="2172"/>
      <c r="P145" s="2172"/>
      <c r="Q145" s="2172"/>
      <c r="R145" s="2172"/>
      <c r="S145" s="2172"/>
      <c r="T145" s="2172"/>
      <c r="U145" s="2182"/>
    </row>
    <row r="146" spans="1:21">
      <c r="A146" s="2164"/>
      <c r="B146" s="2167"/>
      <c r="C146" s="2173" t="s">
        <v>1215</v>
      </c>
      <c r="D146" s="1236" t="s">
        <v>1216</v>
      </c>
      <c r="E146" s="2170"/>
      <c r="F146" s="2172"/>
      <c r="G146" s="2172"/>
      <c r="H146" s="2172"/>
      <c r="I146" s="2172"/>
      <c r="J146" s="2172"/>
      <c r="K146" s="2172"/>
      <c r="L146" s="2172"/>
      <c r="M146" s="2172"/>
      <c r="N146" s="2172"/>
      <c r="O146" s="2172"/>
      <c r="P146" s="2172"/>
      <c r="Q146" s="2172"/>
      <c r="R146" s="2172"/>
      <c r="S146" s="2172"/>
      <c r="T146" s="2172"/>
      <c r="U146" s="2182"/>
    </row>
    <row r="147" spans="1:21">
      <c r="A147" s="2164"/>
      <c r="B147" s="2167"/>
      <c r="C147" s="2174"/>
      <c r="D147" s="1237" t="s">
        <v>1217</v>
      </c>
      <c r="E147" s="2170"/>
      <c r="F147" s="2172"/>
      <c r="G147" s="2172"/>
      <c r="H147" s="2172"/>
      <c r="I147" s="2172"/>
      <c r="J147" s="2172"/>
      <c r="K147" s="2172"/>
      <c r="L147" s="2172"/>
      <c r="M147" s="2172"/>
      <c r="N147" s="2172"/>
      <c r="O147" s="2172"/>
      <c r="P147" s="2172"/>
      <c r="Q147" s="2172"/>
      <c r="R147" s="2172"/>
      <c r="S147" s="2172"/>
      <c r="T147" s="2172"/>
      <c r="U147" s="2182"/>
    </row>
    <row r="148" spans="1:21">
      <c r="A148" s="2164"/>
      <c r="B148" s="2175" t="s">
        <v>1194</v>
      </c>
      <c r="C148" s="2168" t="s">
        <v>1212</v>
      </c>
      <c r="D148" s="1235" t="s">
        <v>1213</v>
      </c>
      <c r="E148" s="2170"/>
      <c r="F148" s="2179"/>
      <c r="G148" s="2176">
        <v>0.88</v>
      </c>
      <c r="H148" s="2176">
        <v>0.8448</v>
      </c>
      <c r="I148" s="2176">
        <v>0.77721600000000002</v>
      </c>
      <c r="J148" s="2176">
        <v>0.73058303999999996</v>
      </c>
      <c r="K148" s="2176">
        <v>0.6940538879999999</v>
      </c>
      <c r="L148" s="2176">
        <v>0.66629173247999984</v>
      </c>
      <c r="M148" s="2176">
        <v>0.61965131120639994</v>
      </c>
      <c r="N148" s="2176">
        <v>0.60725828498227197</v>
      </c>
      <c r="O148" s="2176">
        <v>0.59511311928262656</v>
      </c>
      <c r="P148" s="2176">
        <v>0.58321085689697405</v>
      </c>
      <c r="Q148" s="2176">
        <v>0.57737874832800429</v>
      </c>
      <c r="R148" s="2176">
        <v>0.57160496084472423</v>
      </c>
      <c r="S148" s="2176">
        <v>0.56588891123627694</v>
      </c>
      <c r="T148" s="2176">
        <v>0.56023002212391415</v>
      </c>
      <c r="U148" s="2180">
        <v>0.55462772190267495</v>
      </c>
    </row>
    <row r="149" spans="1:21">
      <c r="A149" s="2164"/>
      <c r="B149" s="2167"/>
      <c r="C149" s="2169"/>
      <c r="D149" s="1236" t="s">
        <v>1214</v>
      </c>
      <c r="E149" s="2170"/>
      <c r="F149" s="2179"/>
      <c r="G149" s="2176"/>
      <c r="H149" s="2176"/>
      <c r="I149" s="2176"/>
      <c r="J149" s="2176"/>
      <c r="K149" s="2176"/>
      <c r="L149" s="2176"/>
      <c r="M149" s="2176"/>
      <c r="N149" s="2176"/>
      <c r="O149" s="2176"/>
      <c r="P149" s="2176"/>
      <c r="Q149" s="2176"/>
      <c r="R149" s="2176"/>
      <c r="S149" s="2176"/>
      <c r="T149" s="2176"/>
      <c r="U149" s="2180"/>
    </row>
    <row r="150" spans="1:21">
      <c r="A150" s="2164"/>
      <c r="B150" s="2167"/>
      <c r="C150" s="2173" t="s">
        <v>1215</v>
      </c>
      <c r="D150" s="1236" t="s">
        <v>1216</v>
      </c>
      <c r="E150" s="2170"/>
      <c r="F150" s="2179"/>
      <c r="G150" s="2176"/>
      <c r="H150" s="2176"/>
      <c r="I150" s="2176"/>
      <c r="J150" s="2176"/>
      <c r="K150" s="2176"/>
      <c r="L150" s="2176"/>
      <c r="M150" s="2176"/>
      <c r="N150" s="2176"/>
      <c r="O150" s="2176"/>
      <c r="P150" s="2176"/>
      <c r="Q150" s="2176"/>
      <c r="R150" s="2176"/>
      <c r="S150" s="2176"/>
      <c r="T150" s="2176"/>
      <c r="U150" s="2180"/>
    </row>
    <row r="151" spans="1:21">
      <c r="A151" s="2164"/>
      <c r="B151" s="2167"/>
      <c r="C151" s="2174"/>
      <c r="D151" s="1237" t="s">
        <v>1217</v>
      </c>
      <c r="E151" s="2170"/>
      <c r="F151" s="2179"/>
      <c r="G151" s="2176"/>
      <c r="H151" s="2176"/>
      <c r="I151" s="2176"/>
      <c r="J151" s="2176"/>
      <c r="K151" s="2176"/>
      <c r="L151" s="2176"/>
      <c r="M151" s="2176"/>
      <c r="N151" s="2176"/>
      <c r="O151" s="2176"/>
      <c r="P151" s="2176"/>
      <c r="Q151" s="2176"/>
      <c r="R151" s="2176"/>
      <c r="S151" s="2176"/>
      <c r="T151" s="2176"/>
      <c r="U151" s="2180"/>
    </row>
    <row r="152" spans="1:21">
      <c r="A152" s="2164"/>
      <c r="B152" s="2166" t="s">
        <v>1195</v>
      </c>
      <c r="C152" s="2168" t="s">
        <v>1212</v>
      </c>
      <c r="D152" s="1235" t="s">
        <v>1213</v>
      </c>
      <c r="E152" s="2170"/>
      <c r="F152" s="2179"/>
      <c r="G152" s="2179"/>
      <c r="H152" s="2176">
        <v>0.96</v>
      </c>
      <c r="I152" s="2176">
        <v>0.88319999999999999</v>
      </c>
      <c r="J152" s="2176">
        <v>0.83020799999999995</v>
      </c>
      <c r="K152" s="2176">
        <v>0.78869759999999989</v>
      </c>
      <c r="L152" s="2176">
        <v>0.75714969599999982</v>
      </c>
      <c r="M152" s="2176">
        <v>0.70414921727999991</v>
      </c>
      <c r="N152" s="2176">
        <v>0.69006623293439995</v>
      </c>
      <c r="O152" s="2176">
        <v>0.67626490827571195</v>
      </c>
      <c r="P152" s="2176">
        <v>0.66273961011019766</v>
      </c>
      <c r="Q152" s="2176">
        <v>0.6561122140090957</v>
      </c>
      <c r="R152" s="2176">
        <v>0.64955109186900473</v>
      </c>
      <c r="S152" s="2176">
        <v>0.64305558095031468</v>
      </c>
      <c r="T152" s="2176">
        <v>0.63662502514081154</v>
      </c>
      <c r="U152" s="2180">
        <v>0.63025877488940341</v>
      </c>
    </row>
    <row r="153" spans="1:21">
      <c r="A153" s="2164"/>
      <c r="B153" s="2167"/>
      <c r="C153" s="2169"/>
      <c r="D153" s="1236" t="s">
        <v>1214</v>
      </c>
      <c r="E153" s="2170"/>
      <c r="F153" s="2179"/>
      <c r="G153" s="2179"/>
      <c r="H153" s="2176"/>
      <c r="I153" s="2176"/>
      <c r="J153" s="2176"/>
      <c r="K153" s="2176"/>
      <c r="L153" s="2176"/>
      <c r="M153" s="2176"/>
      <c r="N153" s="2176"/>
      <c r="O153" s="2176"/>
      <c r="P153" s="2176"/>
      <c r="Q153" s="2176"/>
      <c r="R153" s="2176"/>
      <c r="S153" s="2176"/>
      <c r="T153" s="2176"/>
      <c r="U153" s="2180"/>
    </row>
    <row r="154" spans="1:21">
      <c r="A154" s="2164"/>
      <c r="B154" s="2167"/>
      <c r="C154" s="2173" t="s">
        <v>1215</v>
      </c>
      <c r="D154" s="1236" t="s">
        <v>1216</v>
      </c>
      <c r="E154" s="2170"/>
      <c r="F154" s="2179"/>
      <c r="G154" s="2179"/>
      <c r="H154" s="2176"/>
      <c r="I154" s="2176"/>
      <c r="J154" s="2176"/>
      <c r="K154" s="2176"/>
      <c r="L154" s="2176"/>
      <c r="M154" s="2176"/>
      <c r="N154" s="2176"/>
      <c r="O154" s="2176"/>
      <c r="P154" s="2176"/>
      <c r="Q154" s="2176"/>
      <c r="R154" s="2176"/>
      <c r="S154" s="2176"/>
      <c r="T154" s="2176"/>
      <c r="U154" s="2180"/>
    </row>
    <row r="155" spans="1:21">
      <c r="A155" s="2164"/>
      <c r="B155" s="2167"/>
      <c r="C155" s="2174"/>
      <c r="D155" s="1237" t="s">
        <v>1217</v>
      </c>
      <c r="E155" s="2170"/>
      <c r="F155" s="2179"/>
      <c r="G155" s="2179"/>
      <c r="H155" s="2176"/>
      <c r="I155" s="2176"/>
      <c r="J155" s="2176"/>
      <c r="K155" s="2176"/>
      <c r="L155" s="2176"/>
      <c r="M155" s="2176"/>
      <c r="N155" s="2176"/>
      <c r="O155" s="2176"/>
      <c r="P155" s="2176"/>
      <c r="Q155" s="2176"/>
      <c r="R155" s="2176"/>
      <c r="S155" s="2176"/>
      <c r="T155" s="2176"/>
      <c r="U155" s="2180"/>
    </row>
    <row r="156" spans="1:21">
      <c r="A156" s="2164"/>
      <c r="B156" s="2166" t="s">
        <v>1196</v>
      </c>
      <c r="C156" s="2168" t="s">
        <v>1212</v>
      </c>
      <c r="D156" s="1235" t="s">
        <v>1213</v>
      </c>
      <c r="E156" s="2170"/>
      <c r="F156" s="2179"/>
      <c r="G156" s="2179"/>
      <c r="H156" s="2179"/>
      <c r="I156" s="2176">
        <v>0.92</v>
      </c>
      <c r="J156" s="2176">
        <v>0.86480000000000001</v>
      </c>
      <c r="K156" s="2176">
        <v>0.82155999999999996</v>
      </c>
      <c r="L156" s="2176">
        <v>0.78869759999999989</v>
      </c>
      <c r="M156" s="2176">
        <v>0.73348876799999996</v>
      </c>
      <c r="N156" s="2176">
        <v>0.71881899263999993</v>
      </c>
      <c r="O156" s="2176">
        <v>0.70444261278719988</v>
      </c>
      <c r="P156" s="2176">
        <v>0.69035376053145592</v>
      </c>
      <c r="Q156" s="2176">
        <v>0.68345022292614133</v>
      </c>
      <c r="R156" s="2176">
        <v>0.67661572069687992</v>
      </c>
      <c r="S156" s="2176">
        <v>0.66984956348991109</v>
      </c>
      <c r="T156" s="2176">
        <v>0.66315106785501199</v>
      </c>
      <c r="U156" s="2180">
        <v>0.65651955717646182</v>
      </c>
    </row>
    <row r="157" spans="1:21">
      <c r="A157" s="2164"/>
      <c r="B157" s="2167"/>
      <c r="C157" s="2169"/>
      <c r="D157" s="1236" t="s">
        <v>1214</v>
      </c>
      <c r="E157" s="2170"/>
      <c r="F157" s="2179"/>
      <c r="G157" s="2179"/>
      <c r="H157" s="2179"/>
      <c r="I157" s="2176"/>
      <c r="J157" s="2176"/>
      <c r="K157" s="2176"/>
      <c r="L157" s="2176"/>
      <c r="M157" s="2176"/>
      <c r="N157" s="2176"/>
      <c r="O157" s="2176"/>
      <c r="P157" s="2176"/>
      <c r="Q157" s="2176"/>
      <c r="R157" s="2176"/>
      <c r="S157" s="2176"/>
      <c r="T157" s="2176"/>
      <c r="U157" s="2180"/>
    </row>
    <row r="158" spans="1:21">
      <c r="A158" s="2164"/>
      <c r="B158" s="2167"/>
      <c r="C158" s="2173" t="s">
        <v>1215</v>
      </c>
      <c r="D158" s="1236" t="s">
        <v>1216</v>
      </c>
      <c r="E158" s="2170"/>
      <c r="F158" s="2179"/>
      <c r="G158" s="2179"/>
      <c r="H158" s="2179"/>
      <c r="I158" s="2176"/>
      <c r="J158" s="2176"/>
      <c r="K158" s="2176"/>
      <c r="L158" s="2176"/>
      <c r="M158" s="2176"/>
      <c r="N158" s="2176"/>
      <c r="O158" s="2176"/>
      <c r="P158" s="2176"/>
      <c r="Q158" s="2176"/>
      <c r="R158" s="2176"/>
      <c r="S158" s="2176"/>
      <c r="T158" s="2176"/>
      <c r="U158" s="2180"/>
    </row>
    <row r="159" spans="1:21">
      <c r="A159" s="2164"/>
      <c r="B159" s="2167"/>
      <c r="C159" s="2174"/>
      <c r="D159" s="1237" t="s">
        <v>1217</v>
      </c>
      <c r="E159" s="2170"/>
      <c r="F159" s="2179"/>
      <c r="G159" s="2179"/>
      <c r="H159" s="2179"/>
      <c r="I159" s="2176"/>
      <c r="J159" s="2176"/>
      <c r="K159" s="2176"/>
      <c r="L159" s="2176"/>
      <c r="M159" s="2176"/>
      <c r="N159" s="2176"/>
      <c r="O159" s="2176"/>
      <c r="P159" s="2176"/>
      <c r="Q159" s="2176"/>
      <c r="R159" s="2176"/>
      <c r="S159" s="2176"/>
      <c r="T159" s="2176"/>
      <c r="U159" s="2180"/>
    </row>
    <row r="160" spans="1:21">
      <c r="A160" s="2164"/>
      <c r="B160" s="2175" t="s">
        <v>1197</v>
      </c>
      <c r="C160" s="2168" t="s">
        <v>1212</v>
      </c>
      <c r="D160" s="1235" t="s">
        <v>1213</v>
      </c>
      <c r="E160" s="2170"/>
      <c r="F160" s="2179"/>
      <c r="G160" s="2179"/>
      <c r="H160" s="2179"/>
      <c r="I160" s="2179"/>
      <c r="J160" s="2176">
        <v>0.94</v>
      </c>
      <c r="K160" s="2176">
        <v>0.8929999999999999</v>
      </c>
      <c r="L160" s="2176">
        <v>0.85727999999999993</v>
      </c>
      <c r="M160" s="2176">
        <v>0.79727039999999993</v>
      </c>
      <c r="N160" s="2176">
        <v>0.78132499199999994</v>
      </c>
      <c r="O160" s="2176">
        <v>0.76569849215999997</v>
      </c>
      <c r="P160" s="2176">
        <v>0.75038452231679997</v>
      </c>
      <c r="Q160" s="2176">
        <v>0.74288067709363192</v>
      </c>
      <c r="R160" s="2176">
        <v>0.73545187032269554</v>
      </c>
      <c r="S160" s="2176">
        <v>0.72809735161946854</v>
      </c>
      <c r="T160" s="2176">
        <v>0.72081637810327381</v>
      </c>
      <c r="U160" s="2180">
        <v>0.71360821432224109</v>
      </c>
    </row>
    <row r="161" spans="1:21">
      <c r="A161" s="2164"/>
      <c r="B161" s="2167"/>
      <c r="C161" s="2169"/>
      <c r="D161" s="1236" t="s">
        <v>1214</v>
      </c>
      <c r="E161" s="2170"/>
      <c r="F161" s="2179"/>
      <c r="G161" s="2179"/>
      <c r="H161" s="2179"/>
      <c r="I161" s="2179"/>
      <c r="J161" s="2176"/>
      <c r="K161" s="2176"/>
      <c r="L161" s="2176"/>
      <c r="M161" s="2176"/>
      <c r="N161" s="2176"/>
      <c r="O161" s="2176"/>
      <c r="P161" s="2176"/>
      <c r="Q161" s="2176"/>
      <c r="R161" s="2176"/>
      <c r="S161" s="2176"/>
      <c r="T161" s="2176"/>
      <c r="U161" s="2180"/>
    </row>
    <row r="162" spans="1:21">
      <c r="A162" s="2164"/>
      <c r="B162" s="2167"/>
      <c r="C162" s="2173" t="s">
        <v>1215</v>
      </c>
      <c r="D162" s="1236" t="s">
        <v>1216</v>
      </c>
      <c r="E162" s="2170"/>
      <c r="F162" s="2179"/>
      <c r="G162" s="2179"/>
      <c r="H162" s="2179"/>
      <c r="I162" s="2179"/>
      <c r="J162" s="2176"/>
      <c r="K162" s="2176"/>
      <c r="L162" s="2176"/>
      <c r="M162" s="2176"/>
      <c r="N162" s="2176"/>
      <c r="O162" s="2176"/>
      <c r="P162" s="2176"/>
      <c r="Q162" s="2176"/>
      <c r="R162" s="2176"/>
      <c r="S162" s="2176"/>
      <c r="T162" s="2176"/>
      <c r="U162" s="2180"/>
    </row>
    <row r="163" spans="1:21">
      <c r="A163" s="2164"/>
      <c r="B163" s="2167"/>
      <c r="C163" s="2174"/>
      <c r="D163" s="1237" t="s">
        <v>1217</v>
      </c>
      <c r="E163" s="2170"/>
      <c r="F163" s="2179"/>
      <c r="G163" s="2179"/>
      <c r="H163" s="2179"/>
      <c r="I163" s="2179"/>
      <c r="J163" s="2176"/>
      <c r="K163" s="2176"/>
      <c r="L163" s="2176"/>
      <c r="M163" s="2176"/>
      <c r="N163" s="2176"/>
      <c r="O163" s="2176"/>
      <c r="P163" s="2176"/>
      <c r="Q163" s="2176"/>
      <c r="R163" s="2176"/>
      <c r="S163" s="2176"/>
      <c r="T163" s="2176"/>
      <c r="U163" s="2180"/>
    </row>
    <row r="164" spans="1:21">
      <c r="A164" s="2164"/>
      <c r="B164" s="2175" t="s">
        <v>1198</v>
      </c>
      <c r="C164" s="2168" t="s">
        <v>1212</v>
      </c>
      <c r="D164" s="1235" t="s">
        <v>1213</v>
      </c>
      <c r="E164" s="2170"/>
      <c r="F164" s="2179"/>
      <c r="G164" s="2179"/>
      <c r="H164" s="2179"/>
      <c r="I164" s="2179"/>
      <c r="J164" s="2179"/>
      <c r="K164" s="2176">
        <v>0.95</v>
      </c>
      <c r="L164" s="2176">
        <v>0.91199999999999992</v>
      </c>
      <c r="M164" s="2176">
        <v>0.84816000000000003</v>
      </c>
      <c r="N164" s="2176">
        <v>0.83119679999999996</v>
      </c>
      <c r="O164" s="2176">
        <v>0.81457286399999995</v>
      </c>
      <c r="P164" s="2176">
        <v>0.79828140671999992</v>
      </c>
      <c r="Q164" s="2176">
        <v>0.79029859265279989</v>
      </c>
      <c r="R164" s="2176">
        <v>0.78239560672627184</v>
      </c>
      <c r="S164" s="2176">
        <v>0.77457165065900913</v>
      </c>
      <c r="T164" s="2176">
        <v>0.76682593415241906</v>
      </c>
      <c r="U164" s="2180">
        <v>0.75915767481089491</v>
      </c>
    </row>
    <row r="165" spans="1:21">
      <c r="A165" s="2164"/>
      <c r="B165" s="2167"/>
      <c r="C165" s="2169"/>
      <c r="D165" s="1236" t="s">
        <v>1214</v>
      </c>
      <c r="E165" s="2170"/>
      <c r="F165" s="2179"/>
      <c r="G165" s="2179"/>
      <c r="H165" s="2179"/>
      <c r="I165" s="2179"/>
      <c r="J165" s="2179"/>
      <c r="K165" s="2176"/>
      <c r="L165" s="2176"/>
      <c r="M165" s="2176"/>
      <c r="N165" s="2176"/>
      <c r="O165" s="2176"/>
      <c r="P165" s="2176"/>
      <c r="Q165" s="2176"/>
      <c r="R165" s="2176"/>
      <c r="S165" s="2176"/>
      <c r="T165" s="2176"/>
      <c r="U165" s="2180"/>
    </row>
    <row r="166" spans="1:21">
      <c r="A166" s="2164"/>
      <c r="B166" s="2167"/>
      <c r="C166" s="2173" t="s">
        <v>1215</v>
      </c>
      <c r="D166" s="1236" t="s">
        <v>1216</v>
      </c>
      <c r="E166" s="2170"/>
      <c r="F166" s="2179"/>
      <c r="G166" s="2179"/>
      <c r="H166" s="2179"/>
      <c r="I166" s="2179"/>
      <c r="J166" s="2179"/>
      <c r="K166" s="2176"/>
      <c r="L166" s="2176"/>
      <c r="M166" s="2176"/>
      <c r="N166" s="2176"/>
      <c r="O166" s="2176"/>
      <c r="P166" s="2176"/>
      <c r="Q166" s="2176"/>
      <c r="R166" s="2176"/>
      <c r="S166" s="2176"/>
      <c r="T166" s="2176"/>
      <c r="U166" s="2180"/>
    </row>
    <row r="167" spans="1:21">
      <c r="A167" s="2164"/>
      <c r="B167" s="2167"/>
      <c r="C167" s="2174"/>
      <c r="D167" s="1237" t="s">
        <v>1217</v>
      </c>
      <c r="E167" s="2170"/>
      <c r="F167" s="2179"/>
      <c r="G167" s="2179"/>
      <c r="H167" s="2179"/>
      <c r="I167" s="2179"/>
      <c r="J167" s="2179"/>
      <c r="K167" s="2176"/>
      <c r="L167" s="2176"/>
      <c r="M167" s="2176"/>
      <c r="N167" s="2176"/>
      <c r="O167" s="2176"/>
      <c r="P167" s="2176"/>
      <c r="Q167" s="2176"/>
      <c r="R167" s="2176"/>
      <c r="S167" s="2176"/>
      <c r="T167" s="2176"/>
      <c r="U167" s="2180"/>
    </row>
    <row r="168" spans="1:21">
      <c r="A168" s="2164"/>
      <c r="B168" s="2166" t="s">
        <v>1199</v>
      </c>
      <c r="C168" s="2168" t="s">
        <v>1212</v>
      </c>
      <c r="D168" s="1235" t="s">
        <v>1213</v>
      </c>
      <c r="E168" s="2170"/>
      <c r="F168" s="2179"/>
      <c r="G168" s="2179"/>
      <c r="H168" s="2179"/>
      <c r="I168" s="2179"/>
      <c r="J168" s="2179"/>
      <c r="K168" s="2179"/>
      <c r="L168" s="2176">
        <v>0.96</v>
      </c>
      <c r="M168" s="2176">
        <v>0.89280000000000004</v>
      </c>
      <c r="N168" s="2176">
        <v>0.87494400000000006</v>
      </c>
      <c r="O168" s="2176">
        <v>0.85744512000000006</v>
      </c>
      <c r="P168" s="2176">
        <v>0.84029621760000006</v>
      </c>
      <c r="Q168" s="2176">
        <v>0.83189325542400006</v>
      </c>
      <c r="R168" s="2176">
        <v>0.82357432286976007</v>
      </c>
      <c r="S168" s="2176">
        <v>0.81533857964106249</v>
      </c>
      <c r="T168" s="2176">
        <v>0.80718519384465182</v>
      </c>
      <c r="U168" s="2180">
        <v>0.79911334190620531</v>
      </c>
    </row>
    <row r="169" spans="1:21">
      <c r="A169" s="2164"/>
      <c r="B169" s="2167"/>
      <c r="C169" s="2169"/>
      <c r="D169" s="1236" t="s">
        <v>1214</v>
      </c>
      <c r="E169" s="2170"/>
      <c r="F169" s="2179"/>
      <c r="G169" s="2179"/>
      <c r="H169" s="2179"/>
      <c r="I169" s="2179"/>
      <c r="J169" s="2179"/>
      <c r="K169" s="2179"/>
      <c r="L169" s="2176"/>
      <c r="M169" s="2176"/>
      <c r="N169" s="2176"/>
      <c r="O169" s="2176"/>
      <c r="P169" s="2176"/>
      <c r="Q169" s="2176"/>
      <c r="R169" s="2176"/>
      <c r="S169" s="2176"/>
      <c r="T169" s="2176"/>
      <c r="U169" s="2180"/>
    </row>
    <row r="170" spans="1:21">
      <c r="A170" s="2164"/>
      <c r="B170" s="2167"/>
      <c r="C170" s="2173" t="s">
        <v>1215</v>
      </c>
      <c r="D170" s="1236" t="s">
        <v>1216</v>
      </c>
      <c r="E170" s="2170"/>
      <c r="F170" s="2179"/>
      <c r="G170" s="2179"/>
      <c r="H170" s="2179"/>
      <c r="I170" s="2179"/>
      <c r="J170" s="2179"/>
      <c r="K170" s="2179"/>
      <c r="L170" s="2176"/>
      <c r="M170" s="2176"/>
      <c r="N170" s="2176"/>
      <c r="O170" s="2176"/>
      <c r="P170" s="2176"/>
      <c r="Q170" s="2176"/>
      <c r="R170" s="2176"/>
      <c r="S170" s="2176"/>
      <c r="T170" s="2176"/>
      <c r="U170" s="2180"/>
    </row>
    <row r="171" spans="1:21">
      <c r="A171" s="2164"/>
      <c r="B171" s="2167"/>
      <c r="C171" s="2174"/>
      <c r="D171" s="1237" t="s">
        <v>1217</v>
      </c>
      <c r="E171" s="2170"/>
      <c r="F171" s="2179"/>
      <c r="G171" s="2179"/>
      <c r="H171" s="2179"/>
      <c r="I171" s="2179"/>
      <c r="J171" s="2179"/>
      <c r="K171" s="2179"/>
      <c r="L171" s="2176"/>
      <c r="M171" s="2176"/>
      <c r="N171" s="2176"/>
      <c r="O171" s="2176"/>
      <c r="P171" s="2176"/>
      <c r="Q171" s="2176"/>
      <c r="R171" s="2176"/>
      <c r="S171" s="2176"/>
      <c r="T171" s="2176"/>
      <c r="U171" s="2180"/>
    </row>
    <row r="172" spans="1:21">
      <c r="A172" s="2164"/>
      <c r="B172" s="2166" t="s">
        <v>1200</v>
      </c>
      <c r="C172" s="2168" t="s">
        <v>1212</v>
      </c>
      <c r="D172" s="1235" t="s">
        <v>1213</v>
      </c>
      <c r="E172" s="2170"/>
      <c r="F172" s="2179"/>
      <c r="G172" s="2179"/>
      <c r="H172" s="2179"/>
      <c r="I172" s="2179"/>
      <c r="J172" s="2179"/>
      <c r="K172" s="2179"/>
      <c r="L172" s="2179"/>
      <c r="M172" s="2176">
        <v>0.93</v>
      </c>
      <c r="N172" s="2176">
        <v>0.91139999999999999</v>
      </c>
      <c r="O172" s="2176">
        <v>0.89317199999999997</v>
      </c>
      <c r="P172" s="2176">
        <v>0.8753085599999999</v>
      </c>
      <c r="Q172" s="2176">
        <v>0.86655547439999991</v>
      </c>
      <c r="R172" s="2176">
        <v>0.85788991965599992</v>
      </c>
      <c r="S172" s="2176">
        <v>0.84931102045943996</v>
      </c>
      <c r="T172" s="2176">
        <v>0.84081791025484554</v>
      </c>
      <c r="U172" s="2180">
        <v>0.83240973115229711</v>
      </c>
    </row>
    <row r="173" spans="1:21">
      <c r="A173" s="2164"/>
      <c r="B173" s="2167"/>
      <c r="C173" s="2169"/>
      <c r="D173" s="1236" t="s">
        <v>1214</v>
      </c>
      <c r="E173" s="2170"/>
      <c r="F173" s="2179"/>
      <c r="G173" s="2179"/>
      <c r="H173" s="2179"/>
      <c r="I173" s="2179"/>
      <c r="J173" s="2179"/>
      <c r="K173" s="2179"/>
      <c r="L173" s="2179"/>
      <c r="M173" s="2176"/>
      <c r="N173" s="2176"/>
      <c r="O173" s="2176"/>
      <c r="P173" s="2176"/>
      <c r="Q173" s="2176"/>
      <c r="R173" s="2176"/>
      <c r="S173" s="2176"/>
      <c r="T173" s="2176"/>
      <c r="U173" s="2180"/>
    </row>
    <row r="174" spans="1:21">
      <c r="A174" s="2164"/>
      <c r="B174" s="2167"/>
      <c r="C174" s="2173" t="s">
        <v>1215</v>
      </c>
      <c r="D174" s="1236" t="s">
        <v>1216</v>
      </c>
      <c r="E174" s="2170"/>
      <c r="F174" s="2179"/>
      <c r="G174" s="2179"/>
      <c r="H174" s="2179"/>
      <c r="I174" s="2179"/>
      <c r="J174" s="2179"/>
      <c r="K174" s="2179"/>
      <c r="L174" s="2179"/>
      <c r="M174" s="2176"/>
      <c r="N174" s="2176"/>
      <c r="O174" s="2176"/>
      <c r="P174" s="2176"/>
      <c r="Q174" s="2176"/>
      <c r="R174" s="2176"/>
      <c r="S174" s="2176"/>
      <c r="T174" s="2176"/>
      <c r="U174" s="2180"/>
    </row>
    <row r="175" spans="1:21">
      <c r="A175" s="2164"/>
      <c r="B175" s="2167"/>
      <c r="C175" s="2174"/>
      <c r="D175" s="1237" t="s">
        <v>1217</v>
      </c>
      <c r="E175" s="2170"/>
      <c r="F175" s="2179"/>
      <c r="G175" s="2179"/>
      <c r="H175" s="2179"/>
      <c r="I175" s="2179"/>
      <c r="J175" s="2179"/>
      <c r="K175" s="2179"/>
      <c r="L175" s="2179"/>
      <c r="M175" s="2176"/>
      <c r="N175" s="2176"/>
      <c r="O175" s="2176"/>
      <c r="P175" s="2176"/>
      <c r="Q175" s="2176"/>
      <c r="R175" s="2176"/>
      <c r="S175" s="2176"/>
      <c r="T175" s="2176"/>
      <c r="U175" s="2180"/>
    </row>
    <row r="176" spans="1:21">
      <c r="A176" s="2164"/>
      <c r="B176" s="2166" t="s">
        <v>1201</v>
      </c>
      <c r="C176" s="2168" t="s">
        <v>1212</v>
      </c>
      <c r="D176" s="1235" t="s">
        <v>1213</v>
      </c>
      <c r="E176" s="2170"/>
      <c r="F176" s="2179"/>
      <c r="G176" s="2179"/>
      <c r="H176" s="2179"/>
      <c r="I176" s="2179"/>
      <c r="J176" s="2179"/>
      <c r="K176" s="2179"/>
      <c r="L176" s="2179"/>
      <c r="M176" s="2179"/>
      <c r="N176" s="2176">
        <v>0.98</v>
      </c>
      <c r="O176" s="2176">
        <v>0.96039999999999992</v>
      </c>
      <c r="P176" s="2176">
        <v>0.94119199999999992</v>
      </c>
      <c r="Q176" s="2176">
        <v>0.9317800799999999</v>
      </c>
      <c r="R176" s="2176">
        <v>0.9224622791999999</v>
      </c>
      <c r="S176" s="2176">
        <v>0.91323765640799992</v>
      </c>
      <c r="T176" s="2176">
        <v>0.90410527984391986</v>
      </c>
      <c r="U176" s="2180">
        <v>0.89506422704548061</v>
      </c>
    </row>
    <row r="177" spans="1:21">
      <c r="A177" s="2164"/>
      <c r="B177" s="2167"/>
      <c r="C177" s="2169"/>
      <c r="D177" s="1236" t="s">
        <v>1214</v>
      </c>
      <c r="E177" s="2170"/>
      <c r="F177" s="2179"/>
      <c r="G177" s="2179"/>
      <c r="H177" s="2179"/>
      <c r="I177" s="2179"/>
      <c r="J177" s="2179"/>
      <c r="K177" s="2179"/>
      <c r="L177" s="2179"/>
      <c r="M177" s="2179"/>
      <c r="N177" s="2176"/>
      <c r="O177" s="2176"/>
      <c r="P177" s="2176"/>
      <c r="Q177" s="2176"/>
      <c r="R177" s="2176"/>
      <c r="S177" s="2176"/>
      <c r="T177" s="2176"/>
      <c r="U177" s="2180"/>
    </row>
    <row r="178" spans="1:21">
      <c r="A178" s="2164"/>
      <c r="B178" s="2167"/>
      <c r="C178" s="2173" t="s">
        <v>1215</v>
      </c>
      <c r="D178" s="1236" t="s">
        <v>1216</v>
      </c>
      <c r="E178" s="2170"/>
      <c r="F178" s="2179"/>
      <c r="G178" s="2179"/>
      <c r="H178" s="2179"/>
      <c r="I178" s="2179"/>
      <c r="J178" s="2179"/>
      <c r="K178" s="2179"/>
      <c r="L178" s="2179"/>
      <c r="M178" s="2179"/>
      <c r="N178" s="2176"/>
      <c r="O178" s="2176"/>
      <c r="P178" s="2176"/>
      <c r="Q178" s="2176"/>
      <c r="R178" s="2176"/>
      <c r="S178" s="2176"/>
      <c r="T178" s="2176"/>
      <c r="U178" s="2180"/>
    </row>
    <row r="179" spans="1:21">
      <c r="A179" s="2164"/>
      <c r="B179" s="2167"/>
      <c r="C179" s="2174"/>
      <c r="D179" s="1237" t="s">
        <v>1217</v>
      </c>
      <c r="E179" s="2170"/>
      <c r="F179" s="2179"/>
      <c r="G179" s="2179"/>
      <c r="H179" s="2179"/>
      <c r="I179" s="2179"/>
      <c r="J179" s="2179"/>
      <c r="K179" s="2179"/>
      <c r="L179" s="2179"/>
      <c r="M179" s="2179"/>
      <c r="N179" s="2176"/>
      <c r="O179" s="2176"/>
      <c r="P179" s="2176"/>
      <c r="Q179" s="2176"/>
      <c r="R179" s="2176"/>
      <c r="S179" s="2176"/>
      <c r="T179" s="2176"/>
      <c r="U179" s="2180"/>
    </row>
    <row r="180" spans="1:21">
      <c r="A180" s="2164"/>
      <c r="B180" s="2166" t="s">
        <v>1202</v>
      </c>
      <c r="C180" s="2168" t="s">
        <v>1212</v>
      </c>
      <c r="D180" s="1235" t="s">
        <v>1213</v>
      </c>
      <c r="E180" s="2170"/>
      <c r="F180" s="2179"/>
      <c r="G180" s="2179"/>
      <c r="H180" s="2179"/>
      <c r="I180" s="2179"/>
      <c r="J180" s="2179"/>
      <c r="K180" s="2179"/>
      <c r="L180" s="2179"/>
      <c r="M180" s="2179"/>
      <c r="N180" s="2179"/>
      <c r="O180" s="2176">
        <v>0.98</v>
      </c>
      <c r="P180" s="2176">
        <v>0.96039999999999992</v>
      </c>
      <c r="Q180" s="2176">
        <v>0.95079599999999986</v>
      </c>
      <c r="R180" s="2176">
        <v>0.94128803999999988</v>
      </c>
      <c r="S180" s="2176">
        <v>0.93187515959999989</v>
      </c>
      <c r="T180" s="2176">
        <v>0.92255640800399985</v>
      </c>
      <c r="U180" s="2180">
        <v>0.9133308439239598</v>
      </c>
    </row>
    <row r="181" spans="1:21">
      <c r="A181" s="2164"/>
      <c r="B181" s="2167"/>
      <c r="C181" s="2169"/>
      <c r="D181" s="1236" t="s">
        <v>1214</v>
      </c>
      <c r="E181" s="2170"/>
      <c r="F181" s="2179"/>
      <c r="G181" s="2179"/>
      <c r="H181" s="2179"/>
      <c r="I181" s="2179"/>
      <c r="J181" s="2179"/>
      <c r="K181" s="2179"/>
      <c r="L181" s="2179"/>
      <c r="M181" s="2179"/>
      <c r="N181" s="2179"/>
      <c r="O181" s="2176"/>
      <c r="P181" s="2176"/>
      <c r="Q181" s="2176"/>
      <c r="R181" s="2176"/>
      <c r="S181" s="2176"/>
      <c r="T181" s="2176"/>
      <c r="U181" s="2180"/>
    </row>
    <row r="182" spans="1:21">
      <c r="A182" s="2164"/>
      <c r="B182" s="2167"/>
      <c r="C182" s="2173" t="s">
        <v>1215</v>
      </c>
      <c r="D182" s="1236" t="s">
        <v>1216</v>
      </c>
      <c r="E182" s="2170"/>
      <c r="F182" s="2179"/>
      <c r="G182" s="2179"/>
      <c r="H182" s="2179"/>
      <c r="I182" s="2179"/>
      <c r="J182" s="2179"/>
      <c r="K182" s="2179"/>
      <c r="L182" s="2179"/>
      <c r="M182" s="2179"/>
      <c r="N182" s="2179"/>
      <c r="O182" s="2176"/>
      <c r="P182" s="2176"/>
      <c r="Q182" s="2176"/>
      <c r="R182" s="2176"/>
      <c r="S182" s="2176"/>
      <c r="T182" s="2176"/>
      <c r="U182" s="2180"/>
    </row>
    <row r="183" spans="1:21">
      <c r="A183" s="2164"/>
      <c r="B183" s="2167"/>
      <c r="C183" s="2174"/>
      <c r="D183" s="1237" t="s">
        <v>1217</v>
      </c>
      <c r="E183" s="2170"/>
      <c r="F183" s="2179"/>
      <c r="G183" s="2179"/>
      <c r="H183" s="2179"/>
      <c r="I183" s="2179"/>
      <c r="J183" s="2179"/>
      <c r="K183" s="2179"/>
      <c r="L183" s="2179"/>
      <c r="M183" s="2179"/>
      <c r="N183" s="2179"/>
      <c r="O183" s="2176"/>
      <c r="P183" s="2176"/>
      <c r="Q183" s="2176"/>
      <c r="R183" s="2176"/>
      <c r="S183" s="2176"/>
      <c r="T183" s="2176"/>
      <c r="U183" s="2180"/>
    </row>
    <row r="184" spans="1:21">
      <c r="A184" s="2164"/>
      <c r="B184" s="2175" t="s">
        <v>1203</v>
      </c>
      <c r="C184" s="2168" t="s">
        <v>1212</v>
      </c>
      <c r="D184" s="1235" t="s">
        <v>1213</v>
      </c>
      <c r="E184" s="2170"/>
      <c r="F184" s="2179"/>
      <c r="G184" s="2179"/>
      <c r="H184" s="2179"/>
      <c r="I184" s="2179"/>
      <c r="J184" s="2179"/>
      <c r="K184" s="2179"/>
      <c r="L184" s="2179"/>
      <c r="M184" s="2179"/>
      <c r="N184" s="2179"/>
      <c r="O184" s="2179"/>
      <c r="P184" s="2176">
        <v>0.98</v>
      </c>
      <c r="Q184" s="2176">
        <v>0.97019999999999995</v>
      </c>
      <c r="R184" s="2176">
        <v>0.96049799999999996</v>
      </c>
      <c r="S184" s="2176">
        <v>0.95089301999999998</v>
      </c>
      <c r="T184" s="2176">
        <v>0.94138408979999999</v>
      </c>
      <c r="U184" s="2180">
        <v>0.93197024890199998</v>
      </c>
    </row>
    <row r="185" spans="1:21">
      <c r="A185" s="2164"/>
      <c r="B185" s="2167"/>
      <c r="C185" s="2169"/>
      <c r="D185" s="1236" t="s">
        <v>1214</v>
      </c>
      <c r="E185" s="2170"/>
      <c r="F185" s="2179"/>
      <c r="G185" s="2179"/>
      <c r="H185" s="2179"/>
      <c r="I185" s="2179"/>
      <c r="J185" s="2179"/>
      <c r="K185" s="2179"/>
      <c r="L185" s="2179"/>
      <c r="M185" s="2179"/>
      <c r="N185" s="2179"/>
      <c r="O185" s="2179"/>
      <c r="P185" s="2176"/>
      <c r="Q185" s="2176"/>
      <c r="R185" s="2176"/>
      <c r="S185" s="2176"/>
      <c r="T185" s="2176"/>
      <c r="U185" s="2180"/>
    </row>
    <row r="186" spans="1:21">
      <c r="A186" s="2164"/>
      <c r="B186" s="2167"/>
      <c r="C186" s="2173" t="s">
        <v>1215</v>
      </c>
      <c r="D186" s="1236" t="s">
        <v>1216</v>
      </c>
      <c r="E186" s="2170"/>
      <c r="F186" s="2179"/>
      <c r="G186" s="2179"/>
      <c r="H186" s="2179"/>
      <c r="I186" s="2179"/>
      <c r="J186" s="2179"/>
      <c r="K186" s="2179"/>
      <c r="L186" s="2179"/>
      <c r="M186" s="2179"/>
      <c r="N186" s="2179"/>
      <c r="O186" s="2179"/>
      <c r="P186" s="2176"/>
      <c r="Q186" s="2176"/>
      <c r="R186" s="2176"/>
      <c r="S186" s="2176"/>
      <c r="T186" s="2176"/>
      <c r="U186" s="2180"/>
    </row>
    <row r="187" spans="1:21">
      <c r="A187" s="2164"/>
      <c r="B187" s="2167"/>
      <c r="C187" s="2174"/>
      <c r="D187" s="1237" t="s">
        <v>1217</v>
      </c>
      <c r="E187" s="2170"/>
      <c r="F187" s="2179"/>
      <c r="G187" s="2179"/>
      <c r="H187" s="2179"/>
      <c r="I187" s="2179"/>
      <c r="J187" s="2179"/>
      <c r="K187" s="2179"/>
      <c r="L187" s="2179"/>
      <c r="M187" s="2179"/>
      <c r="N187" s="2179"/>
      <c r="O187" s="2179"/>
      <c r="P187" s="2176"/>
      <c r="Q187" s="2176"/>
      <c r="R187" s="2176"/>
      <c r="S187" s="2176"/>
      <c r="T187" s="2176"/>
      <c r="U187" s="2180"/>
    </row>
    <row r="188" spans="1:21">
      <c r="A188" s="2164"/>
      <c r="B188" s="2175" t="s">
        <v>1204</v>
      </c>
      <c r="C188" s="2168" t="s">
        <v>1212</v>
      </c>
      <c r="D188" s="1235" t="s">
        <v>1213</v>
      </c>
      <c r="E188" s="2170"/>
      <c r="F188" s="2179"/>
      <c r="G188" s="2179"/>
      <c r="H188" s="2179"/>
      <c r="I188" s="2179"/>
      <c r="J188" s="2179"/>
      <c r="K188" s="2179"/>
      <c r="L188" s="2179"/>
      <c r="M188" s="2179"/>
      <c r="N188" s="2179"/>
      <c r="O188" s="2179"/>
      <c r="P188" s="2179"/>
      <c r="Q188" s="2176">
        <v>0.99</v>
      </c>
      <c r="R188" s="2176">
        <v>0.98009999999999997</v>
      </c>
      <c r="S188" s="2176">
        <v>0.97029899999999991</v>
      </c>
      <c r="T188" s="2176">
        <v>0.96059600999999994</v>
      </c>
      <c r="U188" s="2180">
        <v>0.95099004989999991</v>
      </c>
    </row>
    <row r="189" spans="1:21">
      <c r="A189" s="2164"/>
      <c r="B189" s="2167"/>
      <c r="C189" s="2169"/>
      <c r="D189" s="1236" t="s">
        <v>1214</v>
      </c>
      <c r="E189" s="2170"/>
      <c r="F189" s="2179"/>
      <c r="G189" s="2179"/>
      <c r="H189" s="2179"/>
      <c r="I189" s="2179"/>
      <c r="J189" s="2179"/>
      <c r="K189" s="2179"/>
      <c r="L189" s="2179"/>
      <c r="M189" s="2179"/>
      <c r="N189" s="2179"/>
      <c r="O189" s="2179"/>
      <c r="P189" s="2179"/>
      <c r="Q189" s="2176"/>
      <c r="R189" s="2176"/>
      <c r="S189" s="2176"/>
      <c r="T189" s="2176"/>
      <c r="U189" s="2180"/>
    </row>
    <row r="190" spans="1:21">
      <c r="A190" s="2164"/>
      <c r="B190" s="2167"/>
      <c r="C190" s="2173" t="s">
        <v>1215</v>
      </c>
      <c r="D190" s="1236" t="s">
        <v>1216</v>
      </c>
      <c r="E190" s="2170"/>
      <c r="F190" s="2179"/>
      <c r="G190" s="2179"/>
      <c r="H190" s="2179"/>
      <c r="I190" s="2179"/>
      <c r="J190" s="2179"/>
      <c r="K190" s="2179"/>
      <c r="L190" s="2179"/>
      <c r="M190" s="2179"/>
      <c r="N190" s="2179"/>
      <c r="O190" s="2179"/>
      <c r="P190" s="2179"/>
      <c r="Q190" s="2176"/>
      <c r="R190" s="2176"/>
      <c r="S190" s="2176"/>
      <c r="T190" s="2176"/>
      <c r="U190" s="2180"/>
    </row>
    <row r="191" spans="1:21">
      <c r="A191" s="2164"/>
      <c r="B191" s="2167"/>
      <c r="C191" s="2174"/>
      <c r="D191" s="1237" t="s">
        <v>1217</v>
      </c>
      <c r="E191" s="2170"/>
      <c r="F191" s="2179"/>
      <c r="G191" s="2179"/>
      <c r="H191" s="2179"/>
      <c r="I191" s="2179"/>
      <c r="J191" s="2179"/>
      <c r="K191" s="2179"/>
      <c r="L191" s="2179"/>
      <c r="M191" s="2179"/>
      <c r="N191" s="2179"/>
      <c r="O191" s="2179"/>
      <c r="P191" s="2179"/>
      <c r="Q191" s="2176"/>
      <c r="R191" s="2176"/>
      <c r="S191" s="2176"/>
      <c r="T191" s="2176"/>
      <c r="U191" s="2180"/>
    </row>
    <row r="192" spans="1:21">
      <c r="A192" s="2164"/>
      <c r="B192" s="2166" t="s">
        <v>1205</v>
      </c>
      <c r="C192" s="2168" t="s">
        <v>1212</v>
      </c>
      <c r="D192" s="1235" t="s">
        <v>1213</v>
      </c>
      <c r="E192" s="2170"/>
      <c r="F192" s="2179"/>
      <c r="G192" s="2179"/>
      <c r="H192" s="2179"/>
      <c r="I192" s="2179"/>
      <c r="J192" s="2179"/>
      <c r="K192" s="2179"/>
      <c r="L192" s="2179"/>
      <c r="M192" s="2179"/>
      <c r="N192" s="2179"/>
      <c r="O192" s="2179"/>
      <c r="P192" s="2179"/>
      <c r="Q192" s="2179"/>
      <c r="R192" s="2176">
        <v>0.99</v>
      </c>
      <c r="S192" s="2176">
        <v>0.98009999999999997</v>
      </c>
      <c r="T192" s="2176">
        <v>0.97029899999999991</v>
      </c>
      <c r="U192" s="2180">
        <v>0.96059600999999994</v>
      </c>
    </row>
    <row r="193" spans="1:21">
      <c r="A193" s="2164"/>
      <c r="B193" s="2167"/>
      <c r="C193" s="2169"/>
      <c r="D193" s="1236" t="s">
        <v>1214</v>
      </c>
      <c r="E193" s="2170"/>
      <c r="F193" s="2179"/>
      <c r="G193" s="2179"/>
      <c r="H193" s="2179"/>
      <c r="I193" s="2179"/>
      <c r="J193" s="2179"/>
      <c r="K193" s="2179"/>
      <c r="L193" s="2179"/>
      <c r="M193" s="2179"/>
      <c r="N193" s="2179"/>
      <c r="O193" s="2179"/>
      <c r="P193" s="2179"/>
      <c r="Q193" s="2179"/>
      <c r="R193" s="2176"/>
      <c r="S193" s="2176"/>
      <c r="T193" s="2176"/>
      <c r="U193" s="2180"/>
    </row>
    <row r="194" spans="1:21">
      <c r="A194" s="2164"/>
      <c r="B194" s="2167"/>
      <c r="C194" s="2173" t="s">
        <v>1215</v>
      </c>
      <c r="D194" s="1236" t="s">
        <v>1216</v>
      </c>
      <c r="E194" s="2170"/>
      <c r="F194" s="2179"/>
      <c r="G194" s="2179"/>
      <c r="H194" s="2179"/>
      <c r="I194" s="2179"/>
      <c r="J194" s="2179"/>
      <c r="K194" s="2179"/>
      <c r="L194" s="2179"/>
      <c r="M194" s="2179"/>
      <c r="N194" s="2179"/>
      <c r="O194" s="2179"/>
      <c r="P194" s="2179"/>
      <c r="Q194" s="2179"/>
      <c r="R194" s="2176"/>
      <c r="S194" s="2176"/>
      <c r="T194" s="2176"/>
      <c r="U194" s="2180"/>
    </row>
    <row r="195" spans="1:21">
      <c r="A195" s="2164"/>
      <c r="B195" s="2167"/>
      <c r="C195" s="2174"/>
      <c r="D195" s="1237" t="s">
        <v>1217</v>
      </c>
      <c r="E195" s="2170"/>
      <c r="F195" s="2179"/>
      <c r="G195" s="2179"/>
      <c r="H195" s="2179"/>
      <c r="I195" s="2179"/>
      <c r="J195" s="2179"/>
      <c r="K195" s="2179"/>
      <c r="L195" s="2179"/>
      <c r="M195" s="2179"/>
      <c r="N195" s="2179"/>
      <c r="O195" s="2179"/>
      <c r="P195" s="2179"/>
      <c r="Q195" s="2179"/>
      <c r="R195" s="2176"/>
      <c r="S195" s="2176"/>
      <c r="T195" s="2176"/>
      <c r="U195" s="2180"/>
    </row>
    <row r="196" spans="1:21">
      <c r="A196" s="2164"/>
      <c r="B196" s="2166" t="s">
        <v>1206</v>
      </c>
      <c r="C196" s="2168" t="s">
        <v>1212</v>
      </c>
      <c r="D196" s="1235" t="s">
        <v>1213</v>
      </c>
      <c r="E196" s="2170"/>
      <c r="F196" s="2179"/>
      <c r="G196" s="2179"/>
      <c r="H196" s="2179"/>
      <c r="I196" s="2179"/>
      <c r="J196" s="2179"/>
      <c r="K196" s="2179"/>
      <c r="L196" s="2179"/>
      <c r="M196" s="2179"/>
      <c r="N196" s="2179"/>
      <c r="O196" s="2179"/>
      <c r="P196" s="2179"/>
      <c r="Q196" s="2179"/>
      <c r="R196" s="2179"/>
      <c r="S196" s="2176">
        <v>0.99</v>
      </c>
      <c r="T196" s="2176">
        <v>0.98009999999999997</v>
      </c>
      <c r="U196" s="2180">
        <v>0.97029899999999991</v>
      </c>
    </row>
    <row r="197" spans="1:21">
      <c r="A197" s="2164"/>
      <c r="B197" s="2167"/>
      <c r="C197" s="2169"/>
      <c r="D197" s="1236" t="s">
        <v>1214</v>
      </c>
      <c r="E197" s="2170"/>
      <c r="F197" s="2179"/>
      <c r="G197" s="2179"/>
      <c r="H197" s="2179"/>
      <c r="I197" s="2179"/>
      <c r="J197" s="2179"/>
      <c r="K197" s="2179"/>
      <c r="L197" s="2179"/>
      <c r="M197" s="2179"/>
      <c r="N197" s="2179"/>
      <c r="O197" s="2179"/>
      <c r="P197" s="2179"/>
      <c r="Q197" s="2179"/>
      <c r="R197" s="2179"/>
      <c r="S197" s="2176"/>
      <c r="T197" s="2176"/>
      <c r="U197" s="2180"/>
    </row>
    <row r="198" spans="1:21">
      <c r="A198" s="2164"/>
      <c r="B198" s="2167"/>
      <c r="C198" s="2173" t="s">
        <v>1215</v>
      </c>
      <c r="D198" s="1236" t="s">
        <v>1216</v>
      </c>
      <c r="E198" s="2170"/>
      <c r="F198" s="2179"/>
      <c r="G198" s="2179"/>
      <c r="H198" s="2179"/>
      <c r="I198" s="2179"/>
      <c r="J198" s="2179"/>
      <c r="K198" s="2179"/>
      <c r="L198" s="2179"/>
      <c r="M198" s="2179"/>
      <c r="N198" s="2179"/>
      <c r="O198" s="2179"/>
      <c r="P198" s="2179"/>
      <c r="Q198" s="2179"/>
      <c r="R198" s="2179"/>
      <c r="S198" s="2176"/>
      <c r="T198" s="2176"/>
      <c r="U198" s="2180"/>
    </row>
    <row r="199" spans="1:21">
      <c r="A199" s="2164"/>
      <c r="B199" s="2167"/>
      <c r="C199" s="2174"/>
      <c r="D199" s="1237" t="s">
        <v>1217</v>
      </c>
      <c r="E199" s="2170"/>
      <c r="F199" s="2179"/>
      <c r="G199" s="2179"/>
      <c r="H199" s="2179"/>
      <c r="I199" s="2179"/>
      <c r="J199" s="2179"/>
      <c r="K199" s="2179"/>
      <c r="L199" s="2179"/>
      <c r="M199" s="2179"/>
      <c r="N199" s="2179"/>
      <c r="O199" s="2179"/>
      <c r="P199" s="2179"/>
      <c r="Q199" s="2179"/>
      <c r="R199" s="2179"/>
      <c r="S199" s="2176"/>
      <c r="T199" s="2176"/>
      <c r="U199" s="2180"/>
    </row>
    <row r="200" spans="1:21">
      <c r="A200" s="2164"/>
      <c r="B200" s="2166" t="s">
        <v>1207</v>
      </c>
      <c r="C200" s="2168" t="s">
        <v>1212</v>
      </c>
      <c r="D200" s="1235" t="s">
        <v>1213</v>
      </c>
      <c r="E200" s="2170"/>
      <c r="F200" s="2179"/>
      <c r="G200" s="2179"/>
      <c r="H200" s="2179"/>
      <c r="I200" s="2179"/>
      <c r="J200" s="2179"/>
      <c r="K200" s="2179"/>
      <c r="L200" s="2179"/>
      <c r="M200" s="2179"/>
      <c r="N200" s="2179"/>
      <c r="O200" s="2179"/>
      <c r="P200" s="2179"/>
      <c r="Q200" s="2179"/>
      <c r="R200" s="2179"/>
      <c r="S200" s="2179"/>
      <c r="T200" s="2171">
        <v>0.99</v>
      </c>
      <c r="U200" s="2180">
        <v>0.98009999999999997</v>
      </c>
    </row>
    <row r="201" spans="1:21">
      <c r="A201" s="2164"/>
      <c r="B201" s="2167"/>
      <c r="C201" s="2169"/>
      <c r="D201" s="1236" t="s">
        <v>1214</v>
      </c>
      <c r="E201" s="2170"/>
      <c r="F201" s="2179"/>
      <c r="G201" s="2179"/>
      <c r="H201" s="2179"/>
      <c r="I201" s="2179"/>
      <c r="J201" s="2179"/>
      <c r="K201" s="2179"/>
      <c r="L201" s="2179"/>
      <c r="M201" s="2179"/>
      <c r="N201" s="2179"/>
      <c r="O201" s="2179"/>
      <c r="P201" s="2179"/>
      <c r="Q201" s="2179"/>
      <c r="R201" s="2179"/>
      <c r="S201" s="2179"/>
      <c r="T201" s="2172"/>
      <c r="U201" s="2180"/>
    </row>
    <row r="202" spans="1:21">
      <c r="A202" s="2164"/>
      <c r="B202" s="2167"/>
      <c r="C202" s="2173" t="s">
        <v>1215</v>
      </c>
      <c r="D202" s="1236" t="s">
        <v>1216</v>
      </c>
      <c r="E202" s="2170"/>
      <c r="F202" s="2179"/>
      <c r="G202" s="2179"/>
      <c r="H202" s="2179"/>
      <c r="I202" s="2179"/>
      <c r="J202" s="2179"/>
      <c r="K202" s="2179"/>
      <c r="L202" s="2179"/>
      <c r="M202" s="2179"/>
      <c r="N202" s="2179"/>
      <c r="O202" s="2179"/>
      <c r="P202" s="2179"/>
      <c r="Q202" s="2179"/>
      <c r="R202" s="2179"/>
      <c r="S202" s="2179"/>
      <c r="T202" s="2172"/>
      <c r="U202" s="2180"/>
    </row>
    <row r="203" spans="1:21">
      <c r="A203" s="2164"/>
      <c r="B203" s="2167"/>
      <c r="C203" s="2174"/>
      <c r="D203" s="1237" t="s">
        <v>1217</v>
      </c>
      <c r="E203" s="2170"/>
      <c r="F203" s="2179"/>
      <c r="G203" s="2179"/>
      <c r="H203" s="2179"/>
      <c r="I203" s="2179"/>
      <c r="J203" s="2179"/>
      <c r="K203" s="2179"/>
      <c r="L203" s="2179"/>
      <c r="M203" s="2179"/>
      <c r="N203" s="2179"/>
      <c r="O203" s="2179"/>
      <c r="P203" s="2179"/>
      <c r="Q203" s="2179"/>
      <c r="R203" s="2179"/>
      <c r="S203" s="2179"/>
      <c r="T203" s="2187"/>
      <c r="U203" s="2180"/>
    </row>
    <row r="204" spans="1:21">
      <c r="A204" s="2164"/>
      <c r="B204" s="2166" t="s">
        <v>1208</v>
      </c>
      <c r="C204" s="2168" t="s">
        <v>1212</v>
      </c>
      <c r="D204" s="1235" t="s">
        <v>1213</v>
      </c>
      <c r="E204" s="2170"/>
      <c r="F204" s="2179"/>
      <c r="G204" s="2179"/>
      <c r="H204" s="2179"/>
      <c r="I204" s="2179"/>
      <c r="J204" s="2179"/>
      <c r="K204" s="2179"/>
      <c r="L204" s="2179"/>
      <c r="M204" s="2179"/>
      <c r="N204" s="2179"/>
      <c r="O204" s="2179"/>
      <c r="P204" s="2179"/>
      <c r="Q204" s="2179"/>
      <c r="R204" s="2179"/>
      <c r="S204" s="2179"/>
      <c r="T204" s="2179"/>
      <c r="U204" s="2180">
        <v>0.99</v>
      </c>
    </row>
    <row r="205" spans="1:21">
      <c r="A205" s="2164"/>
      <c r="B205" s="2167"/>
      <c r="C205" s="2169"/>
      <c r="D205" s="1236" t="s">
        <v>1214</v>
      </c>
      <c r="E205" s="2170"/>
      <c r="F205" s="2179"/>
      <c r="G205" s="2179"/>
      <c r="H205" s="2179"/>
      <c r="I205" s="2179"/>
      <c r="J205" s="2179"/>
      <c r="K205" s="2179"/>
      <c r="L205" s="2179"/>
      <c r="M205" s="2179"/>
      <c r="N205" s="2179"/>
      <c r="O205" s="2179"/>
      <c r="P205" s="2179"/>
      <c r="Q205" s="2179"/>
      <c r="R205" s="2179"/>
      <c r="S205" s="2179"/>
      <c r="T205" s="2179"/>
      <c r="U205" s="2180"/>
    </row>
    <row r="206" spans="1:21">
      <c r="A206" s="2164"/>
      <c r="B206" s="2167"/>
      <c r="C206" s="2173" t="s">
        <v>1215</v>
      </c>
      <c r="D206" s="1236" t="s">
        <v>1216</v>
      </c>
      <c r="E206" s="2170"/>
      <c r="F206" s="2179"/>
      <c r="G206" s="2179"/>
      <c r="H206" s="2179"/>
      <c r="I206" s="2179"/>
      <c r="J206" s="2179"/>
      <c r="K206" s="2179"/>
      <c r="L206" s="2179"/>
      <c r="M206" s="2179"/>
      <c r="N206" s="2179"/>
      <c r="O206" s="2179"/>
      <c r="P206" s="2179"/>
      <c r="Q206" s="2179"/>
      <c r="R206" s="2179"/>
      <c r="S206" s="2179"/>
      <c r="T206" s="2179"/>
      <c r="U206" s="2180"/>
    </row>
    <row r="207" spans="1:21">
      <c r="A207" s="2164"/>
      <c r="B207" s="2167"/>
      <c r="C207" s="2174"/>
      <c r="D207" s="1237" t="s">
        <v>1217</v>
      </c>
      <c r="E207" s="2170"/>
      <c r="F207" s="2179"/>
      <c r="G207" s="2179"/>
      <c r="H207" s="2179"/>
      <c r="I207" s="2179"/>
      <c r="J207" s="2179"/>
      <c r="K207" s="2179"/>
      <c r="L207" s="2179"/>
      <c r="M207" s="2179"/>
      <c r="N207" s="2179"/>
      <c r="O207" s="2179"/>
      <c r="P207" s="2179"/>
      <c r="Q207" s="2179"/>
      <c r="R207" s="2179"/>
      <c r="S207" s="2179"/>
      <c r="T207" s="2179"/>
      <c r="U207" s="2180"/>
    </row>
    <row r="208" spans="1:21">
      <c r="A208" s="2164"/>
      <c r="B208" s="2175" t="s">
        <v>1209</v>
      </c>
      <c r="C208" s="2168" t="s">
        <v>1212</v>
      </c>
      <c r="D208" s="1235" t="s">
        <v>1213</v>
      </c>
      <c r="E208" s="2188"/>
      <c r="F208" s="2191"/>
      <c r="G208" s="2191"/>
      <c r="H208" s="2191"/>
      <c r="I208" s="2191"/>
      <c r="J208" s="2191"/>
      <c r="K208" s="2191"/>
      <c r="L208" s="2191"/>
      <c r="M208" s="2191"/>
      <c r="N208" s="2191"/>
      <c r="O208" s="2191"/>
      <c r="P208" s="2191"/>
      <c r="Q208" s="2191"/>
      <c r="R208" s="2191"/>
      <c r="S208" s="2191"/>
      <c r="T208" s="2191"/>
      <c r="U208" s="2194"/>
    </row>
    <row r="209" spans="1:21">
      <c r="A209" s="2164"/>
      <c r="B209" s="2167"/>
      <c r="C209" s="2169"/>
      <c r="D209" s="1236" t="s">
        <v>1214</v>
      </c>
      <c r="E209" s="2189"/>
      <c r="F209" s="2192"/>
      <c r="G209" s="2192"/>
      <c r="H209" s="2192"/>
      <c r="I209" s="2192"/>
      <c r="J209" s="2192"/>
      <c r="K209" s="2192"/>
      <c r="L209" s="2192"/>
      <c r="M209" s="2192"/>
      <c r="N209" s="2192"/>
      <c r="O209" s="2192"/>
      <c r="P209" s="2192"/>
      <c r="Q209" s="2192"/>
      <c r="R209" s="2192"/>
      <c r="S209" s="2192"/>
      <c r="T209" s="2192"/>
      <c r="U209" s="2195"/>
    </row>
    <row r="210" spans="1:21">
      <c r="A210" s="2164"/>
      <c r="B210" s="2167"/>
      <c r="C210" s="2173" t="s">
        <v>1215</v>
      </c>
      <c r="D210" s="1236" t="s">
        <v>1216</v>
      </c>
      <c r="E210" s="2189"/>
      <c r="F210" s="2192"/>
      <c r="G210" s="2192"/>
      <c r="H210" s="2192"/>
      <c r="I210" s="2192"/>
      <c r="J210" s="2192"/>
      <c r="K210" s="2192"/>
      <c r="L210" s="2192"/>
      <c r="M210" s="2192"/>
      <c r="N210" s="2192"/>
      <c r="O210" s="2192"/>
      <c r="P210" s="2192"/>
      <c r="Q210" s="2192"/>
      <c r="R210" s="2192"/>
      <c r="S210" s="2192"/>
      <c r="T210" s="2192"/>
      <c r="U210" s="2195"/>
    </row>
    <row r="211" spans="1:21">
      <c r="A211" s="2165"/>
      <c r="B211" s="2167"/>
      <c r="C211" s="2174"/>
      <c r="D211" s="1237" t="s">
        <v>1217</v>
      </c>
      <c r="E211" s="2190"/>
      <c r="F211" s="2193"/>
      <c r="G211" s="2193"/>
      <c r="H211" s="2193"/>
      <c r="I211" s="2193"/>
      <c r="J211" s="2193"/>
      <c r="K211" s="2193"/>
      <c r="L211" s="2193"/>
      <c r="M211" s="2193"/>
      <c r="N211" s="2193"/>
      <c r="O211" s="2193"/>
      <c r="P211" s="2193"/>
      <c r="Q211" s="2193"/>
      <c r="R211" s="2193"/>
      <c r="S211" s="2193"/>
      <c r="T211" s="2193"/>
      <c r="U211" s="2196"/>
    </row>
    <row r="212" spans="1:21">
      <c r="A212" s="2157" t="s">
        <v>1220</v>
      </c>
      <c r="B212" s="2175" t="s">
        <v>1211</v>
      </c>
      <c r="C212" s="2168" t="s">
        <v>1212</v>
      </c>
      <c r="D212" s="1235" t="s">
        <v>1213</v>
      </c>
      <c r="E212" s="2170"/>
      <c r="F212" s="2171">
        <v>0.8</v>
      </c>
      <c r="G212" s="2171">
        <v>0.68800000000000006</v>
      </c>
      <c r="H212" s="2171">
        <v>0.66048000000000007</v>
      </c>
      <c r="I212" s="2171">
        <v>0.60764160000000011</v>
      </c>
      <c r="J212" s="2171">
        <v>0.57118310400000005</v>
      </c>
      <c r="K212" s="2171">
        <v>0.54262394879999998</v>
      </c>
      <c r="L212" s="2171">
        <v>0.52091899084799997</v>
      </c>
      <c r="M212" s="2171">
        <v>0.48445466148864003</v>
      </c>
      <c r="N212" s="2171">
        <v>0.46992102164398081</v>
      </c>
      <c r="O212" s="2171">
        <v>0.46052260121110117</v>
      </c>
      <c r="P212" s="2171">
        <v>0.45131214918687912</v>
      </c>
      <c r="Q212" s="2171">
        <v>0.44679902769501034</v>
      </c>
      <c r="R212" s="2171">
        <v>0.44233103741806024</v>
      </c>
      <c r="S212" s="2171">
        <v>0.43790772704387965</v>
      </c>
      <c r="T212" s="2171">
        <v>0.43352864977344086</v>
      </c>
      <c r="U212" s="2181">
        <v>0.42919336327570645</v>
      </c>
    </row>
    <row r="213" spans="1:21">
      <c r="A213" s="2164"/>
      <c r="B213" s="2167"/>
      <c r="C213" s="2169"/>
      <c r="D213" s="1236" t="s">
        <v>1214</v>
      </c>
      <c r="E213" s="2170"/>
      <c r="F213" s="2172"/>
      <c r="G213" s="2172"/>
      <c r="H213" s="2172"/>
      <c r="I213" s="2172"/>
      <c r="J213" s="2172"/>
      <c r="K213" s="2172"/>
      <c r="L213" s="2172"/>
      <c r="M213" s="2172"/>
      <c r="N213" s="2172"/>
      <c r="O213" s="2172"/>
      <c r="P213" s="2172"/>
      <c r="Q213" s="2172"/>
      <c r="R213" s="2172"/>
      <c r="S213" s="2172"/>
      <c r="T213" s="2172"/>
      <c r="U213" s="2182"/>
    </row>
    <row r="214" spans="1:21">
      <c r="A214" s="2164"/>
      <c r="B214" s="2167"/>
      <c r="C214" s="2173" t="s">
        <v>1215</v>
      </c>
      <c r="D214" s="1236" t="s">
        <v>1216</v>
      </c>
      <c r="E214" s="2170"/>
      <c r="F214" s="2172"/>
      <c r="G214" s="2172"/>
      <c r="H214" s="2172"/>
      <c r="I214" s="2172"/>
      <c r="J214" s="2172"/>
      <c r="K214" s="2172"/>
      <c r="L214" s="2172"/>
      <c r="M214" s="2172"/>
      <c r="N214" s="2172"/>
      <c r="O214" s="2172"/>
      <c r="P214" s="2172"/>
      <c r="Q214" s="2172"/>
      <c r="R214" s="2172"/>
      <c r="S214" s="2172"/>
      <c r="T214" s="2172"/>
      <c r="U214" s="2182"/>
    </row>
    <row r="215" spans="1:21">
      <c r="A215" s="2164"/>
      <c r="B215" s="2167"/>
      <c r="C215" s="2174"/>
      <c r="D215" s="1237" t="s">
        <v>1217</v>
      </c>
      <c r="E215" s="2170"/>
      <c r="F215" s="2172"/>
      <c r="G215" s="2172"/>
      <c r="H215" s="2172"/>
      <c r="I215" s="2172"/>
      <c r="J215" s="2172"/>
      <c r="K215" s="2172"/>
      <c r="L215" s="2172"/>
      <c r="M215" s="2172"/>
      <c r="N215" s="2172"/>
      <c r="O215" s="2172"/>
      <c r="P215" s="2172"/>
      <c r="Q215" s="2172"/>
      <c r="R215" s="2172"/>
      <c r="S215" s="2172"/>
      <c r="T215" s="2172"/>
      <c r="U215" s="2182"/>
    </row>
    <row r="216" spans="1:21">
      <c r="A216" s="2164"/>
      <c r="B216" s="2175" t="s">
        <v>1194</v>
      </c>
      <c r="C216" s="2168" t="s">
        <v>1212</v>
      </c>
      <c r="D216" s="1235" t="s">
        <v>1213</v>
      </c>
      <c r="E216" s="2170"/>
      <c r="F216" s="2179"/>
      <c r="G216" s="2176">
        <v>0.86</v>
      </c>
      <c r="H216" s="2176">
        <v>0.8256</v>
      </c>
      <c r="I216" s="2176">
        <v>0.759552</v>
      </c>
      <c r="J216" s="2176">
        <v>0.71397887999999998</v>
      </c>
      <c r="K216" s="2176">
        <v>0.67827993599999992</v>
      </c>
      <c r="L216" s="2176">
        <v>0.65114873855999988</v>
      </c>
      <c r="M216" s="2176">
        <v>0.60556832686079998</v>
      </c>
      <c r="N216" s="2176">
        <v>0.58740127705497591</v>
      </c>
      <c r="O216" s="2176">
        <v>0.57565325151387636</v>
      </c>
      <c r="P216" s="2176">
        <v>0.56414018648359887</v>
      </c>
      <c r="Q216" s="2176">
        <v>0.5584987846187629</v>
      </c>
      <c r="R216" s="2176">
        <v>0.55291379677257524</v>
      </c>
      <c r="S216" s="2176">
        <v>0.54738465880484943</v>
      </c>
      <c r="T216" s="2176">
        <v>0.54191081221680093</v>
      </c>
      <c r="U216" s="2180">
        <v>0.53649170409463287</v>
      </c>
    </row>
    <row r="217" spans="1:21">
      <c r="A217" s="2164"/>
      <c r="B217" s="2167"/>
      <c r="C217" s="2169"/>
      <c r="D217" s="1236" t="s">
        <v>1214</v>
      </c>
      <c r="E217" s="2170"/>
      <c r="F217" s="2179"/>
      <c r="G217" s="2176"/>
      <c r="H217" s="2176"/>
      <c r="I217" s="2176"/>
      <c r="J217" s="2176"/>
      <c r="K217" s="2176"/>
      <c r="L217" s="2176"/>
      <c r="M217" s="2176"/>
      <c r="N217" s="2176"/>
      <c r="O217" s="2176"/>
      <c r="P217" s="2176"/>
      <c r="Q217" s="2176"/>
      <c r="R217" s="2176"/>
      <c r="S217" s="2176"/>
      <c r="T217" s="2176"/>
      <c r="U217" s="2180"/>
    </row>
    <row r="218" spans="1:21">
      <c r="A218" s="2164"/>
      <c r="B218" s="2167"/>
      <c r="C218" s="2173" t="s">
        <v>1215</v>
      </c>
      <c r="D218" s="1236" t="s">
        <v>1216</v>
      </c>
      <c r="E218" s="2170"/>
      <c r="F218" s="2179"/>
      <c r="G218" s="2176"/>
      <c r="H218" s="2176"/>
      <c r="I218" s="2176"/>
      <c r="J218" s="2176"/>
      <c r="K218" s="2176"/>
      <c r="L218" s="2176"/>
      <c r="M218" s="2176"/>
      <c r="N218" s="2176"/>
      <c r="O218" s="2176"/>
      <c r="P218" s="2176"/>
      <c r="Q218" s="2176"/>
      <c r="R218" s="2176"/>
      <c r="S218" s="2176"/>
      <c r="T218" s="2176"/>
      <c r="U218" s="2180"/>
    </row>
    <row r="219" spans="1:21">
      <c r="A219" s="2164"/>
      <c r="B219" s="2167"/>
      <c r="C219" s="2174"/>
      <c r="D219" s="1237" t="s">
        <v>1217</v>
      </c>
      <c r="E219" s="2170"/>
      <c r="F219" s="2179"/>
      <c r="G219" s="2176"/>
      <c r="H219" s="2176"/>
      <c r="I219" s="2176"/>
      <c r="J219" s="2176"/>
      <c r="K219" s="2176"/>
      <c r="L219" s="2176"/>
      <c r="M219" s="2176"/>
      <c r="N219" s="2176"/>
      <c r="O219" s="2176"/>
      <c r="P219" s="2176"/>
      <c r="Q219" s="2176"/>
      <c r="R219" s="2176"/>
      <c r="S219" s="2176"/>
      <c r="T219" s="2176"/>
      <c r="U219" s="2180"/>
    </row>
    <row r="220" spans="1:21">
      <c r="A220" s="2164"/>
      <c r="B220" s="2166" t="s">
        <v>1195</v>
      </c>
      <c r="C220" s="2168" t="s">
        <v>1212</v>
      </c>
      <c r="D220" s="1235" t="s">
        <v>1213</v>
      </c>
      <c r="E220" s="2170"/>
      <c r="F220" s="2179"/>
      <c r="G220" s="2179"/>
      <c r="H220" s="2176">
        <v>0.96</v>
      </c>
      <c r="I220" s="2176">
        <v>0.88319999999999999</v>
      </c>
      <c r="J220" s="2176">
        <v>0.83020799999999995</v>
      </c>
      <c r="K220" s="2176">
        <v>0.78869759999999989</v>
      </c>
      <c r="L220" s="2176">
        <v>0.75714969599999982</v>
      </c>
      <c r="M220" s="2176">
        <v>0.70414921727999991</v>
      </c>
      <c r="N220" s="2176">
        <v>0.68302474076159991</v>
      </c>
      <c r="O220" s="2176">
        <v>0.6693642459463679</v>
      </c>
      <c r="P220" s="2176">
        <v>0.65597696102744052</v>
      </c>
      <c r="Q220" s="2176">
        <v>0.64941719141716614</v>
      </c>
      <c r="R220" s="2176">
        <v>0.64292301950299446</v>
      </c>
      <c r="S220" s="2176">
        <v>0.63649378930796452</v>
      </c>
      <c r="T220" s="2176">
        <v>0.63012885141488484</v>
      </c>
      <c r="U220" s="2180">
        <v>0.62382756290073593</v>
      </c>
    </row>
    <row r="221" spans="1:21">
      <c r="A221" s="2164"/>
      <c r="B221" s="2167"/>
      <c r="C221" s="2169"/>
      <c r="D221" s="1236" t="s">
        <v>1214</v>
      </c>
      <c r="E221" s="2170"/>
      <c r="F221" s="2179"/>
      <c r="G221" s="2179"/>
      <c r="H221" s="2176"/>
      <c r="I221" s="2176"/>
      <c r="J221" s="2176"/>
      <c r="K221" s="2176"/>
      <c r="L221" s="2176"/>
      <c r="M221" s="2176"/>
      <c r="N221" s="2176"/>
      <c r="O221" s="2176"/>
      <c r="P221" s="2176"/>
      <c r="Q221" s="2176"/>
      <c r="R221" s="2176"/>
      <c r="S221" s="2176"/>
      <c r="T221" s="2176"/>
      <c r="U221" s="2180"/>
    </row>
    <row r="222" spans="1:21">
      <c r="A222" s="2164"/>
      <c r="B222" s="2167"/>
      <c r="C222" s="2173" t="s">
        <v>1215</v>
      </c>
      <c r="D222" s="1236" t="s">
        <v>1216</v>
      </c>
      <c r="E222" s="2170"/>
      <c r="F222" s="2179"/>
      <c r="G222" s="2179"/>
      <c r="H222" s="2176"/>
      <c r="I222" s="2176"/>
      <c r="J222" s="2176"/>
      <c r="K222" s="2176"/>
      <c r="L222" s="2176"/>
      <c r="M222" s="2176"/>
      <c r="N222" s="2176"/>
      <c r="O222" s="2176"/>
      <c r="P222" s="2176"/>
      <c r="Q222" s="2176"/>
      <c r="R222" s="2176"/>
      <c r="S222" s="2176"/>
      <c r="T222" s="2176"/>
      <c r="U222" s="2180"/>
    </row>
    <row r="223" spans="1:21">
      <c r="A223" s="2164"/>
      <c r="B223" s="2167"/>
      <c r="C223" s="2174"/>
      <c r="D223" s="1237" t="s">
        <v>1217</v>
      </c>
      <c r="E223" s="2170"/>
      <c r="F223" s="2179"/>
      <c r="G223" s="2179"/>
      <c r="H223" s="2176"/>
      <c r="I223" s="2176"/>
      <c r="J223" s="2176"/>
      <c r="K223" s="2176"/>
      <c r="L223" s="2176"/>
      <c r="M223" s="2176"/>
      <c r="N223" s="2176"/>
      <c r="O223" s="2176"/>
      <c r="P223" s="2176"/>
      <c r="Q223" s="2176"/>
      <c r="R223" s="2176"/>
      <c r="S223" s="2176"/>
      <c r="T223" s="2176"/>
      <c r="U223" s="2180"/>
    </row>
    <row r="224" spans="1:21">
      <c r="A224" s="2164"/>
      <c r="B224" s="2166" t="s">
        <v>1196</v>
      </c>
      <c r="C224" s="2168" t="s">
        <v>1212</v>
      </c>
      <c r="D224" s="1235" t="s">
        <v>1213</v>
      </c>
      <c r="E224" s="2170"/>
      <c r="F224" s="2179"/>
      <c r="G224" s="2179"/>
      <c r="H224" s="2179"/>
      <c r="I224" s="2176">
        <v>0.92</v>
      </c>
      <c r="J224" s="2176">
        <v>0.86480000000000001</v>
      </c>
      <c r="K224" s="2176">
        <v>0.82155999999999996</v>
      </c>
      <c r="L224" s="2176">
        <v>0.78869759999999989</v>
      </c>
      <c r="M224" s="2176">
        <v>0.73348876799999996</v>
      </c>
      <c r="N224" s="2176">
        <v>0.71148410495999992</v>
      </c>
      <c r="O224" s="2176">
        <v>0.69725442286079986</v>
      </c>
      <c r="P224" s="2176">
        <v>0.68330933440358388</v>
      </c>
      <c r="Q224" s="2176">
        <v>0.67647624105954807</v>
      </c>
      <c r="R224" s="2176">
        <v>0.66971147864895253</v>
      </c>
      <c r="S224" s="2176">
        <v>0.66301436386246304</v>
      </c>
      <c r="T224" s="2176">
        <v>0.65638422022383835</v>
      </c>
      <c r="U224" s="2180">
        <v>0.64982037802159998</v>
      </c>
    </row>
    <row r="225" spans="1:21">
      <c r="A225" s="2164"/>
      <c r="B225" s="2167"/>
      <c r="C225" s="2169"/>
      <c r="D225" s="1236" t="s">
        <v>1214</v>
      </c>
      <c r="E225" s="2170"/>
      <c r="F225" s="2179"/>
      <c r="G225" s="2179"/>
      <c r="H225" s="2179"/>
      <c r="I225" s="2176"/>
      <c r="J225" s="2176"/>
      <c r="K225" s="2176"/>
      <c r="L225" s="2176"/>
      <c r="M225" s="2176"/>
      <c r="N225" s="2176"/>
      <c r="O225" s="2176"/>
      <c r="P225" s="2176"/>
      <c r="Q225" s="2176"/>
      <c r="R225" s="2176"/>
      <c r="S225" s="2176"/>
      <c r="T225" s="2176"/>
      <c r="U225" s="2180"/>
    </row>
    <row r="226" spans="1:21">
      <c r="A226" s="2164"/>
      <c r="B226" s="2167"/>
      <c r="C226" s="2173" t="s">
        <v>1215</v>
      </c>
      <c r="D226" s="1236" t="s">
        <v>1216</v>
      </c>
      <c r="E226" s="2170"/>
      <c r="F226" s="2179"/>
      <c r="G226" s="2179"/>
      <c r="H226" s="2179"/>
      <c r="I226" s="2176"/>
      <c r="J226" s="2176"/>
      <c r="K226" s="2176"/>
      <c r="L226" s="2176"/>
      <c r="M226" s="2176"/>
      <c r="N226" s="2176"/>
      <c r="O226" s="2176"/>
      <c r="P226" s="2176"/>
      <c r="Q226" s="2176"/>
      <c r="R226" s="2176"/>
      <c r="S226" s="2176"/>
      <c r="T226" s="2176"/>
      <c r="U226" s="2180"/>
    </row>
    <row r="227" spans="1:21">
      <c r="A227" s="2164"/>
      <c r="B227" s="2167"/>
      <c r="C227" s="2174"/>
      <c r="D227" s="1237" t="s">
        <v>1217</v>
      </c>
      <c r="E227" s="2170"/>
      <c r="F227" s="2179"/>
      <c r="G227" s="2179"/>
      <c r="H227" s="2179"/>
      <c r="I227" s="2176"/>
      <c r="J227" s="2176"/>
      <c r="K227" s="2176"/>
      <c r="L227" s="2176"/>
      <c r="M227" s="2176"/>
      <c r="N227" s="2176"/>
      <c r="O227" s="2176"/>
      <c r="P227" s="2176"/>
      <c r="Q227" s="2176"/>
      <c r="R227" s="2176"/>
      <c r="S227" s="2176"/>
      <c r="T227" s="2176"/>
      <c r="U227" s="2180"/>
    </row>
    <row r="228" spans="1:21">
      <c r="A228" s="2164"/>
      <c r="B228" s="2166" t="s">
        <v>1197</v>
      </c>
      <c r="C228" s="2168" t="s">
        <v>1212</v>
      </c>
      <c r="D228" s="1235" t="s">
        <v>1213</v>
      </c>
      <c r="E228" s="2170"/>
      <c r="F228" s="2179"/>
      <c r="G228" s="2179"/>
      <c r="H228" s="2179"/>
      <c r="I228" s="2179"/>
      <c r="J228" s="2176">
        <v>0.94</v>
      </c>
      <c r="K228" s="2176">
        <v>0.8929999999999999</v>
      </c>
      <c r="L228" s="2176">
        <v>0.85727999999999993</v>
      </c>
      <c r="M228" s="2176">
        <v>0.79727039999999993</v>
      </c>
      <c r="N228" s="2176">
        <v>0.77335228799999989</v>
      </c>
      <c r="O228" s="2176">
        <v>0.75788524223999987</v>
      </c>
      <c r="P228" s="2176">
        <v>0.74272753739519981</v>
      </c>
      <c r="Q228" s="2176">
        <v>0.73530026202124776</v>
      </c>
      <c r="R228" s="2176">
        <v>0.72794725940103533</v>
      </c>
      <c r="S228" s="2176">
        <v>0.72066778680702492</v>
      </c>
      <c r="T228" s="2176">
        <v>0.71346110893895465</v>
      </c>
      <c r="U228" s="2180">
        <v>0.70632649784956514</v>
      </c>
    </row>
    <row r="229" spans="1:21">
      <c r="A229" s="2164"/>
      <c r="B229" s="2167"/>
      <c r="C229" s="2169"/>
      <c r="D229" s="1236" t="s">
        <v>1214</v>
      </c>
      <c r="E229" s="2170"/>
      <c r="F229" s="2179"/>
      <c r="G229" s="2179"/>
      <c r="H229" s="2179"/>
      <c r="I229" s="2179"/>
      <c r="J229" s="2176"/>
      <c r="K229" s="2176"/>
      <c r="L229" s="2176"/>
      <c r="M229" s="2176"/>
      <c r="N229" s="2176"/>
      <c r="O229" s="2176"/>
      <c r="P229" s="2176"/>
      <c r="Q229" s="2176"/>
      <c r="R229" s="2176"/>
      <c r="S229" s="2176"/>
      <c r="T229" s="2176"/>
      <c r="U229" s="2180"/>
    </row>
    <row r="230" spans="1:21">
      <c r="A230" s="2164"/>
      <c r="B230" s="2167"/>
      <c r="C230" s="2173" t="s">
        <v>1215</v>
      </c>
      <c r="D230" s="1236" t="s">
        <v>1216</v>
      </c>
      <c r="E230" s="2170"/>
      <c r="F230" s="2179"/>
      <c r="G230" s="2179"/>
      <c r="H230" s="2179"/>
      <c r="I230" s="2179"/>
      <c r="J230" s="2176"/>
      <c r="K230" s="2176"/>
      <c r="L230" s="2176"/>
      <c r="M230" s="2176"/>
      <c r="N230" s="2176"/>
      <c r="O230" s="2176"/>
      <c r="P230" s="2176"/>
      <c r="Q230" s="2176"/>
      <c r="R230" s="2176"/>
      <c r="S230" s="2176"/>
      <c r="T230" s="2176"/>
      <c r="U230" s="2180"/>
    </row>
    <row r="231" spans="1:21">
      <c r="A231" s="2164"/>
      <c r="B231" s="2167"/>
      <c r="C231" s="2174"/>
      <c r="D231" s="1237" t="s">
        <v>1217</v>
      </c>
      <c r="E231" s="2170"/>
      <c r="F231" s="2179"/>
      <c r="G231" s="2179"/>
      <c r="H231" s="2179"/>
      <c r="I231" s="2179"/>
      <c r="J231" s="2176"/>
      <c r="K231" s="2176"/>
      <c r="L231" s="2176"/>
      <c r="M231" s="2176"/>
      <c r="N231" s="2176"/>
      <c r="O231" s="2176"/>
      <c r="P231" s="2176"/>
      <c r="Q231" s="2176"/>
      <c r="R231" s="2176"/>
      <c r="S231" s="2176"/>
      <c r="T231" s="2176"/>
      <c r="U231" s="2180"/>
    </row>
    <row r="232" spans="1:21">
      <c r="A232" s="2164"/>
      <c r="B232" s="2166" t="s">
        <v>1198</v>
      </c>
      <c r="C232" s="2168" t="s">
        <v>1212</v>
      </c>
      <c r="D232" s="1235" t="s">
        <v>1213</v>
      </c>
      <c r="E232" s="2170"/>
      <c r="F232" s="2179"/>
      <c r="G232" s="2179"/>
      <c r="H232" s="2179"/>
      <c r="I232" s="2179"/>
      <c r="J232" s="2179"/>
      <c r="K232" s="2176">
        <v>0.95</v>
      </c>
      <c r="L232" s="2176">
        <v>0.91199999999999992</v>
      </c>
      <c r="M232" s="2176">
        <v>0.84816000000000003</v>
      </c>
      <c r="N232" s="2176">
        <v>0.82271519999999998</v>
      </c>
      <c r="O232" s="2176">
        <v>0.80626089599999995</v>
      </c>
      <c r="P232" s="2176">
        <v>0.79013567807999996</v>
      </c>
      <c r="Q232" s="2176">
        <v>0.7822343212991999</v>
      </c>
      <c r="R232" s="2176">
        <v>0.77441197808620788</v>
      </c>
      <c r="S232" s="2176">
        <v>0.76666785830534578</v>
      </c>
      <c r="T232" s="2176">
        <v>0.75900117972229231</v>
      </c>
      <c r="U232" s="2180">
        <v>0.75141116792506935</v>
      </c>
    </row>
    <row r="233" spans="1:21">
      <c r="A233" s="2164"/>
      <c r="B233" s="2167"/>
      <c r="C233" s="2169"/>
      <c r="D233" s="1236" t="s">
        <v>1214</v>
      </c>
      <c r="E233" s="2170"/>
      <c r="F233" s="2179"/>
      <c r="G233" s="2179"/>
      <c r="H233" s="2179"/>
      <c r="I233" s="2179"/>
      <c r="J233" s="2179"/>
      <c r="K233" s="2176"/>
      <c r="L233" s="2176"/>
      <c r="M233" s="2176"/>
      <c r="N233" s="2176"/>
      <c r="O233" s="2176"/>
      <c r="P233" s="2176"/>
      <c r="Q233" s="2176"/>
      <c r="R233" s="2176"/>
      <c r="S233" s="2176"/>
      <c r="T233" s="2176"/>
      <c r="U233" s="2180"/>
    </row>
    <row r="234" spans="1:21">
      <c r="A234" s="2164"/>
      <c r="B234" s="2167"/>
      <c r="C234" s="2173" t="s">
        <v>1215</v>
      </c>
      <c r="D234" s="1236" t="s">
        <v>1216</v>
      </c>
      <c r="E234" s="2170"/>
      <c r="F234" s="2179"/>
      <c r="G234" s="2179"/>
      <c r="H234" s="2179"/>
      <c r="I234" s="2179"/>
      <c r="J234" s="2179"/>
      <c r="K234" s="2176"/>
      <c r="L234" s="2176"/>
      <c r="M234" s="2176"/>
      <c r="N234" s="2176"/>
      <c r="O234" s="2176"/>
      <c r="P234" s="2176"/>
      <c r="Q234" s="2176"/>
      <c r="R234" s="2176"/>
      <c r="S234" s="2176"/>
      <c r="T234" s="2176"/>
      <c r="U234" s="2180"/>
    </row>
    <row r="235" spans="1:21">
      <c r="A235" s="2164"/>
      <c r="B235" s="2167"/>
      <c r="C235" s="2174"/>
      <c r="D235" s="1237" t="s">
        <v>1217</v>
      </c>
      <c r="E235" s="2170"/>
      <c r="F235" s="2179"/>
      <c r="G235" s="2179"/>
      <c r="H235" s="2179"/>
      <c r="I235" s="2179"/>
      <c r="J235" s="2179"/>
      <c r="K235" s="2176"/>
      <c r="L235" s="2176"/>
      <c r="M235" s="2176"/>
      <c r="N235" s="2176"/>
      <c r="O235" s="2176"/>
      <c r="P235" s="2176"/>
      <c r="Q235" s="2176"/>
      <c r="R235" s="2176"/>
      <c r="S235" s="2176"/>
      <c r="T235" s="2176"/>
      <c r="U235" s="2180"/>
    </row>
    <row r="236" spans="1:21">
      <c r="A236" s="2164"/>
      <c r="B236" s="2166" t="s">
        <v>1199</v>
      </c>
      <c r="C236" s="2168" t="s">
        <v>1212</v>
      </c>
      <c r="D236" s="1235" t="s">
        <v>1213</v>
      </c>
      <c r="E236" s="2170"/>
      <c r="F236" s="2179"/>
      <c r="G236" s="2179"/>
      <c r="H236" s="2179"/>
      <c r="I236" s="2179"/>
      <c r="J236" s="2179"/>
      <c r="K236" s="2179"/>
      <c r="L236" s="2176">
        <v>0.96</v>
      </c>
      <c r="M236" s="2176">
        <v>0.89280000000000004</v>
      </c>
      <c r="N236" s="2176">
        <v>0.86601600000000001</v>
      </c>
      <c r="O236" s="2176">
        <v>0.84869567999999995</v>
      </c>
      <c r="P236" s="2176">
        <v>0.83172176639999995</v>
      </c>
      <c r="Q236" s="2176">
        <v>0.823404548736</v>
      </c>
      <c r="R236" s="2176">
        <v>0.81517050324864004</v>
      </c>
      <c r="S236" s="2176">
        <v>0.80701879821615363</v>
      </c>
      <c r="T236" s="2176">
        <v>0.79894861023399211</v>
      </c>
      <c r="U236" s="2180">
        <v>0.79095912413165215</v>
      </c>
    </row>
    <row r="237" spans="1:21">
      <c r="A237" s="2164"/>
      <c r="B237" s="2167"/>
      <c r="C237" s="2169"/>
      <c r="D237" s="1236" t="s">
        <v>1214</v>
      </c>
      <c r="E237" s="2170"/>
      <c r="F237" s="2179"/>
      <c r="G237" s="2179"/>
      <c r="H237" s="2179"/>
      <c r="I237" s="2179"/>
      <c r="J237" s="2179"/>
      <c r="K237" s="2179"/>
      <c r="L237" s="2176"/>
      <c r="M237" s="2176"/>
      <c r="N237" s="2176"/>
      <c r="O237" s="2176"/>
      <c r="P237" s="2176"/>
      <c r="Q237" s="2176"/>
      <c r="R237" s="2176"/>
      <c r="S237" s="2176"/>
      <c r="T237" s="2176"/>
      <c r="U237" s="2180"/>
    </row>
    <row r="238" spans="1:21">
      <c r="A238" s="2164"/>
      <c r="B238" s="2167"/>
      <c r="C238" s="2173" t="s">
        <v>1215</v>
      </c>
      <c r="D238" s="1236" t="s">
        <v>1216</v>
      </c>
      <c r="E238" s="2170"/>
      <c r="F238" s="2179"/>
      <c r="G238" s="2179"/>
      <c r="H238" s="2179"/>
      <c r="I238" s="2179"/>
      <c r="J238" s="2179"/>
      <c r="K238" s="2179"/>
      <c r="L238" s="2176"/>
      <c r="M238" s="2176"/>
      <c r="N238" s="2176"/>
      <c r="O238" s="2176"/>
      <c r="P238" s="2176"/>
      <c r="Q238" s="2176"/>
      <c r="R238" s="2176"/>
      <c r="S238" s="2176"/>
      <c r="T238" s="2176"/>
      <c r="U238" s="2180"/>
    </row>
    <row r="239" spans="1:21">
      <c r="A239" s="2164"/>
      <c r="B239" s="2167"/>
      <c r="C239" s="2174"/>
      <c r="D239" s="1237" t="s">
        <v>1217</v>
      </c>
      <c r="E239" s="2170"/>
      <c r="F239" s="2179"/>
      <c r="G239" s="2179"/>
      <c r="H239" s="2179"/>
      <c r="I239" s="2179"/>
      <c r="J239" s="2179"/>
      <c r="K239" s="2179"/>
      <c r="L239" s="2176"/>
      <c r="M239" s="2176"/>
      <c r="N239" s="2176"/>
      <c r="O239" s="2176"/>
      <c r="P239" s="2176"/>
      <c r="Q239" s="2176"/>
      <c r="R239" s="2176"/>
      <c r="S239" s="2176"/>
      <c r="T239" s="2176"/>
      <c r="U239" s="2180"/>
    </row>
    <row r="240" spans="1:21">
      <c r="A240" s="2164"/>
      <c r="B240" s="2175" t="s">
        <v>1200</v>
      </c>
      <c r="C240" s="2168" t="s">
        <v>1212</v>
      </c>
      <c r="D240" s="1235" t="s">
        <v>1213</v>
      </c>
      <c r="E240" s="2170"/>
      <c r="F240" s="2179"/>
      <c r="G240" s="2179"/>
      <c r="H240" s="2179"/>
      <c r="I240" s="2179"/>
      <c r="J240" s="2179"/>
      <c r="K240" s="2179"/>
      <c r="L240" s="2179"/>
      <c r="M240" s="2176">
        <v>0.93</v>
      </c>
      <c r="N240" s="2176">
        <v>0.90210000000000001</v>
      </c>
      <c r="O240" s="2176">
        <v>0.88405800000000001</v>
      </c>
      <c r="P240" s="2176">
        <v>0.86637684000000004</v>
      </c>
      <c r="Q240" s="2176">
        <v>0.85771307159999999</v>
      </c>
      <c r="R240" s="2176">
        <v>0.84913594088400002</v>
      </c>
      <c r="S240" s="2176">
        <v>0.84064458147515997</v>
      </c>
      <c r="T240" s="2176">
        <v>0.83223813566040838</v>
      </c>
      <c r="U240" s="2180">
        <v>0.82391575430380426</v>
      </c>
    </row>
    <row r="241" spans="1:21">
      <c r="A241" s="2164"/>
      <c r="B241" s="2167"/>
      <c r="C241" s="2169"/>
      <c r="D241" s="1236" t="s">
        <v>1214</v>
      </c>
      <c r="E241" s="2170"/>
      <c r="F241" s="2179"/>
      <c r="G241" s="2179"/>
      <c r="H241" s="2179"/>
      <c r="I241" s="2179"/>
      <c r="J241" s="2179"/>
      <c r="K241" s="2179"/>
      <c r="L241" s="2179"/>
      <c r="M241" s="2176"/>
      <c r="N241" s="2176"/>
      <c r="O241" s="2176"/>
      <c r="P241" s="2176"/>
      <c r="Q241" s="2176"/>
      <c r="R241" s="2176"/>
      <c r="S241" s="2176"/>
      <c r="T241" s="2176"/>
      <c r="U241" s="2180"/>
    </row>
    <row r="242" spans="1:21">
      <c r="A242" s="2164"/>
      <c r="B242" s="2167"/>
      <c r="C242" s="2173" t="s">
        <v>1215</v>
      </c>
      <c r="D242" s="1236" t="s">
        <v>1216</v>
      </c>
      <c r="E242" s="2170"/>
      <c r="F242" s="2179"/>
      <c r="G242" s="2179"/>
      <c r="H242" s="2179"/>
      <c r="I242" s="2179"/>
      <c r="J242" s="2179"/>
      <c r="K242" s="2179"/>
      <c r="L242" s="2179"/>
      <c r="M242" s="2176"/>
      <c r="N242" s="2176"/>
      <c r="O242" s="2176"/>
      <c r="P242" s="2176"/>
      <c r="Q242" s="2176"/>
      <c r="R242" s="2176"/>
      <c r="S242" s="2176"/>
      <c r="T242" s="2176"/>
      <c r="U242" s="2180"/>
    </row>
    <row r="243" spans="1:21">
      <c r="A243" s="2164"/>
      <c r="B243" s="2167"/>
      <c r="C243" s="2174"/>
      <c r="D243" s="1237" t="s">
        <v>1217</v>
      </c>
      <c r="E243" s="2170"/>
      <c r="F243" s="2179"/>
      <c r="G243" s="2179"/>
      <c r="H243" s="2179"/>
      <c r="I243" s="2179"/>
      <c r="J243" s="2179"/>
      <c r="K243" s="2179"/>
      <c r="L243" s="2179"/>
      <c r="M243" s="2176"/>
      <c r="N243" s="2176"/>
      <c r="O243" s="2176"/>
      <c r="P243" s="2176"/>
      <c r="Q243" s="2176"/>
      <c r="R243" s="2176"/>
      <c r="S243" s="2176"/>
      <c r="T243" s="2176"/>
      <c r="U243" s="2180"/>
    </row>
    <row r="244" spans="1:21">
      <c r="A244" s="2164"/>
      <c r="B244" s="2166" t="s">
        <v>1201</v>
      </c>
      <c r="C244" s="2168" t="s">
        <v>1212</v>
      </c>
      <c r="D244" s="1235" t="s">
        <v>1213</v>
      </c>
      <c r="E244" s="2170"/>
      <c r="F244" s="2179"/>
      <c r="G244" s="2179"/>
      <c r="H244" s="2179"/>
      <c r="I244" s="2179"/>
      <c r="J244" s="2179"/>
      <c r="K244" s="2179"/>
      <c r="L244" s="2179"/>
      <c r="M244" s="2179"/>
      <c r="N244" s="2176">
        <v>0.97</v>
      </c>
      <c r="O244" s="2176">
        <v>0.9506</v>
      </c>
      <c r="P244" s="2176">
        <v>0.93158799999999997</v>
      </c>
      <c r="Q244" s="2176">
        <v>0.92227211999999992</v>
      </c>
      <c r="R244" s="2176">
        <v>0.91304939879999991</v>
      </c>
      <c r="S244" s="2176">
        <v>0.90391890481199988</v>
      </c>
      <c r="T244" s="2176">
        <v>0.89487971576387992</v>
      </c>
      <c r="U244" s="2180">
        <v>0.88593091860624107</v>
      </c>
    </row>
    <row r="245" spans="1:21">
      <c r="A245" s="2164"/>
      <c r="B245" s="2167"/>
      <c r="C245" s="2169"/>
      <c r="D245" s="1236" t="s">
        <v>1214</v>
      </c>
      <c r="E245" s="2170"/>
      <c r="F245" s="2179"/>
      <c r="G245" s="2179"/>
      <c r="H245" s="2179"/>
      <c r="I245" s="2179"/>
      <c r="J245" s="2179"/>
      <c r="K245" s="2179"/>
      <c r="L245" s="2179"/>
      <c r="M245" s="2179"/>
      <c r="N245" s="2176"/>
      <c r="O245" s="2176"/>
      <c r="P245" s="2176"/>
      <c r="Q245" s="2176"/>
      <c r="R245" s="2176"/>
      <c r="S245" s="2176"/>
      <c r="T245" s="2176"/>
      <c r="U245" s="2180"/>
    </row>
    <row r="246" spans="1:21">
      <c r="A246" s="2164"/>
      <c r="B246" s="2167"/>
      <c r="C246" s="2173" t="s">
        <v>1215</v>
      </c>
      <c r="D246" s="1236" t="s">
        <v>1216</v>
      </c>
      <c r="E246" s="2170"/>
      <c r="F246" s="2179"/>
      <c r="G246" s="2179"/>
      <c r="H246" s="2179"/>
      <c r="I246" s="2179"/>
      <c r="J246" s="2179"/>
      <c r="K246" s="2179"/>
      <c r="L246" s="2179"/>
      <c r="M246" s="2179"/>
      <c r="N246" s="2176"/>
      <c r="O246" s="2176"/>
      <c r="P246" s="2176"/>
      <c r="Q246" s="2176"/>
      <c r="R246" s="2176"/>
      <c r="S246" s="2176"/>
      <c r="T246" s="2176"/>
      <c r="U246" s="2180"/>
    </row>
    <row r="247" spans="1:21">
      <c r="A247" s="2164"/>
      <c r="B247" s="2167"/>
      <c r="C247" s="2174"/>
      <c r="D247" s="1237" t="s">
        <v>1217</v>
      </c>
      <c r="E247" s="2170"/>
      <c r="F247" s="2179"/>
      <c r="G247" s="2179"/>
      <c r="H247" s="2179"/>
      <c r="I247" s="2179"/>
      <c r="J247" s="2179"/>
      <c r="K247" s="2179"/>
      <c r="L247" s="2179"/>
      <c r="M247" s="2179"/>
      <c r="N247" s="2176"/>
      <c r="O247" s="2176"/>
      <c r="P247" s="2176"/>
      <c r="Q247" s="2176"/>
      <c r="R247" s="2176"/>
      <c r="S247" s="2176"/>
      <c r="T247" s="2176"/>
      <c r="U247" s="2180"/>
    </row>
    <row r="248" spans="1:21">
      <c r="A248" s="2164"/>
      <c r="B248" s="2166" t="s">
        <v>1202</v>
      </c>
      <c r="C248" s="2168" t="s">
        <v>1212</v>
      </c>
      <c r="D248" s="1235" t="s">
        <v>1213</v>
      </c>
      <c r="E248" s="2170"/>
      <c r="F248" s="2179"/>
      <c r="G248" s="2179"/>
      <c r="H248" s="2179"/>
      <c r="I248" s="2179"/>
      <c r="J248" s="2179"/>
      <c r="K248" s="2179"/>
      <c r="L248" s="2179"/>
      <c r="M248" s="2179"/>
      <c r="N248" s="2179"/>
      <c r="O248" s="2176">
        <v>0.98</v>
      </c>
      <c r="P248" s="2176">
        <v>0.96039999999999992</v>
      </c>
      <c r="Q248" s="2176">
        <v>0.95079599999999986</v>
      </c>
      <c r="R248" s="2176">
        <v>0.94128803999999988</v>
      </c>
      <c r="S248" s="2176">
        <v>0.93187515959999989</v>
      </c>
      <c r="T248" s="2176">
        <v>0.92255640800399985</v>
      </c>
      <c r="U248" s="2180">
        <v>0.9133308439239598</v>
      </c>
    </row>
    <row r="249" spans="1:21">
      <c r="A249" s="2164"/>
      <c r="B249" s="2167"/>
      <c r="C249" s="2169"/>
      <c r="D249" s="1236" t="s">
        <v>1214</v>
      </c>
      <c r="E249" s="2170"/>
      <c r="F249" s="2179"/>
      <c r="G249" s="2179"/>
      <c r="H249" s="2179"/>
      <c r="I249" s="2179"/>
      <c r="J249" s="2179"/>
      <c r="K249" s="2179"/>
      <c r="L249" s="2179"/>
      <c r="M249" s="2179"/>
      <c r="N249" s="2179"/>
      <c r="O249" s="2176"/>
      <c r="P249" s="2176"/>
      <c r="Q249" s="2176"/>
      <c r="R249" s="2176"/>
      <c r="S249" s="2176"/>
      <c r="T249" s="2176"/>
      <c r="U249" s="2180"/>
    </row>
    <row r="250" spans="1:21">
      <c r="A250" s="2164"/>
      <c r="B250" s="2167"/>
      <c r="C250" s="2173" t="s">
        <v>1215</v>
      </c>
      <c r="D250" s="1236" t="s">
        <v>1216</v>
      </c>
      <c r="E250" s="2170"/>
      <c r="F250" s="2179"/>
      <c r="G250" s="2179"/>
      <c r="H250" s="2179"/>
      <c r="I250" s="2179"/>
      <c r="J250" s="2179"/>
      <c r="K250" s="2179"/>
      <c r="L250" s="2179"/>
      <c r="M250" s="2179"/>
      <c r="N250" s="2179"/>
      <c r="O250" s="2176"/>
      <c r="P250" s="2176"/>
      <c r="Q250" s="2176"/>
      <c r="R250" s="2176"/>
      <c r="S250" s="2176"/>
      <c r="T250" s="2176"/>
      <c r="U250" s="2180"/>
    </row>
    <row r="251" spans="1:21">
      <c r="A251" s="2164"/>
      <c r="B251" s="2167"/>
      <c r="C251" s="2174"/>
      <c r="D251" s="1237" t="s">
        <v>1217</v>
      </c>
      <c r="E251" s="2170"/>
      <c r="F251" s="2179"/>
      <c r="G251" s="2179"/>
      <c r="H251" s="2179"/>
      <c r="I251" s="2179"/>
      <c r="J251" s="2179"/>
      <c r="K251" s="2179"/>
      <c r="L251" s="2179"/>
      <c r="M251" s="2179"/>
      <c r="N251" s="2179"/>
      <c r="O251" s="2176"/>
      <c r="P251" s="2176"/>
      <c r="Q251" s="2176"/>
      <c r="R251" s="2176"/>
      <c r="S251" s="2176"/>
      <c r="T251" s="2176"/>
      <c r="U251" s="2180"/>
    </row>
    <row r="252" spans="1:21">
      <c r="A252" s="2164"/>
      <c r="B252" s="2166" t="s">
        <v>1203</v>
      </c>
      <c r="C252" s="2168" t="s">
        <v>1212</v>
      </c>
      <c r="D252" s="1235" t="s">
        <v>1213</v>
      </c>
      <c r="E252" s="2170"/>
      <c r="F252" s="2179"/>
      <c r="G252" s="2179"/>
      <c r="H252" s="2179"/>
      <c r="I252" s="2179"/>
      <c r="J252" s="2179"/>
      <c r="K252" s="2179"/>
      <c r="L252" s="2179"/>
      <c r="M252" s="2179"/>
      <c r="N252" s="2179"/>
      <c r="O252" s="2179"/>
      <c r="P252" s="2176">
        <v>0.98</v>
      </c>
      <c r="Q252" s="2176">
        <v>0.97019999999999995</v>
      </c>
      <c r="R252" s="2176">
        <v>0.96049799999999996</v>
      </c>
      <c r="S252" s="2176">
        <v>0.95089301999999998</v>
      </c>
      <c r="T252" s="2176">
        <v>0.94138408979999999</v>
      </c>
      <c r="U252" s="2180">
        <v>0.93197024890199998</v>
      </c>
    </row>
    <row r="253" spans="1:21">
      <c r="A253" s="2164"/>
      <c r="B253" s="2167"/>
      <c r="C253" s="2169"/>
      <c r="D253" s="1236" t="s">
        <v>1214</v>
      </c>
      <c r="E253" s="2170"/>
      <c r="F253" s="2179"/>
      <c r="G253" s="2179"/>
      <c r="H253" s="2179"/>
      <c r="I253" s="2179"/>
      <c r="J253" s="2179"/>
      <c r="K253" s="2179"/>
      <c r="L253" s="2179"/>
      <c r="M253" s="2179"/>
      <c r="N253" s="2179"/>
      <c r="O253" s="2179"/>
      <c r="P253" s="2176"/>
      <c r="Q253" s="2176"/>
      <c r="R253" s="2176"/>
      <c r="S253" s="2176"/>
      <c r="T253" s="2176"/>
      <c r="U253" s="2180"/>
    </row>
    <row r="254" spans="1:21">
      <c r="A254" s="2164"/>
      <c r="B254" s="2167"/>
      <c r="C254" s="2173" t="s">
        <v>1215</v>
      </c>
      <c r="D254" s="1236" t="s">
        <v>1216</v>
      </c>
      <c r="E254" s="2170"/>
      <c r="F254" s="2179"/>
      <c r="G254" s="2179"/>
      <c r="H254" s="2179"/>
      <c r="I254" s="2179"/>
      <c r="J254" s="2179"/>
      <c r="K254" s="2179"/>
      <c r="L254" s="2179"/>
      <c r="M254" s="2179"/>
      <c r="N254" s="2179"/>
      <c r="O254" s="2179"/>
      <c r="P254" s="2176"/>
      <c r="Q254" s="2176"/>
      <c r="R254" s="2176"/>
      <c r="S254" s="2176"/>
      <c r="T254" s="2176"/>
      <c r="U254" s="2180"/>
    </row>
    <row r="255" spans="1:21">
      <c r="A255" s="2164"/>
      <c r="B255" s="2167"/>
      <c r="C255" s="2174"/>
      <c r="D255" s="1237" t="s">
        <v>1217</v>
      </c>
      <c r="E255" s="2170"/>
      <c r="F255" s="2179"/>
      <c r="G255" s="2179"/>
      <c r="H255" s="2179"/>
      <c r="I255" s="2179"/>
      <c r="J255" s="2179"/>
      <c r="K255" s="2179"/>
      <c r="L255" s="2179"/>
      <c r="M255" s="2179"/>
      <c r="N255" s="2179"/>
      <c r="O255" s="2179"/>
      <c r="P255" s="2176"/>
      <c r="Q255" s="2176"/>
      <c r="R255" s="2176"/>
      <c r="S255" s="2176"/>
      <c r="T255" s="2176"/>
      <c r="U255" s="2180"/>
    </row>
    <row r="256" spans="1:21">
      <c r="A256" s="2164"/>
      <c r="B256" s="2166" t="s">
        <v>1204</v>
      </c>
      <c r="C256" s="2168" t="s">
        <v>1212</v>
      </c>
      <c r="D256" s="1235" t="s">
        <v>1213</v>
      </c>
      <c r="E256" s="2170"/>
      <c r="F256" s="2179"/>
      <c r="G256" s="2179"/>
      <c r="H256" s="2179"/>
      <c r="I256" s="2179"/>
      <c r="J256" s="2179"/>
      <c r="K256" s="2179"/>
      <c r="L256" s="2179"/>
      <c r="M256" s="2179"/>
      <c r="N256" s="2179"/>
      <c r="O256" s="2179"/>
      <c r="P256" s="2179"/>
      <c r="Q256" s="2176">
        <v>0.99</v>
      </c>
      <c r="R256" s="2176">
        <v>0.98009999999999997</v>
      </c>
      <c r="S256" s="2176">
        <v>0.97029899999999991</v>
      </c>
      <c r="T256" s="2176">
        <v>0.96059600999999994</v>
      </c>
      <c r="U256" s="2180">
        <v>0.95099004989999991</v>
      </c>
    </row>
    <row r="257" spans="1:21">
      <c r="A257" s="2164"/>
      <c r="B257" s="2167"/>
      <c r="C257" s="2169"/>
      <c r="D257" s="1236" t="s">
        <v>1214</v>
      </c>
      <c r="E257" s="2170"/>
      <c r="F257" s="2179"/>
      <c r="G257" s="2179"/>
      <c r="H257" s="2179"/>
      <c r="I257" s="2179"/>
      <c r="J257" s="2179"/>
      <c r="K257" s="2179"/>
      <c r="L257" s="2179"/>
      <c r="M257" s="2179"/>
      <c r="N257" s="2179"/>
      <c r="O257" s="2179"/>
      <c r="P257" s="2179"/>
      <c r="Q257" s="2176"/>
      <c r="R257" s="2176"/>
      <c r="S257" s="2176"/>
      <c r="T257" s="2176"/>
      <c r="U257" s="2180"/>
    </row>
    <row r="258" spans="1:21">
      <c r="A258" s="2164"/>
      <c r="B258" s="2167"/>
      <c r="C258" s="2173" t="s">
        <v>1215</v>
      </c>
      <c r="D258" s="1236" t="s">
        <v>1216</v>
      </c>
      <c r="E258" s="2170"/>
      <c r="F258" s="2179"/>
      <c r="G258" s="2179"/>
      <c r="H258" s="2179"/>
      <c r="I258" s="2179"/>
      <c r="J258" s="2179"/>
      <c r="K258" s="2179"/>
      <c r="L258" s="2179"/>
      <c r="M258" s="2179"/>
      <c r="N258" s="2179"/>
      <c r="O258" s="2179"/>
      <c r="P258" s="2179"/>
      <c r="Q258" s="2176"/>
      <c r="R258" s="2176"/>
      <c r="S258" s="2176"/>
      <c r="T258" s="2176"/>
      <c r="U258" s="2180"/>
    </row>
    <row r="259" spans="1:21">
      <c r="A259" s="2164"/>
      <c r="B259" s="2167"/>
      <c r="C259" s="2174"/>
      <c r="D259" s="1237" t="s">
        <v>1217</v>
      </c>
      <c r="E259" s="2170"/>
      <c r="F259" s="2179"/>
      <c r="G259" s="2179"/>
      <c r="H259" s="2179"/>
      <c r="I259" s="2179"/>
      <c r="J259" s="2179"/>
      <c r="K259" s="2179"/>
      <c r="L259" s="2179"/>
      <c r="M259" s="2179"/>
      <c r="N259" s="2179"/>
      <c r="O259" s="2179"/>
      <c r="P259" s="2179"/>
      <c r="Q259" s="2176"/>
      <c r="R259" s="2176"/>
      <c r="S259" s="2176"/>
      <c r="T259" s="2176"/>
      <c r="U259" s="2180"/>
    </row>
    <row r="260" spans="1:21">
      <c r="A260" s="2164"/>
      <c r="B260" s="2166" t="s">
        <v>1205</v>
      </c>
      <c r="C260" s="2168" t="s">
        <v>1212</v>
      </c>
      <c r="D260" s="1235" t="s">
        <v>1213</v>
      </c>
      <c r="E260" s="2170"/>
      <c r="F260" s="2179"/>
      <c r="G260" s="2179"/>
      <c r="H260" s="2179"/>
      <c r="I260" s="2179"/>
      <c r="J260" s="2179"/>
      <c r="K260" s="2179"/>
      <c r="L260" s="2179"/>
      <c r="M260" s="2179"/>
      <c r="N260" s="2179"/>
      <c r="O260" s="2179"/>
      <c r="P260" s="2179"/>
      <c r="Q260" s="2179"/>
      <c r="R260" s="2176">
        <v>0.99</v>
      </c>
      <c r="S260" s="2176">
        <v>0.98009999999999997</v>
      </c>
      <c r="T260" s="2176">
        <v>0.97029899999999991</v>
      </c>
      <c r="U260" s="2180">
        <v>0.96059600999999994</v>
      </c>
    </row>
    <row r="261" spans="1:21">
      <c r="A261" s="2164"/>
      <c r="B261" s="2167"/>
      <c r="C261" s="2169"/>
      <c r="D261" s="1236" t="s">
        <v>1214</v>
      </c>
      <c r="E261" s="2170"/>
      <c r="F261" s="2179"/>
      <c r="G261" s="2179"/>
      <c r="H261" s="2179"/>
      <c r="I261" s="2179"/>
      <c r="J261" s="2179"/>
      <c r="K261" s="2179"/>
      <c r="L261" s="2179"/>
      <c r="M261" s="2179"/>
      <c r="N261" s="2179"/>
      <c r="O261" s="2179"/>
      <c r="P261" s="2179"/>
      <c r="Q261" s="2179"/>
      <c r="R261" s="2176"/>
      <c r="S261" s="2176"/>
      <c r="T261" s="2176"/>
      <c r="U261" s="2180"/>
    </row>
    <row r="262" spans="1:21">
      <c r="A262" s="2164"/>
      <c r="B262" s="2167"/>
      <c r="C262" s="2173" t="s">
        <v>1215</v>
      </c>
      <c r="D262" s="1236" t="s">
        <v>1216</v>
      </c>
      <c r="E262" s="2170"/>
      <c r="F262" s="2179"/>
      <c r="G262" s="2179"/>
      <c r="H262" s="2179"/>
      <c r="I262" s="2179"/>
      <c r="J262" s="2179"/>
      <c r="K262" s="2179"/>
      <c r="L262" s="2179"/>
      <c r="M262" s="2179"/>
      <c r="N262" s="2179"/>
      <c r="O262" s="2179"/>
      <c r="P262" s="2179"/>
      <c r="Q262" s="2179"/>
      <c r="R262" s="2176"/>
      <c r="S262" s="2176"/>
      <c r="T262" s="2176"/>
      <c r="U262" s="2180"/>
    </row>
    <row r="263" spans="1:21">
      <c r="A263" s="2164"/>
      <c r="B263" s="2167"/>
      <c r="C263" s="2174"/>
      <c r="D263" s="1237" t="s">
        <v>1217</v>
      </c>
      <c r="E263" s="2170"/>
      <c r="F263" s="2179"/>
      <c r="G263" s="2179"/>
      <c r="H263" s="2179"/>
      <c r="I263" s="2179"/>
      <c r="J263" s="2179"/>
      <c r="K263" s="2179"/>
      <c r="L263" s="2179"/>
      <c r="M263" s="2179"/>
      <c r="N263" s="2179"/>
      <c r="O263" s="2179"/>
      <c r="P263" s="2179"/>
      <c r="Q263" s="2179"/>
      <c r="R263" s="2176"/>
      <c r="S263" s="2176"/>
      <c r="T263" s="2176"/>
      <c r="U263" s="2180"/>
    </row>
    <row r="264" spans="1:21">
      <c r="A264" s="2164"/>
      <c r="B264" s="2166" t="s">
        <v>1206</v>
      </c>
      <c r="C264" s="2168" t="s">
        <v>1212</v>
      </c>
      <c r="D264" s="1235" t="s">
        <v>1213</v>
      </c>
      <c r="E264" s="2170"/>
      <c r="F264" s="2179"/>
      <c r="G264" s="2179"/>
      <c r="H264" s="2179"/>
      <c r="I264" s="2179"/>
      <c r="J264" s="2179"/>
      <c r="K264" s="2179"/>
      <c r="L264" s="2179"/>
      <c r="M264" s="2179"/>
      <c r="N264" s="2179"/>
      <c r="O264" s="2179"/>
      <c r="P264" s="2179"/>
      <c r="Q264" s="2179"/>
      <c r="R264" s="2179"/>
      <c r="S264" s="2176">
        <v>0.99</v>
      </c>
      <c r="T264" s="2176">
        <v>0.98009999999999997</v>
      </c>
      <c r="U264" s="2180">
        <v>0.97029899999999991</v>
      </c>
    </row>
    <row r="265" spans="1:21">
      <c r="A265" s="2164"/>
      <c r="B265" s="2167"/>
      <c r="C265" s="2169"/>
      <c r="D265" s="1236" t="s">
        <v>1214</v>
      </c>
      <c r="E265" s="2170"/>
      <c r="F265" s="2179"/>
      <c r="G265" s="2179"/>
      <c r="H265" s="2179"/>
      <c r="I265" s="2179"/>
      <c r="J265" s="2179"/>
      <c r="K265" s="2179"/>
      <c r="L265" s="2179"/>
      <c r="M265" s="2179"/>
      <c r="N265" s="2179"/>
      <c r="O265" s="2179"/>
      <c r="P265" s="2179"/>
      <c r="Q265" s="2179"/>
      <c r="R265" s="2179"/>
      <c r="S265" s="2176"/>
      <c r="T265" s="2176"/>
      <c r="U265" s="2180"/>
    </row>
    <row r="266" spans="1:21">
      <c r="A266" s="2164"/>
      <c r="B266" s="2167"/>
      <c r="C266" s="2173" t="s">
        <v>1215</v>
      </c>
      <c r="D266" s="1236" t="s">
        <v>1216</v>
      </c>
      <c r="E266" s="2170"/>
      <c r="F266" s="2179"/>
      <c r="G266" s="2179"/>
      <c r="H266" s="2179"/>
      <c r="I266" s="2179"/>
      <c r="J266" s="2179"/>
      <c r="K266" s="2179"/>
      <c r="L266" s="2179"/>
      <c r="M266" s="2179"/>
      <c r="N266" s="2179"/>
      <c r="O266" s="2179"/>
      <c r="P266" s="2179"/>
      <c r="Q266" s="2179"/>
      <c r="R266" s="2179"/>
      <c r="S266" s="2176"/>
      <c r="T266" s="2176"/>
      <c r="U266" s="2180"/>
    </row>
    <row r="267" spans="1:21">
      <c r="A267" s="2164"/>
      <c r="B267" s="2167"/>
      <c r="C267" s="2174"/>
      <c r="D267" s="1237" t="s">
        <v>1217</v>
      </c>
      <c r="E267" s="2170"/>
      <c r="F267" s="2179"/>
      <c r="G267" s="2179"/>
      <c r="H267" s="2179"/>
      <c r="I267" s="2179"/>
      <c r="J267" s="2179"/>
      <c r="K267" s="2179"/>
      <c r="L267" s="2179"/>
      <c r="M267" s="2179"/>
      <c r="N267" s="2179"/>
      <c r="O267" s="2179"/>
      <c r="P267" s="2179"/>
      <c r="Q267" s="2179"/>
      <c r="R267" s="2179"/>
      <c r="S267" s="2176"/>
      <c r="T267" s="2176"/>
      <c r="U267" s="2180"/>
    </row>
    <row r="268" spans="1:21">
      <c r="A268" s="2164"/>
      <c r="B268" s="2166" t="s">
        <v>1207</v>
      </c>
      <c r="C268" s="2168" t="s">
        <v>1212</v>
      </c>
      <c r="D268" s="1235" t="s">
        <v>1213</v>
      </c>
      <c r="E268" s="2170"/>
      <c r="F268" s="2179"/>
      <c r="G268" s="2179"/>
      <c r="H268" s="2179"/>
      <c r="I268" s="2179"/>
      <c r="J268" s="2179"/>
      <c r="K268" s="2179"/>
      <c r="L268" s="2179"/>
      <c r="M268" s="2179"/>
      <c r="N268" s="2179"/>
      <c r="O268" s="2179"/>
      <c r="P268" s="2179"/>
      <c r="Q268" s="2179"/>
      <c r="R268" s="2179"/>
      <c r="S268" s="2179"/>
      <c r="T268" s="2171">
        <v>0.99</v>
      </c>
      <c r="U268" s="2180">
        <v>0.98009999999999997</v>
      </c>
    </row>
    <row r="269" spans="1:21">
      <c r="A269" s="2164"/>
      <c r="B269" s="2167"/>
      <c r="C269" s="2169"/>
      <c r="D269" s="1236" t="s">
        <v>1214</v>
      </c>
      <c r="E269" s="2170"/>
      <c r="F269" s="2179"/>
      <c r="G269" s="2179"/>
      <c r="H269" s="2179"/>
      <c r="I269" s="2179"/>
      <c r="J269" s="2179"/>
      <c r="K269" s="2179"/>
      <c r="L269" s="2179"/>
      <c r="M269" s="2179"/>
      <c r="N269" s="2179"/>
      <c r="O269" s="2179"/>
      <c r="P269" s="2179"/>
      <c r="Q269" s="2179"/>
      <c r="R269" s="2179"/>
      <c r="S269" s="2179"/>
      <c r="T269" s="2172"/>
      <c r="U269" s="2180"/>
    </row>
    <row r="270" spans="1:21">
      <c r="A270" s="2164"/>
      <c r="B270" s="2167"/>
      <c r="C270" s="2173" t="s">
        <v>1215</v>
      </c>
      <c r="D270" s="1236" t="s">
        <v>1216</v>
      </c>
      <c r="E270" s="2170"/>
      <c r="F270" s="2179"/>
      <c r="G270" s="2179"/>
      <c r="H270" s="2179"/>
      <c r="I270" s="2179"/>
      <c r="J270" s="2179"/>
      <c r="K270" s="2179"/>
      <c r="L270" s="2179"/>
      <c r="M270" s="2179"/>
      <c r="N270" s="2179"/>
      <c r="O270" s="2179"/>
      <c r="P270" s="2179"/>
      <c r="Q270" s="2179"/>
      <c r="R270" s="2179"/>
      <c r="S270" s="2179"/>
      <c r="T270" s="2172"/>
      <c r="U270" s="2180"/>
    </row>
    <row r="271" spans="1:21">
      <c r="A271" s="2164"/>
      <c r="B271" s="2167"/>
      <c r="C271" s="2174"/>
      <c r="D271" s="1237" t="s">
        <v>1217</v>
      </c>
      <c r="E271" s="2170"/>
      <c r="F271" s="2179"/>
      <c r="G271" s="2179"/>
      <c r="H271" s="2179"/>
      <c r="I271" s="2179"/>
      <c r="J271" s="2179"/>
      <c r="K271" s="2179"/>
      <c r="L271" s="2179"/>
      <c r="M271" s="2179"/>
      <c r="N271" s="2179"/>
      <c r="O271" s="2179"/>
      <c r="P271" s="2179"/>
      <c r="Q271" s="2179"/>
      <c r="R271" s="2179"/>
      <c r="S271" s="2179"/>
      <c r="T271" s="2187"/>
      <c r="U271" s="2180"/>
    </row>
    <row r="272" spans="1:21">
      <c r="A272" s="2164"/>
      <c r="B272" s="2166" t="s">
        <v>1208</v>
      </c>
      <c r="C272" s="2168" t="s">
        <v>1212</v>
      </c>
      <c r="D272" s="1235" t="s">
        <v>1213</v>
      </c>
      <c r="E272" s="2170"/>
      <c r="F272" s="2179"/>
      <c r="G272" s="2179"/>
      <c r="H272" s="2179"/>
      <c r="I272" s="2179"/>
      <c r="J272" s="2179"/>
      <c r="K272" s="2179"/>
      <c r="L272" s="2179"/>
      <c r="M272" s="2179"/>
      <c r="N272" s="2179"/>
      <c r="O272" s="2179"/>
      <c r="P272" s="2179"/>
      <c r="Q272" s="2179"/>
      <c r="R272" s="2179"/>
      <c r="S272" s="2179"/>
      <c r="T272" s="2179"/>
      <c r="U272" s="2180">
        <v>0.99</v>
      </c>
    </row>
    <row r="273" spans="1:21">
      <c r="A273" s="2164"/>
      <c r="B273" s="2167"/>
      <c r="C273" s="2169"/>
      <c r="D273" s="1236" t="s">
        <v>1214</v>
      </c>
      <c r="E273" s="2170"/>
      <c r="F273" s="2179"/>
      <c r="G273" s="2179"/>
      <c r="H273" s="2179"/>
      <c r="I273" s="2179"/>
      <c r="J273" s="2179"/>
      <c r="K273" s="2179"/>
      <c r="L273" s="2179"/>
      <c r="M273" s="2179"/>
      <c r="N273" s="2179"/>
      <c r="O273" s="2179"/>
      <c r="P273" s="2179"/>
      <c r="Q273" s="2179"/>
      <c r="R273" s="2179"/>
      <c r="S273" s="2179"/>
      <c r="T273" s="2179"/>
      <c r="U273" s="2180"/>
    </row>
    <row r="274" spans="1:21">
      <c r="A274" s="2164"/>
      <c r="B274" s="2167"/>
      <c r="C274" s="2173" t="s">
        <v>1215</v>
      </c>
      <c r="D274" s="1236" t="s">
        <v>1216</v>
      </c>
      <c r="E274" s="2170"/>
      <c r="F274" s="2179"/>
      <c r="G274" s="2179"/>
      <c r="H274" s="2179"/>
      <c r="I274" s="2179"/>
      <c r="J274" s="2179"/>
      <c r="K274" s="2179"/>
      <c r="L274" s="2179"/>
      <c r="M274" s="2179"/>
      <c r="N274" s="2179"/>
      <c r="O274" s="2179"/>
      <c r="P274" s="2179"/>
      <c r="Q274" s="2179"/>
      <c r="R274" s="2179"/>
      <c r="S274" s="2179"/>
      <c r="T274" s="2179"/>
      <c r="U274" s="2180"/>
    </row>
    <row r="275" spans="1:21">
      <c r="A275" s="2164"/>
      <c r="B275" s="2167"/>
      <c r="C275" s="2174"/>
      <c r="D275" s="1237" t="s">
        <v>1217</v>
      </c>
      <c r="E275" s="2170"/>
      <c r="F275" s="2179"/>
      <c r="G275" s="2179"/>
      <c r="H275" s="2179"/>
      <c r="I275" s="2179"/>
      <c r="J275" s="2179"/>
      <c r="K275" s="2179"/>
      <c r="L275" s="2179"/>
      <c r="M275" s="2179"/>
      <c r="N275" s="2179"/>
      <c r="O275" s="2179"/>
      <c r="P275" s="2179"/>
      <c r="Q275" s="2179"/>
      <c r="R275" s="2179"/>
      <c r="S275" s="2179"/>
      <c r="T275" s="2179"/>
      <c r="U275" s="2180"/>
    </row>
    <row r="276" spans="1:21">
      <c r="A276" s="2164"/>
      <c r="B276" s="2166" t="s">
        <v>1209</v>
      </c>
      <c r="C276" s="2168" t="s">
        <v>1212</v>
      </c>
      <c r="D276" s="1235" t="s">
        <v>1213</v>
      </c>
      <c r="E276" s="2188"/>
      <c r="F276" s="2191"/>
      <c r="G276" s="2191"/>
      <c r="H276" s="2191"/>
      <c r="I276" s="2191"/>
      <c r="J276" s="2191"/>
      <c r="K276" s="2191"/>
      <c r="L276" s="2191"/>
      <c r="M276" s="2191"/>
      <c r="N276" s="2191"/>
      <c r="O276" s="2191"/>
      <c r="P276" s="2191"/>
      <c r="Q276" s="2191"/>
      <c r="R276" s="2191"/>
      <c r="S276" s="2191"/>
      <c r="T276" s="2191"/>
      <c r="U276" s="2194"/>
    </row>
    <row r="277" spans="1:21">
      <c r="A277" s="2164"/>
      <c r="B277" s="2167"/>
      <c r="C277" s="2169"/>
      <c r="D277" s="1236" t="s">
        <v>1214</v>
      </c>
      <c r="E277" s="2189"/>
      <c r="F277" s="2192"/>
      <c r="G277" s="2192"/>
      <c r="H277" s="2192"/>
      <c r="I277" s="2192"/>
      <c r="J277" s="2192"/>
      <c r="K277" s="2192"/>
      <c r="L277" s="2192"/>
      <c r="M277" s="2192"/>
      <c r="N277" s="2192"/>
      <c r="O277" s="2192"/>
      <c r="P277" s="2192"/>
      <c r="Q277" s="2192"/>
      <c r="R277" s="2192"/>
      <c r="S277" s="2192"/>
      <c r="T277" s="2192"/>
      <c r="U277" s="2195"/>
    </row>
    <row r="278" spans="1:21">
      <c r="A278" s="2164"/>
      <c r="B278" s="2167"/>
      <c r="C278" s="2173" t="s">
        <v>1215</v>
      </c>
      <c r="D278" s="1236" t="s">
        <v>1216</v>
      </c>
      <c r="E278" s="2189"/>
      <c r="F278" s="2192"/>
      <c r="G278" s="2192"/>
      <c r="H278" s="2192"/>
      <c r="I278" s="2192"/>
      <c r="J278" s="2192"/>
      <c r="K278" s="2192"/>
      <c r="L278" s="2192"/>
      <c r="M278" s="2192"/>
      <c r="N278" s="2192"/>
      <c r="O278" s="2192"/>
      <c r="P278" s="2192"/>
      <c r="Q278" s="2192"/>
      <c r="R278" s="2192"/>
      <c r="S278" s="2192"/>
      <c r="T278" s="2192"/>
      <c r="U278" s="2195"/>
    </row>
    <row r="279" spans="1:21">
      <c r="A279" s="2165"/>
      <c r="B279" s="2167"/>
      <c r="C279" s="2174"/>
      <c r="D279" s="1237" t="s">
        <v>1217</v>
      </c>
      <c r="E279" s="2190"/>
      <c r="F279" s="2193"/>
      <c r="G279" s="2193"/>
      <c r="H279" s="2193"/>
      <c r="I279" s="2193"/>
      <c r="J279" s="2193"/>
      <c r="K279" s="2193"/>
      <c r="L279" s="2193"/>
      <c r="M279" s="2193"/>
      <c r="N279" s="2193"/>
      <c r="O279" s="2193"/>
      <c r="P279" s="2193"/>
      <c r="Q279" s="2193"/>
      <c r="R279" s="2193"/>
      <c r="S279" s="2193"/>
      <c r="T279" s="2193"/>
      <c r="U279" s="2196"/>
    </row>
    <row r="280" spans="1:21">
      <c r="A280" s="2157" t="s">
        <v>1221</v>
      </c>
      <c r="B280" s="2166" t="s">
        <v>1211</v>
      </c>
      <c r="C280" s="2168" t="s">
        <v>1212</v>
      </c>
      <c r="D280" s="1235" t="s">
        <v>1213</v>
      </c>
      <c r="E280" s="2170"/>
      <c r="F280" s="2171">
        <v>0.79</v>
      </c>
      <c r="G280" s="2171">
        <v>0.68730000000000002</v>
      </c>
      <c r="H280" s="2171">
        <v>0.65980799999999995</v>
      </c>
      <c r="I280" s="2171">
        <v>0.60702336000000001</v>
      </c>
      <c r="J280" s="2171">
        <v>0.57060195839999994</v>
      </c>
      <c r="K280" s="2171">
        <v>0.54207186047999989</v>
      </c>
      <c r="L280" s="2171">
        <v>0.52038898606079986</v>
      </c>
      <c r="M280" s="2171">
        <v>0.48396175703654387</v>
      </c>
      <c r="N280" s="2171">
        <v>0.47428252189581299</v>
      </c>
      <c r="O280" s="2171">
        <v>0.46479687145789672</v>
      </c>
      <c r="P280" s="2171">
        <v>0.45550093402873876</v>
      </c>
      <c r="Q280" s="2171">
        <v>0.446390915348164</v>
      </c>
      <c r="R280" s="2171">
        <v>0.44192700619468234</v>
      </c>
      <c r="S280" s="2171">
        <v>0.43750773613273553</v>
      </c>
      <c r="T280" s="2171">
        <v>0.43313265877140816</v>
      </c>
      <c r="U280" s="2181">
        <v>0.42880133218369409</v>
      </c>
    </row>
    <row r="281" spans="1:21">
      <c r="A281" s="2164"/>
      <c r="B281" s="2167"/>
      <c r="C281" s="2169"/>
      <c r="D281" s="1236" t="s">
        <v>1214</v>
      </c>
      <c r="E281" s="2170"/>
      <c r="F281" s="2172"/>
      <c r="G281" s="2172"/>
      <c r="H281" s="2172"/>
      <c r="I281" s="2172"/>
      <c r="J281" s="2172"/>
      <c r="K281" s="2172"/>
      <c r="L281" s="2172"/>
      <c r="M281" s="2172"/>
      <c r="N281" s="2172"/>
      <c r="O281" s="2172"/>
      <c r="P281" s="2172"/>
      <c r="Q281" s="2172"/>
      <c r="R281" s="2172"/>
      <c r="S281" s="2172"/>
      <c r="T281" s="2172"/>
      <c r="U281" s="2182"/>
    </row>
    <row r="282" spans="1:21">
      <c r="A282" s="2164"/>
      <c r="B282" s="2167"/>
      <c r="C282" s="2173" t="s">
        <v>1215</v>
      </c>
      <c r="D282" s="1236" t="s">
        <v>1216</v>
      </c>
      <c r="E282" s="2170"/>
      <c r="F282" s="2172"/>
      <c r="G282" s="2172"/>
      <c r="H282" s="2172"/>
      <c r="I282" s="2172"/>
      <c r="J282" s="2172"/>
      <c r="K282" s="2172"/>
      <c r="L282" s="2172"/>
      <c r="M282" s="2172"/>
      <c r="N282" s="2172"/>
      <c r="O282" s="2172"/>
      <c r="P282" s="2172"/>
      <c r="Q282" s="2172"/>
      <c r="R282" s="2172"/>
      <c r="S282" s="2172"/>
      <c r="T282" s="2172"/>
      <c r="U282" s="2182"/>
    </row>
    <row r="283" spans="1:21">
      <c r="A283" s="2164"/>
      <c r="B283" s="2167"/>
      <c r="C283" s="2174"/>
      <c r="D283" s="1237" t="s">
        <v>1217</v>
      </c>
      <c r="E283" s="2170"/>
      <c r="F283" s="2172"/>
      <c r="G283" s="2172"/>
      <c r="H283" s="2172"/>
      <c r="I283" s="2172"/>
      <c r="J283" s="2172"/>
      <c r="K283" s="2172"/>
      <c r="L283" s="2172"/>
      <c r="M283" s="2172"/>
      <c r="N283" s="2172"/>
      <c r="O283" s="2172"/>
      <c r="P283" s="2172"/>
      <c r="Q283" s="2172"/>
      <c r="R283" s="2172"/>
      <c r="S283" s="2172"/>
      <c r="T283" s="2172"/>
      <c r="U283" s="2182"/>
    </row>
    <row r="284" spans="1:21">
      <c r="A284" s="2164"/>
      <c r="B284" s="2175" t="s">
        <v>1194</v>
      </c>
      <c r="C284" s="2168" t="s">
        <v>1212</v>
      </c>
      <c r="D284" s="1235" t="s">
        <v>1213</v>
      </c>
      <c r="E284" s="2170"/>
      <c r="F284" s="2179"/>
      <c r="G284" s="2176">
        <v>0.87</v>
      </c>
      <c r="H284" s="2176">
        <v>0.83519999999999994</v>
      </c>
      <c r="I284" s="2176">
        <v>0.76838399999999996</v>
      </c>
      <c r="J284" s="2176">
        <v>0.72228095999999997</v>
      </c>
      <c r="K284" s="2176">
        <v>0.68616691199999991</v>
      </c>
      <c r="L284" s="2176">
        <v>0.65872023551999992</v>
      </c>
      <c r="M284" s="2176">
        <v>0.61260981903360001</v>
      </c>
      <c r="N284" s="2176">
        <v>0.60035762265292802</v>
      </c>
      <c r="O284" s="2176">
        <v>0.58835047019986941</v>
      </c>
      <c r="P284" s="2176">
        <v>0.57658346079587197</v>
      </c>
      <c r="Q284" s="2176">
        <v>0.56505179157995455</v>
      </c>
      <c r="R284" s="2176">
        <v>0.55940127366415504</v>
      </c>
      <c r="S284" s="2176">
        <v>0.55380726092751353</v>
      </c>
      <c r="T284" s="2176">
        <v>0.54826918831823834</v>
      </c>
      <c r="U284" s="2180">
        <v>0.54278649643505594</v>
      </c>
    </row>
    <row r="285" spans="1:21">
      <c r="A285" s="2164"/>
      <c r="B285" s="2167"/>
      <c r="C285" s="2169"/>
      <c r="D285" s="1236" t="s">
        <v>1214</v>
      </c>
      <c r="E285" s="2170"/>
      <c r="F285" s="2179"/>
      <c r="G285" s="2176"/>
      <c r="H285" s="2176"/>
      <c r="I285" s="2176"/>
      <c r="J285" s="2176"/>
      <c r="K285" s="2176"/>
      <c r="L285" s="2176"/>
      <c r="M285" s="2176"/>
      <c r="N285" s="2176"/>
      <c r="O285" s="2176"/>
      <c r="P285" s="2176"/>
      <c r="Q285" s="2176"/>
      <c r="R285" s="2176"/>
      <c r="S285" s="2176"/>
      <c r="T285" s="2176"/>
      <c r="U285" s="2180"/>
    </row>
    <row r="286" spans="1:21">
      <c r="A286" s="2164"/>
      <c r="B286" s="2167"/>
      <c r="C286" s="2173" t="s">
        <v>1215</v>
      </c>
      <c r="D286" s="1236" t="s">
        <v>1216</v>
      </c>
      <c r="E286" s="2170"/>
      <c r="F286" s="2179"/>
      <c r="G286" s="2176"/>
      <c r="H286" s="2176"/>
      <c r="I286" s="2176"/>
      <c r="J286" s="2176"/>
      <c r="K286" s="2176"/>
      <c r="L286" s="2176"/>
      <c r="M286" s="2176"/>
      <c r="N286" s="2176"/>
      <c r="O286" s="2176"/>
      <c r="P286" s="2176"/>
      <c r="Q286" s="2176"/>
      <c r="R286" s="2176"/>
      <c r="S286" s="2176"/>
      <c r="T286" s="2176"/>
      <c r="U286" s="2180"/>
    </row>
    <row r="287" spans="1:21">
      <c r="A287" s="2164"/>
      <c r="B287" s="2167"/>
      <c r="C287" s="2174"/>
      <c r="D287" s="1237" t="s">
        <v>1217</v>
      </c>
      <c r="E287" s="2170"/>
      <c r="F287" s="2179"/>
      <c r="G287" s="2176"/>
      <c r="H287" s="2176"/>
      <c r="I287" s="2176"/>
      <c r="J287" s="2176"/>
      <c r="K287" s="2176"/>
      <c r="L287" s="2176"/>
      <c r="M287" s="2176"/>
      <c r="N287" s="2176"/>
      <c r="O287" s="2176"/>
      <c r="P287" s="2176"/>
      <c r="Q287" s="2176"/>
      <c r="R287" s="2176"/>
      <c r="S287" s="2176"/>
      <c r="T287" s="2176"/>
      <c r="U287" s="2180"/>
    </row>
    <row r="288" spans="1:21">
      <c r="A288" s="2164"/>
      <c r="B288" s="2175" t="s">
        <v>1195</v>
      </c>
      <c r="C288" s="2168" t="s">
        <v>1212</v>
      </c>
      <c r="D288" s="1235" t="s">
        <v>1213</v>
      </c>
      <c r="E288" s="2170"/>
      <c r="F288" s="2179"/>
      <c r="G288" s="2179"/>
      <c r="H288" s="2176">
        <v>0.96</v>
      </c>
      <c r="I288" s="2176">
        <v>0.88319999999999999</v>
      </c>
      <c r="J288" s="2176">
        <v>0.83020799999999995</v>
      </c>
      <c r="K288" s="2176">
        <v>0.78869759999999989</v>
      </c>
      <c r="L288" s="2176">
        <v>0.75714969599999982</v>
      </c>
      <c r="M288" s="2176">
        <v>0.70414921727999991</v>
      </c>
      <c r="N288" s="2176">
        <v>0.69006623293439995</v>
      </c>
      <c r="O288" s="2176">
        <v>0.67626490827571195</v>
      </c>
      <c r="P288" s="2176">
        <v>0.66273961011019766</v>
      </c>
      <c r="Q288" s="2176">
        <v>0.64948481790799373</v>
      </c>
      <c r="R288" s="2176">
        <v>0.64298996972891376</v>
      </c>
      <c r="S288" s="2176">
        <v>0.63656007003162463</v>
      </c>
      <c r="T288" s="2176">
        <v>0.6301944693313084</v>
      </c>
      <c r="U288" s="2180">
        <v>0.62389252463799527</v>
      </c>
    </row>
    <row r="289" spans="1:21">
      <c r="A289" s="2164"/>
      <c r="B289" s="2167"/>
      <c r="C289" s="2169"/>
      <c r="D289" s="1236" t="s">
        <v>1214</v>
      </c>
      <c r="E289" s="2170"/>
      <c r="F289" s="2179"/>
      <c r="G289" s="2179"/>
      <c r="H289" s="2176"/>
      <c r="I289" s="2176"/>
      <c r="J289" s="2176"/>
      <c r="K289" s="2176"/>
      <c r="L289" s="2176"/>
      <c r="M289" s="2176"/>
      <c r="N289" s="2176"/>
      <c r="O289" s="2176"/>
      <c r="P289" s="2176"/>
      <c r="Q289" s="2176"/>
      <c r="R289" s="2176"/>
      <c r="S289" s="2176"/>
      <c r="T289" s="2176"/>
      <c r="U289" s="2180"/>
    </row>
    <row r="290" spans="1:21">
      <c r="A290" s="2164"/>
      <c r="B290" s="2167"/>
      <c r="C290" s="2173" t="s">
        <v>1215</v>
      </c>
      <c r="D290" s="1236" t="s">
        <v>1216</v>
      </c>
      <c r="E290" s="2170"/>
      <c r="F290" s="2179"/>
      <c r="G290" s="2179"/>
      <c r="H290" s="2176"/>
      <c r="I290" s="2176"/>
      <c r="J290" s="2176"/>
      <c r="K290" s="2176"/>
      <c r="L290" s="2176"/>
      <c r="M290" s="2176"/>
      <c r="N290" s="2176"/>
      <c r="O290" s="2176"/>
      <c r="P290" s="2176"/>
      <c r="Q290" s="2176"/>
      <c r="R290" s="2176"/>
      <c r="S290" s="2176"/>
      <c r="T290" s="2176"/>
      <c r="U290" s="2180"/>
    </row>
    <row r="291" spans="1:21">
      <c r="A291" s="2164"/>
      <c r="B291" s="2167"/>
      <c r="C291" s="2174"/>
      <c r="D291" s="1237" t="s">
        <v>1217</v>
      </c>
      <c r="E291" s="2170"/>
      <c r="F291" s="2179"/>
      <c r="G291" s="2179"/>
      <c r="H291" s="2176"/>
      <c r="I291" s="2176"/>
      <c r="J291" s="2176"/>
      <c r="K291" s="2176"/>
      <c r="L291" s="2176"/>
      <c r="M291" s="2176"/>
      <c r="N291" s="2176"/>
      <c r="O291" s="2176"/>
      <c r="P291" s="2176"/>
      <c r="Q291" s="2176"/>
      <c r="R291" s="2176"/>
      <c r="S291" s="2176"/>
      <c r="T291" s="2176"/>
      <c r="U291" s="2180"/>
    </row>
    <row r="292" spans="1:21">
      <c r="A292" s="2164"/>
      <c r="B292" s="2166" t="s">
        <v>1196</v>
      </c>
      <c r="C292" s="2168" t="s">
        <v>1212</v>
      </c>
      <c r="D292" s="1235" t="s">
        <v>1213</v>
      </c>
      <c r="E292" s="2170"/>
      <c r="F292" s="2179"/>
      <c r="G292" s="2179"/>
      <c r="H292" s="2179"/>
      <c r="I292" s="2176">
        <v>0.92</v>
      </c>
      <c r="J292" s="2176">
        <v>0.86480000000000001</v>
      </c>
      <c r="K292" s="2176">
        <v>0.82155999999999996</v>
      </c>
      <c r="L292" s="2176">
        <v>0.78869759999999989</v>
      </c>
      <c r="M292" s="2176">
        <v>0.73348876799999996</v>
      </c>
      <c r="N292" s="2176">
        <v>0.71881899263999993</v>
      </c>
      <c r="O292" s="2176">
        <v>0.70444261278719988</v>
      </c>
      <c r="P292" s="2176">
        <v>0.69035376053145592</v>
      </c>
      <c r="Q292" s="2176">
        <v>0.67654668532082674</v>
      </c>
      <c r="R292" s="2176">
        <v>0.66978121846761851</v>
      </c>
      <c r="S292" s="2176">
        <v>0.66308340628294227</v>
      </c>
      <c r="T292" s="2176">
        <v>0.65645257222011288</v>
      </c>
      <c r="U292" s="2180">
        <v>0.64988804649791176</v>
      </c>
    </row>
    <row r="293" spans="1:21">
      <c r="A293" s="2164"/>
      <c r="B293" s="2167"/>
      <c r="C293" s="2169"/>
      <c r="D293" s="1236" t="s">
        <v>1214</v>
      </c>
      <c r="E293" s="2170"/>
      <c r="F293" s="2179"/>
      <c r="G293" s="2179"/>
      <c r="H293" s="2179"/>
      <c r="I293" s="2176"/>
      <c r="J293" s="2176"/>
      <c r="K293" s="2176"/>
      <c r="L293" s="2176"/>
      <c r="M293" s="2176"/>
      <c r="N293" s="2176"/>
      <c r="O293" s="2176"/>
      <c r="P293" s="2176"/>
      <c r="Q293" s="2176"/>
      <c r="R293" s="2176"/>
      <c r="S293" s="2176"/>
      <c r="T293" s="2176"/>
      <c r="U293" s="2180"/>
    </row>
    <row r="294" spans="1:21">
      <c r="A294" s="2164"/>
      <c r="B294" s="2167"/>
      <c r="C294" s="2173" t="s">
        <v>1215</v>
      </c>
      <c r="D294" s="1236" t="s">
        <v>1216</v>
      </c>
      <c r="E294" s="2170"/>
      <c r="F294" s="2179"/>
      <c r="G294" s="2179"/>
      <c r="H294" s="2179"/>
      <c r="I294" s="2176"/>
      <c r="J294" s="2176"/>
      <c r="K294" s="2176"/>
      <c r="L294" s="2176"/>
      <c r="M294" s="2176"/>
      <c r="N294" s="2176"/>
      <c r="O294" s="2176"/>
      <c r="P294" s="2176"/>
      <c r="Q294" s="2176"/>
      <c r="R294" s="2176"/>
      <c r="S294" s="2176"/>
      <c r="T294" s="2176"/>
      <c r="U294" s="2180"/>
    </row>
    <row r="295" spans="1:21">
      <c r="A295" s="2164"/>
      <c r="B295" s="2167"/>
      <c r="C295" s="2174"/>
      <c r="D295" s="1237" t="s">
        <v>1217</v>
      </c>
      <c r="E295" s="2170"/>
      <c r="F295" s="2179"/>
      <c r="G295" s="2179"/>
      <c r="H295" s="2179"/>
      <c r="I295" s="2176"/>
      <c r="J295" s="2176"/>
      <c r="K295" s="2176"/>
      <c r="L295" s="2176"/>
      <c r="M295" s="2176"/>
      <c r="N295" s="2176"/>
      <c r="O295" s="2176"/>
      <c r="P295" s="2176"/>
      <c r="Q295" s="2176"/>
      <c r="R295" s="2176"/>
      <c r="S295" s="2176"/>
      <c r="T295" s="2176"/>
      <c r="U295" s="2180"/>
    </row>
    <row r="296" spans="1:21">
      <c r="A296" s="2164"/>
      <c r="B296" s="2166" t="s">
        <v>1197</v>
      </c>
      <c r="C296" s="2168" t="s">
        <v>1212</v>
      </c>
      <c r="D296" s="1235" t="s">
        <v>1213</v>
      </c>
      <c r="E296" s="2170"/>
      <c r="F296" s="2179"/>
      <c r="G296" s="2179"/>
      <c r="H296" s="2179"/>
      <c r="I296" s="2179"/>
      <c r="J296" s="2176">
        <v>0.94</v>
      </c>
      <c r="K296" s="2176">
        <v>0.8929999999999999</v>
      </c>
      <c r="L296" s="2176">
        <v>0.85727999999999993</v>
      </c>
      <c r="M296" s="2176">
        <v>0.79727039999999993</v>
      </c>
      <c r="N296" s="2176">
        <v>0.78132499199999994</v>
      </c>
      <c r="O296" s="2176">
        <v>0.76569849215999997</v>
      </c>
      <c r="P296" s="2176">
        <v>0.75038452231679997</v>
      </c>
      <c r="Q296" s="2176">
        <v>0.73537683187046399</v>
      </c>
      <c r="R296" s="2176">
        <v>0.72802306355175939</v>
      </c>
      <c r="S296" s="2176">
        <v>0.72074283291624175</v>
      </c>
      <c r="T296" s="2176">
        <v>0.71353540458707931</v>
      </c>
      <c r="U296" s="2180">
        <v>0.70640005054120847</v>
      </c>
    </row>
    <row r="297" spans="1:21">
      <c r="A297" s="2164"/>
      <c r="B297" s="2167"/>
      <c r="C297" s="2169"/>
      <c r="D297" s="1236" t="s">
        <v>1214</v>
      </c>
      <c r="E297" s="2170"/>
      <c r="F297" s="2179"/>
      <c r="G297" s="2179"/>
      <c r="H297" s="2179"/>
      <c r="I297" s="2179"/>
      <c r="J297" s="2176"/>
      <c r="K297" s="2176"/>
      <c r="L297" s="2176"/>
      <c r="M297" s="2176"/>
      <c r="N297" s="2176"/>
      <c r="O297" s="2176"/>
      <c r="P297" s="2176"/>
      <c r="Q297" s="2176"/>
      <c r="R297" s="2176"/>
      <c r="S297" s="2176"/>
      <c r="T297" s="2176"/>
      <c r="U297" s="2180"/>
    </row>
    <row r="298" spans="1:21">
      <c r="A298" s="2164"/>
      <c r="B298" s="2167"/>
      <c r="C298" s="2173" t="s">
        <v>1215</v>
      </c>
      <c r="D298" s="1236" t="s">
        <v>1216</v>
      </c>
      <c r="E298" s="2170"/>
      <c r="F298" s="2179"/>
      <c r="G298" s="2179"/>
      <c r="H298" s="2179"/>
      <c r="I298" s="2179"/>
      <c r="J298" s="2176"/>
      <c r="K298" s="2176"/>
      <c r="L298" s="2176"/>
      <c r="M298" s="2176"/>
      <c r="N298" s="2176"/>
      <c r="O298" s="2176"/>
      <c r="P298" s="2176"/>
      <c r="Q298" s="2176"/>
      <c r="R298" s="2176"/>
      <c r="S298" s="2176"/>
      <c r="T298" s="2176"/>
      <c r="U298" s="2180"/>
    </row>
    <row r="299" spans="1:21">
      <c r="A299" s="2164"/>
      <c r="B299" s="2167"/>
      <c r="C299" s="2174"/>
      <c r="D299" s="1237" t="s">
        <v>1217</v>
      </c>
      <c r="E299" s="2170"/>
      <c r="F299" s="2179"/>
      <c r="G299" s="2179"/>
      <c r="H299" s="2179"/>
      <c r="I299" s="2179"/>
      <c r="J299" s="2176"/>
      <c r="K299" s="2176"/>
      <c r="L299" s="2176"/>
      <c r="M299" s="2176"/>
      <c r="N299" s="2176"/>
      <c r="O299" s="2176"/>
      <c r="P299" s="2176"/>
      <c r="Q299" s="2176"/>
      <c r="R299" s="2176"/>
      <c r="S299" s="2176"/>
      <c r="T299" s="2176"/>
      <c r="U299" s="2180"/>
    </row>
    <row r="300" spans="1:21">
      <c r="A300" s="2164"/>
      <c r="B300" s="2166" t="s">
        <v>1198</v>
      </c>
      <c r="C300" s="2168" t="s">
        <v>1212</v>
      </c>
      <c r="D300" s="1235" t="s">
        <v>1213</v>
      </c>
      <c r="E300" s="2170"/>
      <c r="F300" s="2179"/>
      <c r="G300" s="2179"/>
      <c r="H300" s="2179"/>
      <c r="I300" s="2179"/>
      <c r="J300" s="2179"/>
      <c r="K300" s="2176">
        <v>0.95</v>
      </c>
      <c r="L300" s="2176">
        <v>0.91199999999999992</v>
      </c>
      <c r="M300" s="2176">
        <v>0.84816000000000003</v>
      </c>
      <c r="N300" s="2176">
        <v>0.83119679999999996</v>
      </c>
      <c r="O300" s="2176">
        <v>0.81457286399999995</v>
      </c>
      <c r="P300" s="2176">
        <v>0.79828140671999992</v>
      </c>
      <c r="Q300" s="2176">
        <v>0.78231577858559986</v>
      </c>
      <c r="R300" s="2176">
        <v>0.7744926207997439</v>
      </c>
      <c r="S300" s="2176">
        <v>0.76674769459174641</v>
      </c>
      <c r="T300" s="2176">
        <v>0.75908021764582889</v>
      </c>
      <c r="U300" s="2180">
        <v>0.75148941546937065</v>
      </c>
    </row>
    <row r="301" spans="1:21">
      <c r="A301" s="2164"/>
      <c r="B301" s="2167"/>
      <c r="C301" s="2169"/>
      <c r="D301" s="1236" t="s">
        <v>1214</v>
      </c>
      <c r="E301" s="2170"/>
      <c r="F301" s="2179"/>
      <c r="G301" s="2179"/>
      <c r="H301" s="2179"/>
      <c r="I301" s="2179"/>
      <c r="J301" s="2179"/>
      <c r="K301" s="2176"/>
      <c r="L301" s="2176"/>
      <c r="M301" s="2176"/>
      <c r="N301" s="2176"/>
      <c r="O301" s="2176"/>
      <c r="P301" s="2176"/>
      <c r="Q301" s="2176"/>
      <c r="R301" s="2176"/>
      <c r="S301" s="2176"/>
      <c r="T301" s="2176"/>
      <c r="U301" s="2180"/>
    </row>
    <row r="302" spans="1:21">
      <c r="A302" s="2164"/>
      <c r="B302" s="2167"/>
      <c r="C302" s="2173" t="s">
        <v>1215</v>
      </c>
      <c r="D302" s="1236" t="s">
        <v>1216</v>
      </c>
      <c r="E302" s="2170"/>
      <c r="F302" s="2179"/>
      <c r="G302" s="2179"/>
      <c r="H302" s="2179"/>
      <c r="I302" s="2179"/>
      <c r="J302" s="2179"/>
      <c r="K302" s="2176"/>
      <c r="L302" s="2176"/>
      <c r="M302" s="2176"/>
      <c r="N302" s="2176"/>
      <c r="O302" s="2176"/>
      <c r="P302" s="2176"/>
      <c r="Q302" s="2176"/>
      <c r="R302" s="2176"/>
      <c r="S302" s="2176"/>
      <c r="T302" s="2176"/>
      <c r="U302" s="2180"/>
    </row>
    <row r="303" spans="1:21">
      <c r="A303" s="2164"/>
      <c r="B303" s="2167"/>
      <c r="C303" s="2174"/>
      <c r="D303" s="1237" t="s">
        <v>1217</v>
      </c>
      <c r="E303" s="2170"/>
      <c r="F303" s="2179"/>
      <c r="G303" s="2179"/>
      <c r="H303" s="2179"/>
      <c r="I303" s="2179"/>
      <c r="J303" s="2179"/>
      <c r="K303" s="2176"/>
      <c r="L303" s="2176"/>
      <c r="M303" s="2176"/>
      <c r="N303" s="2176"/>
      <c r="O303" s="2176"/>
      <c r="P303" s="2176"/>
      <c r="Q303" s="2176"/>
      <c r="R303" s="2176"/>
      <c r="S303" s="2176"/>
      <c r="T303" s="2176"/>
      <c r="U303" s="2180"/>
    </row>
    <row r="304" spans="1:21">
      <c r="A304" s="2164"/>
      <c r="B304" s="2166" t="s">
        <v>1199</v>
      </c>
      <c r="C304" s="2168" t="s">
        <v>1212</v>
      </c>
      <c r="D304" s="1235" t="s">
        <v>1213</v>
      </c>
      <c r="E304" s="2170"/>
      <c r="F304" s="2179"/>
      <c r="G304" s="2179"/>
      <c r="H304" s="2179"/>
      <c r="I304" s="2179"/>
      <c r="J304" s="2179"/>
      <c r="K304" s="2179"/>
      <c r="L304" s="2176">
        <v>0.96</v>
      </c>
      <c r="M304" s="2176">
        <v>0.89280000000000004</v>
      </c>
      <c r="N304" s="2176">
        <v>0.87494400000000006</v>
      </c>
      <c r="O304" s="2176">
        <v>0.85744512000000006</v>
      </c>
      <c r="P304" s="2176">
        <v>0.84029621760000006</v>
      </c>
      <c r="Q304" s="2176">
        <v>0.82349029324800005</v>
      </c>
      <c r="R304" s="2176">
        <v>0.81525539031552008</v>
      </c>
      <c r="S304" s="2176">
        <v>0.80710283641236491</v>
      </c>
      <c r="T304" s="2176">
        <v>0.79903180804824125</v>
      </c>
      <c r="U304" s="2180">
        <v>0.7910414899677588</v>
      </c>
    </row>
    <row r="305" spans="1:21">
      <c r="A305" s="2164"/>
      <c r="B305" s="2167"/>
      <c r="C305" s="2169"/>
      <c r="D305" s="1236" t="s">
        <v>1214</v>
      </c>
      <c r="E305" s="2170"/>
      <c r="F305" s="2179"/>
      <c r="G305" s="2179"/>
      <c r="H305" s="2179"/>
      <c r="I305" s="2179"/>
      <c r="J305" s="2179"/>
      <c r="K305" s="2179"/>
      <c r="L305" s="2176"/>
      <c r="M305" s="2176"/>
      <c r="N305" s="2176"/>
      <c r="O305" s="2176"/>
      <c r="P305" s="2176"/>
      <c r="Q305" s="2176"/>
      <c r="R305" s="2176"/>
      <c r="S305" s="2176"/>
      <c r="T305" s="2176"/>
      <c r="U305" s="2180"/>
    </row>
    <row r="306" spans="1:21">
      <c r="A306" s="2164"/>
      <c r="B306" s="2167"/>
      <c r="C306" s="2173" t="s">
        <v>1215</v>
      </c>
      <c r="D306" s="1236" t="s">
        <v>1216</v>
      </c>
      <c r="E306" s="2170"/>
      <c r="F306" s="2179"/>
      <c r="G306" s="2179"/>
      <c r="H306" s="2179"/>
      <c r="I306" s="2179"/>
      <c r="J306" s="2179"/>
      <c r="K306" s="2179"/>
      <c r="L306" s="2176"/>
      <c r="M306" s="2176"/>
      <c r="N306" s="2176"/>
      <c r="O306" s="2176"/>
      <c r="P306" s="2176"/>
      <c r="Q306" s="2176"/>
      <c r="R306" s="2176"/>
      <c r="S306" s="2176"/>
      <c r="T306" s="2176"/>
      <c r="U306" s="2180"/>
    </row>
    <row r="307" spans="1:21">
      <c r="A307" s="2164"/>
      <c r="B307" s="2167"/>
      <c r="C307" s="2174"/>
      <c r="D307" s="1237" t="s">
        <v>1217</v>
      </c>
      <c r="E307" s="2170"/>
      <c r="F307" s="2179"/>
      <c r="G307" s="2179"/>
      <c r="H307" s="2179"/>
      <c r="I307" s="2179"/>
      <c r="J307" s="2179"/>
      <c r="K307" s="2179"/>
      <c r="L307" s="2176"/>
      <c r="M307" s="2176"/>
      <c r="N307" s="2176"/>
      <c r="O307" s="2176"/>
      <c r="P307" s="2176"/>
      <c r="Q307" s="2176"/>
      <c r="R307" s="2176"/>
      <c r="S307" s="2176"/>
      <c r="T307" s="2176"/>
      <c r="U307" s="2180"/>
    </row>
    <row r="308" spans="1:21">
      <c r="A308" s="2164"/>
      <c r="B308" s="2166" t="s">
        <v>1200</v>
      </c>
      <c r="C308" s="2168" t="s">
        <v>1212</v>
      </c>
      <c r="D308" s="1235" t="s">
        <v>1213</v>
      </c>
      <c r="E308" s="2170"/>
      <c r="F308" s="2179"/>
      <c r="G308" s="2179"/>
      <c r="H308" s="2179"/>
      <c r="I308" s="2179"/>
      <c r="J308" s="2179"/>
      <c r="K308" s="2179"/>
      <c r="L308" s="2179"/>
      <c r="M308" s="2176">
        <v>0.93</v>
      </c>
      <c r="N308" s="2176">
        <v>0.91139999999999999</v>
      </c>
      <c r="O308" s="2176">
        <v>0.89317199999999997</v>
      </c>
      <c r="P308" s="2176">
        <v>0.8753085599999999</v>
      </c>
      <c r="Q308" s="2176">
        <v>0.85780238879999993</v>
      </c>
      <c r="R308" s="2176">
        <v>0.84922436491199993</v>
      </c>
      <c r="S308" s="2176">
        <v>0.84073212126287988</v>
      </c>
      <c r="T308" s="2176">
        <v>0.83232480005025111</v>
      </c>
      <c r="U308" s="2180">
        <v>0.82400155204974856</v>
      </c>
    </row>
    <row r="309" spans="1:21">
      <c r="A309" s="2164"/>
      <c r="B309" s="2167"/>
      <c r="C309" s="2169"/>
      <c r="D309" s="1236" t="s">
        <v>1214</v>
      </c>
      <c r="E309" s="2170"/>
      <c r="F309" s="2179"/>
      <c r="G309" s="2179"/>
      <c r="H309" s="2179"/>
      <c r="I309" s="2179"/>
      <c r="J309" s="2179"/>
      <c r="K309" s="2179"/>
      <c r="L309" s="2179"/>
      <c r="M309" s="2176"/>
      <c r="N309" s="2176"/>
      <c r="O309" s="2176"/>
      <c r="P309" s="2176"/>
      <c r="Q309" s="2176"/>
      <c r="R309" s="2176"/>
      <c r="S309" s="2176"/>
      <c r="T309" s="2176"/>
      <c r="U309" s="2180"/>
    </row>
    <row r="310" spans="1:21">
      <c r="A310" s="2164"/>
      <c r="B310" s="2167"/>
      <c r="C310" s="2173" t="s">
        <v>1215</v>
      </c>
      <c r="D310" s="1236" t="s">
        <v>1216</v>
      </c>
      <c r="E310" s="2170"/>
      <c r="F310" s="2179"/>
      <c r="G310" s="2179"/>
      <c r="H310" s="2179"/>
      <c r="I310" s="2179"/>
      <c r="J310" s="2179"/>
      <c r="K310" s="2179"/>
      <c r="L310" s="2179"/>
      <c r="M310" s="2176"/>
      <c r="N310" s="2176"/>
      <c r="O310" s="2176"/>
      <c r="P310" s="2176"/>
      <c r="Q310" s="2176"/>
      <c r="R310" s="2176"/>
      <c r="S310" s="2176"/>
      <c r="T310" s="2176"/>
      <c r="U310" s="2180"/>
    </row>
    <row r="311" spans="1:21">
      <c r="A311" s="2164"/>
      <c r="B311" s="2167"/>
      <c r="C311" s="2174"/>
      <c r="D311" s="1237" t="s">
        <v>1217</v>
      </c>
      <c r="E311" s="2170"/>
      <c r="F311" s="2179"/>
      <c r="G311" s="2179"/>
      <c r="H311" s="2179"/>
      <c r="I311" s="2179"/>
      <c r="J311" s="2179"/>
      <c r="K311" s="2179"/>
      <c r="L311" s="2179"/>
      <c r="M311" s="2176"/>
      <c r="N311" s="2176"/>
      <c r="O311" s="2176"/>
      <c r="P311" s="2176"/>
      <c r="Q311" s="2176"/>
      <c r="R311" s="2176"/>
      <c r="S311" s="2176"/>
      <c r="T311" s="2176"/>
      <c r="U311" s="2180"/>
    </row>
    <row r="312" spans="1:21">
      <c r="A312" s="2164"/>
      <c r="B312" s="2175" t="s">
        <v>1201</v>
      </c>
      <c r="C312" s="2168" t="s">
        <v>1212</v>
      </c>
      <c r="D312" s="1235" t="s">
        <v>1213</v>
      </c>
      <c r="E312" s="2170"/>
      <c r="F312" s="2179"/>
      <c r="G312" s="2179"/>
      <c r="H312" s="2179"/>
      <c r="I312" s="2179"/>
      <c r="J312" s="2179"/>
      <c r="K312" s="2179"/>
      <c r="L312" s="2179"/>
      <c r="M312" s="2179"/>
      <c r="N312" s="2176">
        <v>0.98</v>
      </c>
      <c r="O312" s="2176">
        <v>0.96039999999999992</v>
      </c>
      <c r="P312" s="2176">
        <v>0.94119199999999992</v>
      </c>
      <c r="Q312" s="2176">
        <v>0.92236815999999988</v>
      </c>
      <c r="R312" s="2176">
        <v>0.9131444783999999</v>
      </c>
      <c r="S312" s="2176">
        <v>0.90401303361599994</v>
      </c>
      <c r="T312" s="2176">
        <v>0.89497290327983992</v>
      </c>
      <c r="U312" s="2180">
        <v>0.88602317424704147</v>
      </c>
    </row>
    <row r="313" spans="1:21">
      <c r="A313" s="2164"/>
      <c r="B313" s="2167"/>
      <c r="C313" s="2169"/>
      <c r="D313" s="1236" t="s">
        <v>1214</v>
      </c>
      <c r="E313" s="2170"/>
      <c r="F313" s="2179"/>
      <c r="G313" s="2179"/>
      <c r="H313" s="2179"/>
      <c r="I313" s="2179"/>
      <c r="J313" s="2179"/>
      <c r="K313" s="2179"/>
      <c r="L313" s="2179"/>
      <c r="M313" s="2179"/>
      <c r="N313" s="2176"/>
      <c r="O313" s="2176"/>
      <c r="P313" s="2176"/>
      <c r="Q313" s="2176"/>
      <c r="R313" s="2176"/>
      <c r="S313" s="2176"/>
      <c r="T313" s="2176"/>
      <c r="U313" s="2180"/>
    </row>
    <row r="314" spans="1:21">
      <c r="A314" s="2164"/>
      <c r="B314" s="2167"/>
      <c r="C314" s="2173" t="s">
        <v>1215</v>
      </c>
      <c r="D314" s="1236" t="s">
        <v>1216</v>
      </c>
      <c r="E314" s="2170"/>
      <c r="F314" s="2179"/>
      <c r="G314" s="2179"/>
      <c r="H314" s="2179"/>
      <c r="I314" s="2179"/>
      <c r="J314" s="2179"/>
      <c r="K314" s="2179"/>
      <c r="L314" s="2179"/>
      <c r="M314" s="2179"/>
      <c r="N314" s="2176"/>
      <c r="O314" s="2176"/>
      <c r="P314" s="2176"/>
      <c r="Q314" s="2176"/>
      <c r="R314" s="2176"/>
      <c r="S314" s="2176"/>
      <c r="T314" s="2176"/>
      <c r="U314" s="2180"/>
    </row>
    <row r="315" spans="1:21">
      <c r="A315" s="2164"/>
      <c r="B315" s="2167"/>
      <c r="C315" s="2174"/>
      <c r="D315" s="1237" t="s">
        <v>1217</v>
      </c>
      <c r="E315" s="2170"/>
      <c r="F315" s="2179"/>
      <c r="G315" s="2179"/>
      <c r="H315" s="2179"/>
      <c r="I315" s="2179"/>
      <c r="J315" s="2179"/>
      <c r="K315" s="2179"/>
      <c r="L315" s="2179"/>
      <c r="M315" s="2179"/>
      <c r="N315" s="2176"/>
      <c r="O315" s="2176"/>
      <c r="P315" s="2176"/>
      <c r="Q315" s="2176"/>
      <c r="R315" s="2176"/>
      <c r="S315" s="2176"/>
      <c r="T315" s="2176"/>
      <c r="U315" s="2180"/>
    </row>
    <row r="316" spans="1:21">
      <c r="A316" s="2164"/>
      <c r="B316" s="2166" t="s">
        <v>1202</v>
      </c>
      <c r="C316" s="2168" t="s">
        <v>1212</v>
      </c>
      <c r="D316" s="1235" t="s">
        <v>1213</v>
      </c>
      <c r="E316" s="2170"/>
      <c r="F316" s="2179"/>
      <c r="G316" s="2179"/>
      <c r="H316" s="2179"/>
      <c r="I316" s="2179"/>
      <c r="J316" s="2179"/>
      <c r="K316" s="2179"/>
      <c r="L316" s="2179"/>
      <c r="M316" s="2179"/>
      <c r="N316" s="2179"/>
      <c r="O316" s="2176">
        <v>0.98</v>
      </c>
      <c r="P316" s="2176">
        <v>0.96039999999999992</v>
      </c>
      <c r="Q316" s="2176">
        <v>0.94119199999999992</v>
      </c>
      <c r="R316" s="2176">
        <v>0.9317800799999999</v>
      </c>
      <c r="S316" s="2176">
        <v>0.9224622791999999</v>
      </c>
      <c r="T316" s="2176">
        <v>0.91323765640799992</v>
      </c>
      <c r="U316" s="2180">
        <v>0.90410527984391986</v>
      </c>
    </row>
    <row r="317" spans="1:21">
      <c r="A317" s="2164"/>
      <c r="B317" s="2167"/>
      <c r="C317" s="2169"/>
      <c r="D317" s="1236" t="s">
        <v>1214</v>
      </c>
      <c r="E317" s="2170"/>
      <c r="F317" s="2179"/>
      <c r="G317" s="2179"/>
      <c r="H317" s="2179"/>
      <c r="I317" s="2179"/>
      <c r="J317" s="2179"/>
      <c r="K317" s="2179"/>
      <c r="L317" s="2179"/>
      <c r="M317" s="2179"/>
      <c r="N317" s="2179"/>
      <c r="O317" s="2176"/>
      <c r="P317" s="2176"/>
      <c r="Q317" s="2176"/>
      <c r="R317" s="2176"/>
      <c r="S317" s="2176"/>
      <c r="T317" s="2176"/>
      <c r="U317" s="2180"/>
    </row>
    <row r="318" spans="1:21">
      <c r="A318" s="2164"/>
      <c r="B318" s="2167"/>
      <c r="C318" s="2173" t="s">
        <v>1215</v>
      </c>
      <c r="D318" s="1236" t="s">
        <v>1216</v>
      </c>
      <c r="E318" s="2170"/>
      <c r="F318" s="2179"/>
      <c r="G318" s="2179"/>
      <c r="H318" s="2179"/>
      <c r="I318" s="2179"/>
      <c r="J318" s="2179"/>
      <c r="K318" s="2179"/>
      <c r="L318" s="2179"/>
      <c r="M318" s="2179"/>
      <c r="N318" s="2179"/>
      <c r="O318" s="2176"/>
      <c r="P318" s="2176"/>
      <c r="Q318" s="2176"/>
      <c r="R318" s="2176"/>
      <c r="S318" s="2176"/>
      <c r="T318" s="2176"/>
      <c r="U318" s="2180"/>
    </row>
    <row r="319" spans="1:21">
      <c r="A319" s="2164"/>
      <c r="B319" s="2167"/>
      <c r="C319" s="2174"/>
      <c r="D319" s="1237" t="s">
        <v>1217</v>
      </c>
      <c r="E319" s="2170"/>
      <c r="F319" s="2179"/>
      <c r="G319" s="2179"/>
      <c r="H319" s="2179"/>
      <c r="I319" s="2179"/>
      <c r="J319" s="2179"/>
      <c r="K319" s="2179"/>
      <c r="L319" s="2179"/>
      <c r="M319" s="2179"/>
      <c r="N319" s="2179"/>
      <c r="O319" s="2176"/>
      <c r="P319" s="2176"/>
      <c r="Q319" s="2176"/>
      <c r="R319" s="2176"/>
      <c r="S319" s="2176"/>
      <c r="T319" s="2176"/>
      <c r="U319" s="2180"/>
    </row>
    <row r="320" spans="1:21">
      <c r="A320" s="2164"/>
      <c r="B320" s="2166" t="s">
        <v>1203</v>
      </c>
      <c r="C320" s="2168" t="s">
        <v>1212</v>
      </c>
      <c r="D320" s="1235" t="s">
        <v>1213</v>
      </c>
      <c r="E320" s="2170"/>
      <c r="F320" s="2179"/>
      <c r="G320" s="2179"/>
      <c r="H320" s="2179"/>
      <c r="I320" s="2179"/>
      <c r="J320" s="2179"/>
      <c r="K320" s="2179"/>
      <c r="L320" s="2179"/>
      <c r="M320" s="2179"/>
      <c r="N320" s="2179"/>
      <c r="O320" s="2179"/>
      <c r="P320" s="2176">
        <v>0.98</v>
      </c>
      <c r="Q320" s="2176">
        <v>0.96039999999999992</v>
      </c>
      <c r="R320" s="2176">
        <v>0.95079599999999986</v>
      </c>
      <c r="S320" s="2176">
        <v>0.94128803999999988</v>
      </c>
      <c r="T320" s="2176">
        <v>0.93187515959999989</v>
      </c>
      <c r="U320" s="2180">
        <v>0.92255640800399985</v>
      </c>
    </row>
    <row r="321" spans="1:21">
      <c r="A321" s="2164"/>
      <c r="B321" s="2167"/>
      <c r="C321" s="2169"/>
      <c r="D321" s="1236" t="s">
        <v>1214</v>
      </c>
      <c r="E321" s="2170"/>
      <c r="F321" s="2179"/>
      <c r="G321" s="2179"/>
      <c r="H321" s="2179"/>
      <c r="I321" s="2179"/>
      <c r="J321" s="2179"/>
      <c r="K321" s="2179"/>
      <c r="L321" s="2179"/>
      <c r="M321" s="2179"/>
      <c r="N321" s="2179"/>
      <c r="O321" s="2179"/>
      <c r="P321" s="2176"/>
      <c r="Q321" s="2176"/>
      <c r="R321" s="2176"/>
      <c r="S321" s="2176"/>
      <c r="T321" s="2176"/>
      <c r="U321" s="2180"/>
    </row>
    <row r="322" spans="1:21">
      <c r="A322" s="2164"/>
      <c r="B322" s="2167"/>
      <c r="C322" s="2173" t="s">
        <v>1215</v>
      </c>
      <c r="D322" s="1236" t="s">
        <v>1216</v>
      </c>
      <c r="E322" s="2170"/>
      <c r="F322" s="2179"/>
      <c r="G322" s="2179"/>
      <c r="H322" s="2179"/>
      <c r="I322" s="2179"/>
      <c r="J322" s="2179"/>
      <c r="K322" s="2179"/>
      <c r="L322" s="2179"/>
      <c r="M322" s="2179"/>
      <c r="N322" s="2179"/>
      <c r="O322" s="2179"/>
      <c r="P322" s="2176"/>
      <c r="Q322" s="2176"/>
      <c r="R322" s="2176"/>
      <c r="S322" s="2176"/>
      <c r="T322" s="2176"/>
      <c r="U322" s="2180"/>
    </row>
    <row r="323" spans="1:21">
      <c r="A323" s="2164"/>
      <c r="B323" s="2167"/>
      <c r="C323" s="2174"/>
      <c r="D323" s="1237" t="s">
        <v>1217</v>
      </c>
      <c r="E323" s="2170"/>
      <c r="F323" s="2179"/>
      <c r="G323" s="2179"/>
      <c r="H323" s="2179"/>
      <c r="I323" s="2179"/>
      <c r="J323" s="2179"/>
      <c r="K323" s="2179"/>
      <c r="L323" s="2179"/>
      <c r="M323" s="2179"/>
      <c r="N323" s="2179"/>
      <c r="O323" s="2179"/>
      <c r="P323" s="2176"/>
      <c r="Q323" s="2176"/>
      <c r="R323" s="2176"/>
      <c r="S323" s="2176"/>
      <c r="T323" s="2176"/>
      <c r="U323" s="2180"/>
    </row>
    <row r="324" spans="1:21">
      <c r="A324" s="2164"/>
      <c r="B324" s="2166" t="s">
        <v>1204</v>
      </c>
      <c r="C324" s="2168" t="s">
        <v>1212</v>
      </c>
      <c r="D324" s="1235" t="s">
        <v>1213</v>
      </c>
      <c r="E324" s="2170"/>
      <c r="F324" s="2179"/>
      <c r="G324" s="2179"/>
      <c r="H324" s="2179"/>
      <c r="I324" s="2179"/>
      <c r="J324" s="2179"/>
      <c r="K324" s="2179"/>
      <c r="L324" s="2179"/>
      <c r="M324" s="2179"/>
      <c r="N324" s="2179"/>
      <c r="O324" s="2179"/>
      <c r="P324" s="2179"/>
      <c r="Q324" s="2176">
        <v>0.98</v>
      </c>
      <c r="R324" s="2176">
        <v>0.97019999999999995</v>
      </c>
      <c r="S324" s="2176">
        <v>0.96049799999999996</v>
      </c>
      <c r="T324" s="2176">
        <v>0.95089301999999998</v>
      </c>
      <c r="U324" s="2180">
        <v>0.94138408979999999</v>
      </c>
    </row>
    <row r="325" spans="1:21">
      <c r="A325" s="2164"/>
      <c r="B325" s="2167"/>
      <c r="C325" s="2169"/>
      <c r="D325" s="1236" t="s">
        <v>1214</v>
      </c>
      <c r="E325" s="2170"/>
      <c r="F325" s="2179"/>
      <c r="G325" s="2179"/>
      <c r="H325" s="2179"/>
      <c r="I325" s="2179"/>
      <c r="J325" s="2179"/>
      <c r="K325" s="2179"/>
      <c r="L325" s="2179"/>
      <c r="M325" s="2179"/>
      <c r="N325" s="2179"/>
      <c r="O325" s="2179"/>
      <c r="P325" s="2179"/>
      <c r="Q325" s="2176"/>
      <c r="R325" s="2176"/>
      <c r="S325" s="2176"/>
      <c r="T325" s="2176"/>
      <c r="U325" s="2180"/>
    </row>
    <row r="326" spans="1:21">
      <c r="A326" s="2164"/>
      <c r="B326" s="2167"/>
      <c r="C326" s="2173" t="s">
        <v>1215</v>
      </c>
      <c r="D326" s="1236" t="s">
        <v>1216</v>
      </c>
      <c r="E326" s="2170"/>
      <c r="F326" s="2179"/>
      <c r="G326" s="2179"/>
      <c r="H326" s="2179"/>
      <c r="I326" s="2179"/>
      <c r="J326" s="2179"/>
      <c r="K326" s="2179"/>
      <c r="L326" s="2179"/>
      <c r="M326" s="2179"/>
      <c r="N326" s="2179"/>
      <c r="O326" s="2179"/>
      <c r="P326" s="2179"/>
      <c r="Q326" s="2176"/>
      <c r="R326" s="2176"/>
      <c r="S326" s="2176"/>
      <c r="T326" s="2176"/>
      <c r="U326" s="2180"/>
    </row>
    <row r="327" spans="1:21">
      <c r="A327" s="2164"/>
      <c r="B327" s="2167"/>
      <c r="C327" s="2174"/>
      <c r="D327" s="1237" t="s">
        <v>1217</v>
      </c>
      <c r="E327" s="2170"/>
      <c r="F327" s="2179"/>
      <c r="G327" s="2179"/>
      <c r="H327" s="2179"/>
      <c r="I327" s="2179"/>
      <c r="J327" s="2179"/>
      <c r="K327" s="2179"/>
      <c r="L327" s="2179"/>
      <c r="M327" s="2179"/>
      <c r="N327" s="2179"/>
      <c r="O327" s="2179"/>
      <c r="P327" s="2179"/>
      <c r="Q327" s="2176"/>
      <c r="R327" s="2176"/>
      <c r="S327" s="2176"/>
      <c r="T327" s="2176"/>
      <c r="U327" s="2180"/>
    </row>
    <row r="328" spans="1:21">
      <c r="A328" s="2164"/>
      <c r="B328" s="2166" t="s">
        <v>1205</v>
      </c>
      <c r="C328" s="2168" t="s">
        <v>1212</v>
      </c>
      <c r="D328" s="1235" t="s">
        <v>1213</v>
      </c>
      <c r="E328" s="2170"/>
      <c r="F328" s="2179"/>
      <c r="G328" s="2179"/>
      <c r="H328" s="2179"/>
      <c r="I328" s="2179"/>
      <c r="J328" s="2179"/>
      <c r="K328" s="2179"/>
      <c r="L328" s="2179"/>
      <c r="M328" s="2179"/>
      <c r="N328" s="2179"/>
      <c r="O328" s="2179"/>
      <c r="P328" s="2179"/>
      <c r="Q328" s="2179"/>
      <c r="R328" s="2176">
        <v>0.99</v>
      </c>
      <c r="S328" s="2176">
        <v>0.98009999999999997</v>
      </c>
      <c r="T328" s="2176">
        <v>0.97029899999999991</v>
      </c>
      <c r="U328" s="2180">
        <v>0.96059600999999994</v>
      </c>
    </row>
    <row r="329" spans="1:21">
      <c r="A329" s="2164"/>
      <c r="B329" s="2167"/>
      <c r="C329" s="2169"/>
      <c r="D329" s="1236" t="s">
        <v>1214</v>
      </c>
      <c r="E329" s="2170"/>
      <c r="F329" s="2179"/>
      <c r="G329" s="2179"/>
      <c r="H329" s="2179"/>
      <c r="I329" s="2179"/>
      <c r="J329" s="2179"/>
      <c r="K329" s="2179"/>
      <c r="L329" s="2179"/>
      <c r="M329" s="2179"/>
      <c r="N329" s="2179"/>
      <c r="O329" s="2179"/>
      <c r="P329" s="2179"/>
      <c r="Q329" s="2179"/>
      <c r="R329" s="2176"/>
      <c r="S329" s="2176"/>
      <c r="T329" s="2176"/>
      <c r="U329" s="2180"/>
    </row>
    <row r="330" spans="1:21">
      <c r="A330" s="2164"/>
      <c r="B330" s="2167"/>
      <c r="C330" s="2173" t="s">
        <v>1215</v>
      </c>
      <c r="D330" s="1236" t="s">
        <v>1216</v>
      </c>
      <c r="E330" s="2170"/>
      <c r="F330" s="2179"/>
      <c r="G330" s="2179"/>
      <c r="H330" s="2179"/>
      <c r="I330" s="2179"/>
      <c r="J330" s="2179"/>
      <c r="K330" s="2179"/>
      <c r="L330" s="2179"/>
      <c r="M330" s="2179"/>
      <c r="N330" s="2179"/>
      <c r="O330" s="2179"/>
      <c r="P330" s="2179"/>
      <c r="Q330" s="2179"/>
      <c r="R330" s="2176"/>
      <c r="S330" s="2176"/>
      <c r="T330" s="2176"/>
      <c r="U330" s="2180"/>
    </row>
    <row r="331" spans="1:21">
      <c r="A331" s="2164"/>
      <c r="B331" s="2167"/>
      <c r="C331" s="2174"/>
      <c r="D331" s="1237" t="s">
        <v>1217</v>
      </c>
      <c r="E331" s="2170"/>
      <c r="F331" s="2179"/>
      <c r="G331" s="2179"/>
      <c r="H331" s="2179"/>
      <c r="I331" s="2179"/>
      <c r="J331" s="2179"/>
      <c r="K331" s="2179"/>
      <c r="L331" s="2179"/>
      <c r="M331" s="2179"/>
      <c r="N331" s="2179"/>
      <c r="O331" s="2179"/>
      <c r="P331" s="2179"/>
      <c r="Q331" s="2179"/>
      <c r="R331" s="2176"/>
      <c r="S331" s="2176"/>
      <c r="T331" s="2176"/>
      <c r="U331" s="2180"/>
    </row>
    <row r="332" spans="1:21">
      <c r="A332" s="2164"/>
      <c r="B332" s="2175" t="s">
        <v>1206</v>
      </c>
      <c r="C332" s="2168" t="s">
        <v>1212</v>
      </c>
      <c r="D332" s="1235" t="s">
        <v>1213</v>
      </c>
      <c r="E332" s="2170"/>
      <c r="F332" s="2179"/>
      <c r="G332" s="2179"/>
      <c r="H332" s="2179"/>
      <c r="I332" s="2179"/>
      <c r="J332" s="2179"/>
      <c r="K332" s="2179"/>
      <c r="L332" s="2179"/>
      <c r="M332" s="2179"/>
      <c r="N332" s="2179"/>
      <c r="O332" s="2179"/>
      <c r="P332" s="2179"/>
      <c r="Q332" s="2179"/>
      <c r="R332" s="2179"/>
      <c r="S332" s="2176">
        <v>0.99</v>
      </c>
      <c r="T332" s="2176">
        <v>0.98009999999999997</v>
      </c>
      <c r="U332" s="2180">
        <v>0.97029899999999991</v>
      </c>
    </row>
    <row r="333" spans="1:21">
      <c r="A333" s="2164"/>
      <c r="B333" s="2167"/>
      <c r="C333" s="2169"/>
      <c r="D333" s="1236" t="s">
        <v>1214</v>
      </c>
      <c r="E333" s="2170"/>
      <c r="F333" s="2179"/>
      <c r="G333" s="2179"/>
      <c r="H333" s="2179"/>
      <c r="I333" s="2179"/>
      <c r="J333" s="2179"/>
      <c r="K333" s="2179"/>
      <c r="L333" s="2179"/>
      <c r="M333" s="2179"/>
      <c r="N333" s="2179"/>
      <c r="O333" s="2179"/>
      <c r="P333" s="2179"/>
      <c r="Q333" s="2179"/>
      <c r="R333" s="2179"/>
      <c r="S333" s="2176"/>
      <c r="T333" s="2176"/>
      <c r="U333" s="2180"/>
    </row>
    <row r="334" spans="1:21">
      <c r="A334" s="2164"/>
      <c r="B334" s="2167"/>
      <c r="C334" s="2173" t="s">
        <v>1215</v>
      </c>
      <c r="D334" s="1236" t="s">
        <v>1216</v>
      </c>
      <c r="E334" s="2170"/>
      <c r="F334" s="2179"/>
      <c r="G334" s="2179"/>
      <c r="H334" s="2179"/>
      <c r="I334" s="2179"/>
      <c r="J334" s="2179"/>
      <c r="K334" s="2179"/>
      <c r="L334" s="2179"/>
      <c r="M334" s="2179"/>
      <c r="N334" s="2179"/>
      <c r="O334" s="2179"/>
      <c r="P334" s="2179"/>
      <c r="Q334" s="2179"/>
      <c r="R334" s="2179"/>
      <c r="S334" s="2176"/>
      <c r="T334" s="2176"/>
      <c r="U334" s="2180"/>
    </row>
    <row r="335" spans="1:21">
      <c r="A335" s="2164"/>
      <c r="B335" s="2167"/>
      <c r="C335" s="2174"/>
      <c r="D335" s="1237" t="s">
        <v>1217</v>
      </c>
      <c r="E335" s="2170"/>
      <c r="F335" s="2179"/>
      <c r="G335" s="2179"/>
      <c r="H335" s="2179"/>
      <c r="I335" s="2179"/>
      <c r="J335" s="2179"/>
      <c r="K335" s="2179"/>
      <c r="L335" s="2179"/>
      <c r="M335" s="2179"/>
      <c r="N335" s="2179"/>
      <c r="O335" s="2179"/>
      <c r="P335" s="2179"/>
      <c r="Q335" s="2179"/>
      <c r="R335" s="2179"/>
      <c r="S335" s="2176"/>
      <c r="T335" s="2176"/>
      <c r="U335" s="2180"/>
    </row>
    <row r="336" spans="1:21">
      <c r="A336" s="2164"/>
      <c r="B336" s="2166" t="s">
        <v>1207</v>
      </c>
      <c r="C336" s="2168" t="s">
        <v>1212</v>
      </c>
      <c r="D336" s="1235" t="s">
        <v>1213</v>
      </c>
      <c r="E336" s="2170"/>
      <c r="F336" s="2179"/>
      <c r="G336" s="2179"/>
      <c r="H336" s="2179"/>
      <c r="I336" s="2179"/>
      <c r="J336" s="2179"/>
      <c r="K336" s="2179"/>
      <c r="L336" s="2179"/>
      <c r="M336" s="2179"/>
      <c r="N336" s="2179"/>
      <c r="O336" s="2179"/>
      <c r="P336" s="2179"/>
      <c r="Q336" s="2179"/>
      <c r="R336" s="2179"/>
      <c r="S336" s="2179"/>
      <c r="T336" s="2171">
        <v>0.99</v>
      </c>
      <c r="U336" s="2180">
        <v>0.98009999999999997</v>
      </c>
    </row>
    <row r="337" spans="1:21">
      <c r="A337" s="2164"/>
      <c r="B337" s="2167"/>
      <c r="C337" s="2169"/>
      <c r="D337" s="1236" t="s">
        <v>1214</v>
      </c>
      <c r="E337" s="2170"/>
      <c r="F337" s="2179"/>
      <c r="G337" s="2179"/>
      <c r="H337" s="2179"/>
      <c r="I337" s="2179"/>
      <c r="J337" s="2179"/>
      <c r="K337" s="2179"/>
      <c r="L337" s="2179"/>
      <c r="M337" s="2179"/>
      <c r="N337" s="2179"/>
      <c r="O337" s="2179"/>
      <c r="P337" s="2179"/>
      <c r="Q337" s="2179"/>
      <c r="R337" s="2179"/>
      <c r="S337" s="2179"/>
      <c r="T337" s="2172"/>
      <c r="U337" s="2180"/>
    </row>
    <row r="338" spans="1:21">
      <c r="A338" s="2164"/>
      <c r="B338" s="2167"/>
      <c r="C338" s="2173" t="s">
        <v>1215</v>
      </c>
      <c r="D338" s="1236" t="s">
        <v>1216</v>
      </c>
      <c r="E338" s="2170"/>
      <c r="F338" s="2179"/>
      <c r="G338" s="2179"/>
      <c r="H338" s="2179"/>
      <c r="I338" s="2179"/>
      <c r="J338" s="2179"/>
      <c r="K338" s="2179"/>
      <c r="L338" s="2179"/>
      <c r="M338" s="2179"/>
      <c r="N338" s="2179"/>
      <c r="O338" s="2179"/>
      <c r="P338" s="2179"/>
      <c r="Q338" s="2179"/>
      <c r="R338" s="2179"/>
      <c r="S338" s="2179"/>
      <c r="T338" s="2172"/>
      <c r="U338" s="2180"/>
    </row>
    <row r="339" spans="1:21">
      <c r="A339" s="2164"/>
      <c r="B339" s="2167"/>
      <c r="C339" s="2174"/>
      <c r="D339" s="1237" t="s">
        <v>1217</v>
      </c>
      <c r="E339" s="2170"/>
      <c r="F339" s="2179"/>
      <c r="G339" s="2179"/>
      <c r="H339" s="2179"/>
      <c r="I339" s="2179"/>
      <c r="J339" s="2179"/>
      <c r="K339" s="2179"/>
      <c r="L339" s="2179"/>
      <c r="M339" s="2179"/>
      <c r="N339" s="2179"/>
      <c r="O339" s="2179"/>
      <c r="P339" s="2179"/>
      <c r="Q339" s="2179"/>
      <c r="R339" s="2179"/>
      <c r="S339" s="2179"/>
      <c r="T339" s="2187"/>
      <c r="U339" s="2180"/>
    </row>
    <row r="340" spans="1:21">
      <c r="A340" s="2164"/>
      <c r="B340" s="2166" t="s">
        <v>1208</v>
      </c>
      <c r="C340" s="2168" t="s">
        <v>1212</v>
      </c>
      <c r="D340" s="1235" t="s">
        <v>1213</v>
      </c>
      <c r="E340" s="2170"/>
      <c r="F340" s="2179"/>
      <c r="G340" s="2179"/>
      <c r="H340" s="2179"/>
      <c r="I340" s="2179"/>
      <c r="J340" s="2179"/>
      <c r="K340" s="2179"/>
      <c r="L340" s="2179"/>
      <c r="M340" s="2179"/>
      <c r="N340" s="2179"/>
      <c r="O340" s="2179"/>
      <c r="P340" s="2179"/>
      <c r="Q340" s="2179"/>
      <c r="R340" s="2179"/>
      <c r="S340" s="2179"/>
      <c r="T340" s="2179"/>
      <c r="U340" s="2180">
        <v>0.99</v>
      </c>
    </row>
    <row r="341" spans="1:21">
      <c r="A341" s="2164"/>
      <c r="B341" s="2167"/>
      <c r="C341" s="2169"/>
      <c r="D341" s="1236" t="s">
        <v>1214</v>
      </c>
      <c r="E341" s="2170"/>
      <c r="F341" s="2179"/>
      <c r="G341" s="2179"/>
      <c r="H341" s="2179"/>
      <c r="I341" s="2179"/>
      <c r="J341" s="2179"/>
      <c r="K341" s="2179"/>
      <c r="L341" s="2179"/>
      <c r="M341" s="2179"/>
      <c r="N341" s="2179"/>
      <c r="O341" s="2179"/>
      <c r="P341" s="2179"/>
      <c r="Q341" s="2179"/>
      <c r="R341" s="2179"/>
      <c r="S341" s="2179"/>
      <c r="T341" s="2179"/>
      <c r="U341" s="2180"/>
    </row>
    <row r="342" spans="1:21">
      <c r="A342" s="2164"/>
      <c r="B342" s="2167"/>
      <c r="C342" s="2173" t="s">
        <v>1215</v>
      </c>
      <c r="D342" s="1236" t="s">
        <v>1216</v>
      </c>
      <c r="E342" s="2170"/>
      <c r="F342" s="2179"/>
      <c r="G342" s="2179"/>
      <c r="H342" s="2179"/>
      <c r="I342" s="2179"/>
      <c r="J342" s="2179"/>
      <c r="K342" s="2179"/>
      <c r="L342" s="2179"/>
      <c r="M342" s="2179"/>
      <c r="N342" s="2179"/>
      <c r="O342" s="2179"/>
      <c r="P342" s="2179"/>
      <c r="Q342" s="2179"/>
      <c r="R342" s="2179"/>
      <c r="S342" s="2179"/>
      <c r="T342" s="2179"/>
      <c r="U342" s="2180"/>
    </row>
    <row r="343" spans="1:21">
      <c r="A343" s="2164"/>
      <c r="B343" s="2167"/>
      <c r="C343" s="2174"/>
      <c r="D343" s="1237" t="s">
        <v>1217</v>
      </c>
      <c r="E343" s="2170"/>
      <c r="F343" s="2179"/>
      <c r="G343" s="2179"/>
      <c r="H343" s="2179"/>
      <c r="I343" s="2179"/>
      <c r="J343" s="2179"/>
      <c r="K343" s="2179"/>
      <c r="L343" s="2179"/>
      <c r="M343" s="2179"/>
      <c r="N343" s="2179"/>
      <c r="O343" s="2179"/>
      <c r="P343" s="2179"/>
      <c r="Q343" s="2179"/>
      <c r="R343" s="2179"/>
      <c r="S343" s="2179"/>
      <c r="T343" s="2179"/>
      <c r="U343" s="2180"/>
    </row>
    <row r="344" spans="1:21">
      <c r="A344" s="2164"/>
      <c r="B344" s="2166" t="s">
        <v>1209</v>
      </c>
      <c r="C344" s="2168" t="s">
        <v>1212</v>
      </c>
      <c r="D344" s="1235" t="s">
        <v>1213</v>
      </c>
      <c r="E344" s="2188"/>
      <c r="F344" s="2191"/>
      <c r="G344" s="2191"/>
      <c r="H344" s="2191"/>
      <c r="I344" s="2191"/>
      <c r="J344" s="2191"/>
      <c r="K344" s="2191"/>
      <c r="L344" s="2191"/>
      <c r="M344" s="2191"/>
      <c r="N344" s="2191"/>
      <c r="O344" s="2191"/>
      <c r="P344" s="2191"/>
      <c r="Q344" s="2191"/>
      <c r="R344" s="2191"/>
      <c r="S344" s="2191"/>
      <c r="T344" s="2191"/>
      <c r="U344" s="2194"/>
    </row>
    <row r="345" spans="1:21">
      <c r="A345" s="2164"/>
      <c r="B345" s="2167"/>
      <c r="C345" s="2169"/>
      <c r="D345" s="1236" t="s">
        <v>1214</v>
      </c>
      <c r="E345" s="2189"/>
      <c r="F345" s="2192"/>
      <c r="G345" s="2192"/>
      <c r="H345" s="2192"/>
      <c r="I345" s="2192"/>
      <c r="J345" s="2192"/>
      <c r="K345" s="2192"/>
      <c r="L345" s="2192"/>
      <c r="M345" s="2192"/>
      <c r="N345" s="2192"/>
      <c r="O345" s="2192"/>
      <c r="P345" s="2192"/>
      <c r="Q345" s="2192"/>
      <c r="R345" s="2192"/>
      <c r="S345" s="2192"/>
      <c r="T345" s="2192"/>
      <c r="U345" s="2195"/>
    </row>
    <row r="346" spans="1:21">
      <c r="A346" s="2164"/>
      <c r="B346" s="2167"/>
      <c r="C346" s="2173" t="s">
        <v>1215</v>
      </c>
      <c r="D346" s="1236" t="s">
        <v>1216</v>
      </c>
      <c r="E346" s="2189"/>
      <c r="F346" s="2192"/>
      <c r="G346" s="2192"/>
      <c r="H346" s="2192"/>
      <c r="I346" s="2192"/>
      <c r="J346" s="2192"/>
      <c r="K346" s="2192"/>
      <c r="L346" s="2192"/>
      <c r="M346" s="2192"/>
      <c r="N346" s="2192"/>
      <c r="O346" s="2192"/>
      <c r="P346" s="2192"/>
      <c r="Q346" s="2192"/>
      <c r="R346" s="2192"/>
      <c r="S346" s="2192"/>
      <c r="T346" s="2192"/>
      <c r="U346" s="2195"/>
    </row>
    <row r="347" spans="1:21">
      <c r="A347" s="2165"/>
      <c r="B347" s="2167"/>
      <c r="C347" s="2174"/>
      <c r="D347" s="1237" t="s">
        <v>1217</v>
      </c>
      <c r="E347" s="2190"/>
      <c r="F347" s="2193"/>
      <c r="G347" s="2193"/>
      <c r="H347" s="2193"/>
      <c r="I347" s="2193"/>
      <c r="J347" s="2193"/>
      <c r="K347" s="2193"/>
      <c r="L347" s="2193"/>
      <c r="M347" s="2193"/>
      <c r="N347" s="2193"/>
      <c r="O347" s="2193"/>
      <c r="P347" s="2193"/>
      <c r="Q347" s="2193"/>
      <c r="R347" s="2193"/>
      <c r="S347" s="2193"/>
      <c r="T347" s="2193"/>
      <c r="U347" s="2196"/>
    </row>
    <row r="348" spans="1:21">
      <c r="A348" s="2157" t="s">
        <v>1222</v>
      </c>
      <c r="B348" s="2166" t="s">
        <v>1211</v>
      </c>
      <c r="C348" s="2168" t="s">
        <v>1212</v>
      </c>
      <c r="D348" s="1235" t="s">
        <v>1213</v>
      </c>
      <c r="E348" s="2170"/>
      <c r="F348" s="2171">
        <v>0.79</v>
      </c>
      <c r="G348" s="2171">
        <v>0.68730000000000002</v>
      </c>
      <c r="H348" s="2171">
        <v>0.65980799999999995</v>
      </c>
      <c r="I348" s="2171">
        <v>0.60702336000000001</v>
      </c>
      <c r="J348" s="2171">
        <v>0.57060195839999994</v>
      </c>
      <c r="K348" s="2171">
        <v>0.54207186047999989</v>
      </c>
      <c r="L348" s="2171">
        <v>0.52038898606079986</v>
      </c>
      <c r="M348" s="2171">
        <v>0.48396175703654387</v>
      </c>
      <c r="N348" s="2171">
        <v>0.47428252189581299</v>
      </c>
      <c r="O348" s="2171">
        <v>0.46479687145789672</v>
      </c>
      <c r="P348" s="2171">
        <v>0.45550093402873876</v>
      </c>
      <c r="Q348" s="2171">
        <v>0.45094592468845135</v>
      </c>
      <c r="R348" s="2171">
        <v>0.44643646544156684</v>
      </c>
      <c r="S348" s="2171">
        <v>0.44197210078715116</v>
      </c>
      <c r="T348" s="2171">
        <v>0.43755237977927963</v>
      </c>
      <c r="U348" s="2181">
        <v>0.43317685598148681</v>
      </c>
    </row>
    <row r="349" spans="1:21">
      <c r="A349" s="2164"/>
      <c r="B349" s="2167"/>
      <c r="C349" s="2169"/>
      <c r="D349" s="1236" t="s">
        <v>1214</v>
      </c>
      <c r="E349" s="2170"/>
      <c r="F349" s="2172"/>
      <c r="G349" s="2172"/>
      <c r="H349" s="2172"/>
      <c r="I349" s="2172"/>
      <c r="J349" s="2172"/>
      <c r="K349" s="2172"/>
      <c r="L349" s="2172"/>
      <c r="M349" s="2172"/>
      <c r="N349" s="2172"/>
      <c r="O349" s="2172"/>
      <c r="P349" s="2172"/>
      <c r="Q349" s="2172"/>
      <c r="R349" s="2172"/>
      <c r="S349" s="2172"/>
      <c r="T349" s="2172"/>
      <c r="U349" s="2182"/>
    </row>
    <row r="350" spans="1:21">
      <c r="A350" s="2164"/>
      <c r="B350" s="2167"/>
      <c r="C350" s="2173" t="s">
        <v>1215</v>
      </c>
      <c r="D350" s="1236" t="s">
        <v>1216</v>
      </c>
      <c r="E350" s="2170"/>
      <c r="F350" s="2172"/>
      <c r="G350" s="2172"/>
      <c r="H350" s="2172"/>
      <c r="I350" s="2172"/>
      <c r="J350" s="2172"/>
      <c r="K350" s="2172"/>
      <c r="L350" s="2172"/>
      <c r="M350" s="2172"/>
      <c r="N350" s="2172"/>
      <c r="O350" s="2172"/>
      <c r="P350" s="2172"/>
      <c r="Q350" s="2172"/>
      <c r="R350" s="2172"/>
      <c r="S350" s="2172"/>
      <c r="T350" s="2172"/>
      <c r="U350" s="2182"/>
    </row>
    <row r="351" spans="1:21">
      <c r="A351" s="2164"/>
      <c r="B351" s="2167"/>
      <c r="C351" s="2174"/>
      <c r="D351" s="1237" t="s">
        <v>1217</v>
      </c>
      <c r="E351" s="2170"/>
      <c r="F351" s="2172"/>
      <c r="G351" s="2172"/>
      <c r="H351" s="2172"/>
      <c r="I351" s="2172"/>
      <c r="J351" s="2172"/>
      <c r="K351" s="2172"/>
      <c r="L351" s="2172"/>
      <c r="M351" s="2172"/>
      <c r="N351" s="2172"/>
      <c r="O351" s="2172"/>
      <c r="P351" s="2172"/>
      <c r="Q351" s="2172"/>
      <c r="R351" s="2172"/>
      <c r="S351" s="2172"/>
      <c r="T351" s="2172"/>
      <c r="U351" s="2182"/>
    </row>
    <row r="352" spans="1:21">
      <c r="A352" s="2164"/>
      <c r="B352" s="2175" t="s">
        <v>1194</v>
      </c>
      <c r="C352" s="2168" t="s">
        <v>1212</v>
      </c>
      <c r="D352" s="1235" t="s">
        <v>1213</v>
      </c>
      <c r="E352" s="2170"/>
      <c r="F352" s="2179"/>
      <c r="G352" s="2176">
        <v>0.87</v>
      </c>
      <c r="H352" s="2176">
        <v>0.83519999999999994</v>
      </c>
      <c r="I352" s="2176">
        <v>0.76838399999999996</v>
      </c>
      <c r="J352" s="2176">
        <v>0.72228095999999997</v>
      </c>
      <c r="K352" s="2176">
        <v>0.68616691199999991</v>
      </c>
      <c r="L352" s="2176">
        <v>0.65872023551999992</v>
      </c>
      <c r="M352" s="2176">
        <v>0.61260981903360001</v>
      </c>
      <c r="N352" s="2176">
        <v>0.60035762265292802</v>
      </c>
      <c r="O352" s="2176">
        <v>0.58835047019986941</v>
      </c>
      <c r="P352" s="2176">
        <v>0.57658346079587197</v>
      </c>
      <c r="Q352" s="2176">
        <v>0.57081762618791321</v>
      </c>
      <c r="R352" s="2176">
        <v>0.56510944992603407</v>
      </c>
      <c r="S352" s="2176">
        <v>0.55945835542677369</v>
      </c>
      <c r="T352" s="2176">
        <v>0.55386377187250591</v>
      </c>
      <c r="U352" s="2180">
        <v>0.54832513415378081</v>
      </c>
    </row>
    <row r="353" spans="1:21">
      <c r="A353" s="2164"/>
      <c r="B353" s="2167"/>
      <c r="C353" s="2169"/>
      <c r="D353" s="1236" t="s">
        <v>1214</v>
      </c>
      <c r="E353" s="2170"/>
      <c r="F353" s="2179"/>
      <c r="G353" s="2176"/>
      <c r="H353" s="2176"/>
      <c r="I353" s="2176"/>
      <c r="J353" s="2176"/>
      <c r="K353" s="2176"/>
      <c r="L353" s="2176"/>
      <c r="M353" s="2176"/>
      <c r="N353" s="2176"/>
      <c r="O353" s="2176"/>
      <c r="P353" s="2176"/>
      <c r="Q353" s="2176"/>
      <c r="R353" s="2176"/>
      <c r="S353" s="2176"/>
      <c r="T353" s="2176"/>
      <c r="U353" s="2180"/>
    </row>
    <row r="354" spans="1:21">
      <c r="A354" s="2164"/>
      <c r="B354" s="2167"/>
      <c r="C354" s="2173" t="s">
        <v>1215</v>
      </c>
      <c r="D354" s="1236" t="s">
        <v>1216</v>
      </c>
      <c r="E354" s="2170"/>
      <c r="F354" s="2179"/>
      <c r="G354" s="2176"/>
      <c r="H354" s="2176"/>
      <c r="I354" s="2176"/>
      <c r="J354" s="2176"/>
      <c r="K354" s="2176"/>
      <c r="L354" s="2176"/>
      <c r="M354" s="2176"/>
      <c r="N354" s="2176"/>
      <c r="O354" s="2176"/>
      <c r="P354" s="2176"/>
      <c r="Q354" s="2176"/>
      <c r="R354" s="2176"/>
      <c r="S354" s="2176"/>
      <c r="T354" s="2176"/>
      <c r="U354" s="2180"/>
    </row>
    <row r="355" spans="1:21">
      <c r="A355" s="2164"/>
      <c r="B355" s="2167"/>
      <c r="C355" s="2174"/>
      <c r="D355" s="1237" t="s">
        <v>1217</v>
      </c>
      <c r="E355" s="2170"/>
      <c r="F355" s="2179"/>
      <c r="G355" s="2176"/>
      <c r="H355" s="2176"/>
      <c r="I355" s="2176"/>
      <c r="J355" s="2176"/>
      <c r="K355" s="2176"/>
      <c r="L355" s="2176"/>
      <c r="M355" s="2176"/>
      <c r="N355" s="2176"/>
      <c r="O355" s="2176"/>
      <c r="P355" s="2176"/>
      <c r="Q355" s="2176"/>
      <c r="R355" s="2176"/>
      <c r="S355" s="2176"/>
      <c r="T355" s="2176"/>
      <c r="U355" s="2180"/>
    </row>
    <row r="356" spans="1:21">
      <c r="A356" s="2164"/>
      <c r="B356" s="2166" t="s">
        <v>1195</v>
      </c>
      <c r="C356" s="2168" t="s">
        <v>1212</v>
      </c>
      <c r="D356" s="1235" t="s">
        <v>1213</v>
      </c>
      <c r="E356" s="2170"/>
      <c r="F356" s="2179"/>
      <c r="G356" s="2179"/>
      <c r="H356" s="2176">
        <v>0.96</v>
      </c>
      <c r="I356" s="2176">
        <v>0.88319999999999999</v>
      </c>
      <c r="J356" s="2176">
        <v>0.83020799999999995</v>
      </c>
      <c r="K356" s="2176">
        <v>0.78869759999999989</v>
      </c>
      <c r="L356" s="2176">
        <v>0.75714969599999982</v>
      </c>
      <c r="M356" s="2176">
        <v>0.70414921727999991</v>
      </c>
      <c r="N356" s="2176">
        <v>0.69006623293439995</v>
      </c>
      <c r="O356" s="2176">
        <v>0.67626490827571195</v>
      </c>
      <c r="P356" s="2176">
        <v>0.66273961011019766</v>
      </c>
      <c r="Q356" s="2176">
        <v>0.6561122140090957</v>
      </c>
      <c r="R356" s="2176">
        <v>0.64955109186900473</v>
      </c>
      <c r="S356" s="2176">
        <v>0.64305558095031468</v>
      </c>
      <c r="T356" s="2176">
        <v>0.63662502514081154</v>
      </c>
      <c r="U356" s="2180">
        <v>0.63025877488940341</v>
      </c>
    </row>
    <row r="357" spans="1:21">
      <c r="A357" s="2164"/>
      <c r="B357" s="2167"/>
      <c r="C357" s="2169"/>
      <c r="D357" s="1236" t="s">
        <v>1214</v>
      </c>
      <c r="E357" s="2170"/>
      <c r="F357" s="2179"/>
      <c r="G357" s="2179"/>
      <c r="H357" s="2176"/>
      <c r="I357" s="2176"/>
      <c r="J357" s="2176"/>
      <c r="K357" s="2176"/>
      <c r="L357" s="2176"/>
      <c r="M357" s="2176"/>
      <c r="N357" s="2176"/>
      <c r="O357" s="2176"/>
      <c r="P357" s="2176"/>
      <c r="Q357" s="2176"/>
      <c r="R357" s="2176"/>
      <c r="S357" s="2176"/>
      <c r="T357" s="2176"/>
      <c r="U357" s="2180"/>
    </row>
    <row r="358" spans="1:21">
      <c r="A358" s="2164"/>
      <c r="B358" s="2167"/>
      <c r="C358" s="2173" t="s">
        <v>1215</v>
      </c>
      <c r="D358" s="1236" t="s">
        <v>1216</v>
      </c>
      <c r="E358" s="2170"/>
      <c r="F358" s="2179"/>
      <c r="G358" s="2179"/>
      <c r="H358" s="2176"/>
      <c r="I358" s="2176"/>
      <c r="J358" s="2176"/>
      <c r="K358" s="2176"/>
      <c r="L358" s="2176"/>
      <c r="M358" s="2176"/>
      <c r="N358" s="2176"/>
      <c r="O358" s="2176"/>
      <c r="P358" s="2176"/>
      <c r="Q358" s="2176"/>
      <c r="R358" s="2176"/>
      <c r="S358" s="2176"/>
      <c r="T358" s="2176"/>
      <c r="U358" s="2180"/>
    </row>
    <row r="359" spans="1:21">
      <c r="A359" s="2164"/>
      <c r="B359" s="2167"/>
      <c r="C359" s="2174"/>
      <c r="D359" s="1237" t="s">
        <v>1217</v>
      </c>
      <c r="E359" s="2170"/>
      <c r="F359" s="2179"/>
      <c r="G359" s="2179"/>
      <c r="H359" s="2176"/>
      <c r="I359" s="2176"/>
      <c r="J359" s="2176"/>
      <c r="K359" s="2176"/>
      <c r="L359" s="2176"/>
      <c r="M359" s="2176"/>
      <c r="N359" s="2176"/>
      <c r="O359" s="2176"/>
      <c r="P359" s="2176"/>
      <c r="Q359" s="2176"/>
      <c r="R359" s="2176"/>
      <c r="S359" s="2176"/>
      <c r="T359" s="2176"/>
      <c r="U359" s="2180"/>
    </row>
    <row r="360" spans="1:21">
      <c r="A360" s="2164"/>
      <c r="B360" s="2166" t="s">
        <v>1223</v>
      </c>
      <c r="C360" s="2168" t="s">
        <v>1212</v>
      </c>
      <c r="D360" s="1235" t="s">
        <v>1213</v>
      </c>
      <c r="E360" s="2170"/>
      <c r="F360" s="2179"/>
      <c r="G360" s="2179"/>
      <c r="H360" s="2179"/>
      <c r="I360" s="2176">
        <v>0.92</v>
      </c>
      <c r="J360" s="2176">
        <v>0.86480000000000001</v>
      </c>
      <c r="K360" s="2176">
        <v>0.82155999999999996</v>
      </c>
      <c r="L360" s="2176">
        <v>0.78869759999999989</v>
      </c>
      <c r="M360" s="2176">
        <v>0.73348876799999996</v>
      </c>
      <c r="N360" s="2176">
        <v>0.71881899263999993</v>
      </c>
      <c r="O360" s="2176">
        <v>0.70444261278719988</v>
      </c>
      <c r="P360" s="2176">
        <v>0.69035376053145592</v>
      </c>
      <c r="Q360" s="2176">
        <v>0.68345022292614133</v>
      </c>
      <c r="R360" s="2176">
        <v>0.67661572069687992</v>
      </c>
      <c r="S360" s="2176">
        <v>0.66984956348991109</v>
      </c>
      <c r="T360" s="2176">
        <v>0.66315106785501199</v>
      </c>
      <c r="U360" s="2180">
        <v>0.65651955717646182</v>
      </c>
    </row>
    <row r="361" spans="1:21">
      <c r="A361" s="2164"/>
      <c r="B361" s="2167"/>
      <c r="C361" s="2169"/>
      <c r="D361" s="1236" t="s">
        <v>1214</v>
      </c>
      <c r="E361" s="2170"/>
      <c r="F361" s="2179"/>
      <c r="G361" s="2179"/>
      <c r="H361" s="2179"/>
      <c r="I361" s="2176"/>
      <c r="J361" s="2176"/>
      <c r="K361" s="2176"/>
      <c r="L361" s="2176"/>
      <c r="M361" s="2176"/>
      <c r="N361" s="2176"/>
      <c r="O361" s="2176"/>
      <c r="P361" s="2176"/>
      <c r="Q361" s="2176"/>
      <c r="R361" s="2176"/>
      <c r="S361" s="2176"/>
      <c r="T361" s="2176"/>
      <c r="U361" s="2180"/>
    </row>
    <row r="362" spans="1:21">
      <c r="A362" s="2164"/>
      <c r="B362" s="2167"/>
      <c r="C362" s="2173" t="s">
        <v>1215</v>
      </c>
      <c r="D362" s="1236" t="s">
        <v>1216</v>
      </c>
      <c r="E362" s="2170"/>
      <c r="F362" s="2179"/>
      <c r="G362" s="2179"/>
      <c r="H362" s="2179"/>
      <c r="I362" s="2176"/>
      <c r="J362" s="2176"/>
      <c r="K362" s="2176"/>
      <c r="L362" s="2176"/>
      <c r="M362" s="2176"/>
      <c r="N362" s="2176"/>
      <c r="O362" s="2176"/>
      <c r="P362" s="2176"/>
      <c r="Q362" s="2176"/>
      <c r="R362" s="2176"/>
      <c r="S362" s="2176"/>
      <c r="T362" s="2176"/>
      <c r="U362" s="2180"/>
    </row>
    <row r="363" spans="1:21">
      <c r="A363" s="2164"/>
      <c r="B363" s="2167"/>
      <c r="C363" s="2174"/>
      <c r="D363" s="1237" t="s">
        <v>1217</v>
      </c>
      <c r="E363" s="2170"/>
      <c r="F363" s="2179"/>
      <c r="G363" s="2179"/>
      <c r="H363" s="2179"/>
      <c r="I363" s="2176"/>
      <c r="J363" s="2176"/>
      <c r="K363" s="2176"/>
      <c r="L363" s="2176"/>
      <c r="M363" s="2176"/>
      <c r="N363" s="2176"/>
      <c r="O363" s="2176"/>
      <c r="P363" s="2176"/>
      <c r="Q363" s="2176"/>
      <c r="R363" s="2176"/>
      <c r="S363" s="2176"/>
      <c r="T363" s="2176"/>
      <c r="U363" s="2180"/>
    </row>
    <row r="364" spans="1:21">
      <c r="A364" s="2164"/>
      <c r="B364" s="2166" t="s">
        <v>1197</v>
      </c>
      <c r="C364" s="2168" t="s">
        <v>1212</v>
      </c>
      <c r="D364" s="1235" t="s">
        <v>1213</v>
      </c>
      <c r="E364" s="2170"/>
      <c r="F364" s="2179"/>
      <c r="G364" s="2179"/>
      <c r="H364" s="2179"/>
      <c r="I364" s="2179"/>
      <c r="J364" s="2176">
        <v>0.94</v>
      </c>
      <c r="K364" s="2176">
        <v>0.8929999999999999</v>
      </c>
      <c r="L364" s="2176">
        <v>0.85727999999999993</v>
      </c>
      <c r="M364" s="2176">
        <v>0.79727039999999993</v>
      </c>
      <c r="N364" s="2176">
        <v>0.78132499199999994</v>
      </c>
      <c r="O364" s="2176">
        <v>0.76569849215999997</v>
      </c>
      <c r="P364" s="2176">
        <v>0.75038452231679997</v>
      </c>
      <c r="Q364" s="2176">
        <v>0.74288067709363192</v>
      </c>
      <c r="R364" s="2176">
        <v>0.73545187032269554</v>
      </c>
      <c r="S364" s="2176">
        <v>0.72809735161946854</v>
      </c>
      <c r="T364" s="2176">
        <v>0.72081637810327381</v>
      </c>
      <c r="U364" s="2180">
        <v>0.71360821432224109</v>
      </c>
    </row>
    <row r="365" spans="1:21">
      <c r="A365" s="2164"/>
      <c r="B365" s="2167"/>
      <c r="C365" s="2169"/>
      <c r="D365" s="1236" t="s">
        <v>1214</v>
      </c>
      <c r="E365" s="2170"/>
      <c r="F365" s="2179"/>
      <c r="G365" s="2179"/>
      <c r="H365" s="2179"/>
      <c r="I365" s="2179"/>
      <c r="J365" s="2176"/>
      <c r="K365" s="2176"/>
      <c r="L365" s="2176"/>
      <c r="M365" s="2176"/>
      <c r="N365" s="2176"/>
      <c r="O365" s="2176"/>
      <c r="P365" s="2176"/>
      <c r="Q365" s="2176"/>
      <c r="R365" s="2176"/>
      <c r="S365" s="2176"/>
      <c r="T365" s="2176"/>
      <c r="U365" s="2180"/>
    </row>
    <row r="366" spans="1:21">
      <c r="A366" s="2164"/>
      <c r="B366" s="2167"/>
      <c r="C366" s="2173" t="s">
        <v>1215</v>
      </c>
      <c r="D366" s="1236" t="s">
        <v>1216</v>
      </c>
      <c r="E366" s="2170"/>
      <c r="F366" s="2179"/>
      <c r="G366" s="2179"/>
      <c r="H366" s="2179"/>
      <c r="I366" s="2179"/>
      <c r="J366" s="2176"/>
      <c r="K366" s="2176"/>
      <c r="L366" s="2176"/>
      <c r="M366" s="2176"/>
      <c r="N366" s="2176"/>
      <c r="O366" s="2176"/>
      <c r="P366" s="2176"/>
      <c r="Q366" s="2176"/>
      <c r="R366" s="2176"/>
      <c r="S366" s="2176"/>
      <c r="T366" s="2176"/>
      <c r="U366" s="2180"/>
    </row>
    <row r="367" spans="1:21">
      <c r="A367" s="2164"/>
      <c r="B367" s="2167"/>
      <c r="C367" s="2174"/>
      <c r="D367" s="1237" t="s">
        <v>1217</v>
      </c>
      <c r="E367" s="2170"/>
      <c r="F367" s="2179"/>
      <c r="G367" s="2179"/>
      <c r="H367" s="2179"/>
      <c r="I367" s="2179"/>
      <c r="J367" s="2176"/>
      <c r="K367" s="2176"/>
      <c r="L367" s="2176"/>
      <c r="M367" s="2176"/>
      <c r="N367" s="2176"/>
      <c r="O367" s="2176"/>
      <c r="P367" s="2176"/>
      <c r="Q367" s="2176"/>
      <c r="R367" s="2176"/>
      <c r="S367" s="2176"/>
      <c r="T367" s="2176"/>
      <c r="U367" s="2180"/>
    </row>
    <row r="368" spans="1:21">
      <c r="A368" s="2164"/>
      <c r="B368" s="2175" t="s">
        <v>1198</v>
      </c>
      <c r="C368" s="2168" t="s">
        <v>1212</v>
      </c>
      <c r="D368" s="1235" t="s">
        <v>1213</v>
      </c>
      <c r="E368" s="2170"/>
      <c r="F368" s="2179"/>
      <c r="G368" s="2179"/>
      <c r="H368" s="2179"/>
      <c r="I368" s="2179"/>
      <c r="J368" s="2179"/>
      <c r="K368" s="2176">
        <v>0.95</v>
      </c>
      <c r="L368" s="2176">
        <v>0.91199999999999992</v>
      </c>
      <c r="M368" s="2176">
        <v>0.84816000000000003</v>
      </c>
      <c r="N368" s="2176">
        <v>0.83119679999999996</v>
      </c>
      <c r="O368" s="2176">
        <v>0.81457286399999995</v>
      </c>
      <c r="P368" s="2176">
        <v>0.79828140671999992</v>
      </c>
      <c r="Q368" s="2176">
        <v>0.79029859265279989</v>
      </c>
      <c r="R368" s="2176">
        <v>0.78239560672627184</v>
      </c>
      <c r="S368" s="2176">
        <v>0.77457165065900913</v>
      </c>
      <c r="T368" s="2176">
        <v>0.76682593415241906</v>
      </c>
      <c r="U368" s="2180">
        <v>0.75915767481089491</v>
      </c>
    </row>
    <row r="369" spans="1:21">
      <c r="A369" s="2164"/>
      <c r="B369" s="2167"/>
      <c r="C369" s="2169"/>
      <c r="D369" s="1236" t="s">
        <v>1214</v>
      </c>
      <c r="E369" s="2170"/>
      <c r="F369" s="2179"/>
      <c r="G369" s="2179"/>
      <c r="H369" s="2179"/>
      <c r="I369" s="2179"/>
      <c r="J369" s="2179"/>
      <c r="K369" s="2176"/>
      <c r="L369" s="2176"/>
      <c r="M369" s="2176"/>
      <c r="N369" s="2176"/>
      <c r="O369" s="2176"/>
      <c r="P369" s="2176"/>
      <c r="Q369" s="2176"/>
      <c r="R369" s="2176"/>
      <c r="S369" s="2176"/>
      <c r="T369" s="2176"/>
      <c r="U369" s="2180"/>
    </row>
    <row r="370" spans="1:21">
      <c r="A370" s="2164"/>
      <c r="B370" s="2167"/>
      <c r="C370" s="2173" t="s">
        <v>1215</v>
      </c>
      <c r="D370" s="1236" t="s">
        <v>1216</v>
      </c>
      <c r="E370" s="2170"/>
      <c r="F370" s="2179"/>
      <c r="G370" s="2179"/>
      <c r="H370" s="2179"/>
      <c r="I370" s="2179"/>
      <c r="J370" s="2179"/>
      <c r="K370" s="2176"/>
      <c r="L370" s="2176"/>
      <c r="M370" s="2176"/>
      <c r="N370" s="2176"/>
      <c r="O370" s="2176"/>
      <c r="P370" s="2176"/>
      <c r="Q370" s="2176"/>
      <c r="R370" s="2176"/>
      <c r="S370" s="2176"/>
      <c r="T370" s="2176"/>
      <c r="U370" s="2180"/>
    </row>
    <row r="371" spans="1:21">
      <c r="A371" s="2164"/>
      <c r="B371" s="2167"/>
      <c r="C371" s="2174"/>
      <c r="D371" s="1237" t="s">
        <v>1217</v>
      </c>
      <c r="E371" s="2170"/>
      <c r="F371" s="2179"/>
      <c r="G371" s="2179"/>
      <c r="H371" s="2179"/>
      <c r="I371" s="2179"/>
      <c r="J371" s="2179"/>
      <c r="K371" s="2176"/>
      <c r="L371" s="2176"/>
      <c r="M371" s="2176"/>
      <c r="N371" s="2176"/>
      <c r="O371" s="2176"/>
      <c r="P371" s="2176"/>
      <c r="Q371" s="2176"/>
      <c r="R371" s="2176"/>
      <c r="S371" s="2176"/>
      <c r="T371" s="2176"/>
      <c r="U371" s="2180"/>
    </row>
    <row r="372" spans="1:21">
      <c r="A372" s="2164"/>
      <c r="B372" s="2166" t="s">
        <v>1199</v>
      </c>
      <c r="C372" s="2168" t="s">
        <v>1212</v>
      </c>
      <c r="D372" s="1235" t="s">
        <v>1213</v>
      </c>
      <c r="E372" s="2170"/>
      <c r="F372" s="2179"/>
      <c r="G372" s="2179"/>
      <c r="H372" s="2179"/>
      <c r="I372" s="2179"/>
      <c r="J372" s="2179"/>
      <c r="K372" s="2179"/>
      <c r="L372" s="2176">
        <v>0.96</v>
      </c>
      <c r="M372" s="2176">
        <v>0.89280000000000004</v>
      </c>
      <c r="N372" s="2176">
        <v>0.87494400000000006</v>
      </c>
      <c r="O372" s="2176">
        <v>0.85744512000000006</v>
      </c>
      <c r="P372" s="2176">
        <v>0.84029621760000006</v>
      </c>
      <c r="Q372" s="2176">
        <v>0.83189325542400006</v>
      </c>
      <c r="R372" s="2176">
        <v>0.82357432286976007</v>
      </c>
      <c r="S372" s="2176">
        <v>0.81533857964106249</v>
      </c>
      <c r="T372" s="2176">
        <v>0.80718519384465182</v>
      </c>
      <c r="U372" s="2180">
        <v>0.79911334190620531</v>
      </c>
    </row>
    <row r="373" spans="1:21">
      <c r="A373" s="2164"/>
      <c r="B373" s="2167"/>
      <c r="C373" s="2169"/>
      <c r="D373" s="1236" t="s">
        <v>1214</v>
      </c>
      <c r="E373" s="2170"/>
      <c r="F373" s="2179"/>
      <c r="G373" s="2179"/>
      <c r="H373" s="2179"/>
      <c r="I373" s="2179"/>
      <c r="J373" s="2179"/>
      <c r="K373" s="2179"/>
      <c r="L373" s="2176"/>
      <c r="M373" s="2176"/>
      <c r="N373" s="2176"/>
      <c r="O373" s="2176"/>
      <c r="P373" s="2176"/>
      <c r="Q373" s="2176"/>
      <c r="R373" s="2176"/>
      <c r="S373" s="2176"/>
      <c r="T373" s="2176"/>
      <c r="U373" s="2180"/>
    </row>
    <row r="374" spans="1:21">
      <c r="A374" s="2164"/>
      <c r="B374" s="2167"/>
      <c r="C374" s="2173" t="s">
        <v>1215</v>
      </c>
      <c r="D374" s="1236" t="s">
        <v>1216</v>
      </c>
      <c r="E374" s="2170"/>
      <c r="F374" s="2179"/>
      <c r="G374" s="2179"/>
      <c r="H374" s="2179"/>
      <c r="I374" s="2179"/>
      <c r="J374" s="2179"/>
      <c r="K374" s="2179"/>
      <c r="L374" s="2176"/>
      <c r="M374" s="2176"/>
      <c r="N374" s="2176"/>
      <c r="O374" s="2176"/>
      <c r="P374" s="2176"/>
      <c r="Q374" s="2176"/>
      <c r="R374" s="2176"/>
      <c r="S374" s="2176"/>
      <c r="T374" s="2176"/>
      <c r="U374" s="2180"/>
    </row>
    <row r="375" spans="1:21">
      <c r="A375" s="2164"/>
      <c r="B375" s="2167"/>
      <c r="C375" s="2174"/>
      <c r="D375" s="1237" t="s">
        <v>1217</v>
      </c>
      <c r="E375" s="2170"/>
      <c r="F375" s="2179"/>
      <c r="G375" s="2179"/>
      <c r="H375" s="2179"/>
      <c r="I375" s="2179"/>
      <c r="J375" s="2179"/>
      <c r="K375" s="2179"/>
      <c r="L375" s="2176"/>
      <c r="M375" s="2176"/>
      <c r="N375" s="2176"/>
      <c r="O375" s="2176"/>
      <c r="P375" s="2176"/>
      <c r="Q375" s="2176"/>
      <c r="R375" s="2176"/>
      <c r="S375" s="2176"/>
      <c r="T375" s="2176"/>
      <c r="U375" s="2180"/>
    </row>
    <row r="376" spans="1:21">
      <c r="A376" s="2164"/>
      <c r="B376" s="2166" t="s">
        <v>1200</v>
      </c>
      <c r="C376" s="2168" t="s">
        <v>1212</v>
      </c>
      <c r="D376" s="1235" t="s">
        <v>1213</v>
      </c>
      <c r="E376" s="2170"/>
      <c r="F376" s="2179"/>
      <c r="G376" s="2179"/>
      <c r="H376" s="2179"/>
      <c r="I376" s="2179"/>
      <c r="J376" s="2179"/>
      <c r="K376" s="2179"/>
      <c r="L376" s="2179"/>
      <c r="M376" s="2176">
        <v>0.93</v>
      </c>
      <c r="N376" s="2176">
        <v>0.91139999999999999</v>
      </c>
      <c r="O376" s="2176">
        <v>0.89317199999999997</v>
      </c>
      <c r="P376" s="2176">
        <v>0.8753085599999999</v>
      </c>
      <c r="Q376" s="2176">
        <v>0.86655547439999991</v>
      </c>
      <c r="R376" s="2176">
        <v>0.85788991965599992</v>
      </c>
      <c r="S376" s="2176">
        <v>0.84931102045943996</v>
      </c>
      <c r="T376" s="2176">
        <v>0.84081791025484554</v>
      </c>
      <c r="U376" s="2180">
        <v>0.83240973115229711</v>
      </c>
    </row>
    <row r="377" spans="1:21">
      <c r="A377" s="2164"/>
      <c r="B377" s="2167"/>
      <c r="C377" s="2169"/>
      <c r="D377" s="1236" t="s">
        <v>1214</v>
      </c>
      <c r="E377" s="2170"/>
      <c r="F377" s="2179"/>
      <c r="G377" s="2179"/>
      <c r="H377" s="2179"/>
      <c r="I377" s="2179"/>
      <c r="J377" s="2179"/>
      <c r="K377" s="2179"/>
      <c r="L377" s="2179"/>
      <c r="M377" s="2176"/>
      <c r="N377" s="2176"/>
      <c r="O377" s="2176"/>
      <c r="P377" s="2176"/>
      <c r="Q377" s="2176"/>
      <c r="R377" s="2176"/>
      <c r="S377" s="2176"/>
      <c r="T377" s="2176"/>
      <c r="U377" s="2180"/>
    </row>
    <row r="378" spans="1:21">
      <c r="A378" s="2164"/>
      <c r="B378" s="2167"/>
      <c r="C378" s="2173" t="s">
        <v>1215</v>
      </c>
      <c r="D378" s="1236" t="s">
        <v>1216</v>
      </c>
      <c r="E378" s="2170"/>
      <c r="F378" s="2179"/>
      <c r="G378" s="2179"/>
      <c r="H378" s="2179"/>
      <c r="I378" s="2179"/>
      <c r="J378" s="2179"/>
      <c r="K378" s="2179"/>
      <c r="L378" s="2179"/>
      <c r="M378" s="2176"/>
      <c r="N378" s="2176"/>
      <c r="O378" s="2176"/>
      <c r="P378" s="2176"/>
      <c r="Q378" s="2176"/>
      <c r="R378" s="2176"/>
      <c r="S378" s="2176"/>
      <c r="T378" s="2176"/>
      <c r="U378" s="2180"/>
    </row>
    <row r="379" spans="1:21">
      <c r="A379" s="2164"/>
      <c r="B379" s="2167"/>
      <c r="C379" s="2174"/>
      <c r="D379" s="1237" t="s">
        <v>1217</v>
      </c>
      <c r="E379" s="2170"/>
      <c r="F379" s="2179"/>
      <c r="G379" s="2179"/>
      <c r="H379" s="2179"/>
      <c r="I379" s="2179"/>
      <c r="J379" s="2179"/>
      <c r="K379" s="2179"/>
      <c r="L379" s="2179"/>
      <c r="M379" s="2176"/>
      <c r="N379" s="2176"/>
      <c r="O379" s="2176"/>
      <c r="P379" s="2176"/>
      <c r="Q379" s="2176"/>
      <c r="R379" s="2176"/>
      <c r="S379" s="2176"/>
      <c r="T379" s="2176"/>
      <c r="U379" s="2180"/>
    </row>
    <row r="380" spans="1:21">
      <c r="A380" s="2164"/>
      <c r="B380" s="2166" t="s">
        <v>1201</v>
      </c>
      <c r="C380" s="2168" t="s">
        <v>1212</v>
      </c>
      <c r="D380" s="1235" t="s">
        <v>1213</v>
      </c>
      <c r="E380" s="2170"/>
      <c r="F380" s="2179"/>
      <c r="G380" s="2179"/>
      <c r="H380" s="2179"/>
      <c r="I380" s="2179"/>
      <c r="J380" s="2179"/>
      <c r="K380" s="2179"/>
      <c r="L380" s="2179"/>
      <c r="M380" s="2179"/>
      <c r="N380" s="2176">
        <v>0.98</v>
      </c>
      <c r="O380" s="2176">
        <v>0.96039999999999992</v>
      </c>
      <c r="P380" s="2176">
        <v>0.94119199999999992</v>
      </c>
      <c r="Q380" s="2176">
        <v>0.9317800799999999</v>
      </c>
      <c r="R380" s="2176">
        <v>0.9224622791999999</v>
      </c>
      <c r="S380" s="2176">
        <v>0.91323765640799992</v>
      </c>
      <c r="T380" s="2176">
        <v>0.90410527984391986</v>
      </c>
      <c r="U380" s="2180">
        <v>0.89506422704548061</v>
      </c>
    </row>
    <row r="381" spans="1:21">
      <c r="A381" s="2164"/>
      <c r="B381" s="2167"/>
      <c r="C381" s="2169"/>
      <c r="D381" s="1236" t="s">
        <v>1214</v>
      </c>
      <c r="E381" s="2170"/>
      <c r="F381" s="2179"/>
      <c r="G381" s="2179"/>
      <c r="H381" s="2179"/>
      <c r="I381" s="2179"/>
      <c r="J381" s="2179"/>
      <c r="K381" s="2179"/>
      <c r="L381" s="2179"/>
      <c r="M381" s="2179"/>
      <c r="N381" s="2176"/>
      <c r="O381" s="2176"/>
      <c r="P381" s="2176"/>
      <c r="Q381" s="2176"/>
      <c r="R381" s="2176"/>
      <c r="S381" s="2176"/>
      <c r="T381" s="2176"/>
      <c r="U381" s="2180"/>
    </row>
    <row r="382" spans="1:21">
      <c r="A382" s="2164"/>
      <c r="B382" s="2167"/>
      <c r="C382" s="2173" t="s">
        <v>1215</v>
      </c>
      <c r="D382" s="1236" t="s">
        <v>1216</v>
      </c>
      <c r="E382" s="2170"/>
      <c r="F382" s="2179"/>
      <c r="G382" s="2179"/>
      <c r="H382" s="2179"/>
      <c r="I382" s="2179"/>
      <c r="J382" s="2179"/>
      <c r="K382" s="2179"/>
      <c r="L382" s="2179"/>
      <c r="M382" s="2179"/>
      <c r="N382" s="2176"/>
      <c r="O382" s="2176"/>
      <c r="P382" s="2176"/>
      <c r="Q382" s="2176"/>
      <c r="R382" s="2176"/>
      <c r="S382" s="2176"/>
      <c r="T382" s="2176"/>
      <c r="U382" s="2180"/>
    </row>
    <row r="383" spans="1:21">
      <c r="A383" s="2164"/>
      <c r="B383" s="2167"/>
      <c r="C383" s="2174"/>
      <c r="D383" s="1237" t="s">
        <v>1217</v>
      </c>
      <c r="E383" s="2170"/>
      <c r="F383" s="2179"/>
      <c r="G383" s="2179"/>
      <c r="H383" s="2179"/>
      <c r="I383" s="2179"/>
      <c r="J383" s="2179"/>
      <c r="K383" s="2179"/>
      <c r="L383" s="2179"/>
      <c r="M383" s="2179"/>
      <c r="N383" s="2176"/>
      <c r="O383" s="2176"/>
      <c r="P383" s="2176"/>
      <c r="Q383" s="2176"/>
      <c r="R383" s="2176"/>
      <c r="S383" s="2176"/>
      <c r="T383" s="2176"/>
      <c r="U383" s="2180"/>
    </row>
    <row r="384" spans="1:21">
      <c r="A384" s="2164"/>
      <c r="B384" s="2166" t="s">
        <v>1202</v>
      </c>
      <c r="C384" s="2168" t="s">
        <v>1212</v>
      </c>
      <c r="D384" s="1235" t="s">
        <v>1213</v>
      </c>
      <c r="E384" s="2170"/>
      <c r="F384" s="2179"/>
      <c r="G384" s="2179"/>
      <c r="H384" s="2179"/>
      <c r="I384" s="2179"/>
      <c r="J384" s="2179"/>
      <c r="K384" s="2179"/>
      <c r="L384" s="2179"/>
      <c r="M384" s="2179"/>
      <c r="N384" s="2179"/>
      <c r="O384" s="2176">
        <v>0.98</v>
      </c>
      <c r="P384" s="2176">
        <v>0.96039999999999992</v>
      </c>
      <c r="Q384" s="2176">
        <v>0.95079599999999986</v>
      </c>
      <c r="R384" s="2176">
        <v>0.94128803999999988</v>
      </c>
      <c r="S384" s="2176">
        <v>0.93187515959999989</v>
      </c>
      <c r="T384" s="2176">
        <v>0.92255640800399985</v>
      </c>
      <c r="U384" s="2180">
        <v>0.9133308439239598</v>
      </c>
    </row>
    <row r="385" spans="1:21">
      <c r="A385" s="2164"/>
      <c r="B385" s="2167"/>
      <c r="C385" s="2169"/>
      <c r="D385" s="1236" t="s">
        <v>1214</v>
      </c>
      <c r="E385" s="2170"/>
      <c r="F385" s="2179"/>
      <c r="G385" s="2179"/>
      <c r="H385" s="2179"/>
      <c r="I385" s="2179"/>
      <c r="J385" s="2179"/>
      <c r="K385" s="2179"/>
      <c r="L385" s="2179"/>
      <c r="M385" s="2179"/>
      <c r="N385" s="2179"/>
      <c r="O385" s="2176"/>
      <c r="P385" s="2176"/>
      <c r="Q385" s="2176"/>
      <c r="R385" s="2176"/>
      <c r="S385" s="2176"/>
      <c r="T385" s="2176"/>
      <c r="U385" s="2180"/>
    </row>
    <row r="386" spans="1:21">
      <c r="A386" s="2164"/>
      <c r="B386" s="2167"/>
      <c r="C386" s="2173" t="s">
        <v>1215</v>
      </c>
      <c r="D386" s="1236" t="s">
        <v>1216</v>
      </c>
      <c r="E386" s="2170"/>
      <c r="F386" s="2179"/>
      <c r="G386" s="2179"/>
      <c r="H386" s="2179"/>
      <c r="I386" s="2179"/>
      <c r="J386" s="2179"/>
      <c r="K386" s="2179"/>
      <c r="L386" s="2179"/>
      <c r="M386" s="2179"/>
      <c r="N386" s="2179"/>
      <c r="O386" s="2176"/>
      <c r="P386" s="2176"/>
      <c r="Q386" s="2176"/>
      <c r="R386" s="2176"/>
      <c r="S386" s="2176"/>
      <c r="T386" s="2176"/>
      <c r="U386" s="2180"/>
    </row>
    <row r="387" spans="1:21">
      <c r="A387" s="2164"/>
      <c r="B387" s="2167"/>
      <c r="C387" s="2174"/>
      <c r="D387" s="1237" t="s">
        <v>1217</v>
      </c>
      <c r="E387" s="2170"/>
      <c r="F387" s="2179"/>
      <c r="G387" s="2179"/>
      <c r="H387" s="2179"/>
      <c r="I387" s="2179"/>
      <c r="J387" s="2179"/>
      <c r="K387" s="2179"/>
      <c r="L387" s="2179"/>
      <c r="M387" s="2179"/>
      <c r="N387" s="2179"/>
      <c r="O387" s="2176"/>
      <c r="P387" s="2176"/>
      <c r="Q387" s="2176"/>
      <c r="R387" s="2176"/>
      <c r="S387" s="2176"/>
      <c r="T387" s="2176"/>
      <c r="U387" s="2180"/>
    </row>
    <row r="388" spans="1:21">
      <c r="A388" s="2164"/>
      <c r="B388" s="2175" t="s">
        <v>1203</v>
      </c>
      <c r="C388" s="2168" t="s">
        <v>1212</v>
      </c>
      <c r="D388" s="1235" t="s">
        <v>1213</v>
      </c>
      <c r="E388" s="2170"/>
      <c r="F388" s="2179"/>
      <c r="G388" s="2179"/>
      <c r="H388" s="2179"/>
      <c r="I388" s="2179"/>
      <c r="J388" s="2179"/>
      <c r="K388" s="2179"/>
      <c r="L388" s="2179"/>
      <c r="M388" s="2179"/>
      <c r="N388" s="2179"/>
      <c r="O388" s="2179"/>
      <c r="P388" s="2176">
        <v>0.98</v>
      </c>
      <c r="Q388" s="2176">
        <v>0.97019999999999995</v>
      </c>
      <c r="R388" s="2176">
        <v>0.96049799999999996</v>
      </c>
      <c r="S388" s="2176">
        <v>0.95089301999999998</v>
      </c>
      <c r="T388" s="2176">
        <v>0.94138408979999999</v>
      </c>
      <c r="U388" s="2180">
        <v>0.93197024890199998</v>
      </c>
    </row>
    <row r="389" spans="1:21">
      <c r="A389" s="2164"/>
      <c r="B389" s="2167"/>
      <c r="C389" s="2169"/>
      <c r="D389" s="1236" t="s">
        <v>1214</v>
      </c>
      <c r="E389" s="2170"/>
      <c r="F389" s="2179"/>
      <c r="G389" s="2179"/>
      <c r="H389" s="2179"/>
      <c r="I389" s="2179"/>
      <c r="J389" s="2179"/>
      <c r="K389" s="2179"/>
      <c r="L389" s="2179"/>
      <c r="M389" s="2179"/>
      <c r="N389" s="2179"/>
      <c r="O389" s="2179"/>
      <c r="P389" s="2176"/>
      <c r="Q389" s="2176"/>
      <c r="R389" s="2176"/>
      <c r="S389" s="2176"/>
      <c r="T389" s="2176"/>
      <c r="U389" s="2180"/>
    </row>
    <row r="390" spans="1:21">
      <c r="A390" s="2164"/>
      <c r="B390" s="2167"/>
      <c r="C390" s="2173" t="s">
        <v>1215</v>
      </c>
      <c r="D390" s="1236" t="s">
        <v>1216</v>
      </c>
      <c r="E390" s="2170"/>
      <c r="F390" s="2179"/>
      <c r="G390" s="2179"/>
      <c r="H390" s="2179"/>
      <c r="I390" s="2179"/>
      <c r="J390" s="2179"/>
      <c r="K390" s="2179"/>
      <c r="L390" s="2179"/>
      <c r="M390" s="2179"/>
      <c r="N390" s="2179"/>
      <c r="O390" s="2179"/>
      <c r="P390" s="2176"/>
      <c r="Q390" s="2176"/>
      <c r="R390" s="2176"/>
      <c r="S390" s="2176"/>
      <c r="T390" s="2176"/>
      <c r="U390" s="2180"/>
    </row>
    <row r="391" spans="1:21">
      <c r="A391" s="2164"/>
      <c r="B391" s="2167"/>
      <c r="C391" s="2174"/>
      <c r="D391" s="1237" t="s">
        <v>1217</v>
      </c>
      <c r="E391" s="2170"/>
      <c r="F391" s="2179"/>
      <c r="G391" s="2179"/>
      <c r="H391" s="2179"/>
      <c r="I391" s="2179"/>
      <c r="J391" s="2179"/>
      <c r="K391" s="2179"/>
      <c r="L391" s="2179"/>
      <c r="M391" s="2179"/>
      <c r="N391" s="2179"/>
      <c r="O391" s="2179"/>
      <c r="P391" s="2176"/>
      <c r="Q391" s="2176"/>
      <c r="R391" s="2176"/>
      <c r="S391" s="2176"/>
      <c r="T391" s="2176"/>
      <c r="U391" s="2180"/>
    </row>
    <row r="392" spans="1:21">
      <c r="A392" s="2164"/>
      <c r="B392" s="2175" t="s">
        <v>1204</v>
      </c>
      <c r="C392" s="2168" t="s">
        <v>1212</v>
      </c>
      <c r="D392" s="1235" t="s">
        <v>1213</v>
      </c>
      <c r="E392" s="2170"/>
      <c r="F392" s="2179"/>
      <c r="G392" s="2179"/>
      <c r="H392" s="2179"/>
      <c r="I392" s="2179"/>
      <c r="J392" s="2179"/>
      <c r="K392" s="2179"/>
      <c r="L392" s="2179"/>
      <c r="M392" s="2179"/>
      <c r="N392" s="2179"/>
      <c r="O392" s="2179"/>
      <c r="P392" s="2179"/>
      <c r="Q392" s="2176">
        <v>0.99</v>
      </c>
      <c r="R392" s="2176">
        <v>0.98009999999999997</v>
      </c>
      <c r="S392" s="2176">
        <v>0.97029899999999991</v>
      </c>
      <c r="T392" s="2176">
        <v>0.96059600999999994</v>
      </c>
      <c r="U392" s="2180">
        <v>0.95099004989999991</v>
      </c>
    </row>
    <row r="393" spans="1:21">
      <c r="A393" s="2164"/>
      <c r="B393" s="2167"/>
      <c r="C393" s="2169"/>
      <c r="D393" s="1236" t="s">
        <v>1214</v>
      </c>
      <c r="E393" s="2170"/>
      <c r="F393" s="2179"/>
      <c r="G393" s="2179"/>
      <c r="H393" s="2179"/>
      <c r="I393" s="2179"/>
      <c r="J393" s="2179"/>
      <c r="K393" s="2179"/>
      <c r="L393" s="2179"/>
      <c r="M393" s="2179"/>
      <c r="N393" s="2179"/>
      <c r="O393" s="2179"/>
      <c r="P393" s="2179"/>
      <c r="Q393" s="2176"/>
      <c r="R393" s="2176"/>
      <c r="S393" s="2176"/>
      <c r="T393" s="2176"/>
      <c r="U393" s="2180"/>
    </row>
    <row r="394" spans="1:21">
      <c r="A394" s="2164"/>
      <c r="B394" s="2167"/>
      <c r="C394" s="2173" t="s">
        <v>1215</v>
      </c>
      <c r="D394" s="1236" t="s">
        <v>1216</v>
      </c>
      <c r="E394" s="2170"/>
      <c r="F394" s="2179"/>
      <c r="G394" s="2179"/>
      <c r="H394" s="2179"/>
      <c r="I394" s="2179"/>
      <c r="J394" s="2179"/>
      <c r="K394" s="2179"/>
      <c r="L394" s="2179"/>
      <c r="M394" s="2179"/>
      <c r="N394" s="2179"/>
      <c r="O394" s="2179"/>
      <c r="P394" s="2179"/>
      <c r="Q394" s="2176"/>
      <c r="R394" s="2176"/>
      <c r="S394" s="2176"/>
      <c r="T394" s="2176"/>
      <c r="U394" s="2180"/>
    </row>
    <row r="395" spans="1:21">
      <c r="A395" s="2164"/>
      <c r="B395" s="2167"/>
      <c r="C395" s="2174"/>
      <c r="D395" s="1237" t="s">
        <v>1217</v>
      </c>
      <c r="E395" s="2170"/>
      <c r="F395" s="2179"/>
      <c r="G395" s="2179"/>
      <c r="H395" s="2179"/>
      <c r="I395" s="2179"/>
      <c r="J395" s="2179"/>
      <c r="K395" s="2179"/>
      <c r="L395" s="2179"/>
      <c r="M395" s="2179"/>
      <c r="N395" s="2179"/>
      <c r="O395" s="2179"/>
      <c r="P395" s="2179"/>
      <c r="Q395" s="2176"/>
      <c r="R395" s="2176"/>
      <c r="S395" s="2176"/>
      <c r="T395" s="2176"/>
      <c r="U395" s="2180"/>
    </row>
    <row r="396" spans="1:21">
      <c r="A396" s="2164"/>
      <c r="B396" s="2166" t="s">
        <v>1205</v>
      </c>
      <c r="C396" s="2168" t="s">
        <v>1212</v>
      </c>
      <c r="D396" s="1235" t="s">
        <v>1213</v>
      </c>
      <c r="E396" s="2170"/>
      <c r="F396" s="2179"/>
      <c r="G396" s="2179"/>
      <c r="H396" s="2179"/>
      <c r="I396" s="2179"/>
      <c r="J396" s="2179"/>
      <c r="K396" s="2179"/>
      <c r="L396" s="2179"/>
      <c r="M396" s="2179"/>
      <c r="N396" s="2179"/>
      <c r="O396" s="2179"/>
      <c r="P396" s="2179"/>
      <c r="Q396" s="2179"/>
      <c r="R396" s="2176">
        <v>0.99</v>
      </c>
      <c r="S396" s="2176">
        <v>0.98009999999999997</v>
      </c>
      <c r="T396" s="2176">
        <v>0.97029899999999991</v>
      </c>
      <c r="U396" s="2180">
        <v>0.96059600999999994</v>
      </c>
    </row>
    <row r="397" spans="1:21">
      <c r="A397" s="2164"/>
      <c r="B397" s="2167"/>
      <c r="C397" s="2169"/>
      <c r="D397" s="1236" t="s">
        <v>1214</v>
      </c>
      <c r="E397" s="2170"/>
      <c r="F397" s="2179"/>
      <c r="G397" s="2179"/>
      <c r="H397" s="2179"/>
      <c r="I397" s="2179"/>
      <c r="J397" s="2179"/>
      <c r="K397" s="2179"/>
      <c r="L397" s="2179"/>
      <c r="M397" s="2179"/>
      <c r="N397" s="2179"/>
      <c r="O397" s="2179"/>
      <c r="P397" s="2179"/>
      <c r="Q397" s="2179"/>
      <c r="R397" s="2176"/>
      <c r="S397" s="2176"/>
      <c r="T397" s="2176"/>
      <c r="U397" s="2180"/>
    </row>
    <row r="398" spans="1:21">
      <c r="A398" s="2164"/>
      <c r="B398" s="2167"/>
      <c r="C398" s="2173" t="s">
        <v>1215</v>
      </c>
      <c r="D398" s="1236" t="s">
        <v>1216</v>
      </c>
      <c r="E398" s="2170"/>
      <c r="F398" s="2179"/>
      <c r="G398" s="2179"/>
      <c r="H398" s="2179"/>
      <c r="I398" s="2179"/>
      <c r="J398" s="2179"/>
      <c r="K398" s="2179"/>
      <c r="L398" s="2179"/>
      <c r="M398" s="2179"/>
      <c r="N398" s="2179"/>
      <c r="O398" s="2179"/>
      <c r="P398" s="2179"/>
      <c r="Q398" s="2179"/>
      <c r="R398" s="2176"/>
      <c r="S398" s="2176"/>
      <c r="T398" s="2176"/>
      <c r="U398" s="2180"/>
    </row>
    <row r="399" spans="1:21">
      <c r="A399" s="2164"/>
      <c r="B399" s="2167"/>
      <c r="C399" s="2174"/>
      <c r="D399" s="1237" t="s">
        <v>1217</v>
      </c>
      <c r="E399" s="2170"/>
      <c r="F399" s="2179"/>
      <c r="G399" s="2179"/>
      <c r="H399" s="2179"/>
      <c r="I399" s="2179"/>
      <c r="J399" s="2179"/>
      <c r="K399" s="2179"/>
      <c r="L399" s="2179"/>
      <c r="M399" s="2179"/>
      <c r="N399" s="2179"/>
      <c r="O399" s="2179"/>
      <c r="P399" s="2179"/>
      <c r="Q399" s="2179"/>
      <c r="R399" s="2176"/>
      <c r="S399" s="2176"/>
      <c r="T399" s="2176"/>
      <c r="U399" s="2180"/>
    </row>
    <row r="400" spans="1:21">
      <c r="A400" s="2164"/>
      <c r="B400" s="2166" t="s">
        <v>1206</v>
      </c>
      <c r="C400" s="2168" t="s">
        <v>1212</v>
      </c>
      <c r="D400" s="1235" t="s">
        <v>1213</v>
      </c>
      <c r="E400" s="2170"/>
      <c r="F400" s="2179"/>
      <c r="G400" s="2179"/>
      <c r="H400" s="2179"/>
      <c r="I400" s="2179"/>
      <c r="J400" s="2179"/>
      <c r="K400" s="2179"/>
      <c r="L400" s="2179"/>
      <c r="M400" s="2179"/>
      <c r="N400" s="2179"/>
      <c r="O400" s="2179"/>
      <c r="P400" s="2179"/>
      <c r="Q400" s="2179"/>
      <c r="R400" s="2179"/>
      <c r="S400" s="2176">
        <v>0.99</v>
      </c>
      <c r="T400" s="2176">
        <v>0.98009999999999997</v>
      </c>
      <c r="U400" s="2180">
        <v>0.97029899999999991</v>
      </c>
    </row>
    <row r="401" spans="1:21">
      <c r="A401" s="2164"/>
      <c r="B401" s="2167"/>
      <c r="C401" s="2169"/>
      <c r="D401" s="1236" t="s">
        <v>1214</v>
      </c>
      <c r="E401" s="2170"/>
      <c r="F401" s="2179"/>
      <c r="G401" s="2179"/>
      <c r="H401" s="2179"/>
      <c r="I401" s="2179"/>
      <c r="J401" s="2179"/>
      <c r="K401" s="2179"/>
      <c r="L401" s="2179"/>
      <c r="M401" s="2179"/>
      <c r="N401" s="2179"/>
      <c r="O401" s="2179"/>
      <c r="P401" s="2179"/>
      <c r="Q401" s="2179"/>
      <c r="R401" s="2179"/>
      <c r="S401" s="2176"/>
      <c r="T401" s="2176"/>
      <c r="U401" s="2180"/>
    </row>
    <row r="402" spans="1:21">
      <c r="A402" s="2164"/>
      <c r="B402" s="2167"/>
      <c r="C402" s="2173" t="s">
        <v>1215</v>
      </c>
      <c r="D402" s="1236" t="s">
        <v>1216</v>
      </c>
      <c r="E402" s="2170"/>
      <c r="F402" s="2179"/>
      <c r="G402" s="2179"/>
      <c r="H402" s="2179"/>
      <c r="I402" s="2179"/>
      <c r="J402" s="2179"/>
      <c r="K402" s="2179"/>
      <c r="L402" s="2179"/>
      <c r="M402" s="2179"/>
      <c r="N402" s="2179"/>
      <c r="O402" s="2179"/>
      <c r="P402" s="2179"/>
      <c r="Q402" s="2179"/>
      <c r="R402" s="2179"/>
      <c r="S402" s="2176"/>
      <c r="T402" s="2176"/>
      <c r="U402" s="2180"/>
    </row>
    <row r="403" spans="1:21">
      <c r="A403" s="2164"/>
      <c r="B403" s="2167"/>
      <c r="C403" s="2174"/>
      <c r="D403" s="1237" t="s">
        <v>1217</v>
      </c>
      <c r="E403" s="2170"/>
      <c r="F403" s="2179"/>
      <c r="G403" s="2179"/>
      <c r="H403" s="2179"/>
      <c r="I403" s="2179"/>
      <c r="J403" s="2179"/>
      <c r="K403" s="2179"/>
      <c r="L403" s="2179"/>
      <c r="M403" s="2179"/>
      <c r="N403" s="2179"/>
      <c r="O403" s="2179"/>
      <c r="P403" s="2179"/>
      <c r="Q403" s="2179"/>
      <c r="R403" s="2179"/>
      <c r="S403" s="2176"/>
      <c r="T403" s="2176"/>
      <c r="U403" s="2180"/>
    </row>
    <row r="404" spans="1:21">
      <c r="A404" s="2164"/>
      <c r="B404" s="2166" t="s">
        <v>1207</v>
      </c>
      <c r="C404" s="2168" t="s">
        <v>1212</v>
      </c>
      <c r="D404" s="1235" t="s">
        <v>1213</v>
      </c>
      <c r="E404" s="2170"/>
      <c r="F404" s="2179"/>
      <c r="G404" s="2179"/>
      <c r="H404" s="2179"/>
      <c r="I404" s="2179"/>
      <c r="J404" s="2179"/>
      <c r="K404" s="2179"/>
      <c r="L404" s="2179"/>
      <c r="M404" s="2179"/>
      <c r="N404" s="2179"/>
      <c r="O404" s="2179"/>
      <c r="P404" s="2179"/>
      <c r="Q404" s="2179"/>
      <c r="R404" s="2179"/>
      <c r="S404" s="2179"/>
      <c r="T404" s="2171">
        <v>0.99</v>
      </c>
      <c r="U404" s="2180">
        <v>0.98009999999999997</v>
      </c>
    </row>
    <row r="405" spans="1:21">
      <c r="A405" s="2164"/>
      <c r="B405" s="2167"/>
      <c r="C405" s="2169"/>
      <c r="D405" s="1236" t="s">
        <v>1214</v>
      </c>
      <c r="E405" s="2170"/>
      <c r="F405" s="2179"/>
      <c r="G405" s="2179"/>
      <c r="H405" s="2179"/>
      <c r="I405" s="2179"/>
      <c r="J405" s="2179"/>
      <c r="K405" s="2179"/>
      <c r="L405" s="2179"/>
      <c r="M405" s="2179"/>
      <c r="N405" s="2179"/>
      <c r="O405" s="2179"/>
      <c r="P405" s="2179"/>
      <c r="Q405" s="2179"/>
      <c r="R405" s="2179"/>
      <c r="S405" s="2179"/>
      <c r="T405" s="2172"/>
      <c r="U405" s="2180"/>
    </row>
    <row r="406" spans="1:21">
      <c r="A406" s="2164"/>
      <c r="B406" s="2167"/>
      <c r="C406" s="2173" t="s">
        <v>1215</v>
      </c>
      <c r="D406" s="1236" t="s">
        <v>1216</v>
      </c>
      <c r="E406" s="2170"/>
      <c r="F406" s="2179"/>
      <c r="G406" s="2179"/>
      <c r="H406" s="2179"/>
      <c r="I406" s="2179"/>
      <c r="J406" s="2179"/>
      <c r="K406" s="2179"/>
      <c r="L406" s="2179"/>
      <c r="M406" s="2179"/>
      <c r="N406" s="2179"/>
      <c r="O406" s="2179"/>
      <c r="P406" s="2179"/>
      <c r="Q406" s="2179"/>
      <c r="R406" s="2179"/>
      <c r="S406" s="2179"/>
      <c r="T406" s="2172"/>
      <c r="U406" s="2180"/>
    </row>
    <row r="407" spans="1:21">
      <c r="A407" s="2164"/>
      <c r="B407" s="2167"/>
      <c r="C407" s="2174"/>
      <c r="D407" s="1237" t="s">
        <v>1217</v>
      </c>
      <c r="E407" s="2170"/>
      <c r="F407" s="2179"/>
      <c r="G407" s="2179"/>
      <c r="H407" s="2179"/>
      <c r="I407" s="2179"/>
      <c r="J407" s="2179"/>
      <c r="K407" s="2179"/>
      <c r="L407" s="2179"/>
      <c r="M407" s="2179"/>
      <c r="N407" s="2179"/>
      <c r="O407" s="2179"/>
      <c r="P407" s="2179"/>
      <c r="Q407" s="2179"/>
      <c r="R407" s="2179"/>
      <c r="S407" s="2179"/>
      <c r="T407" s="2187"/>
      <c r="U407" s="2180"/>
    </row>
    <row r="408" spans="1:21">
      <c r="A408" s="2164"/>
      <c r="B408" s="2166" t="s">
        <v>1208</v>
      </c>
      <c r="C408" s="2168" t="s">
        <v>1212</v>
      </c>
      <c r="D408" s="1235" t="s">
        <v>1213</v>
      </c>
      <c r="E408" s="2170"/>
      <c r="F408" s="2179"/>
      <c r="G408" s="2179"/>
      <c r="H408" s="2179"/>
      <c r="I408" s="2179"/>
      <c r="J408" s="2179"/>
      <c r="K408" s="2179"/>
      <c r="L408" s="2179"/>
      <c r="M408" s="2179"/>
      <c r="N408" s="2179"/>
      <c r="O408" s="2179"/>
      <c r="P408" s="2179"/>
      <c r="Q408" s="2179"/>
      <c r="R408" s="2179"/>
      <c r="S408" s="2179"/>
      <c r="T408" s="2179"/>
      <c r="U408" s="2180">
        <v>0.99</v>
      </c>
    </row>
    <row r="409" spans="1:21">
      <c r="A409" s="2164"/>
      <c r="B409" s="2167"/>
      <c r="C409" s="2169"/>
      <c r="D409" s="1236" t="s">
        <v>1214</v>
      </c>
      <c r="E409" s="2170"/>
      <c r="F409" s="2179"/>
      <c r="G409" s="2179"/>
      <c r="H409" s="2179"/>
      <c r="I409" s="2179"/>
      <c r="J409" s="2179"/>
      <c r="K409" s="2179"/>
      <c r="L409" s="2179"/>
      <c r="M409" s="2179"/>
      <c r="N409" s="2179"/>
      <c r="O409" s="2179"/>
      <c r="P409" s="2179"/>
      <c r="Q409" s="2179"/>
      <c r="R409" s="2179"/>
      <c r="S409" s="2179"/>
      <c r="T409" s="2179"/>
      <c r="U409" s="2180"/>
    </row>
    <row r="410" spans="1:21">
      <c r="A410" s="2164"/>
      <c r="B410" s="2167"/>
      <c r="C410" s="2173" t="s">
        <v>1215</v>
      </c>
      <c r="D410" s="1236" t="s">
        <v>1216</v>
      </c>
      <c r="E410" s="2170"/>
      <c r="F410" s="2179"/>
      <c r="G410" s="2179"/>
      <c r="H410" s="2179"/>
      <c r="I410" s="2179"/>
      <c r="J410" s="2179"/>
      <c r="K410" s="2179"/>
      <c r="L410" s="2179"/>
      <c r="M410" s="2179"/>
      <c r="N410" s="2179"/>
      <c r="O410" s="2179"/>
      <c r="P410" s="2179"/>
      <c r="Q410" s="2179"/>
      <c r="R410" s="2179"/>
      <c r="S410" s="2179"/>
      <c r="T410" s="2179"/>
      <c r="U410" s="2180"/>
    </row>
    <row r="411" spans="1:21">
      <c r="A411" s="2164"/>
      <c r="B411" s="2167"/>
      <c r="C411" s="2174"/>
      <c r="D411" s="1237" t="s">
        <v>1217</v>
      </c>
      <c r="E411" s="2170"/>
      <c r="F411" s="2179"/>
      <c r="G411" s="2179"/>
      <c r="H411" s="2179"/>
      <c r="I411" s="2179"/>
      <c r="J411" s="2179"/>
      <c r="K411" s="2179"/>
      <c r="L411" s="2179"/>
      <c r="M411" s="2179"/>
      <c r="N411" s="2179"/>
      <c r="O411" s="2179"/>
      <c r="P411" s="2179"/>
      <c r="Q411" s="2179"/>
      <c r="R411" s="2179"/>
      <c r="S411" s="2179"/>
      <c r="T411" s="2179"/>
      <c r="U411" s="2180"/>
    </row>
    <row r="412" spans="1:21">
      <c r="A412" s="2164"/>
      <c r="B412" s="2175" t="s">
        <v>1209</v>
      </c>
      <c r="C412" s="2168" t="s">
        <v>1212</v>
      </c>
      <c r="D412" s="1235" t="s">
        <v>1213</v>
      </c>
      <c r="E412" s="2188"/>
      <c r="F412" s="2191"/>
      <c r="G412" s="2191"/>
      <c r="H412" s="2191"/>
      <c r="I412" s="2191"/>
      <c r="J412" s="2191"/>
      <c r="K412" s="2191"/>
      <c r="L412" s="2191"/>
      <c r="M412" s="2191"/>
      <c r="N412" s="2191"/>
      <c r="O412" s="2191"/>
      <c r="P412" s="2191"/>
      <c r="Q412" s="2191"/>
      <c r="R412" s="2191"/>
      <c r="S412" s="2191"/>
      <c r="T412" s="2191"/>
      <c r="U412" s="2194"/>
    </row>
    <row r="413" spans="1:21">
      <c r="A413" s="2164"/>
      <c r="B413" s="2167"/>
      <c r="C413" s="2169"/>
      <c r="D413" s="1236" t="s">
        <v>1214</v>
      </c>
      <c r="E413" s="2189"/>
      <c r="F413" s="2192"/>
      <c r="G413" s="2192"/>
      <c r="H413" s="2192"/>
      <c r="I413" s="2192"/>
      <c r="J413" s="2192"/>
      <c r="K413" s="2192"/>
      <c r="L413" s="2192"/>
      <c r="M413" s="2192"/>
      <c r="N413" s="2192"/>
      <c r="O413" s="2192"/>
      <c r="P413" s="2192"/>
      <c r="Q413" s="2192"/>
      <c r="R413" s="2192"/>
      <c r="S413" s="2192"/>
      <c r="T413" s="2192"/>
      <c r="U413" s="2195"/>
    </row>
    <row r="414" spans="1:21">
      <c r="A414" s="2164"/>
      <c r="B414" s="2167"/>
      <c r="C414" s="2173" t="s">
        <v>1215</v>
      </c>
      <c r="D414" s="1236" t="s">
        <v>1216</v>
      </c>
      <c r="E414" s="2189"/>
      <c r="F414" s="2192"/>
      <c r="G414" s="2192"/>
      <c r="H414" s="2192"/>
      <c r="I414" s="2192"/>
      <c r="J414" s="2192"/>
      <c r="K414" s="2192"/>
      <c r="L414" s="2192"/>
      <c r="M414" s="2192"/>
      <c r="N414" s="2192"/>
      <c r="O414" s="2192"/>
      <c r="P414" s="2192"/>
      <c r="Q414" s="2192"/>
      <c r="R414" s="2192"/>
      <c r="S414" s="2192"/>
      <c r="T414" s="2192"/>
      <c r="U414" s="2195"/>
    </row>
    <row r="415" spans="1:21">
      <c r="A415" s="2165"/>
      <c r="B415" s="2167"/>
      <c r="C415" s="2174"/>
      <c r="D415" s="1237" t="s">
        <v>1217</v>
      </c>
      <c r="E415" s="2190"/>
      <c r="F415" s="2193"/>
      <c r="G415" s="2193"/>
      <c r="H415" s="2193"/>
      <c r="I415" s="2193"/>
      <c r="J415" s="2193"/>
      <c r="K415" s="2193"/>
      <c r="L415" s="2193"/>
      <c r="M415" s="2193"/>
      <c r="N415" s="2193"/>
      <c r="O415" s="2193"/>
      <c r="P415" s="2193"/>
      <c r="Q415" s="2193"/>
      <c r="R415" s="2193"/>
      <c r="S415" s="2193"/>
      <c r="T415" s="2193"/>
      <c r="U415" s="2196"/>
    </row>
    <row r="416" spans="1:21">
      <c r="A416" s="2157" t="s">
        <v>1224</v>
      </c>
      <c r="B416" s="2166" t="s">
        <v>1211</v>
      </c>
      <c r="C416" s="2168" t="s">
        <v>1212</v>
      </c>
      <c r="D416" s="1235" t="s">
        <v>1213</v>
      </c>
      <c r="E416" s="2170"/>
      <c r="F416" s="2171">
        <v>0.79</v>
      </c>
      <c r="G416" s="2171">
        <v>0.68730000000000002</v>
      </c>
      <c r="H416" s="2171">
        <v>0.65980799999999995</v>
      </c>
      <c r="I416" s="2171">
        <v>0.60702336000000001</v>
      </c>
      <c r="J416" s="2171">
        <v>0.57060195839999994</v>
      </c>
      <c r="K416" s="2171">
        <v>0.54207186047999989</v>
      </c>
      <c r="L416" s="2171">
        <v>0.52038898606079986</v>
      </c>
      <c r="M416" s="2171">
        <v>0.48396175703654387</v>
      </c>
      <c r="N416" s="2171">
        <v>0.47428252189581299</v>
      </c>
      <c r="O416" s="2171">
        <v>0.46479687145789672</v>
      </c>
      <c r="P416" s="2171">
        <v>0.45550093402873876</v>
      </c>
      <c r="Q416" s="2171">
        <v>0.45094592468845135</v>
      </c>
      <c r="R416" s="2171">
        <v>0.44643646544156684</v>
      </c>
      <c r="S416" s="2171">
        <v>0.44197210078715116</v>
      </c>
      <c r="T416" s="2171">
        <v>0.43755237977927963</v>
      </c>
      <c r="U416" s="2181">
        <v>0.43317685598148681</v>
      </c>
    </row>
    <row r="417" spans="1:21">
      <c r="A417" s="2164"/>
      <c r="B417" s="2167"/>
      <c r="C417" s="2169"/>
      <c r="D417" s="1236" t="s">
        <v>1214</v>
      </c>
      <c r="E417" s="2170"/>
      <c r="F417" s="2172"/>
      <c r="G417" s="2172"/>
      <c r="H417" s="2172"/>
      <c r="I417" s="2172"/>
      <c r="J417" s="2172"/>
      <c r="K417" s="2172"/>
      <c r="L417" s="2172"/>
      <c r="M417" s="2172"/>
      <c r="N417" s="2172"/>
      <c r="O417" s="2172"/>
      <c r="P417" s="2172"/>
      <c r="Q417" s="2172"/>
      <c r="R417" s="2172"/>
      <c r="S417" s="2172"/>
      <c r="T417" s="2172"/>
      <c r="U417" s="2182"/>
    </row>
    <row r="418" spans="1:21">
      <c r="A418" s="2164"/>
      <c r="B418" s="2167"/>
      <c r="C418" s="2173" t="s">
        <v>1215</v>
      </c>
      <c r="D418" s="1236" t="s">
        <v>1216</v>
      </c>
      <c r="E418" s="2170"/>
      <c r="F418" s="2172"/>
      <c r="G418" s="2172"/>
      <c r="H418" s="2172"/>
      <c r="I418" s="2172"/>
      <c r="J418" s="2172"/>
      <c r="K418" s="2172"/>
      <c r="L418" s="2172"/>
      <c r="M418" s="2172"/>
      <c r="N418" s="2172"/>
      <c r="O418" s="2172"/>
      <c r="P418" s="2172"/>
      <c r="Q418" s="2172"/>
      <c r="R418" s="2172"/>
      <c r="S418" s="2172"/>
      <c r="T418" s="2172"/>
      <c r="U418" s="2182"/>
    </row>
    <row r="419" spans="1:21">
      <c r="A419" s="2164"/>
      <c r="B419" s="2167"/>
      <c r="C419" s="2174"/>
      <c r="D419" s="1237" t="s">
        <v>1217</v>
      </c>
      <c r="E419" s="2170"/>
      <c r="F419" s="2172"/>
      <c r="G419" s="2172"/>
      <c r="H419" s="2172"/>
      <c r="I419" s="2172"/>
      <c r="J419" s="2172"/>
      <c r="K419" s="2172"/>
      <c r="L419" s="2172"/>
      <c r="M419" s="2172"/>
      <c r="N419" s="2172"/>
      <c r="O419" s="2172"/>
      <c r="P419" s="2172"/>
      <c r="Q419" s="2172"/>
      <c r="R419" s="2172"/>
      <c r="S419" s="2172"/>
      <c r="T419" s="2172"/>
      <c r="U419" s="2182"/>
    </row>
    <row r="420" spans="1:21">
      <c r="A420" s="2164"/>
      <c r="B420" s="2175" t="s">
        <v>1194</v>
      </c>
      <c r="C420" s="2168" t="s">
        <v>1212</v>
      </c>
      <c r="D420" s="1235" t="s">
        <v>1213</v>
      </c>
      <c r="E420" s="2170"/>
      <c r="F420" s="2179"/>
      <c r="G420" s="2176">
        <v>0.87</v>
      </c>
      <c r="H420" s="2176">
        <v>0.83519999999999994</v>
      </c>
      <c r="I420" s="2176">
        <v>0.76838399999999996</v>
      </c>
      <c r="J420" s="2176">
        <v>0.72228095999999997</v>
      </c>
      <c r="K420" s="2176">
        <v>0.68616691199999991</v>
      </c>
      <c r="L420" s="2176">
        <v>0.65872023551999992</v>
      </c>
      <c r="M420" s="2176">
        <v>0.61260981903360001</v>
      </c>
      <c r="N420" s="2176">
        <v>0.60035762265292802</v>
      </c>
      <c r="O420" s="2176">
        <v>0.58835047019986941</v>
      </c>
      <c r="P420" s="2176">
        <v>0.57658346079587197</v>
      </c>
      <c r="Q420" s="2176">
        <v>0.57081762618791321</v>
      </c>
      <c r="R420" s="2176">
        <v>0.56510944992603407</v>
      </c>
      <c r="S420" s="2176">
        <v>0.55945835542677369</v>
      </c>
      <c r="T420" s="2176">
        <v>0.55386377187250591</v>
      </c>
      <c r="U420" s="2180">
        <v>0.54832513415378081</v>
      </c>
    </row>
    <row r="421" spans="1:21">
      <c r="A421" s="2164"/>
      <c r="B421" s="2167"/>
      <c r="C421" s="2169"/>
      <c r="D421" s="1236" t="s">
        <v>1214</v>
      </c>
      <c r="E421" s="2170"/>
      <c r="F421" s="2179"/>
      <c r="G421" s="2176"/>
      <c r="H421" s="2176"/>
      <c r="I421" s="2176"/>
      <c r="J421" s="2176"/>
      <c r="K421" s="2176"/>
      <c r="L421" s="2176"/>
      <c r="M421" s="2176"/>
      <c r="N421" s="2176"/>
      <c r="O421" s="2176"/>
      <c r="P421" s="2176"/>
      <c r="Q421" s="2176"/>
      <c r="R421" s="2176"/>
      <c r="S421" s="2176"/>
      <c r="T421" s="2176"/>
      <c r="U421" s="2180"/>
    </row>
    <row r="422" spans="1:21">
      <c r="A422" s="2164"/>
      <c r="B422" s="2167"/>
      <c r="C422" s="2173" t="s">
        <v>1215</v>
      </c>
      <c r="D422" s="1236" t="s">
        <v>1216</v>
      </c>
      <c r="E422" s="2170"/>
      <c r="F422" s="2179"/>
      <c r="G422" s="2176"/>
      <c r="H422" s="2176"/>
      <c r="I422" s="2176"/>
      <c r="J422" s="2176"/>
      <c r="K422" s="2176"/>
      <c r="L422" s="2176"/>
      <c r="M422" s="2176"/>
      <c r="N422" s="2176"/>
      <c r="O422" s="2176"/>
      <c r="P422" s="2176"/>
      <c r="Q422" s="2176"/>
      <c r="R422" s="2176"/>
      <c r="S422" s="2176"/>
      <c r="T422" s="2176"/>
      <c r="U422" s="2180"/>
    </row>
    <row r="423" spans="1:21">
      <c r="A423" s="2164"/>
      <c r="B423" s="2167"/>
      <c r="C423" s="2174"/>
      <c r="D423" s="1237" t="s">
        <v>1217</v>
      </c>
      <c r="E423" s="2170"/>
      <c r="F423" s="2179"/>
      <c r="G423" s="2176"/>
      <c r="H423" s="2176"/>
      <c r="I423" s="2176"/>
      <c r="J423" s="2176"/>
      <c r="K423" s="2176"/>
      <c r="L423" s="2176"/>
      <c r="M423" s="2176"/>
      <c r="N423" s="2176"/>
      <c r="O423" s="2176"/>
      <c r="P423" s="2176"/>
      <c r="Q423" s="2176"/>
      <c r="R423" s="2176"/>
      <c r="S423" s="2176"/>
      <c r="T423" s="2176"/>
      <c r="U423" s="2180"/>
    </row>
    <row r="424" spans="1:21">
      <c r="A424" s="2164"/>
      <c r="B424" s="2175" t="s">
        <v>1195</v>
      </c>
      <c r="C424" s="2168" t="s">
        <v>1212</v>
      </c>
      <c r="D424" s="1235" t="s">
        <v>1213</v>
      </c>
      <c r="E424" s="2170"/>
      <c r="F424" s="2179"/>
      <c r="G424" s="2179"/>
      <c r="H424" s="2176">
        <v>0.96</v>
      </c>
      <c r="I424" s="2176">
        <v>0.88319999999999999</v>
      </c>
      <c r="J424" s="2176">
        <v>0.83020799999999995</v>
      </c>
      <c r="K424" s="2176">
        <v>0.78869759999999989</v>
      </c>
      <c r="L424" s="2176">
        <v>0.75714969599999982</v>
      </c>
      <c r="M424" s="2176">
        <v>0.70414921727999991</v>
      </c>
      <c r="N424" s="2176">
        <v>0.69006623293439995</v>
      </c>
      <c r="O424" s="2176">
        <v>0.67626490827571195</v>
      </c>
      <c r="P424" s="2176">
        <v>0.66273961011019766</v>
      </c>
      <c r="Q424" s="2176">
        <v>0.6561122140090957</v>
      </c>
      <c r="R424" s="2176">
        <v>0.64955109186900473</v>
      </c>
      <c r="S424" s="2176">
        <v>0.64305558095031468</v>
      </c>
      <c r="T424" s="2176">
        <v>0.63662502514081154</v>
      </c>
      <c r="U424" s="2180">
        <v>0.63025877488940341</v>
      </c>
    </row>
    <row r="425" spans="1:21">
      <c r="A425" s="2164"/>
      <c r="B425" s="2167"/>
      <c r="C425" s="2169"/>
      <c r="D425" s="1236" t="s">
        <v>1214</v>
      </c>
      <c r="E425" s="2170"/>
      <c r="F425" s="2179"/>
      <c r="G425" s="2179"/>
      <c r="H425" s="2176"/>
      <c r="I425" s="2176"/>
      <c r="J425" s="2176"/>
      <c r="K425" s="2176"/>
      <c r="L425" s="2176"/>
      <c r="M425" s="2176"/>
      <c r="N425" s="2176"/>
      <c r="O425" s="2176"/>
      <c r="P425" s="2176"/>
      <c r="Q425" s="2176"/>
      <c r="R425" s="2176"/>
      <c r="S425" s="2176"/>
      <c r="T425" s="2176"/>
      <c r="U425" s="2180"/>
    </row>
    <row r="426" spans="1:21">
      <c r="A426" s="2164"/>
      <c r="B426" s="2167"/>
      <c r="C426" s="2173" t="s">
        <v>1215</v>
      </c>
      <c r="D426" s="1236" t="s">
        <v>1216</v>
      </c>
      <c r="E426" s="2170"/>
      <c r="F426" s="2179"/>
      <c r="G426" s="2179"/>
      <c r="H426" s="2176"/>
      <c r="I426" s="2176"/>
      <c r="J426" s="2176"/>
      <c r="K426" s="2176"/>
      <c r="L426" s="2176"/>
      <c r="M426" s="2176"/>
      <c r="N426" s="2176"/>
      <c r="O426" s="2176"/>
      <c r="P426" s="2176"/>
      <c r="Q426" s="2176"/>
      <c r="R426" s="2176"/>
      <c r="S426" s="2176"/>
      <c r="T426" s="2176"/>
      <c r="U426" s="2180"/>
    </row>
    <row r="427" spans="1:21">
      <c r="A427" s="2164"/>
      <c r="B427" s="2167"/>
      <c r="C427" s="2174"/>
      <c r="D427" s="1237" t="s">
        <v>1217</v>
      </c>
      <c r="E427" s="2170"/>
      <c r="F427" s="2179"/>
      <c r="G427" s="2179"/>
      <c r="H427" s="2176"/>
      <c r="I427" s="2176"/>
      <c r="J427" s="2176"/>
      <c r="K427" s="2176"/>
      <c r="L427" s="2176"/>
      <c r="M427" s="2176"/>
      <c r="N427" s="2176"/>
      <c r="O427" s="2176"/>
      <c r="P427" s="2176"/>
      <c r="Q427" s="2176"/>
      <c r="R427" s="2176"/>
      <c r="S427" s="2176"/>
      <c r="T427" s="2176"/>
      <c r="U427" s="2180"/>
    </row>
    <row r="428" spans="1:21">
      <c r="A428" s="2164"/>
      <c r="B428" s="2166" t="s">
        <v>1196</v>
      </c>
      <c r="C428" s="2168" t="s">
        <v>1212</v>
      </c>
      <c r="D428" s="1235" t="s">
        <v>1213</v>
      </c>
      <c r="E428" s="2170"/>
      <c r="F428" s="2179"/>
      <c r="G428" s="2179"/>
      <c r="H428" s="2179"/>
      <c r="I428" s="2176">
        <v>0.92</v>
      </c>
      <c r="J428" s="2176">
        <v>0.86480000000000001</v>
      </c>
      <c r="K428" s="2176">
        <v>0.82155999999999996</v>
      </c>
      <c r="L428" s="2176">
        <v>0.78869759999999989</v>
      </c>
      <c r="M428" s="2176">
        <v>0.73348876799999996</v>
      </c>
      <c r="N428" s="2176">
        <v>0.71881899263999993</v>
      </c>
      <c r="O428" s="2176">
        <v>0.70444261278719988</v>
      </c>
      <c r="P428" s="2176">
        <v>0.69035376053145592</v>
      </c>
      <c r="Q428" s="2176">
        <v>0.68345022292614133</v>
      </c>
      <c r="R428" s="2176">
        <v>0.67661572069687992</v>
      </c>
      <c r="S428" s="2176">
        <v>0.66984956348991109</v>
      </c>
      <c r="T428" s="2176">
        <v>0.66315106785501199</v>
      </c>
      <c r="U428" s="2180">
        <v>0.65651955717646182</v>
      </c>
    </row>
    <row r="429" spans="1:21">
      <c r="A429" s="2164"/>
      <c r="B429" s="2167"/>
      <c r="C429" s="2169"/>
      <c r="D429" s="1236" t="s">
        <v>1214</v>
      </c>
      <c r="E429" s="2170"/>
      <c r="F429" s="2179"/>
      <c r="G429" s="2179"/>
      <c r="H429" s="2179"/>
      <c r="I429" s="2176"/>
      <c r="J429" s="2176"/>
      <c r="K429" s="2176"/>
      <c r="L429" s="2176"/>
      <c r="M429" s="2176"/>
      <c r="N429" s="2176"/>
      <c r="O429" s="2176"/>
      <c r="P429" s="2176"/>
      <c r="Q429" s="2176"/>
      <c r="R429" s="2176"/>
      <c r="S429" s="2176"/>
      <c r="T429" s="2176"/>
      <c r="U429" s="2180"/>
    </row>
    <row r="430" spans="1:21">
      <c r="A430" s="2164"/>
      <c r="B430" s="2167"/>
      <c r="C430" s="2173" t="s">
        <v>1215</v>
      </c>
      <c r="D430" s="1236" t="s">
        <v>1216</v>
      </c>
      <c r="E430" s="2170"/>
      <c r="F430" s="2179"/>
      <c r="G430" s="2179"/>
      <c r="H430" s="2179"/>
      <c r="I430" s="2176"/>
      <c r="J430" s="2176"/>
      <c r="K430" s="2176"/>
      <c r="L430" s="2176"/>
      <c r="M430" s="2176"/>
      <c r="N430" s="2176"/>
      <c r="O430" s="2176"/>
      <c r="P430" s="2176"/>
      <c r="Q430" s="2176"/>
      <c r="R430" s="2176"/>
      <c r="S430" s="2176"/>
      <c r="T430" s="2176"/>
      <c r="U430" s="2180"/>
    </row>
    <row r="431" spans="1:21">
      <c r="A431" s="2164"/>
      <c r="B431" s="2167"/>
      <c r="C431" s="2174"/>
      <c r="D431" s="1237" t="s">
        <v>1217</v>
      </c>
      <c r="E431" s="2170"/>
      <c r="F431" s="2179"/>
      <c r="G431" s="2179"/>
      <c r="H431" s="2179"/>
      <c r="I431" s="2176"/>
      <c r="J431" s="2176"/>
      <c r="K431" s="2176"/>
      <c r="L431" s="2176"/>
      <c r="M431" s="2176"/>
      <c r="N431" s="2176"/>
      <c r="O431" s="2176"/>
      <c r="P431" s="2176"/>
      <c r="Q431" s="2176"/>
      <c r="R431" s="2176"/>
      <c r="S431" s="2176"/>
      <c r="T431" s="2176"/>
      <c r="U431" s="2180"/>
    </row>
    <row r="432" spans="1:21">
      <c r="A432" s="2164"/>
      <c r="B432" s="2166" t="s">
        <v>1197</v>
      </c>
      <c r="C432" s="2168" t="s">
        <v>1212</v>
      </c>
      <c r="D432" s="1235" t="s">
        <v>1213</v>
      </c>
      <c r="E432" s="2170"/>
      <c r="F432" s="2179"/>
      <c r="G432" s="2179"/>
      <c r="H432" s="2179"/>
      <c r="I432" s="2179"/>
      <c r="J432" s="2176">
        <v>0.94</v>
      </c>
      <c r="K432" s="2176">
        <v>0.8929999999999999</v>
      </c>
      <c r="L432" s="2176">
        <v>0.85727999999999993</v>
      </c>
      <c r="M432" s="2176">
        <v>0.79727039999999993</v>
      </c>
      <c r="N432" s="2176">
        <v>0.78132499199999994</v>
      </c>
      <c r="O432" s="2176">
        <v>0.76569849215999997</v>
      </c>
      <c r="P432" s="2176">
        <v>0.75038452231679997</v>
      </c>
      <c r="Q432" s="2176">
        <v>0.74288067709363192</v>
      </c>
      <c r="R432" s="2176">
        <v>0.73545187032269554</v>
      </c>
      <c r="S432" s="2176">
        <v>0.72809735161946854</v>
      </c>
      <c r="T432" s="2176">
        <v>0.72081637810327381</v>
      </c>
      <c r="U432" s="2180">
        <v>0.71360821432224109</v>
      </c>
    </row>
    <row r="433" spans="1:21">
      <c r="A433" s="2164"/>
      <c r="B433" s="2167"/>
      <c r="C433" s="2169"/>
      <c r="D433" s="1236" t="s">
        <v>1214</v>
      </c>
      <c r="E433" s="2170"/>
      <c r="F433" s="2179"/>
      <c r="G433" s="2179"/>
      <c r="H433" s="2179"/>
      <c r="I433" s="2179"/>
      <c r="J433" s="2176"/>
      <c r="K433" s="2176"/>
      <c r="L433" s="2176"/>
      <c r="M433" s="2176"/>
      <c r="N433" s="2176"/>
      <c r="O433" s="2176"/>
      <c r="P433" s="2176"/>
      <c r="Q433" s="2176"/>
      <c r="R433" s="2176"/>
      <c r="S433" s="2176"/>
      <c r="T433" s="2176"/>
      <c r="U433" s="2180"/>
    </row>
    <row r="434" spans="1:21">
      <c r="A434" s="2164"/>
      <c r="B434" s="2167"/>
      <c r="C434" s="2173" t="s">
        <v>1215</v>
      </c>
      <c r="D434" s="1236" t="s">
        <v>1216</v>
      </c>
      <c r="E434" s="2170"/>
      <c r="F434" s="2179"/>
      <c r="G434" s="2179"/>
      <c r="H434" s="2179"/>
      <c r="I434" s="2179"/>
      <c r="J434" s="2176"/>
      <c r="K434" s="2176"/>
      <c r="L434" s="2176"/>
      <c r="M434" s="2176"/>
      <c r="N434" s="2176"/>
      <c r="O434" s="2176"/>
      <c r="P434" s="2176"/>
      <c r="Q434" s="2176"/>
      <c r="R434" s="2176"/>
      <c r="S434" s="2176"/>
      <c r="T434" s="2176"/>
      <c r="U434" s="2180"/>
    </row>
    <row r="435" spans="1:21">
      <c r="A435" s="2164"/>
      <c r="B435" s="2167"/>
      <c r="C435" s="2174"/>
      <c r="D435" s="1237" t="s">
        <v>1217</v>
      </c>
      <c r="E435" s="2170"/>
      <c r="F435" s="2179"/>
      <c r="G435" s="2179"/>
      <c r="H435" s="2179"/>
      <c r="I435" s="2179"/>
      <c r="J435" s="2176"/>
      <c r="K435" s="2176"/>
      <c r="L435" s="2176"/>
      <c r="M435" s="2176"/>
      <c r="N435" s="2176"/>
      <c r="O435" s="2176"/>
      <c r="P435" s="2176"/>
      <c r="Q435" s="2176"/>
      <c r="R435" s="2176"/>
      <c r="S435" s="2176"/>
      <c r="T435" s="2176"/>
      <c r="U435" s="2180"/>
    </row>
    <row r="436" spans="1:21">
      <c r="A436" s="2164"/>
      <c r="B436" s="2166" t="s">
        <v>1198</v>
      </c>
      <c r="C436" s="2168" t="s">
        <v>1212</v>
      </c>
      <c r="D436" s="1235" t="s">
        <v>1213</v>
      </c>
      <c r="E436" s="2170"/>
      <c r="F436" s="2179"/>
      <c r="G436" s="2179"/>
      <c r="H436" s="2179"/>
      <c r="I436" s="2179"/>
      <c r="J436" s="2179"/>
      <c r="K436" s="2176">
        <v>0.95</v>
      </c>
      <c r="L436" s="2176">
        <v>0.91199999999999992</v>
      </c>
      <c r="M436" s="2176">
        <v>0.84816000000000003</v>
      </c>
      <c r="N436" s="2176">
        <v>0.83119679999999996</v>
      </c>
      <c r="O436" s="2176">
        <v>0.81457286399999995</v>
      </c>
      <c r="P436" s="2176">
        <v>0.79828140671999992</v>
      </c>
      <c r="Q436" s="2176">
        <v>0.79029859265279989</v>
      </c>
      <c r="R436" s="2176">
        <v>0.78239560672627184</v>
      </c>
      <c r="S436" s="2176">
        <v>0.77457165065900913</v>
      </c>
      <c r="T436" s="2176">
        <v>0.76682593415241906</v>
      </c>
      <c r="U436" s="2180">
        <v>0.75915767481089491</v>
      </c>
    </row>
    <row r="437" spans="1:21">
      <c r="A437" s="2164"/>
      <c r="B437" s="2167"/>
      <c r="C437" s="2169"/>
      <c r="D437" s="1236" t="s">
        <v>1214</v>
      </c>
      <c r="E437" s="2170"/>
      <c r="F437" s="2179"/>
      <c r="G437" s="2179"/>
      <c r="H437" s="2179"/>
      <c r="I437" s="2179"/>
      <c r="J437" s="2179"/>
      <c r="K437" s="2176"/>
      <c r="L437" s="2176"/>
      <c r="M437" s="2176"/>
      <c r="N437" s="2176"/>
      <c r="O437" s="2176"/>
      <c r="P437" s="2176"/>
      <c r="Q437" s="2176"/>
      <c r="R437" s="2176"/>
      <c r="S437" s="2176"/>
      <c r="T437" s="2176"/>
      <c r="U437" s="2180"/>
    </row>
    <row r="438" spans="1:21">
      <c r="A438" s="2164"/>
      <c r="B438" s="2167"/>
      <c r="C438" s="2173" t="s">
        <v>1215</v>
      </c>
      <c r="D438" s="1236" t="s">
        <v>1216</v>
      </c>
      <c r="E438" s="2170"/>
      <c r="F438" s="2179"/>
      <c r="G438" s="2179"/>
      <c r="H438" s="2179"/>
      <c r="I438" s="2179"/>
      <c r="J438" s="2179"/>
      <c r="K438" s="2176"/>
      <c r="L438" s="2176"/>
      <c r="M438" s="2176"/>
      <c r="N438" s="2176"/>
      <c r="O438" s="2176"/>
      <c r="P438" s="2176"/>
      <c r="Q438" s="2176"/>
      <c r="R438" s="2176"/>
      <c r="S438" s="2176"/>
      <c r="T438" s="2176"/>
      <c r="U438" s="2180"/>
    </row>
    <row r="439" spans="1:21">
      <c r="A439" s="2164"/>
      <c r="B439" s="2167"/>
      <c r="C439" s="2174"/>
      <c r="D439" s="1237" t="s">
        <v>1217</v>
      </c>
      <c r="E439" s="2170"/>
      <c r="F439" s="2179"/>
      <c r="G439" s="2179"/>
      <c r="H439" s="2179"/>
      <c r="I439" s="2179"/>
      <c r="J439" s="2179"/>
      <c r="K439" s="2176"/>
      <c r="L439" s="2176"/>
      <c r="M439" s="2176"/>
      <c r="N439" s="2176"/>
      <c r="O439" s="2176"/>
      <c r="P439" s="2176"/>
      <c r="Q439" s="2176"/>
      <c r="R439" s="2176"/>
      <c r="S439" s="2176"/>
      <c r="T439" s="2176"/>
      <c r="U439" s="2180"/>
    </row>
    <row r="440" spans="1:21">
      <c r="A440" s="2164"/>
      <c r="B440" s="2166" t="s">
        <v>1199</v>
      </c>
      <c r="C440" s="2168" t="s">
        <v>1212</v>
      </c>
      <c r="D440" s="1235" t="s">
        <v>1213</v>
      </c>
      <c r="E440" s="2170"/>
      <c r="F440" s="2179"/>
      <c r="G440" s="2179"/>
      <c r="H440" s="2179"/>
      <c r="I440" s="2179"/>
      <c r="J440" s="2179"/>
      <c r="K440" s="2179"/>
      <c r="L440" s="2176">
        <v>0.96</v>
      </c>
      <c r="M440" s="2176">
        <v>0.89280000000000004</v>
      </c>
      <c r="N440" s="2176">
        <v>0.87494400000000006</v>
      </c>
      <c r="O440" s="2176">
        <v>0.85744512000000006</v>
      </c>
      <c r="P440" s="2176">
        <v>0.84029621760000006</v>
      </c>
      <c r="Q440" s="2176">
        <v>0.83189325542400006</v>
      </c>
      <c r="R440" s="2176">
        <v>0.82357432286976007</v>
      </c>
      <c r="S440" s="2176">
        <v>0.81533857964106249</v>
      </c>
      <c r="T440" s="2176">
        <v>0.80718519384465182</v>
      </c>
      <c r="U440" s="2180">
        <v>0.79911334190620531</v>
      </c>
    </row>
    <row r="441" spans="1:21">
      <c r="A441" s="2164"/>
      <c r="B441" s="2167"/>
      <c r="C441" s="2169"/>
      <c r="D441" s="1236" t="s">
        <v>1214</v>
      </c>
      <c r="E441" s="2170"/>
      <c r="F441" s="2179"/>
      <c r="G441" s="2179"/>
      <c r="H441" s="2179"/>
      <c r="I441" s="2179"/>
      <c r="J441" s="2179"/>
      <c r="K441" s="2179"/>
      <c r="L441" s="2176"/>
      <c r="M441" s="2176"/>
      <c r="N441" s="2176"/>
      <c r="O441" s="2176"/>
      <c r="P441" s="2176"/>
      <c r="Q441" s="2176"/>
      <c r="R441" s="2176"/>
      <c r="S441" s="2176"/>
      <c r="T441" s="2176"/>
      <c r="U441" s="2180"/>
    </row>
    <row r="442" spans="1:21">
      <c r="A442" s="2164"/>
      <c r="B442" s="2167"/>
      <c r="C442" s="2173" t="s">
        <v>1215</v>
      </c>
      <c r="D442" s="1236" t="s">
        <v>1216</v>
      </c>
      <c r="E442" s="2170"/>
      <c r="F442" s="2179"/>
      <c r="G442" s="2179"/>
      <c r="H442" s="2179"/>
      <c r="I442" s="2179"/>
      <c r="J442" s="2179"/>
      <c r="K442" s="2179"/>
      <c r="L442" s="2176"/>
      <c r="M442" s="2176"/>
      <c r="N442" s="2176"/>
      <c r="O442" s="2176"/>
      <c r="P442" s="2176"/>
      <c r="Q442" s="2176"/>
      <c r="R442" s="2176"/>
      <c r="S442" s="2176"/>
      <c r="T442" s="2176"/>
      <c r="U442" s="2180"/>
    </row>
    <row r="443" spans="1:21">
      <c r="A443" s="2164"/>
      <c r="B443" s="2167"/>
      <c r="C443" s="2174"/>
      <c r="D443" s="1237" t="s">
        <v>1217</v>
      </c>
      <c r="E443" s="2170"/>
      <c r="F443" s="2179"/>
      <c r="G443" s="2179"/>
      <c r="H443" s="2179"/>
      <c r="I443" s="2179"/>
      <c r="J443" s="2179"/>
      <c r="K443" s="2179"/>
      <c r="L443" s="2176"/>
      <c r="M443" s="2176"/>
      <c r="N443" s="2176"/>
      <c r="O443" s="2176"/>
      <c r="P443" s="2176"/>
      <c r="Q443" s="2176"/>
      <c r="R443" s="2176"/>
      <c r="S443" s="2176"/>
      <c r="T443" s="2176"/>
      <c r="U443" s="2180"/>
    </row>
    <row r="444" spans="1:21">
      <c r="A444" s="2164"/>
      <c r="B444" s="2166" t="s">
        <v>1200</v>
      </c>
      <c r="C444" s="2168" t="s">
        <v>1212</v>
      </c>
      <c r="D444" s="1235" t="s">
        <v>1213</v>
      </c>
      <c r="E444" s="2170"/>
      <c r="F444" s="2179"/>
      <c r="G444" s="2179"/>
      <c r="H444" s="2179"/>
      <c r="I444" s="2179"/>
      <c r="J444" s="2179"/>
      <c r="K444" s="2179"/>
      <c r="L444" s="2179"/>
      <c r="M444" s="2176">
        <v>0.93</v>
      </c>
      <c r="N444" s="2176">
        <v>0.91139999999999999</v>
      </c>
      <c r="O444" s="2176">
        <v>0.89317199999999997</v>
      </c>
      <c r="P444" s="2176">
        <v>0.8753085599999999</v>
      </c>
      <c r="Q444" s="2176">
        <v>0.86655547439999991</v>
      </c>
      <c r="R444" s="2176">
        <v>0.85788991965599992</v>
      </c>
      <c r="S444" s="2176">
        <v>0.84931102045943996</v>
      </c>
      <c r="T444" s="2176">
        <v>0.84081791025484554</v>
      </c>
      <c r="U444" s="2180">
        <v>0.83240973115229711</v>
      </c>
    </row>
    <row r="445" spans="1:21">
      <c r="A445" s="2164"/>
      <c r="B445" s="2167"/>
      <c r="C445" s="2169"/>
      <c r="D445" s="1236" t="s">
        <v>1214</v>
      </c>
      <c r="E445" s="2170"/>
      <c r="F445" s="2179"/>
      <c r="G445" s="2179"/>
      <c r="H445" s="2179"/>
      <c r="I445" s="2179"/>
      <c r="J445" s="2179"/>
      <c r="K445" s="2179"/>
      <c r="L445" s="2179"/>
      <c r="M445" s="2176"/>
      <c r="N445" s="2176"/>
      <c r="O445" s="2176"/>
      <c r="P445" s="2176"/>
      <c r="Q445" s="2176"/>
      <c r="R445" s="2176"/>
      <c r="S445" s="2176"/>
      <c r="T445" s="2176"/>
      <c r="U445" s="2180"/>
    </row>
    <row r="446" spans="1:21">
      <c r="A446" s="2164"/>
      <c r="B446" s="2167"/>
      <c r="C446" s="2173" t="s">
        <v>1215</v>
      </c>
      <c r="D446" s="1236" t="s">
        <v>1216</v>
      </c>
      <c r="E446" s="2170"/>
      <c r="F446" s="2179"/>
      <c r="G446" s="2179"/>
      <c r="H446" s="2179"/>
      <c r="I446" s="2179"/>
      <c r="J446" s="2179"/>
      <c r="K446" s="2179"/>
      <c r="L446" s="2179"/>
      <c r="M446" s="2176"/>
      <c r="N446" s="2176"/>
      <c r="O446" s="2176"/>
      <c r="P446" s="2176"/>
      <c r="Q446" s="2176"/>
      <c r="R446" s="2176"/>
      <c r="S446" s="2176"/>
      <c r="T446" s="2176"/>
      <c r="U446" s="2180"/>
    </row>
    <row r="447" spans="1:21">
      <c r="A447" s="2164"/>
      <c r="B447" s="2167"/>
      <c r="C447" s="2174"/>
      <c r="D447" s="1237" t="s">
        <v>1217</v>
      </c>
      <c r="E447" s="2170"/>
      <c r="F447" s="2179"/>
      <c r="G447" s="2179"/>
      <c r="H447" s="2179"/>
      <c r="I447" s="2179"/>
      <c r="J447" s="2179"/>
      <c r="K447" s="2179"/>
      <c r="L447" s="2179"/>
      <c r="M447" s="2176"/>
      <c r="N447" s="2176"/>
      <c r="O447" s="2176"/>
      <c r="P447" s="2176"/>
      <c r="Q447" s="2176"/>
      <c r="R447" s="2176"/>
      <c r="S447" s="2176"/>
      <c r="T447" s="2176"/>
      <c r="U447" s="2180"/>
    </row>
    <row r="448" spans="1:21">
      <c r="A448" s="2164"/>
      <c r="B448" s="2166" t="s">
        <v>1201</v>
      </c>
      <c r="C448" s="2168" t="s">
        <v>1212</v>
      </c>
      <c r="D448" s="1235" t="s">
        <v>1213</v>
      </c>
      <c r="E448" s="2170"/>
      <c r="F448" s="2179"/>
      <c r="G448" s="2179"/>
      <c r="H448" s="2179"/>
      <c r="I448" s="2179"/>
      <c r="J448" s="2179"/>
      <c r="K448" s="2179"/>
      <c r="L448" s="2179"/>
      <c r="M448" s="2179"/>
      <c r="N448" s="2176">
        <v>0.98</v>
      </c>
      <c r="O448" s="2176">
        <v>0.96039999999999992</v>
      </c>
      <c r="P448" s="2176">
        <v>0.94119199999999992</v>
      </c>
      <c r="Q448" s="2176">
        <v>0.9317800799999999</v>
      </c>
      <c r="R448" s="2176">
        <v>0.9224622791999999</v>
      </c>
      <c r="S448" s="2176">
        <v>0.91323765640799992</v>
      </c>
      <c r="T448" s="2176">
        <v>0.90410527984391986</v>
      </c>
      <c r="U448" s="2180">
        <v>0.89506422704548061</v>
      </c>
    </row>
    <row r="449" spans="1:21">
      <c r="A449" s="2164"/>
      <c r="B449" s="2167"/>
      <c r="C449" s="2169"/>
      <c r="D449" s="1236" t="s">
        <v>1214</v>
      </c>
      <c r="E449" s="2170"/>
      <c r="F449" s="2179"/>
      <c r="G449" s="2179"/>
      <c r="H449" s="2179"/>
      <c r="I449" s="2179"/>
      <c r="J449" s="2179"/>
      <c r="K449" s="2179"/>
      <c r="L449" s="2179"/>
      <c r="M449" s="2179"/>
      <c r="N449" s="2176"/>
      <c r="O449" s="2176"/>
      <c r="P449" s="2176"/>
      <c r="Q449" s="2176"/>
      <c r="R449" s="2176"/>
      <c r="S449" s="2176"/>
      <c r="T449" s="2176"/>
      <c r="U449" s="2180"/>
    </row>
    <row r="450" spans="1:21">
      <c r="A450" s="2164"/>
      <c r="B450" s="2167"/>
      <c r="C450" s="2173" t="s">
        <v>1215</v>
      </c>
      <c r="D450" s="1236" t="s">
        <v>1216</v>
      </c>
      <c r="E450" s="2170"/>
      <c r="F450" s="2179"/>
      <c r="G450" s="2179"/>
      <c r="H450" s="2179"/>
      <c r="I450" s="2179"/>
      <c r="J450" s="2179"/>
      <c r="K450" s="2179"/>
      <c r="L450" s="2179"/>
      <c r="M450" s="2179"/>
      <c r="N450" s="2176"/>
      <c r="O450" s="2176"/>
      <c r="P450" s="2176"/>
      <c r="Q450" s="2176"/>
      <c r="R450" s="2176"/>
      <c r="S450" s="2176"/>
      <c r="T450" s="2176"/>
      <c r="U450" s="2180"/>
    </row>
    <row r="451" spans="1:21">
      <c r="A451" s="2164"/>
      <c r="B451" s="2167"/>
      <c r="C451" s="2174"/>
      <c r="D451" s="1237" t="s">
        <v>1217</v>
      </c>
      <c r="E451" s="2170"/>
      <c r="F451" s="2179"/>
      <c r="G451" s="2179"/>
      <c r="H451" s="2179"/>
      <c r="I451" s="2179"/>
      <c r="J451" s="2179"/>
      <c r="K451" s="2179"/>
      <c r="L451" s="2179"/>
      <c r="M451" s="2179"/>
      <c r="N451" s="2176"/>
      <c r="O451" s="2176"/>
      <c r="P451" s="2176"/>
      <c r="Q451" s="2176"/>
      <c r="R451" s="2176"/>
      <c r="S451" s="2176"/>
      <c r="T451" s="2176"/>
      <c r="U451" s="2180"/>
    </row>
    <row r="452" spans="1:21">
      <c r="A452" s="2164"/>
      <c r="B452" s="2166" t="s">
        <v>1202</v>
      </c>
      <c r="C452" s="2168" t="s">
        <v>1212</v>
      </c>
      <c r="D452" s="1235" t="s">
        <v>1213</v>
      </c>
      <c r="E452" s="2170"/>
      <c r="F452" s="2179"/>
      <c r="G452" s="2179"/>
      <c r="H452" s="2179"/>
      <c r="I452" s="2179"/>
      <c r="J452" s="2179"/>
      <c r="K452" s="2179"/>
      <c r="L452" s="2179"/>
      <c r="M452" s="2179"/>
      <c r="N452" s="2179"/>
      <c r="O452" s="2176">
        <v>0.98</v>
      </c>
      <c r="P452" s="2176">
        <v>0.96039999999999992</v>
      </c>
      <c r="Q452" s="2176">
        <v>0.95079599999999986</v>
      </c>
      <c r="R452" s="2176">
        <v>0.94128803999999988</v>
      </c>
      <c r="S452" s="2176">
        <v>0.93187515959999989</v>
      </c>
      <c r="T452" s="2176">
        <v>0.92255640800399985</v>
      </c>
      <c r="U452" s="2180">
        <v>0.9133308439239598</v>
      </c>
    </row>
    <row r="453" spans="1:21">
      <c r="A453" s="2164"/>
      <c r="B453" s="2167"/>
      <c r="C453" s="2169"/>
      <c r="D453" s="1236" t="s">
        <v>1214</v>
      </c>
      <c r="E453" s="2170"/>
      <c r="F453" s="2179"/>
      <c r="G453" s="2179"/>
      <c r="H453" s="2179"/>
      <c r="I453" s="2179"/>
      <c r="J453" s="2179"/>
      <c r="K453" s="2179"/>
      <c r="L453" s="2179"/>
      <c r="M453" s="2179"/>
      <c r="N453" s="2179"/>
      <c r="O453" s="2176"/>
      <c r="P453" s="2176"/>
      <c r="Q453" s="2176"/>
      <c r="R453" s="2176"/>
      <c r="S453" s="2176"/>
      <c r="T453" s="2176"/>
      <c r="U453" s="2180"/>
    </row>
    <row r="454" spans="1:21">
      <c r="A454" s="2164"/>
      <c r="B454" s="2167"/>
      <c r="C454" s="2173" t="s">
        <v>1215</v>
      </c>
      <c r="D454" s="1236" t="s">
        <v>1216</v>
      </c>
      <c r="E454" s="2170"/>
      <c r="F454" s="2179"/>
      <c r="G454" s="2179"/>
      <c r="H454" s="2179"/>
      <c r="I454" s="2179"/>
      <c r="J454" s="2179"/>
      <c r="K454" s="2179"/>
      <c r="L454" s="2179"/>
      <c r="M454" s="2179"/>
      <c r="N454" s="2179"/>
      <c r="O454" s="2176"/>
      <c r="P454" s="2176"/>
      <c r="Q454" s="2176"/>
      <c r="R454" s="2176"/>
      <c r="S454" s="2176"/>
      <c r="T454" s="2176"/>
      <c r="U454" s="2180"/>
    </row>
    <row r="455" spans="1:21">
      <c r="A455" s="2164"/>
      <c r="B455" s="2167"/>
      <c r="C455" s="2174"/>
      <c r="D455" s="1237" t="s">
        <v>1217</v>
      </c>
      <c r="E455" s="2170"/>
      <c r="F455" s="2179"/>
      <c r="G455" s="2179"/>
      <c r="H455" s="2179"/>
      <c r="I455" s="2179"/>
      <c r="J455" s="2179"/>
      <c r="K455" s="2179"/>
      <c r="L455" s="2179"/>
      <c r="M455" s="2179"/>
      <c r="N455" s="2179"/>
      <c r="O455" s="2176"/>
      <c r="P455" s="2176"/>
      <c r="Q455" s="2176"/>
      <c r="R455" s="2176"/>
      <c r="S455" s="2176"/>
      <c r="T455" s="2176"/>
      <c r="U455" s="2180"/>
    </row>
    <row r="456" spans="1:21">
      <c r="A456" s="2164"/>
      <c r="B456" s="2166" t="s">
        <v>1203</v>
      </c>
      <c r="C456" s="2168" t="s">
        <v>1212</v>
      </c>
      <c r="D456" s="1235" t="s">
        <v>1213</v>
      </c>
      <c r="E456" s="2170"/>
      <c r="F456" s="2179"/>
      <c r="G456" s="2179"/>
      <c r="H456" s="2179"/>
      <c r="I456" s="2179"/>
      <c r="J456" s="2179"/>
      <c r="K456" s="2179"/>
      <c r="L456" s="2179"/>
      <c r="M456" s="2179"/>
      <c r="N456" s="2179"/>
      <c r="O456" s="2179"/>
      <c r="P456" s="2176">
        <v>0.98</v>
      </c>
      <c r="Q456" s="2176">
        <v>0.97019999999999995</v>
      </c>
      <c r="R456" s="2176">
        <v>0.96049799999999996</v>
      </c>
      <c r="S456" s="2176">
        <v>0.95089301999999998</v>
      </c>
      <c r="T456" s="2176">
        <v>0.94138408979999999</v>
      </c>
      <c r="U456" s="2180">
        <v>0.93197024890199998</v>
      </c>
    </row>
    <row r="457" spans="1:21">
      <c r="A457" s="2164"/>
      <c r="B457" s="2167"/>
      <c r="C457" s="2169"/>
      <c r="D457" s="1236" t="s">
        <v>1214</v>
      </c>
      <c r="E457" s="2170"/>
      <c r="F457" s="2179"/>
      <c r="G457" s="2179"/>
      <c r="H457" s="2179"/>
      <c r="I457" s="2179"/>
      <c r="J457" s="2179"/>
      <c r="K457" s="2179"/>
      <c r="L457" s="2179"/>
      <c r="M457" s="2179"/>
      <c r="N457" s="2179"/>
      <c r="O457" s="2179"/>
      <c r="P457" s="2176"/>
      <c r="Q457" s="2176"/>
      <c r="R457" s="2176"/>
      <c r="S457" s="2176"/>
      <c r="T457" s="2176"/>
      <c r="U457" s="2180"/>
    </row>
    <row r="458" spans="1:21">
      <c r="A458" s="2164"/>
      <c r="B458" s="2167"/>
      <c r="C458" s="2173" t="s">
        <v>1215</v>
      </c>
      <c r="D458" s="1236" t="s">
        <v>1216</v>
      </c>
      <c r="E458" s="2170"/>
      <c r="F458" s="2179"/>
      <c r="G458" s="2179"/>
      <c r="H458" s="2179"/>
      <c r="I458" s="2179"/>
      <c r="J458" s="2179"/>
      <c r="K458" s="2179"/>
      <c r="L458" s="2179"/>
      <c r="M458" s="2179"/>
      <c r="N458" s="2179"/>
      <c r="O458" s="2179"/>
      <c r="P458" s="2176"/>
      <c r="Q458" s="2176"/>
      <c r="R458" s="2176"/>
      <c r="S458" s="2176"/>
      <c r="T458" s="2176"/>
      <c r="U458" s="2180"/>
    </row>
    <row r="459" spans="1:21">
      <c r="A459" s="2164"/>
      <c r="B459" s="2167"/>
      <c r="C459" s="2174"/>
      <c r="D459" s="1237" t="s">
        <v>1217</v>
      </c>
      <c r="E459" s="2170"/>
      <c r="F459" s="2179"/>
      <c r="G459" s="2179"/>
      <c r="H459" s="2179"/>
      <c r="I459" s="2179"/>
      <c r="J459" s="2179"/>
      <c r="K459" s="2179"/>
      <c r="L459" s="2179"/>
      <c r="M459" s="2179"/>
      <c r="N459" s="2179"/>
      <c r="O459" s="2179"/>
      <c r="P459" s="2176"/>
      <c r="Q459" s="2176"/>
      <c r="R459" s="2176"/>
      <c r="S459" s="2176"/>
      <c r="T459" s="2176"/>
      <c r="U459" s="2180"/>
    </row>
    <row r="460" spans="1:21">
      <c r="A460" s="2164"/>
      <c r="B460" s="2166" t="s">
        <v>1204</v>
      </c>
      <c r="C460" s="2168" t="s">
        <v>1212</v>
      </c>
      <c r="D460" s="1235" t="s">
        <v>1213</v>
      </c>
      <c r="E460" s="2170"/>
      <c r="F460" s="2179"/>
      <c r="G460" s="2179"/>
      <c r="H460" s="2179"/>
      <c r="I460" s="2179"/>
      <c r="J460" s="2179"/>
      <c r="K460" s="2179"/>
      <c r="L460" s="2179"/>
      <c r="M460" s="2179"/>
      <c r="N460" s="2179"/>
      <c r="O460" s="2179"/>
      <c r="P460" s="2179"/>
      <c r="Q460" s="2176">
        <v>0.99</v>
      </c>
      <c r="R460" s="2176">
        <v>0.98009999999999997</v>
      </c>
      <c r="S460" s="2176">
        <v>0.97029899999999991</v>
      </c>
      <c r="T460" s="2176">
        <v>0.96059600999999994</v>
      </c>
      <c r="U460" s="2180">
        <v>0.95099004989999991</v>
      </c>
    </row>
    <row r="461" spans="1:21">
      <c r="A461" s="2164"/>
      <c r="B461" s="2167"/>
      <c r="C461" s="2169"/>
      <c r="D461" s="1236" t="s">
        <v>1214</v>
      </c>
      <c r="E461" s="2170"/>
      <c r="F461" s="2179"/>
      <c r="G461" s="2179"/>
      <c r="H461" s="2179"/>
      <c r="I461" s="2179"/>
      <c r="J461" s="2179"/>
      <c r="K461" s="2179"/>
      <c r="L461" s="2179"/>
      <c r="M461" s="2179"/>
      <c r="N461" s="2179"/>
      <c r="O461" s="2179"/>
      <c r="P461" s="2179"/>
      <c r="Q461" s="2176"/>
      <c r="R461" s="2176"/>
      <c r="S461" s="2176"/>
      <c r="T461" s="2176"/>
      <c r="U461" s="2180"/>
    </row>
    <row r="462" spans="1:21">
      <c r="A462" s="2164"/>
      <c r="B462" s="2167"/>
      <c r="C462" s="2173" t="s">
        <v>1215</v>
      </c>
      <c r="D462" s="1236" t="s">
        <v>1216</v>
      </c>
      <c r="E462" s="2170"/>
      <c r="F462" s="2179"/>
      <c r="G462" s="2179"/>
      <c r="H462" s="2179"/>
      <c r="I462" s="2179"/>
      <c r="J462" s="2179"/>
      <c r="K462" s="2179"/>
      <c r="L462" s="2179"/>
      <c r="M462" s="2179"/>
      <c r="N462" s="2179"/>
      <c r="O462" s="2179"/>
      <c r="P462" s="2179"/>
      <c r="Q462" s="2176"/>
      <c r="R462" s="2176"/>
      <c r="S462" s="2176"/>
      <c r="T462" s="2176"/>
      <c r="U462" s="2180"/>
    </row>
    <row r="463" spans="1:21">
      <c r="A463" s="2164"/>
      <c r="B463" s="2167"/>
      <c r="C463" s="2174"/>
      <c r="D463" s="1237" t="s">
        <v>1217</v>
      </c>
      <c r="E463" s="2170"/>
      <c r="F463" s="2179"/>
      <c r="G463" s="2179"/>
      <c r="H463" s="2179"/>
      <c r="I463" s="2179"/>
      <c r="J463" s="2179"/>
      <c r="K463" s="2179"/>
      <c r="L463" s="2179"/>
      <c r="M463" s="2179"/>
      <c r="N463" s="2179"/>
      <c r="O463" s="2179"/>
      <c r="P463" s="2179"/>
      <c r="Q463" s="2176"/>
      <c r="R463" s="2176"/>
      <c r="S463" s="2176"/>
      <c r="T463" s="2176"/>
      <c r="U463" s="2180"/>
    </row>
    <row r="464" spans="1:21">
      <c r="A464" s="2164"/>
      <c r="B464" s="2166" t="s">
        <v>1205</v>
      </c>
      <c r="C464" s="2168" t="s">
        <v>1212</v>
      </c>
      <c r="D464" s="1235" t="s">
        <v>1213</v>
      </c>
      <c r="E464" s="2170"/>
      <c r="F464" s="2179"/>
      <c r="G464" s="2179"/>
      <c r="H464" s="2179"/>
      <c r="I464" s="2179"/>
      <c r="J464" s="2179"/>
      <c r="K464" s="2179"/>
      <c r="L464" s="2179"/>
      <c r="M464" s="2179"/>
      <c r="N464" s="2179"/>
      <c r="O464" s="2179"/>
      <c r="P464" s="2179"/>
      <c r="Q464" s="2179"/>
      <c r="R464" s="2176">
        <v>0.99</v>
      </c>
      <c r="S464" s="2176">
        <v>0.98009999999999997</v>
      </c>
      <c r="T464" s="2176">
        <v>0.97029899999999991</v>
      </c>
      <c r="U464" s="2180">
        <v>0.96059600999999994</v>
      </c>
    </row>
    <row r="465" spans="1:21">
      <c r="A465" s="2164"/>
      <c r="B465" s="2167"/>
      <c r="C465" s="2169"/>
      <c r="D465" s="1236" t="s">
        <v>1214</v>
      </c>
      <c r="E465" s="2170"/>
      <c r="F465" s="2179"/>
      <c r="G465" s="2179"/>
      <c r="H465" s="2179"/>
      <c r="I465" s="2179"/>
      <c r="J465" s="2179"/>
      <c r="K465" s="2179"/>
      <c r="L465" s="2179"/>
      <c r="M465" s="2179"/>
      <c r="N465" s="2179"/>
      <c r="O465" s="2179"/>
      <c r="P465" s="2179"/>
      <c r="Q465" s="2179"/>
      <c r="R465" s="2176"/>
      <c r="S465" s="2176"/>
      <c r="T465" s="2176"/>
      <c r="U465" s="2180"/>
    </row>
    <row r="466" spans="1:21">
      <c r="A466" s="2164"/>
      <c r="B466" s="2167"/>
      <c r="C466" s="2173" t="s">
        <v>1215</v>
      </c>
      <c r="D466" s="1236" t="s">
        <v>1216</v>
      </c>
      <c r="E466" s="2170"/>
      <c r="F466" s="2179"/>
      <c r="G466" s="2179"/>
      <c r="H466" s="2179"/>
      <c r="I466" s="2179"/>
      <c r="J466" s="2179"/>
      <c r="K466" s="2179"/>
      <c r="L466" s="2179"/>
      <c r="M466" s="2179"/>
      <c r="N466" s="2179"/>
      <c r="O466" s="2179"/>
      <c r="P466" s="2179"/>
      <c r="Q466" s="2179"/>
      <c r="R466" s="2176"/>
      <c r="S466" s="2176"/>
      <c r="T466" s="2176"/>
      <c r="U466" s="2180"/>
    </row>
    <row r="467" spans="1:21">
      <c r="A467" s="2164"/>
      <c r="B467" s="2167"/>
      <c r="C467" s="2174"/>
      <c r="D467" s="1237" t="s">
        <v>1217</v>
      </c>
      <c r="E467" s="2170"/>
      <c r="F467" s="2179"/>
      <c r="G467" s="2179"/>
      <c r="H467" s="2179"/>
      <c r="I467" s="2179"/>
      <c r="J467" s="2179"/>
      <c r="K467" s="2179"/>
      <c r="L467" s="2179"/>
      <c r="M467" s="2179"/>
      <c r="N467" s="2179"/>
      <c r="O467" s="2179"/>
      <c r="P467" s="2179"/>
      <c r="Q467" s="2179"/>
      <c r="R467" s="2176"/>
      <c r="S467" s="2176"/>
      <c r="T467" s="2176"/>
      <c r="U467" s="2180"/>
    </row>
    <row r="468" spans="1:21">
      <c r="A468" s="2164"/>
      <c r="B468" s="2166" t="s">
        <v>1206</v>
      </c>
      <c r="C468" s="2168" t="s">
        <v>1212</v>
      </c>
      <c r="D468" s="1235" t="s">
        <v>1213</v>
      </c>
      <c r="E468" s="2170"/>
      <c r="F468" s="2179"/>
      <c r="G468" s="2179"/>
      <c r="H468" s="2179"/>
      <c r="I468" s="2179"/>
      <c r="J468" s="2179"/>
      <c r="K468" s="2179"/>
      <c r="L468" s="2179"/>
      <c r="M468" s="2179"/>
      <c r="N468" s="2179"/>
      <c r="O468" s="2179"/>
      <c r="P468" s="2179"/>
      <c r="Q468" s="2179"/>
      <c r="R468" s="2179"/>
      <c r="S468" s="2176">
        <v>0.99</v>
      </c>
      <c r="T468" s="2176">
        <v>0.98009999999999997</v>
      </c>
      <c r="U468" s="2180">
        <v>0.97029899999999991</v>
      </c>
    </row>
    <row r="469" spans="1:21">
      <c r="A469" s="2164"/>
      <c r="B469" s="2167"/>
      <c r="C469" s="2169"/>
      <c r="D469" s="1236" t="s">
        <v>1214</v>
      </c>
      <c r="E469" s="2170"/>
      <c r="F469" s="2179"/>
      <c r="G469" s="2179"/>
      <c r="H469" s="2179"/>
      <c r="I469" s="2179"/>
      <c r="J469" s="2179"/>
      <c r="K469" s="2179"/>
      <c r="L469" s="2179"/>
      <c r="M469" s="2179"/>
      <c r="N469" s="2179"/>
      <c r="O469" s="2179"/>
      <c r="P469" s="2179"/>
      <c r="Q469" s="2179"/>
      <c r="R469" s="2179"/>
      <c r="S469" s="2176"/>
      <c r="T469" s="2176"/>
      <c r="U469" s="2180"/>
    </row>
    <row r="470" spans="1:21">
      <c r="A470" s="2164"/>
      <c r="B470" s="2167"/>
      <c r="C470" s="2173" t="s">
        <v>1215</v>
      </c>
      <c r="D470" s="1236" t="s">
        <v>1216</v>
      </c>
      <c r="E470" s="2170"/>
      <c r="F470" s="2179"/>
      <c r="G470" s="2179"/>
      <c r="H470" s="2179"/>
      <c r="I470" s="2179"/>
      <c r="J470" s="2179"/>
      <c r="K470" s="2179"/>
      <c r="L470" s="2179"/>
      <c r="M470" s="2179"/>
      <c r="N470" s="2179"/>
      <c r="O470" s="2179"/>
      <c r="P470" s="2179"/>
      <c r="Q470" s="2179"/>
      <c r="R470" s="2179"/>
      <c r="S470" s="2176"/>
      <c r="T470" s="2176"/>
      <c r="U470" s="2180"/>
    </row>
    <row r="471" spans="1:21">
      <c r="A471" s="2164"/>
      <c r="B471" s="2167"/>
      <c r="C471" s="2174"/>
      <c r="D471" s="1237" t="s">
        <v>1217</v>
      </c>
      <c r="E471" s="2170"/>
      <c r="F471" s="2179"/>
      <c r="G471" s="2179"/>
      <c r="H471" s="2179"/>
      <c r="I471" s="2179"/>
      <c r="J471" s="2179"/>
      <c r="K471" s="2179"/>
      <c r="L471" s="2179"/>
      <c r="M471" s="2179"/>
      <c r="N471" s="2179"/>
      <c r="O471" s="2179"/>
      <c r="P471" s="2179"/>
      <c r="Q471" s="2179"/>
      <c r="R471" s="2179"/>
      <c r="S471" s="2176"/>
      <c r="T471" s="2176"/>
      <c r="U471" s="2180"/>
    </row>
    <row r="472" spans="1:21">
      <c r="A472" s="2164"/>
      <c r="B472" s="2166" t="s">
        <v>1207</v>
      </c>
      <c r="C472" s="2168" t="s">
        <v>1212</v>
      </c>
      <c r="D472" s="1235" t="s">
        <v>1213</v>
      </c>
      <c r="E472" s="2170"/>
      <c r="F472" s="2179"/>
      <c r="G472" s="2179"/>
      <c r="H472" s="2179"/>
      <c r="I472" s="2179"/>
      <c r="J472" s="2179"/>
      <c r="K472" s="2179"/>
      <c r="L472" s="2179"/>
      <c r="M472" s="2179"/>
      <c r="N472" s="2179"/>
      <c r="O472" s="2179"/>
      <c r="P472" s="2179"/>
      <c r="Q472" s="2179"/>
      <c r="R472" s="2179"/>
      <c r="S472" s="2179"/>
      <c r="T472" s="2171">
        <v>0.99</v>
      </c>
      <c r="U472" s="2180">
        <v>0.98009999999999997</v>
      </c>
    </row>
    <row r="473" spans="1:21">
      <c r="A473" s="2164"/>
      <c r="B473" s="2167"/>
      <c r="C473" s="2169"/>
      <c r="D473" s="1236" t="s">
        <v>1214</v>
      </c>
      <c r="E473" s="2170"/>
      <c r="F473" s="2179"/>
      <c r="G473" s="2179"/>
      <c r="H473" s="2179"/>
      <c r="I473" s="2179"/>
      <c r="J473" s="2179"/>
      <c r="K473" s="2179"/>
      <c r="L473" s="2179"/>
      <c r="M473" s="2179"/>
      <c r="N473" s="2179"/>
      <c r="O473" s="2179"/>
      <c r="P473" s="2179"/>
      <c r="Q473" s="2179"/>
      <c r="R473" s="2179"/>
      <c r="S473" s="2179"/>
      <c r="T473" s="2172"/>
      <c r="U473" s="2180"/>
    </row>
    <row r="474" spans="1:21">
      <c r="A474" s="2164"/>
      <c r="B474" s="2167"/>
      <c r="C474" s="2173" t="s">
        <v>1215</v>
      </c>
      <c r="D474" s="1236" t="s">
        <v>1216</v>
      </c>
      <c r="E474" s="2170"/>
      <c r="F474" s="2179"/>
      <c r="G474" s="2179"/>
      <c r="H474" s="2179"/>
      <c r="I474" s="2179"/>
      <c r="J474" s="2179"/>
      <c r="K474" s="2179"/>
      <c r="L474" s="2179"/>
      <c r="M474" s="2179"/>
      <c r="N474" s="2179"/>
      <c r="O474" s="2179"/>
      <c r="P474" s="2179"/>
      <c r="Q474" s="2179"/>
      <c r="R474" s="2179"/>
      <c r="S474" s="2179"/>
      <c r="T474" s="2172"/>
      <c r="U474" s="2180"/>
    </row>
    <row r="475" spans="1:21">
      <c r="A475" s="2164"/>
      <c r="B475" s="2167"/>
      <c r="C475" s="2174"/>
      <c r="D475" s="1237" t="s">
        <v>1217</v>
      </c>
      <c r="E475" s="2170"/>
      <c r="F475" s="2179"/>
      <c r="G475" s="2179"/>
      <c r="H475" s="2179"/>
      <c r="I475" s="2179"/>
      <c r="J475" s="2179"/>
      <c r="K475" s="2179"/>
      <c r="L475" s="2179"/>
      <c r="M475" s="2179"/>
      <c r="N475" s="2179"/>
      <c r="O475" s="2179"/>
      <c r="P475" s="2179"/>
      <c r="Q475" s="2179"/>
      <c r="R475" s="2179"/>
      <c r="S475" s="2179"/>
      <c r="T475" s="2187"/>
      <c r="U475" s="2180"/>
    </row>
    <row r="476" spans="1:21">
      <c r="A476" s="2164"/>
      <c r="B476" s="2166" t="s">
        <v>1208</v>
      </c>
      <c r="C476" s="2168" t="s">
        <v>1212</v>
      </c>
      <c r="D476" s="1235" t="s">
        <v>1213</v>
      </c>
      <c r="E476" s="2170"/>
      <c r="F476" s="2179"/>
      <c r="G476" s="2179"/>
      <c r="H476" s="2179"/>
      <c r="I476" s="2179"/>
      <c r="J476" s="2179"/>
      <c r="K476" s="2179"/>
      <c r="L476" s="2179"/>
      <c r="M476" s="2179"/>
      <c r="N476" s="2179"/>
      <c r="O476" s="2179"/>
      <c r="P476" s="2179"/>
      <c r="Q476" s="2179"/>
      <c r="R476" s="2179"/>
      <c r="S476" s="2179"/>
      <c r="T476" s="2179"/>
      <c r="U476" s="2180">
        <v>0.99</v>
      </c>
    </row>
    <row r="477" spans="1:21">
      <c r="A477" s="2164"/>
      <c r="B477" s="2167"/>
      <c r="C477" s="2169"/>
      <c r="D477" s="1236" t="s">
        <v>1214</v>
      </c>
      <c r="E477" s="2170"/>
      <c r="F477" s="2179"/>
      <c r="G477" s="2179"/>
      <c r="H477" s="2179"/>
      <c r="I477" s="2179"/>
      <c r="J477" s="2179"/>
      <c r="K477" s="2179"/>
      <c r="L477" s="2179"/>
      <c r="M477" s="2179"/>
      <c r="N477" s="2179"/>
      <c r="O477" s="2179"/>
      <c r="P477" s="2179"/>
      <c r="Q477" s="2179"/>
      <c r="R477" s="2179"/>
      <c r="S477" s="2179"/>
      <c r="T477" s="2179"/>
      <c r="U477" s="2180"/>
    </row>
    <row r="478" spans="1:21">
      <c r="A478" s="2164"/>
      <c r="B478" s="2167"/>
      <c r="C478" s="2173" t="s">
        <v>1215</v>
      </c>
      <c r="D478" s="1236" t="s">
        <v>1216</v>
      </c>
      <c r="E478" s="2170"/>
      <c r="F478" s="2179"/>
      <c r="G478" s="2179"/>
      <c r="H478" s="2179"/>
      <c r="I478" s="2179"/>
      <c r="J478" s="2179"/>
      <c r="K478" s="2179"/>
      <c r="L478" s="2179"/>
      <c r="M478" s="2179"/>
      <c r="N478" s="2179"/>
      <c r="O478" s="2179"/>
      <c r="P478" s="2179"/>
      <c r="Q478" s="2179"/>
      <c r="R478" s="2179"/>
      <c r="S478" s="2179"/>
      <c r="T478" s="2179"/>
      <c r="U478" s="2180"/>
    </row>
    <row r="479" spans="1:21">
      <c r="A479" s="2164"/>
      <c r="B479" s="2167"/>
      <c r="C479" s="2174"/>
      <c r="D479" s="1237" t="s">
        <v>1217</v>
      </c>
      <c r="E479" s="2170"/>
      <c r="F479" s="2179"/>
      <c r="G479" s="2179"/>
      <c r="H479" s="2179"/>
      <c r="I479" s="2179"/>
      <c r="J479" s="2179"/>
      <c r="K479" s="2179"/>
      <c r="L479" s="2179"/>
      <c r="M479" s="2179"/>
      <c r="N479" s="2179"/>
      <c r="O479" s="2179"/>
      <c r="P479" s="2179"/>
      <c r="Q479" s="2179"/>
      <c r="R479" s="2179"/>
      <c r="S479" s="2179"/>
      <c r="T479" s="2179"/>
      <c r="U479" s="2180"/>
    </row>
    <row r="480" spans="1:21">
      <c r="A480" s="2164"/>
      <c r="B480" s="2175" t="s">
        <v>1209</v>
      </c>
      <c r="C480" s="2168" t="s">
        <v>1212</v>
      </c>
      <c r="D480" s="1235" t="s">
        <v>1213</v>
      </c>
      <c r="E480" s="2188"/>
      <c r="F480" s="2191"/>
      <c r="G480" s="2191"/>
      <c r="H480" s="2191"/>
      <c r="I480" s="2191"/>
      <c r="J480" s="2191"/>
      <c r="K480" s="2191"/>
      <c r="L480" s="2191"/>
      <c r="M480" s="2191"/>
      <c r="N480" s="2191"/>
      <c r="O480" s="2191"/>
      <c r="P480" s="2191"/>
      <c r="Q480" s="2191"/>
      <c r="R480" s="2191"/>
      <c r="S480" s="2191"/>
      <c r="T480" s="2191"/>
      <c r="U480" s="2194"/>
    </row>
    <row r="481" spans="1:21">
      <c r="A481" s="2164"/>
      <c r="B481" s="2167"/>
      <c r="C481" s="2169"/>
      <c r="D481" s="1236" t="s">
        <v>1214</v>
      </c>
      <c r="E481" s="2189"/>
      <c r="F481" s="2192"/>
      <c r="G481" s="2192"/>
      <c r="H481" s="2192"/>
      <c r="I481" s="2192"/>
      <c r="J481" s="2192"/>
      <c r="K481" s="2192"/>
      <c r="L481" s="2192"/>
      <c r="M481" s="2192"/>
      <c r="N481" s="2192"/>
      <c r="O481" s="2192"/>
      <c r="P481" s="2192"/>
      <c r="Q481" s="2192"/>
      <c r="R481" s="2192"/>
      <c r="S481" s="2192"/>
      <c r="T481" s="2192"/>
      <c r="U481" s="2195"/>
    </row>
    <row r="482" spans="1:21">
      <c r="A482" s="2164"/>
      <c r="B482" s="2167"/>
      <c r="C482" s="2173" t="s">
        <v>1215</v>
      </c>
      <c r="D482" s="1236" t="s">
        <v>1216</v>
      </c>
      <c r="E482" s="2189"/>
      <c r="F482" s="2192"/>
      <c r="G482" s="2192"/>
      <c r="H482" s="2192"/>
      <c r="I482" s="2192"/>
      <c r="J482" s="2192"/>
      <c r="K482" s="2192"/>
      <c r="L482" s="2192"/>
      <c r="M482" s="2192"/>
      <c r="N482" s="2192"/>
      <c r="O482" s="2192"/>
      <c r="P482" s="2192"/>
      <c r="Q482" s="2192"/>
      <c r="R482" s="2192"/>
      <c r="S482" s="2192"/>
      <c r="T482" s="2192"/>
      <c r="U482" s="2195"/>
    </row>
    <row r="483" spans="1:21">
      <c r="A483" s="2165"/>
      <c r="B483" s="2167"/>
      <c r="C483" s="2174"/>
      <c r="D483" s="1237" t="s">
        <v>1217</v>
      </c>
      <c r="E483" s="2190"/>
      <c r="F483" s="2193"/>
      <c r="G483" s="2193"/>
      <c r="H483" s="2193"/>
      <c r="I483" s="2193"/>
      <c r="J483" s="2193"/>
      <c r="K483" s="2193"/>
      <c r="L483" s="2193"/>
      <c r="M483" s="2193"/>
      <c r="N483" s="2193"/>
      <c r="O483" s="2193"/>
      <c r="P483" s="2193"/>
      <c r="Q483" s="2193"/>
      <c r="R483" s="2193"/>
      <c r="S483" s="2193"/>
      <c r="T483" s="2193"/>
      <c r="U483" s="2196"/>
    </row>
    <row r="484" spans="1:21">
      <c r="A484" s="2157" t="s">
        <v>1225</v>
      </c>
      <c r="B484" s="2166" t="s">
        <v>1211</v>
      </c>
      <c r="C484" s="2168" t="s">
        <v>1212</v>
      </c>
      <c r="D484" s="1235" t="s">
        <v>1213</v>
      </c>
      <c r="E484" s="2170"/>
      <c r="F484" s="2171">
        <v>0.79</v>
      </c>
      <c r="G484" s="2171">
        <v>0.68730000000000002</v>
      </c>
      <c r="H484" s="2171">
        <v>0.65980799999999995</v>
      </c>
      <c r="I484" s="2171">
        <v>0.60702336000000001</v>
      </c>
      <c r="J484" s="2171">
        <v>0.57060195839999994</v>
      </c>
      <c r="K484" s="2171">
        <v>0.54207186047999989</v>
      </c>
      <c r="L484" s="2171">
        <v>0.52038898606079986</v>
      </c>
      <c r="M484" s="2171">
        <v>0.48396175703654387</v>
      </c>
      <c r="N484" s="2171">
        <v>0.47428252189581299</v>
      </c>
      <c r="O484" s="2171">
        <v>0.46479687145789672</v>
      </c>
      <c r="P484" s="2171">
        <v>0.45550093402873876</v>
      </c>
      <c r="Q484" s="2171">
        <v>0.45094592468845135</v>
      </c>
      <c r="R484" s="2171">
        <v>0.44643646544156684</v>
      </c>
      <c r="S484" s="2171">
        <v>0.44197210078715116</v>
      </c>
      <c r="T484" s="2171">
        <v>0.43755237977927963</v>
      </c>
      <c r="U484" s="2181">
        <v>0.43317685598148681</v>
      </c>
    </row>
    <row r="485" spans="1:21">
      <c r="A485" s="2164"/>
      <c r="B485" s="2167"/>
      <c r="C485" s="2169"/>
      <c r="D485" s="1236" t="s">
        <v>1214</v>
      </c>
      <c r="E485" s="2170"/>
      <c r="F485" s="2172"/>
      <c r="G485" s="2172"/>
      <c r="H485" s="2172"/>
      <c r="I485" s="2172"/>
      <c r="J485" s="2172"/>
      <c r="K485" s="2172"/>
      <c r="L485" s="2172"/>
      <c r="M485" s="2172"/>
      <c r="N485" s="2172"/>
      <c r="O485" s="2172"/>
      <c r="P485" s="2172"/>
      <c r="Q485" s="2172"/>
      <c r="R485" s="2172"/>
      <c r="S485" s="2172"/>
      <c r="T485" s="2172"/>
      <c r="U485" s="2182"/>
    </row>
    <row r="486" spans="1:21">
      <c r="A486" s="2164"/>
      <c r="B486" s="2167"/>
      <c r="C486" s="2173" t="s">
        <v>1215</v>
      </c>
      <c r="D486" s="1236" t="s">
        <v>1216</v>
      </c>
      <c r="E486" s="2170"/>
      <c r="F486" s="2172"/>
      <c r="G486" s="2172"/>
      <c r="H486" s="2172"/>
      <c r="I486" s="2172"/>
      <c r="J486" s="2172"/>
      <c r="K486" s="2172"/>
      <c r="L486" s="2172"/>
      <c r="M486" s="2172"/>
      <c r="N486" s="2172"/>
      <c r="O486" s="2172"/>
      <c r="P486" s="2172"/>
      <c r="Q486" s="2172"/>
      <c r="R486" s="2172"/>
      <c r="S486" s="2172"/>
      <c r="T486" s="2172"/>
      <c r="U486" s="2182"/>
    </row>
    <row r="487" spans="1:21">
      <c r="A487" s="2164"/>
      <c r="B487" s="2167"/>
      <c r="C487" s="2174"/>
      <c r="D487" s="1237" t="s">
        <v>1217</v>
      </c>
      <c r="E487" s="2170"/>
      <c r="F487" s="2172"/>
      <c r="G487" s="2172"/>
      <c r="H487" s="2172"/>
      <c r="I487" s="2172"/>
      <c r="J487" s="2172"/>
      <c r="K487" s="2172"/>
      <c r="L487" s="2172"/>
      <c r="M487" s="2172"/>
      <c r="N487" s="2172"/>
      <c r="O487" s="2172"/>
      <c r="P487" s="2172"/>
      <c r="Q487" s="2172"/>
      <c r="R487" s="2172"/>
      <c r="S487" s="2172"/>
      <c r="T487" s="2172"/>
      <c r="U487" s="2182"/>
    </row>
    <row r="488" spans="1:21">
      <c r="A488" s="2164"/>
      <c r="B488" s="2175" t="s">
        <v>1194</v>
      </c>
      <c r="C488" s="2168" t="s">
        <v>1212</v>
      </c>
      <c r="D488" s="1235" t="s">
        <v>1213</v>
      </c>
      <c r="E488" s="2170"/>
      <c r="F488" s="2179"/>
      <c r="G488" s="2176">
        <v>0.87</v>
      </c>
      <c r="H488" s="2176">
        <v>0.83519999999999994</v>
      </c>
      <c r="I488" s="2176">
        <v>0.76838399999999996</v>
      </c>
      <c r="J488" s="2176">
        <v>0.72228095999999997</v>
      </c>
      <c r="K488" s="2176">
        <v>0.68616691199999991</v>
      </c>
      <c r="L488" s="2176">
        <v>0.65872023551999992</v>
      </c>
      <c r="M488" s="2176">
        <v>0.61260981903360001</v>
      </c>
      <c r="N488" s="2176">
        <v>0.60035762265292802</v>
      </c>
      <c r="O488" s="2176">
        <v>0.58835047019986941</v>
      </c>
      <c r="P488" s="2176">
        <v>0.57658346079587197</v>
      </c>
      <c r="Q488" s="2176">
        <v>0.57081762618791321</v>
      </c>
      <c r="R488" s="2176">
        <v>0.56510944992603407</v>
      </c>
      <c r="S488" s="2176">
        <v>0.55945835542677369</v>
      </c>
      <c r="T488" s="2176">
        <v>0.55386377187250591</v>
      </c>
      <c r="U488" s="2180">
        <v>0.54832513415378081</v>
      </c>
    </row>
    <row r="489" spans="1:21">
      <c r="A489" s="2164"/>
      <c r="B489" s="2167"/>
      <c r="C489" s="2169"/>
      <c r="D489" s="1236" t="s">
        <v>1214</v>
      </c>
      <c r="E489" s="2170"/>
      <c r="F489" s="2179"/>
      <c r="G489" s="2176"/>
      <c r="H489" s="2176"/>
      <c r="I489" s="2176"/>
      <c r="J489" s="2176"/>
      <c r="K489" s="2176"/>
      <c r="L489" s="2176"/>
      <c r="M489" s="2176"/>
      <c r="N489" s="2176"/>
      <c r="O489" s="2176"/>
      <c r="P489" s="2176"/>
      <c r="Q489" s="2176"/>
      <c r="R489" s="2176"/>
      <c r="S489" s="2176"/>
      <c r="T489" s="2176"/>
      <c r="U489" s="2180"/>
    </row>
    <row r="490" spans="1:21">
      <c r="A490" s="2164"/>
      <c r="B490" s="2167"/>
      <c r="C490" s="2173" t="s">
        <v>1215</v>
      </c>
      <c r="D490" s="1236" t="s">
        <v>1216</v>
      </c>
      <c r="E490" s="2170"/>
      <c r="F490" s="2179"/>
      <c r="G490" s="2176"/>
      <c r="H490" s="2176"/>
      <c r="I490" s="2176"/>
      <c r="J490" s="2176"/>
      <c r="K490" s="2176"/>
      <c r="L490" s="2176"/>
      <c r="M490" s="2176"/>
      <c r="N490" s="2176"/>
      <c r="O490" s="2176"/>
      <c r="P490" s="2176"/>
      <c r="Q490" s="2176"/>
      <c r="R490" s="2176"/>
      <c r="S490" s="2176"/>
      <c r="T490" s="2176"/>
      <c r="U490" s="2180"/>
    </row>
    <row r="491" spans="1:21">
      <c r="A491" s="2164"/>
      <c r="B491" s="2167"/>
      <c r="C491" s="2174"/>
      <c r="D491" s="1237" t="s">
        <v>1217</v>
      </c>
      <c r="E491" s="2170"/>
      <c r="F491" s="2179"/>
      <c r="G491" s="2176"/>
      <c r="H491" s="2176"/>
      <c r="I491" s="2176"/>
      <c r="J491" s="2176"/>
      <c r="K491" s="2176"/>
      <c r="L491" s="2176"/>
      <c r="M491" s="2176"/>
      <c r="N491" s="2176"/>
      <c r="O491" s="2176"/>
      <c r="P491" s="2176"/>
      <c r="Q491" s="2176"/>
      <c r="R491" s="2176"/>
      <c r="S491" s="2176"/>
      <c r="T491" s="2176"/>
      <c r="U491" s="2180"/>
    </row>
    <row r="492" spans="1:21">
      <c r="A492" s="2164"/>
      <c r="B492" s="2175" t="s">
        <v>1195</v>
      </c>
      <c r="C492" s="2168" t="s">
        <v>1212</v>
      </c>
      <c r="D492" s="1235" t="s">
        <v>1213</v>
      </c>
      <c r="E492" s="2170"/>
      <c r="F492" s="2179"/>
      <c r="G492" s="2179"/>
      <c r="H492" s="2176">
        <v>0.96</v>
      </c>
      <c r="I492" s="2176">
        <v>0.88319999999999999</v>
      </c>
      <c r="J492" s="2176">
        <v>0.83020799999999995</v>
      </c>
      <c r="K492" s="2176">
        <v>0.78869759999999989</v>
      </c>
      <c r="L492" s="2176">
        <v>0.75714969599999982</v>
      </c>
      <c r="M492" s="2176">
        <v>0.70414921727999991</v>
      </c>
      <c r="N492" s="2176">
        <v>0.69006623293439995</v>
      </c>
      <c r="O492" s="2176">
        <v>0.67626490827571195</v>
      </c>
      <c r="P492" s="2176">
        <v>0.66273961011019766</v>
      </c>
      <c r="Q492" s="2176">
        <v>0.6561122140090957</v>
      </c>
      <c r="R492" s="2176">
        <v>0.64955109186900473</v>
      </c>
      <c r="S492" s="2176">
        <v>0.64305558095031468</v>
      </c>
      <c r="T492" s="2176">
        <v>0.63662502514081154</v>
      </c>
      <c r="U492" s="2180">
        <v>0.63025877488940341</v>
      </c>
    </row>
    <row r="493" spans="1:21">
      <c r="A493" s="2164"/>
      <c r="B493" s="2167"/>
      <c r="C493" s="2169"/>
      <c r="D493" s="1236" t="s">
        <v>1214</v>
      </c>
      <c r="E493" s="2170"/>
      <c r="F493" s="2179"/>
      <c r="G493" s="2179"/>
      <c r="H493" s="2176"/>
      <c r="I493" s="2176"/>
      <c r="J493" s="2176"/>
      <c r="K493" s="2176"/>
      <c r="L493" s="2176"/>
      <c r="M493" s="2176"/>
      <c r="N493" s="2176"/>
      <c r="O493" s="2176"/>
      <c r="P493" s="2176"/>
      <c r="Q493" s="2176"/>
      <c r="R493" s="2176"/>
      <c r="S493" s="2176"/>
      <c r="T493" s="2176"/>
      <c r="U493" s="2180"/>
    </row>
    <row r="494" spans="1:21">
      <c r="A494" s="2164"/>
      <c r="B494" s="2167"/>
      <c r="C494" s="2173" t="s">
        <v>1215</v>
      </c>
      <c r="D494" s="1236" t="s">
        <v>1216</v>
      </c>
      <c r="E494" s="2170"/>
      <c r="F494" s="2179"/>
      <c r="G494" s="2179"/>
      <c r="H494" s="2176"/>
      <c r="I494" s="2176"/>
      <c r="J494" s="2176"/>
      <c r="K494" s="2176"/>
      <c r="L494" s="2176"/>
      <c r="M494" s="2176"/>
      <c r="N494" s="2176"/>
      <c r="O494" s="2176"/>
      <c r="P494" s="2176"/>
      <c r="Q494" s="2176"/>
      <c r="R494" s="2176"/>
      <c r="S494" s="2176"/>
      <c r="T494" s="2176"/>
      <c r="U494" s="2180"/>
    </row>
    <row r="495" spans="1:21">
      <c r="A495" s="2164"/>
      <c r="B495" s="2167"/>
      <c r="C495" s="2174"/>
      <c r="D495" s="1237" t="s">
        <v>1217</v>
      </c>
      <c r="E495" s="2170"/>
      <c r="F495" s="2179"/>
      <c r="G495" s="2179"/>
      <c r="H495" s="2176"/>
      <c r="I495" s="2176"/>
      <c r="J495" s="2176"/>
      <c r="K495" s="2176"/>
      <c r="L495" s="2176"/>
      <c r="M495" s="2176"/>
      <c r="N495" s="2176"/>
      <c r="O495" s="2176"/>
      <c r="P495" s="2176"/>
      <c r="Q495" s="2176"/>
      <c r="R495" s="2176"/>
      <c r="S495" s="2176"/>
      <c r="T495" s="2176"/>
      <c r="U495" s="2180"/>
    </row>
    <row r="496" spans="1:21">
      <c r="A496" s="2164"/>
      <c r="B496" s="2166" t="s">
        <v>1196</v>
      </c>
      <c r="C496" s="2168" t="s">
        <v>1212</v>
      </c>
      <c r="D496" s="1235" t="s">
        <v>1213</v>
      </c>
      <c r="E496" s="2170"/>
      <c r="F496" s="2179"/>
      <c r="G496" s="2179"/>
      <c r="H496" s="2179"/>
      <c r="I496" s="2176">
        <v>0.92</v>
      </c>
      <c r="J496" s="2176">
        <v>0.86480000000000001</v>
      </c>
      <c r="K496" s="2176">
        <v>0.82155999999999996</v>
      </c>
      <c r="L496" s="2176">
        <v>0.78869759999999989</v>
      </c>
      <c r="M496" s="2176">
        <v>0.73348876799999996</v>
      </c>
      <c r="N496" s="2176">
        <v>0.71881899263999993</v>
      </c>
      <c r="O496" s="2176">
        <v>0.70444261278719988</v>
      </c>
      <c r="P496" s="2176">
        <v>0.69035376053145592</v>
      </c>
      <c r="Q496" s="2176">
        <v>0.68345022292614133</v>
      </c>
      <c r="R496" s="2176">
        <v>0.67661572069687992</v>
      </c>
      <c r="S496" s="2176">
        <v>0.66984956348991109</v>
      </c>
      <c r="T496" s="2176">
        <v>0.66315106785501199</v>
      </c>
      <c r="U496" s="2180">
        <v>0.65651955717646182</v>
      </c>
    </row>
    <row r="497" spans="1:21">
      <c r="A497" s="2164"/>
      <c r="B497" s="2167"/>
      <c r="C497" s="2169"/>
      <c r="D497" s="1236" t="s">
        <v>1214</v>
      </c>
      <c r="E497" s="2170"/>
      <c r="F497" s="2179"/>
      <c r="G497" s="2179"/>
      <c r="H497" s="2179"/>
      <c r="I497" s="2176"/>
      <c r="J497" s="2176"/>
      <c r="K497" s="2176"/>
      <c r="L497" s="2176"/>
      <c r="M497" s="2176"/>
      <c r="N497" s="2176"/>
      <c r="O497" s="2176"/>
      <c r="P497" s="2176"/>
      <c r="Q497" s="2176"/>
      <c r="R497" s="2176"/>
      <c r="S497" s="2176"/>
      <c r="T497" s="2176"/>
      <c r="U497" s="2180"/>
    </row>
    <row r="498" spans="1:21">
      <c r="A498" s="2164"/>
      <c r="B498" s="2167"/>
      <c r="C498" s="2173" t="s">
        <v>1215</v>
      </c>
      <c r="D498" s="1236" t="s">
        <v>1216</v>
      </c>
      <c r="E498" s="2170"/>
      <c r="F498" s="2179"/>
      <c r="G498" s="2179"/>
      <c r="H498" s="2179"/>
      <c r="I498" s="2176"/>
      <c r="J498" s="2176"/>
      <c r="K498" s="2176"/>
      <c r="L498" s="2176"/>
      <c r="M498" s="2176"/>
      <c r="N498" s="2176"/>
      <c r="O498" s="2176"/>
      <c r="P498" s="2176"/>
      <c r="Q498" s="2176"/>
      <c r="R498" s="2176"/>
      <c r="S498" s="2176"/>
      <c r="T498" s="2176"/>
      <c r="U498" s="2180"/>
    </row>
    <row r="499" spans="1:21">
      <c r="A499" s="2164"/>
      <c r="B499" s="2167"/>
      <c r="C499" s="2174"/>
      <c r="D499" s="1237" t="s">
        <v>1217</v>
      </c>
      <c r="E499" s="2170"/>
      <c r="F499" s="2179"/>
      <c r="G499" s="2179"/>
      <c r="H499" s="2179"/>
      <c r="I499" s="2176"/>
      <c r="J499" s="2176"/>
      <c r="K499" s="2176"/>
      <c r="L499" s="2176"/>
      <c r="M499" s="2176"/>
      <c r="N499" s="2176"/>
      <c r="O499" s="2176"/>
      <c r="P499" s="2176"/>
      <c r="Q499" s="2176"/>
      <c r="R499" s="2176"/>
      <c r="S499" s="2176"/>
      <c r="T499" s="2176"/>
      <c r="U499" s="2180"/>
    </row>
    <row r="500" spans="1:21">
      <c r="A500" s="2164"/>
      <c r="B500" s="2166" t="s">
        <v>1197</v>
      </c>
      <c r="C500" s="2168" t="s">
        <v>1212</v>
      </c>
      <c r="D500" s="1235" t="s">
        <v>1213</v>
      </c>
      <c r="E500" s="2170"/>
      <c r="F500" s="2179"/>
      <c r="G500" s="2179"/>
      <c r="H500" s="2179"/>
      <c r="I500" s="2179"/>
      <c r="J500" s="2176">
        <v>0.94</v>
      </c>
      <c r="K500" s="2176">
        <v>0.8929999999999999</v>
      </c>
      <c r="L500" s="2176">
        <v>0.85727999999999993</v>
      </c>
      <c r="M500" s="2176">
        <v>0.79727039999999993</v>
      </c>
      <c r="N500" s="2176">
        <v>0.78132499199999994</v>
      </c>
      <c r="O500" s="2176">
        <v>0.76569849215999997</v>
      </c>
      <c r="P500" s="2176">
        <v>0.75038452231679997</v>
      </c>
      <c r="Q500" s="2176">
        <v>0.74288067709363192</v>
      </c>
      <c r="R500" s="2176">
        <v>0.73545187032269554</v>
      </c>
      <c r="S500" s="2176">
        <v>0.72809735161946854</v>
      </c>
      <c r="T500" s="2176">
        <v>0.72081637810327381</v>
      </c>
      <c r="U500" s="2180">
        <v>0.71360821432224109</v>
      </c>
    </row>
    <row r="501" spans="1:21">
      <c r="A501" s="2164"/>
      <c r="B501" s="2167"/>
      <c r="C501" s="2169"/>
      <c r="D501" s="1236" t="s">
        <v>1214</v>
      </c>
      <c r="E501" s="2170"/>
      <c r="F501" s="2179"/>
      <c r="G501" s="2179"/>
      <c r="H501" s="2179"/>
      <c r="I501" s="2179"/>
      <c r="J501" s="2176"/>
      <c r="K501" s="2176"/>
      <c r="L501" s="2176"/>
      <c r="M501" s="2176"/>
      <c r="N501" s="2176"/>
      <c r="O501" s="2176"/>
      <c r="P501" s="2176"/>
      <c r="Q501" s="2176"/>
      <c r="R501" s="2176"/>
      <c r="S501" s="2176"/>
      <c r="T501" s="2176"/>
      <c r="U501" s="2180"/>
    </row>
    <row r="502" spans="1:21">
      <c r="A502" s="2164"/>
      <c r="B502" s="2167"/>
      <c r="C502" s="2173" t="s">
        <v>1215</v>
      </c>
      <c r="D502" s="1236" t="s">
        <v>1216</v>
      </c>
      <c r="E502" s="2170"/>
      <c r="F502" s="2179"/>
      <c r="G502" s="2179"/>
      <c r="H502" s="2179"/>
      <c r="I502" s="2179"/>
      <c r="J502" s="2176"/>
      <c r="K502" s="2176"/>
      <c r="L502" s="2176"/>
      <c r="M502" s="2176"/>
      <c r="N502" s="2176"/>
      <c r="O502" s="2176"/>
      <c r="P502" s="2176"/>
      <c r="Q502" s="2176"/>
      <c r="R502" s="2176"/>
      <c r="S502" s="2176"/>
      <c r="T502" s="2176"/>
      <c r="U502" s="2180"/>
    </row>
    <row r="503" spans="1:21">
      <c r="A503" s="2164"/>
      <c r="B503" s="2167"/>
      <c r="C503" s="2174"/>
      <c r="D503" s="1237" t="s">
        <v>1217</v>
      </c>
      <c r="E503" s="2170"/>
      <c r="F503" s="2179"/>
      <c r="G503" s="2179"/>
      <c r="H503" s="2179"/>
      <c r="I503" s="2179"/>
      <c r="J503" s="2176"/>
      <c r="K503" s="2176"/>
      <c r="L503" s="2176"/>
      <c r="M503" s="2176"/>
      <c r="N503" s="2176"/>
      <c r="O503" s="2176"/>
      <c r="P503" s="2176"/>
      <c r="Q503" s="2176"/>
      <c r="R503" s="2176"/>
      <c r="S503" s="2176"/>
      <c r="T503" s="2176"/>
      <c r="U503" s="2180"/>
    </row>
    <row r="504" spans="1:21">
      <c r="A504" s="2164"/>
      <c r="B504" s="2166" t="s">
        <v>1198</v>
      </c>
      <c r="C504" s="2168" t="s">
        <v>1212</v>
      </c>
      <c r="D504" s="1235" t="s">
        <v>1213</v>
      </c>
      <c r="E504" s="2170"/>
      <c r="F504" s="2179"/>
      <c r="G504" s="2179"/>
      <c r="H504" s="2179"/>
      <c r="I504" s="2179"/>
      <c r="J504" s="2179"/>
      <c r="K504" s="2176">
        <v>0.95</v>
      </c>
      <c r="L504" s="2176">
        <v>0.91199999999999992</v>
      </c>
      <c r="M504" s="2176">
        <v>0.84816000000000003</v>
      </c>
      <c r="N504" s="2176">
        <v>0.83119679999999996</v>
      </c>
      <c r="O504" s="2176">
        <v>0.81457286399999995</v>
      </c>
      <c r="P504" s="2176">
        <v>0.79828140671999992</v>
      </c>
      <c r="Q504" s="2176">
        <v>0.79029859265279989</v>
      </c>
      <c r="R504" s="2176">
        <v>0.78239560672627184</v>
      </c>
      <c r="S504" s="2176">
        <v>0.77457165065900913</v>
      </c>
      <c r="T504" s="2176">
        <v>0.76682593415241906</v>
      </c>
      <c r="U504" s="2180">
        <v>0.75915767481089491</v>
      </c>
    </row>
    <row r="505" spans="1:21">
      <c r="A505" s="2164"/>
      <c r="B505" s="2167"/>
      <c r="C505" s="2169"/>
      <c r="D505" s="1236" t="s">
        <v>1214</v>
      </c>
      <c r="E505" s="2170"/>
      <c r="F505" s="2179"/>
      <c r="G505" s="2179"/>
      <c r="H505" s="2179"/>
      <c r="I505" s="2179"/>
      <c r="J505" s="2179"/>
      <c r="K505" s="2176"/>
      <c r="L505" s="2176"/>
      <c r="M505" s="2176"/>
      <c r="N505" s="2176"/>
      <c r="O505" s="2176"/>
      <c r="P505" s="2176"/>
      <c r="Q505" s="2176"/>
      <c r="R505" s="2176"/>
      <c r="S505" s="2176"/>
      <c r="T505" s="2176"/>
      <c r="U505" s="2180"/>
    </row>
    <row r="506" spans="1:21">
      <c r="A506" s="2164"/>
      <c r="B506" s="2167"/>
      <c r="C506" s="2173" t="s">
        <v>1215</v>
      </c>
      <c r="D506" s="1236" t="s">
        <v>1216</v>
      </c>
      <c r="E506" s="2170"/>
      <c r="F506" s="2179"/>
      <c r="G506" s="2179"/>
      <c r="H506" s="2179"/>
      <c r="I506" s="2179"/>
      <c r="J506" s="2179"/>
      <c r="K506" s="2176"/>
      <c r="L506" s="2176"/>
      <c r="M506" s="2176"/>
      <c r="N506" s="2176"/>
      <c r="O506" s="2176"/>
      <c r="P506" s="2176"/>
      <c r="Q506" s="2176"/>
      <c r="R506" s="2176"/>
      <c r="S506" s="2176"/>
      <c r="T506" s="2176"/>
      <c r="U506" s="2180"/>
    </row>
    <row r="507" spans="1:21">
      <c r="A507" s="2164"/>
      <c r="B507" s="2167"/>
      <c r="C507" s="2174"/>
      <c r="D507" s="1237" t="s">
        <v>1217</v>
      </c>
      <c r="E507" s="2170"/>
      <c r="F507" s="2179"/>
      <c r="G507" s="2179"/>
      <c r="H507" s="2179"/>
      <c r="I507" s="2179"/>
      <c r="J507" s="2179"/>
      <c r="K507" s="2176"/>
      <c r="L507" s="2176"/>
      <c r="M507" s="2176"/>
      <c r="N507" s="2176"/>
      <c r="O507" s="2176"/>
      <c r="P507" s="2176"/>
      <c r="Q507" s="2176"/>
      <c r="R507" s="2176"/>
      <c r="S507" s="2176"/>
      <c r="T507" s="2176"/>
      <c r="U507" s="2180"/>
    </row>
    <row r="508" spans="1:21">
      <c r="A508" s="2164"/>
      <c r="B508" s="2166" t="s">
        <v>1199</v>
      </c>
      <c r="C508" s="2168" t="s">
        <v>1212</v>
      </c>
      <c r="D508" s="1235" t="s">
        <v>1213</v>
      </c>
      <c r="E508" s="2170"/>
      <c r="F508" s="2179"/>
      <c r="G508" s="2179"/>
      <c r="H508" s="2179"/>
      <c r="I508" s="2179"/>
      <c r="J508" s="2179"/>
      <c r="K508" s="2179"/>
      <c r="L508" s="2176">
        <v>0.96</v>
      </c>
      <c r="M508" s="2176">
        <v>0.89280000000000004</v>
      </c>
      <c r="N508" s="2176">
        <v>0.87494400000000006</v>
      </c>
      <c r="O508" s="2176">
        <v>0.85744512000000006</v>
      </c>
      <c r="P508" s="2176">
        <v>0.84029621760000006</v>
      </c>
      <c r="Q508" s="2176">
        <v>0.83189325542400006</v>
      </c>
      <c r="R508" s="2176">
        <v>0.82357432286976007</v>
      </c>
      <c r="S508" s="2176">
        <v>0.81533857964106249</v>
      </c>
      <c r="T508" s="2176">
        <v>0.80718519384465182</v>
      </c>
      <c r="U508" s="2180">
        <v>0.79911334190620531</v>
      </c>
    </row>
    <row r="509" spans="1:21">
      <c r="A509" s="2164"/>
      <c r="B509" s="2167"/>
      <c r="C509" s="2169"/>
      <c r="D509" s="1236" t="s">
        <v>1214</v>
      </c>
      <c r="E509" s="2170"/>
      <c r="F509" s="2179"/>
      <c r="G509" s="2179"/>
      <c r="H509" s="2179"/>
      <c r="I509" s="2179"/>
      <c r="J509" s="2179"/>
      <c r="K509" s="2179"/>
      <c r="L509" s="2176"/>
      <c r="M509" s="2176"/>
      <c r="N509" s="2176"/>
      <c r="O509" s="2176"/>
      <c r="P509" s="2176"/>
      <c r="Q509" s="2176"/>
      <c r="R509" s="2176"/>
      <c r="S509" s="2176"/>
      <c r="T509" s="2176"/>
      <c r="U509" s="2180"/>
    </row>
    <row r="510" spans="1:21">
      <c r="A510" s="2164"/>
      <c r="B510" s="2167"/>
      <c r="C510" s="2173" t="s">
        <v>1215</v>
      </c>
      <c r="D510" s="1236" t="s">
        <v>1216</v>
      </c>
      <c r="E510" s="2170"/>
      <c r="F510" s="2179"/>
      <c r="G510" s="2179"/>
      <c r="H510" s="2179"/>
      <c r="I510" s="2179"/>
      <c r="J510" s="2179"/>
      <c r="K510" s="2179"/>
      <c r="L510" s="2176"/>
      <c r="M510" s="2176"/>
      <c r="N510" s="2176"/>
      <c r="O510" s="2176"/>
      <c r="P510" s="2176"/>
      <c r="Q510" s="2176"/>
      <c r="R510" s="2176"/>
      <c r="S510" s="2176"/>
      <c r="T510" s="2176"/>
      <c r="U510" s="2180"/>
    </row>
    <row r="511" spans="1:21">
      <c r="A511" s="2164"/>
      <c r="B511" s="2167"/>
      <c r="C511" s="2174"/>
      <c r="D511" s="1237" t="s">
        <v>1217</v>
      </c>
      <c r="E511" s="2170"/>
      <c r="F511" s="2179"/>
      <c r="G511" s="2179"/>
      <c r="H511" s="2179"/>
      <c r="I511" s="2179"/>
      <c r="J511" s="2179"/>
      <c r="K511" s="2179"/>
      <c r="L511" s="2176"/>
      <c r="M511" s="2176"/>
      <c r="N511" s="2176"/>
      <c r="O511" s="2176"/>
      <c r="P511" s="2176"/>
      <c r="Q511" s="2176"/>
      <c r="R511" s="2176"/>
      <c r="S511" s="2176"/>
      <c r="T511" s="2176"/>
      <c r="U511" s="2180"/>
    </row>
    <row r="512" spans="1:21">
      <c r="A512" s="2164"/>
      <c r="B512" s="2166" t="s">
        <v>1200</v>
      </c>
      <c r="C512" s="2168" t="s">
        <v>1212</v>
      </c>
      <c r="D512" s="1235" t="s">
        <v>1213</v>
      </c>
      <c r="E512" s="2170"/>
      <c r="F512" s="2179"/>
      <c r="G512" s="2179"/>
      <c r="H512" s="2179"/>
      <c r="I512" s="2179"/>
      <c r="J512" s="2179"/>
      <c r="K512" s="2179"/>
      <c r="L512" s="2179"/>
      <c r="M512" s="2176">
        <v>0.93</v>
      </c>
      <c r="N512" s="2176">
        <v>0.91139999999999999</v>
      </c>
      <c r="O512" s="2176">
        <v>0.89317199999999997</v>
      </c>
      <c r="P512" s="2176">
        <v>0.8753085599999999</v>
      </c>
      <c r="Q512" s="2176">
        <v>0.86655547439999991</v>
      </c>
      <c r="R512" s="2176">
        <v>0.85788991965599992</v>
      </c>
      <c r="S512" s="2176">
        <v>0.84931102045943996</v>
      </c>
      <c r="T512" s="2176">
        <v>0.84081791025484554</v>
      </c>
      <c r="U512" s="2180">
        <v>0.83240973115229711</v>
      </c>
    </row>
    <row r="513" spans="1:21">
      <c r="A513" s="2164"/>
      <c r="B513" s="2167"/>
      <c r="C513" s="2169"/>
      <c r="D513" s="1236" t="s">
        <v>1214</v>
      </c>
      <c r="E513" s="2170"/>
      <c r="F513" s="2179"/>
      <c r="G513" s="2179"/>
      <c r="H513" s="2179"/>
      <c r="I513" s="2179"/>
      <c r="J513" s="2179"/>
      <c r="K513" s="2179"/>
      <c r="L513" s="2179"/>
      <c r="M513" s="2176"/>
      <c r="N513" s="2176"/>
      <c r="O513" s="2176"/>
      <c r="P513" s="2176"/>
      <c r="Q513" s="2176"/>
      <c r="R513" s="2176"/>
      <c r="S513" s="2176"/>
      <c r="T513" s="2176"/>
      <c r="U513" s="2180"/>
    </row>
    <row r="514" spans="1:21">
      <c r="A514" s="2164"/>
      <c r="B514" s="2167"/>
      <c r="C514" s="2173" t="s">
        <v>1215</v>
      </c>
      <c r="D514" s="1236" t="s">
        <v>1216</v>
      </c>
      <c r="E514" s="2170"/>
      <c r="F514" s="2179"/>
      <c r="G514" s="2179"/>
      <c r="H514" s="2179"/>
      <c r="I514" s="2179"/>
      <c r="J514" s="2179"/>
      <c r="K514" s="2179"/>
      <c r="L514" s="2179"/>
      <c r="M514" s="2176"/>
      <c r="N514" s="2176"/>
      <c r="O514" s="2176"/>
      <c r="P514" s="2176"/>
      <c r="Q514" s="2176"/>
      <c r="R514" s="2176"/>
      <c r="S514" s="2176"/>
      <c r="T514" s="2176"/>
      <c r="U514" s="2180"/>
    </row>
    <row r="515" spans="1:21">
      <c r="A515" s="2164"/>
      <c r="B515" s="2167"/>
      <c r="C515" s="2174"/>
      <c r="D515" s="1237" t="s">
        <v>1217</v>
      </c>
      <c r="E515" s="2170"/>
      <c r="F515" s="2179"/>
      <c r="G515" s="2179"/>
      <c r="H515" s="2179"/>
      <c r="I515" s="2179"/>
      <c r="J515" s="2179"/>
      <c r="K515" s="2179"/>
      <c r="L515" s="2179"/>
      <c r="M515" s="2176"/>
      <c r="N515" s="2176"/>
      <c r="O515" s="2176"/>
      <c r="P515" s="2176"/>
      <c r="Q515" s="2176"/>
      <c r="R515" s="2176"/>
      <c r="S515" s="2176"/>
      <c r="T515" s="2176"/>
      <c r="U515" s="2180"/>
    </row>
    <row r="516" spans="1:21">
      <c r="A516" s="2164"/>
      <c r="B516" s="2166" t="s">
        <v>1201</v>
      </c>
      <c r="C516" s="2168" t="s">
        <v>1212</v>
      </c>
      <c r="D516" s="1235" t="s">
        <v>1213</v>
      </c>
      <c r="E516" s="2170"/>
      <c r="F516" s="2179"/>
      <c r="G516" s="2179"/>
      <c r="H516" s="2179"/>
      <c r="I516" s="2179"/>
      <c r="J516" s="2179"/>
      <c r="K516" s="2179"/>
      <c r="L516" s="2179"/>
      <c r="M516" s="2179"/>
      <c r="N516" s="2176">
        <v>0.98</v>
      </c>
      <c r="O516" s="2176">
        <v>0.96039999999999992</v>
      </c>
      <c r="P516" s="2176">
        <v>0.94119199999999992</v>
      </c>
      <c r="Q516" s="2176">
        <v>0.9317800799999999</v>
      </c>
      <c r="R516" s="2176">
        <v>0.9224622791999999</v>
      </c>
      <c r="S516" s="2176">
        <v>0.91323765640799992</v>
      </c>
      <c r="T516" s="2176">
        <v>0.90410527984391986</v>
      </c>
      <c r="U516" s="2180">
        <v>0.89506422704548061</v>
      </c>
    </row>
    <row r="517" spans="1:21">
      <c r="A517" s="2164"/>
      <c r="B517" s="2167"/>
      <c r="C517" s="2169"/>
      <c r="D517" s="1236" t="s">
        <v>1214</v>
      </c>
      <c r="E517" s="2170"/>
      <c r="F517" s="2179"/>
      <c r="G517" s="2179"/>
      <c r="H517" s="2179"/>
      <c r="I517" s="2179"/>
      <c r="J517" s="2179"/>
      <c r="K517" s="2179"/>
      <c r="L517" s="2179"/>
      <c r="M517" s="2179"/>
      <c r="N517" s="2176"/>
      <c r="O517" s="2176"/>
      <c r="P517" s="2176"/>
      <c r="Q517" s="2176"/>
      <c r="R517" s="2176"/>
      <c r="S517" s="2176"/>
      <c r="T517" s="2176"/>
      <c r="U517" s="2180"/>
    </row>
    <row r="518" spans="1:21">
      <c r="A518" s="2164"/>
      <c r="B518" s="2167"/>
      <c r="C518" s="2173" t="s">
        <v>1215</v>
      </c>
      <c r="D518" s="1236" t="s">
        <v>1216</v>
      </c>
      <c r="E518" s="2170"/>
      <c r="F518" s="2179"/>
      <c r="G518" s="2179"/>
      <c r="H518" s="2179"/>
      <c r="I518" s="2179"/>
      <c r="J518" s="2179"/>
      <c r="K518" s="2179"/>
      <c r="L518" s="2179"/>
      <c r="M518" s="2179"/>
      <c r="N518" s="2176"/>
      <c r="O518" s="2176"/>
      <c r="P518" s="2176"/>
      <c r="Q518" s="2176"/>
      <c r="R518" s="2176"/>
      <c r="S518" s="2176"/>
      <c r="T518" s="2176"/>
      <c r="U518" s="2180"/>
    </row>
    <row r="519" spans="1:21">
      <c r="A519" s="2164"/>
      <c r="B519" s="2167"/>
      <c r="C519" s="2174"/>
      <c r="D519" s="1237" t="s">
        <v>1217</v>
      </c>
      <c r="E519" s="2170"/>
      <c r="F519" s="2179"/>
      <c r="G519" s="2179"/>
      <c r="H519" s="2179"/>
      <c r="I519" s="2179"/>
      <c r="J519" s="2179"/>
      <c r="K519" s="2179"/>
      <c r="L519" s="2179"/>
      <c r="M519" s="2179"/>
      <c r="N519" s="2176"/>
      <c r="O519" s="2176"/>
      <c r="P519" s="2176"/>
      <c r="Q519" s="2176"/>
      <c r="R519" s="2176"/>
      <c r="S519" s="2176"/>
      <c r="T519" s="2176"/>
      <c r="U519" s="2180"/>
    </row>
    <row r="520" spans="1:21">
      <c r="A520" s="2164"/>
      <c r="B520" s="2166" t="s">
        <v>1202</v>
      </c>
      <c r="C520" s="2168" t="s">
        <v>1212</v>
      </c>
      <c r="D520" s="1235" t="s">
        <v>1213</v>
      </c>
      <c r="E520" s="2170"/>
      <c r="F520" s="2179"/>
      <c r="G520" s="2179"/>
      <c r="H520" s="2179"/>
      <c r="I520" s="2179"/>
      <c r="J520" s="2179"/>
      <c r="K520" s="2179"/>
      <c r="L520" s="2179"/>
      <c r="M520" s="2179"/>
      <c r="N520" s="2179"/>
      <c r="O520" s="2176">
        <v>0.98</v>
      </c>
      <c r="P520" s="2176">
        <v>0.96039999999999992</v>
      </c>
      <c r="Q520" s="2176">
        <v>0.95079599999999986</v>
      </c>
      <c r="R520" s="2176">
        <v>0.94128803999999988</v>
      </c>
      <c r="S520" s="2176">
        <v>0.93187515959999989</v>
      </c>
      <c r="T520" s="2176">
        <v>0.92255640800399985</v>
      </c>
      <c r="U520" s="2180">
        <v>0.9133308439239598</v>
      </c>
    </row>
    <row r="521" spans="1:21">
      <c r="A521" s="2164"/>
      <c r="B521" s="2167"/>
      <c r="C521" s="2169"/>
      <c r="D521" s="1236" t="s">
        <v>1214</v>
      </c>
      <c r="E521" s="2170"/>
      <c r="F521" s="2179"/>
      <c r="G521" s="2179"/>
      <c r="H521" s="2179"/>
      <c r="I521" s="2179"/>
      <c r="J521" s="2179"/>
      <c r="K521" s="2179"/>
      <c r="L521" s="2179"/>
      <c r="M521" s="2179"/>
      <c r="N521" s="2179"/>
      <c r="O521" s="2176"/>
      <c r="P521" s="2176"/>
      <c r="Q521" s="2176"/>
      <c r="R521" s="2176"/>
      <c r="S521" s="2176"/>
      <c r="T521" s="2176"/>
      <c r="U521" s="2180"/>
    </row>
    <row r="522" spans="1:21">
      <c r="A522" s="2164"/>
      <c r="B522" s="2167"/>
      <c r="C522" s="2173" t="s">
        <v>1215</v>
      </c>
      <c r="D522" s="1236" t="s">
        <v>1216</v>
      </c>
      <c r="E522" s="2170"/>
      <c r="F522" s="2179"/>
      <c r="G522" s="2179"/>
      <c r="H522" s="2179"/>
      <c r="I522" s="2179"/>
      <c r="J522" s="2179"/>
      <c r="K522" s="2179"/>
      <c r="L522" s="2179"/>
      <c r="M522" s="2179"/>
      <c r="N522" s="2179"/>
      <c r="O522" s="2176"/>
      <c r="P522" s="2176"/>
      <c r="Q522" s="2176"/>
      <c r="R522" s="2176"/>
      <c r="S522" s="2176"/>
      <c r="T522" s="2176"/>
      <c r="U522" s="2180"/>
    </row>
    <row r="523" spans="1:21">
      <c r="A523" s="2164"/>
      <c r="B523" s="2167"/>
      <c r="C523" s="2174"/>
      <c r="D523" s="1237" t="s">
        <v>1217</v>
      </c>
      <c r="E523" s="2170"/>
      <c r="F523" s="2179"/>
      <c r="G523" s="2179"/>
      <c r="H523" s="2179"/>
      <c r="I523" s="2179"/>
      <c r="J523" s="2179"/>
      <c r="K523" s="2179"/>
      <c r="L523" s="2179"/>
      <c r="M523" s="2179"/>
      <c r="N523" s="2179"/>
      <c r="O523" s="2176"/>
      <c r="P523" s="2176"/>
      <c r="Q523" s="2176"/>
      <c r="R523" s="2176"/>
      <c r="S523" s="2176"/>
      <c r="T523" s="2176"/>
      <c r="U523" s="2180"/>
    </row>
    <row r="524" spans="1:21">
      <c r="A524" s="2164"/>
      <c r="B524" s="2166" t="s">
        <v>1203</v>
      </c>
      <c r="C524" s="2168" t="s">
        <v>1212</v>
      </c>
      <c r="D524" s="1235" t="s">
        <v>1213</v>
      </c>
      <c r="E524" s="2170"/>
      <c r="F524" s="2179"/>
      <c r="G524" s="2179"/>
      <c r="H524" s="2179"/>
      <c r="I524" s="2179"/>
      <c r="J524" s="2179"/>
      <c r="K524" s="2179"/>
      <c r="L524" s="2179"/>
      <c r="M524" s="2179"/>
      <c r="N524" s="2179"/>
      <c r="O524" s="2179"/>
      <c r="P524" s="2176">
        <v>0.98</v>
      </c>
      <c r="Q524" s="2176">
        <v>0.97019999999999995</v>
      </c>
      <c r="R524" s="2176">
        <v>0.96049799999999996</v>
      </c>
      <c r="S524" s="2176">
        <v>0.95089301999999998</v>
      </c>
      <c r="T524" s="2176">
        <v>0.94138408979999999</v>
      </c>
      <c r="U524" s="2180">
        <v>0.93197024890199998</v>
      </c>
    </row>
    <row r="525" spans="1:21">
      <c r="A525" s="2164"/>
      <c r="B525" s="2167"/>
      <c r="C525" s="2169"/>
      <c r="D525" s="1236" t="s">
        <v>1214</v>
      </c>
      <c r="E525" s="2170"/>
      <c r="F525" s="2179"/>
      <c r="G525" s="2179"/>
      <c r="H525" s="2179"/>
      <c r="I525" s="2179"/>
      <c r="J525" s="2179"/>
      <c r="K525" s="2179"/>
      <c r="L525" s="2179"/>
      <c r="M525" s="2179"/>
      <c r="N525" s="2179"/>
      <c r="O525" s="2179"/>
      <c r="P525" s="2176"/>
      <c r="Q525" s="2176"/>
      <c r="R525" s="2176"/>
      <c r="S525" s="2176"/>
      <c r="T525" s="2176"/>
      <c r="U525" s="2180"/>
    </row>
    <row r="526" spans="1:21">
      <c r="A526" s="2164"/>
      <c r="B526" s="2167"/>
      <c r="C526" s="2173" t="s">
        <v>1215</v>
      </c>
      <c r="D526" s="1236" t="s">
        <v>1216</v>
      </c>
      <c r="E526" s="2170"/>
      <c r="F526" s="2179"/>
      <c r="G526" s="2179"/>
      <c r="H526" s="2179"/>
      <c r="I526" s="2179"/>
      <c r="J526" s="2179"/>
      <c r="K526" s="2179"/>
      <c r="L526" s="2179"/>
      <c r="M526" s="2179"/>
      <c r="N526" s="2179"/>
      <c r="O526" s="2179"/>
      <c r="P526" s="2176"/>
      <c r="Q526" s="2176"/>
      <c r="R526" s="2176"/>
      <c r="S526" s="2176"/>
      <c r="T526" s="2176"/>
      <c r="U526" s="2180"/>
    </row>
    <row r="527" spans="1:21">
      <c r="A527" s="2164"/>
      <c r="B527" s="2167"/>
      <c r="C527" s="2174"/>
      <c r="D527" s="1237" t="s">
        <v>1217</v>
      </c>
      <c r="E527" s="2170"/>
      <c r="F527" s="2179"/>
      <c r="G527" s="2179"/>
      <c r="H527" s="2179"/>
      <c r="I527" s="2179"/>
      <c r="J527" s="2179"/>
      <c r="K527" s="2179"/>
      <c r="L527" s="2179"/>
      <c r="M527" s="2179"/>
      <c r="N527" s="2179"/>
      <c r="O527" s="2179"/>
      <c r="P527" s="2176"/>
      <c r="Q527" s="2176"/>
      <c r="R527" s="2176"/>
      <c r="S527" s="2176"/>
      <c r="T527" s="2176"/>
      <c r="U527" s="2180"/>
    </row>
    <row r="528" spans="1:21">
      <c r="A528" s="2164"/>
      <c r="B528" s="2166" t="s">
        <v>1204</v>
      </c>
      <c r="C528" s="2168" t="s">
        <v>1212</v>
      </c>
      <c r="D528" s="1235" t="s">
        <v>1213</v>
      </c>
      <c r="E528" s="2170"/>
      <c r="F528" s="2179"/>
      <c r="G528" s="2179"/>
      <c r="H528" s="2179"/>
      <c r="I528" s="2179"/>
      <c r="J528" s="2179"/>
      <c r="K528" s="2179"/>
      <c r="L528" s="2179"/>
      <c r="M528" s="2179"/>
      <c r="N528" s="2179"/>
      <c r="O528" s="2179"/>
      <c r="P528" s="2179"/>
      <c r="Q528" s="2176">
        <v>0.99</v>
      </c>
      <c r="R528" s="2176">
        <v>0.98009999999999997</v>
      </c>
      <c r="S528" s="2176">
        <v>0.97029899999999991</v>
      </c>
      <c r="T528" s="2176">
        <v>0.96059600999999994</v>
      </c>
      <c r="U528" s="2180">
        <v>0.95099004989999991</v>
      </c>
    </row>
    <row r="529" spans="1:21">
      <c r="A529" s="2164"/>
      <c r="B529" s="2167"/>
      <c r="C529" s="2169"/>
      <c r="D529" s="1236" t="s">
        <v>1214</v>
      </c>
      <c r="E529" s="2170"/>
      <c r="F529" s="2179"/>
      <c r="G529" s="2179"/>
      <c r="H529" s="2179"/>
      <c r="I529" s="2179"/>
      <c r="J529" s="2179"/>
      <c r="K529" s="2179"/>
      <c r="L529" s="2179"/>
      <c r="M529" s="2179"/>
      <c r="N529" s="2179"/>
      <c r="O529" s="2179"/>
      <c r="P529" s="2179"/>
      <c r="Q529" s="2176"/>
      <c r="R529" s="2176"/>
      <c r="S529" s="2176"/>
      <c r="T529" s="2176"/>
      <c r="U529" s="2180"/>
    </row>
    <row r="530" spans="1:21">
      <c r="A530" s="2164"/>
      <c r="B530" s="2167"/>
      <c r="C530" s="2173" t="s">
        <v>1215</v>
      </c>
      <c r="D530" s="1236" t="s">
        <v>1216</v>
      </c>
      <c r="E530" s="2170"/>
      <c r="F530" s="2179"/>
      <c r="G530" s="2179"/>
      <c r="H530" s="2179"/>
      <c r="I530" s="2179"/>
      <c r="J530" s="2179"/>
      <c r="K530" s="2179"/>
      <c r="L530" s="2179"/>
      <c r="M530" s="2179"/>
      <c r="N530" s="2179"/>
      <c r="O530" s="2179"/>
      <c r="P530" s="2179"/>
      <c r="Q530" s="2176"/>
      <c r="R530" s="2176"/>
      <c r="S530" s="2176"/>
      <c r="T530" s="2176"/>
      <c r="U530" s="2180"/>
    </row>
    <row r="531" spans="1:21">
      <c r="A531" s="2164"/>
      <c r="B531" s="2167"/>
      <c r="C531" s="2174"/>
      <c r="D531" s="1237" t="s">
        <v>1217</v>
      </c>
      <c r="E531" s="2170"/>
      <c r="F531" s="2179"/>
      <c r="G531" s="2179"/>
      <c r="H531" s="2179"/>
      <c r="I531" s="2179"/>
      <c r="J531" s="2179"/>
      <c r="K531" s="2179"/>
      <c r="L531" s="2179"/>
      <c r="M531" s="2179"/>
      <c r="N531" s="2179"/>
      <c r="O531" s="2179"/>
      <c r="P531" s="2179"/>
      <c r="Q531" s="2176"/>
      <c r="R531" s="2176"/>
      <c r="S531" s="2176"/>
      <c r="T531" s="2176"/>
      <c r="U531" s="2180"/>
    </row>
    <row r="532" spans="1:21">
      <c r="A532" s="2164"/>
      <c r="B532" s="2166" t="s">
        <v>1205</v>
      </c>
      <c r="C532" s="2168" t="s">
        <v>1212</v>
      </c>
      <c r="D532" s="1235" t="s">
        <v>1213</v>
      </c>
      <c r="E532" s="2170"/>
      <c r="F532" s="2179"/>
      <c r="G532" s="2179"/>
      <c r="H532" s="2179"/>
      <c r="I532" s="2179"/>
      <c r="J532" s="2179"/>
      <c r="K532" s="2179"/>
      <c r="L532" s="2179"/>
      <c r="M532" s="2179"/>
      <c r="N532" s="2179"/>
      <c r="O532" s="2179"/>
      <c r="P532" s="2179"/>
      <c r="Q532" s="2179"/>
      <c r="R532" s="2176">
        <v>0.99</v>
      </c>
      <c r="S532" s="2176">
        <v>0.98009999999999997</v>
      </c>
      <c r="T532" s="2176">
        <v>0.97029899999999991</v>
      </c>
      <c r="U532" s="2180">
        <v>0.96059600999999994</v>
      </c>
    </row>
    <row r="533" spans="1:21">
      <c r="A533" s="2164"/>
      <c r="B533" s="2167"/>
      <c r="C533" s="2169"/>
      <c r="D533" s="1236" t="s">
        <v>1214</v>
      </c>
      <c r="E533" s="2170"/>
      <c r="F533" s="2179"/>
      <c r="G533" s="2179"/>
      <c r="H533" s="2179"/>
      <c r="I533" s="2179"/>
      <c r="J533" s="2179"/>
      <c r="K533" s="2179"/>
      <c r="L533" s="2179"/>
      <c r="M533" s="2179"/>
      <c r="N533" s="2179"/>
      <c r="O533" s="2179"/>
      <c r="P533" s="2179"/>
      <c r="Q533" s="2179"/>
      <c r="R533" s="2176"/>
      <c r="S533" s="2176"/>
      <c r="T533" s="2176"/>
      <c r="U533" s="2180"/>
    </row>
    <row r="534" spans="1:21">
      <c r="A534" s="2164"/>
      <c r="B534" s="2167"/>
      <c r="C534" s="2173" t="s">
        <v>1215</v>
      </c>
      <c r="D534" s="1236" t="s">
        <v>1216</v>
      </c>
      <c r="E534" s="2170"/>
      <c r="F534" s="2179"/>
      <c r="G534" s="2179"/>
      <c r="H534" s="2179"/>
      <c r="I534" s="2179"/>
      <c r="J534" s="2179"/>
      <c r="K534" s="2179"/>
      <c r="L534" s="2179"/>
      <c r="M534" s="2179"/>
      <c r="N534" s="2179"/>
      <c r="O534" s="2179"/>
      <c r="P534" s="2179"/>
      <c r="Q534" s="2179"/>
      <c r="R534" s="2176"/>
      <c r="S534" s="2176"/>
      <c r="T534" s="2176"/>
      <c r="U534" s="2180"/>
    </row>
    <row r="535" spans="1:21">
      <c r="A535" s="2164"/>
      <c r="B535" s="2167"/>
      <c r="C535" s="2174"/>
      <c r="D535" s="1237" t="s">
        <v>1217</v>
      </c>
      <c r="E535" s="2170"/>
      <c r="F535" s="2179"/>
      <c r="G535" s="2179"/>
      <c r="H535" s="2179"/>
      <c r="I535" s="2179"/>
      <c r="J535" s="2179"/>
      <c r="K535" s="2179"/>
      <c r="L535" s="2179"/>
      <c r="M535" s="2179"/>
      <c r="N535" s="2179"/>
      <c r="O535" s="2179"/>
      <c r="P535" s="2179"/>
      <c r="Q535" s="2179"/>
      <c r="R535" s="2176"/>
      <c r="S535" s="2176"/>
      <c r="T535" s="2176"/>
      <c r="U535" s="2180"/>
    </row>
    <row r="536" spans="1:21">
      <c r="A536" s="2164"/>
      <c r="B536" s="2166" t="s">
        <v>1206</v>
      </c>
      <c r="C536" s="2168" t="s">
        <v>1212</v>
      </c>
      <c r="D536" s="1235" t="s">
        <v>1213</v>
      </c>
      <c r="E536" s="2170"/>
      <c r="F536" s="2179"/>
      <c r="G536" s="2179"/>
      <c r="H536" s="2179"/>
      <c r="I536" s="2179"/>
      <c r="J536" s="2179"/>
      <c r="K536" s="2179"/>
      <c r="L536" s="2179"/>
      <c r="M536" s="2179"/>
      <c r="N536" s="2179"/>
      <c r="O536" s="2179"/>
      <c r="P536" s="2179"/>
      <c r="Q536" s="2179"/>
      <c r="R536" s="2179"/>
      <c r="S536" s="2176">
        <v>0.99</v>
      </c>
      <c r="T536" s="2176">
        <v>0.98009999999999997</v>
      </c>
      <c r="U536" s="2180">
        <v>0.97029899999999991</v>
      </c>
    </row>
    <row r="537" spans="1:21">
      <c r="A537" s="2164"/>
      <c r="B537" s="2167"/>
      <c r="C537" s="2169"/>
      <c r="D537" s="1236" t="s">
        <v>1214</v>
      </c>
      <c r="E537" s="2170"/>
      <c r="F537" s="2179"/>
      <c r="G537" s="2179"/>
      <c r="H537" s="2179"/>
      <c r="I537" s="2179"/>
      <c r="J537" s="2179"/>
      <c r="K537" s="2179"/>
      <c r="L537" s="2179"/>
      <c r="M537" s="2179"/>
      <c r="N537" s="2179"/>
      <c r="O537" s="2179"/>
      <c r="P537" s="2179"/>
      <c r="Q537" s="2179"/>
      <c r="R537" s="2179"/>
      <c r="S537" s="2176"/>
      <c r="T537" s="2176"/>
      <c r="U537" s="2180"/>
    </row>
    <row r="538" spans="1:21">
      <c r="A538" s="2164"/>
      <c r="B538" s="2167"/>
      <c r="C538" s="2173" t="s">
        <v>1215</v>
      </c>
      <c r="D538" s="1236" t="s">
        <v>1216</v>
      </c>
      <c r="E538" s="2170"/>
      <c r="F538" s="2179"/>
      <c r="G538" s="2179"/>
      <c r="H538" s="2179"/>
      <c r="I538" s="2179"/>
      <c r="J538" s="2179"/>
      <c r="K538" s="2179"/>
      <c r="L538" s="2179"/>
      <c r="M538" s="2179"/>
      <c r="N538" s="2179"/>
      <c r="O538" s="2179"/>
      <c r="P538" s="2179"/>
      <c r="Q538" s="2179"/>
      <c r="R538" s="2179"/>
      <c r="S538" s="2176"/>
      <c r="T538" s="2176"/>
      <c r="U538" s="2180"/>
    </row>
    <row r="539" spans="1:21">
      <c r="A539" s="2164"/>
      <c r="B539" s="2167"/>
      <c r="C539" s="2174"/>
      <c r="D539" s="1237" t="s">
        <v>1217</v>
      </c>
      <c r="E539" s="2170"/>
      <c r="F539" s="2179"/>
      <c r="G539" s="2179"/>
      <c r="H539" s="2179"/>
      <c r="I539" s="2179"/>
      <c r="J539" s="2179"/>
      <c r="K539" s="2179"/>
      <c r="L539" s="2179"/>
      <c r="M539" s="2179"/>
      <c r="N539" s="2179"/>
      <c r="O539" s="2179"/>
      <c r="P539" s="2179"/>
      <c r="Q539" s="2179"/>
      <c r="R539" s="2179"/>
      <c r="S539" s="2176"/>
      <c r="T539" s="2176"/>
      <c r="U539" s="2180"/>
    </row>
    <row r="540" spans="1:21">
      <c r="A540" s="2164"/>
      <c r="B540" s="2166" t="s">
        <v>1207</v>
      </c>
      <c r="C540" s="2168" t="s">
        <v>1212</v>
      </c>
      <c r="D540" s="1235" t="s">
        <v>1213</v>
      </c>
      <c r="E540" s="2170"/>
      <c r="F540" s="2179"/>
      <c r="G540" s="2179"/>
      <c r="H540" s="2179"/>
      <c r="I540" s="2179"/>
      <c r="J540" s="2179"/>
      <c r="K540" s="2179"/>
      <c r="L540" s="2179"/>
      <c r="M540" s="2179"/>
      <c r="N540" s="2179"/>
      <c r="O540" s="2179"/>
      <c r="P540" s="2179"/>
      <c r="Q540" s="2179"/>
      <c r="R540" s="2179"/>
      <c r="S540" s="2179"/>
      <c r="T540" s="2171">
        <v>0.99</v>
      </c>
      <c r="U540" s="2180">
        <v>0.98009999999999997</v>
      </c>
    </row>
    <row r="541" spans="1:21">
      <c r="A541" s="2164"/>
      <c r="B541" s="2167"/>
      <c r="C541" s="2169"/>
      <c r="D541" s="1236" t="s">
        <v>1214</v>
      </c>
      <c r="E541" s="2170"/>
      <c r="F541" s="2179"/>
      <c r="G541" s="2179"/>
      <c r="H541" s="2179"/>
      <c r="I541" s="2179"/>
      <c r="J541" s="2179"/>
      <c r="K541" s="2179"/>
      <c r="L541" s="2179"/>
      <c r="M541" s="2179"/>
      <c r="N541" s="2179"/>
      <c r="O541" s="2179"/>
      <c r="P541" s="2179"/>
      <c r="Q541" s="2179"/>
      <c r="R541" s="2179"/>
      <c r="S541" s="2179"/>
      <c r="T541" s="2172"/>
      <c r="U541" s="2180"/>
    </row>
    <row r="542" spans="1:21">
      <c r="A542" s="2164"/>
      <c r="B542" s="2167"/>
      <c r="C542" s="2173" t="s">
        <v>1215</v>
      </c>
      <c r="D542" s="1236" t="s">
        <v>1216</v>
      </c>
      <c r="E542" s="2170"/>
      <c r="F542" s="2179"/>
      <c r="G542" s="2179"/>
      <c r="H542" s="2179"/>
      <c r="I542" s="2179"/>
      <c r="J542" s="2179"/>
      <c r="K542" s="2179"/>
      <c r="L542" s="2179"/>
      <c r="M542" s="2179"/>
      <c r="N542" s="2179"/>
      <c r="O542" s="2179"/>
      <c r="P542" s="2179"/>
      <c r="Q542" s="2179"/>
      <c r="R542" s="2179"/>
      <c r="S542" s="2179"/>
      <c r="T542" s="2172"/>
      <c r="U542" s="2180"/>
    </row>
    <row r="543" spans="1:21">
      <c r="A543" s="2164"/>
      <c r="B543" s="2167"/>
      <c r="C543" s="2174"/>
      <c r="D543" s="1237" t="s">
        <v>1217</v>
      </c>
      <c r="E543" s="2170"/>
      <c r="F543" s="2179"/>
      <c r="G543" s="2179"/>
      <c r="H543" s="2179"/>
      <c r="I543" s="2179"/>
      <c r="J543" s="2179"/>
      <c r="K543" s="2179"/>
      <c r="L543" s="2179"/>
      <c r="M543" s="2179"/>
      <c r="N543" s="2179"/>
      <c r="O543" s="2179"/>
      <c r="P543" s="2179"/>
      <c r="Q543" s="2179"/>
      <c r="R543" s="2179"/>
      <c r="S543" s="2179"/>
      <c r="T543" s="2187"/>
      <c r="U543" s="2180"/>
    </row>
    <row r="544" spans="1:21">
      <c r="A544" s="2164"/>
      <c r="B544" s="2166" t="s">
        <v>1208</v>
      </c>
      <c r="C544" s="2168" t="s">
        <v>1212</v>
      </c>
      <c r="D544" s="1235" t="s">
        <v>1213</v>
      </c>
      <c r="E544" s="2170"/>
      <c r="F544" s="2179"/>
      <c r="G544" s="2179"/>
      <c r="H544" s="2179"/>
      <c r="I544" s="2179"/>
      <c r="J544" s="2179"/>
      <c r="K544" s="2179"/>
      <c r="L544" s="2179"/>
      <c r="M544" s="2179"/>
      <c r="N544" s="2179"/>
      <c r="O544" s="2179"/>
      <c r="P544" s="2179"/>
      <c r="Q544" s="2179"/>
      <c r="R544" s="2179"/>
      <c r="S544" s="2179"/>
      <c r="T544" s="2179"/>
      <c r="U544" s="2180">
        <v>0.99</v>
      </c>
    </row>
    <row r="545" spans="1:21">
      <c r="A545" s="2164"/>
      <c r="B545" s="2167"/>
      <c r="C545" s="2169"/>
      <c r="D545" s="1236" t="s">
        <v>1214</v>
      </c>
      <c r="E545" s="2170"/>
      <c r="F545" s="2179"/>
      <c r="G545" s="2179"/>
      <c r="H545" s="2179"/>
      <c r="I545" s="2179"/>
      <c r="J545" s="2179"/>
      <c r="K545" s="2179"/>
      <c r="L545" s="2179"/>
      <c r="M545" s="2179"/>
      <c r="N545" s="2179"/>
      <c r="O545" s="2179"/>
      <c r="P545" s="2179"/>
      <c r="Q545" s="2179"/>
      <c r="R545" s="2179"/>
      <c r="S545" s="2179"/>
      <c r="T545" s="2179"/>
      <c r="U545" s="2180"/>
    </row>
    <row r="546" spans="1:21">
      <c r="A546" s="2164"/>
      <c r="B546" s="2167"/>
      <c r="C546" s="2173" t="s">
        <v>1215</v>
      </c>
      <c r="D546" s="1236" t="s">
        <v>1216</v>
      </c>
      <c r="E546" s="2170"/>
      <c r="F546" s="2179"/>
      <c r="G546" s="2179"/>
      <c r="H546" s="2179"/>
      <c r="I546" s="2179"/>
      <c r="J546" s="2179"/>
      <c r="K546" s="2179"/>
      <c r="L546" s="2179"/>
      <c r="M546" s="2179"/>
      <c r="N546" s="2179"/>
      <c r="O546" s="2179"/>
      <c r="P546" s="2179"/>
      <c r="Q546" s="2179"/>
      <c r="R546" s="2179"/>
      <c r="S546" s="2179"/>
      <c r="T546" s="2179"/>
      <c r="U546" s="2180"/>
    </row>
    <row r="547" spans="1:21">
      <c r="A547" s="2164"/>
      <c r="B547" s="2167"/>
      <c r="C547" s="2174"/>
      <c r="D547" s="1237" t="s">
        <v>1217</v>
      </c>
      <c r="E547" s="2170"/>
      <c r="F547" s="2179"/>
      <c r="G547" s="2179"/>
      <c r="H547" s="2179"/>
      <c r="I547" s="2179"/>
      <c r="J547" s="2179"/>
      <c r="K547" s="2179"/>
      <c r="L547" s="2179"/>
      <c r="M547" s="2179"/>
      <c r="N547" s="2179"/>
      <c r="O547" s="2179"/>
      <c r="P547" s="2179"/>
      <c r="Q547" s="2179"/>
      <c r="R547" s="2179"/>
      <c r="S547" s="2179"/>
      <c r="T547" s="2179"/>
      <c r="U547" s="2180"/>
    </row>
    <row r="548" spans="1:21">
      <c r="A548" s="2164"/>
      <c r="B548" s="2175" t="s">
        <v>1209</v>
      </c>
      <c r="C548" s="2168" t="s">
        <v>1212</v>
      </c>
      <c r="D548" s="1235" t="s">
        <v>1213</v>
      </c>
      <c r="E548" s="2188"/>
      <c r="F548" s="2191"/>
      <c r="G548" s="2191"/>
      <c r="H548" s="2191"/>
      <c r="I548" s="2191"/>
      <c r="J548" s="2191"/>
      <c r="K548" s="2191"/>
      <c r="L548" s="2191"/>
      <c r="M548" s="2191"/>
      <c r="N548" s="2191"/>
      <c r="O548" s="2191"/>
      <c r="P548" s="2191"/>
      <c r="Q548" s="2191"/>
      <c r="R548" s="2191"/>
      <c r="S548" s="2191"/>
      <c r="T548" s="2191"/>
      <c r="U548" s="2194"/>
    </row>
    <row r="549" spans="1:21">
      <c r="A549" s="2164"/>
      <c r="B549" s="2167"/>
      <c r="C549" s="2169"/>
      <c r="D549" s="1236" t="s">
        <v>1214</v>
      </c>
      <c r="E549" s="2189"/>
      <c r="F549" s="2192"/>
      <c r="G549" s="2192"/>
      <c r="H549" s="2192"/>
      <c r="I549" s="2192"/>
      <c r="J549" s="2192"/>
      <c r="K549" s="2192"/>
      <c r="L549" s="2192"/>
      <c r="M549" s="2192"/>
      <c r="N549" s="2192"/>
      <c r="O549" s="2192"/>
      <c r="P549" s="2192"/>
      <c r="Q549" s="2192"/>
      <c r="R549" s="2192"/>
      <c r="S549" s="2192"/>
      <c r="T549" s="2192"/>
      <c r="U549" s="2195"/>
    </row>
    <row r="550" spans="1:21">
      <c r="A550" s="2164"/>
      <c r="B550" s="2167"/>
      <c r="C550" s="2173" t="s">
        <v>1215</v>
      </c>
      <c r="D550" s="1236" t="s">
        <v>1216</v>
      </c>
      <c r="E550" s="2189"/>
      <c r="F550" s="2192"/>
      <c r="G550" s="2192"/>
      <c r="H550" s="2192"/>
      <c r="I550" s="2192"/>
      <c r="J550" s="2192"/>
      <c r="K550" s="2192"/>
      <c r="L550" s="2192"/>
      <c r="M550" s="2192"/>
      <c r="N550" s="2192"/>
      <c r="O550" s="2192"/>
      <c r="P550" s="2192"/>
      <c r="Q550" s="2192"/>
      <c r="R550" s="2192"/>
      <c r="S550" s="2192"/>
      <c r="T550" s="2192"/>
      <c r="U550" s="2195"/>
    </row>
    <row r="551" spans="1:21">
      <c r="A551" s="2165"/>
      <c r="B551" s="2167"/>
      <c r="C551" s="2174"/>
      <c r="D551" s="1237" t="s">
        <v>1217</v>
      </c>
      <c r="E551" s="2190"/>
      <c r="F551" s="2193"/>
      <c r="G551" s="2193"/>
      <c r="H551" s="2193"/>
      <c r="I551" s="2193"/>
      <c r="J551" s="2193"/>
      <c r="K551" s="2193"/>
      <c r="L551" s="2193"/>
      <c r="M551" s="2193"/>
      <c r="N551" s="2193"/>
      <c r="O551" s="2193"/>
      <c r="P551" s="2193"/>
      <c r="Q551" s="2193"/>
      <c r="R551" s="2193"/>
      <c r="S551" s="2193"/>
      <c r="T551" s="2193"/>
      <c r="U551" s="2196"/>
    </row>
  </sheetData>
  <sheetProtection algorithmName="SHA-512" hashValue="8hhyhLzjKuoxro6skgp019QyZpZn4FDZx0uSCsz1eQdkEkaOaMF8sH6j3/MT/JNsUqmbJ0isQz/j+PCYvQf2Yg==" saltValue="1RPNHzb6Ri2sqbI/6MHASA==" spinCount="100000" sheet="1" objects="1" scenarios="1"/>
  <mergeCells count="2750">
    <mergeCell ref="U548:U551"/>
    <mergeCell ref="C550:C551"/>
    <mergeCell ref="O548:O551"/>
    <mergeCell ref="P548:P551"/>
    <mergeCell ref="Q548:Q551"/>
    <mergeCell ref="R548:R551"/>
    <mergeCell ref="S548:S551"/>
    <mergeCell ref="T548:T551"/>
    <mergeCell ref="I548:I551"/>
    <mergeCell ref="J548:J551"/>
    <mergeCell ref="K548:K551"/>
    <mergeCell ref="L548:L551"/>
    <mergeCell ref="M548:M551"/>
    <mergeCell ref="N548:N551"/>
    <mergeCell ref="B548:B551"/>
    <mergeCell ref="C548:C549"/>
    <mergeCell ref="E548:E551"/>
    <mergeCell ref="F548:F551"/>
    <mergeCell ref="G548:G551"/>
    <mergeCell ref="H548:H551"/>
    <mergeCell ref="Q544:Q547"/>
    <mergeCell ref="R544:R547"/>
    <mergeCell ref="S544:S547"/>
    <mergeCell ref="T544:T547"/>
    <mergeCell ref="U544:U547"/>
    <mergeCell ref="C546:C547"/>
    <mergeCell ref="K544:K547"/>
    <mergeCell ref="L544:L547"/>
    <mergeCell ref="M544:M547"/>
    <mergeCell ref="N544:N547"/>
    <mergeCell ref="O544:O547"/>
    <mergeCell ref="P544:P547"/>
    <mergeCell ref="U540:U543"/>
    <mergeCell ref="C542:C543"/>
    <mergeCell ref="B544:B547"/>
    <mergeCell ref="C544:C545"/>
    <mergeCell ref="E544:E547"/>
    <mergeCell ref="F544:F547"/>
    <mergeCell ref="G544:G547"/>
    <mergeCell ref="H544:H547"/>
    <mergeCell ref="I544:I547"/>
    <mergeCell ref="J544:J547"/>
    <mergeCell ref="O540:O543"/>
    <mergeCell ref="P540:P543"/>
    <mergeCell ref="Q540:Q543"/>
    <mergeCell ref="R540:R543"/>
    <mergeCell ref="S540:S543"/>
    <mergeCell ref="T540:T543"/>
    <mergeCell ref="I540:I543"/>
    <mergeCell ref="J540:J543"/>
    <mergeCell ref="K540:K543"/>
    <mergeCell ref="L540:L543"/>
    <mergeCell ref="M540:M543"/>
    <mergeCell ref="N540:N543"/>
    <mergeCell ref="B540:B543"/>
    <mergeCell ref="C540:C541"/>
    <mergeCell ref="E540:E543"/>
    <mergeCell ref="F540:F543"/>
    <mergeCell ref="G540:G543"/>
    <mergeCell ref="H540:H543"/>
    <mergeCell ref="Q536:Q539"/>
    <mergeCell ref="R536:R539"/>
    <mergeCell ref="S536:S539"/>
    <mergeCell ref="T536:T539"/>
    <mergeCell ref="U536:U539"/>
    <mergeCell ref="C538:C539"/>
    <mergeCell ref="K536:K539"/>
    <mergeCell ref="L536:L539"/>
    <mergeCell ref="M536:M539"/>
    <mergeCell ref="N536:N539"/>
    <mergeCell ref="O536:O539"/>
    <mergeCell ref="P536:P539"/>
    <mergeCell ref="U532:U535"/>
    <mergeCell ref="C534:C535"/>
    <mergeCell ref="B536:B539"/>
    <mergeCell ref="C536:C537"/>
    <mergeCell ref="E536:E539"/>
    <mergeCell ref="F536:F539"/>
    <mergeCell ref="G536:G539"/>
    <mergeCell ref="H536:H539"/>
    <mergeCell ref="I536:I539"/>
    <mergeCell ref="J536:J539"/>
    <mergeCell ref="O532:O535"/>
    <mergeCell ref="P532:P535"/>
    <mergeCell ref="Q532:Q535"/>
    <mergeCell ref="R532:R535"/>
    <mergeCell ref="S532:S535"/>
    <mergeCell ref="T532:T535"/>
    <mergeCell ref="I532:I535"/>
    <mergeCell ref="J532:J535"/>
    <mergeCell ref="K532:K535"/>
    <mergeCell ref="L532:L535"/>
    <mergeCell ref="M532:M535"/>
    <mergeCell ref="N532:N535"/>
    <mergeCell ref="B532:B535"/>
    <mergeCell ref="C532:C533"/>
    <mergeCell ref="E532:E535"/>
    <mergeCell ref="F532:F535"/>
    <mergeCell ref="G532:G535"/>
    <mergeCell ref="H532:H535"/>
    <mergeCell ref="Q528:Q531"/>
    <mergeCell ref="R528:R531"/>
    <mergeCell ref="S528:S531"/>
    <mergeCell ref="T528:T531"/>
    <mergeCell ref="U528:U531"/>
    <mergeCell ref="C530:C531"/>
    <mergeCell ref="K528:K531"/>
    <mergeCell ref="L528:L531"/>
    <mergeCell ref="M528:M531"/>
    <mergeCell ref="N528:N531"/>
    <mergeCell ref="O528:O531"/>
    <mergeCell ref="P528:P531"/>
    <mergeCell ref="U524:U527"/>
    <mergeCell ref="C526:C527"/>
    <mergeCell ref="B528:B531"/>
    <mergeCell ref="C528:C529"/>
    <mergeCell ref="E528:E531"/>
    <mergeCell ref="F528:F531"/>
    <mergeCell ref="G528:G531"/>
    <mergeCell ref="H528:H531"/>
    <mergeCell ref="I528:I531"/>
    <mergeCell ref="J528:J531"/>
    <mergeCell ref="O524:O527"/>
    <mergeCell ref="P524:P527"/>
    <mergeCell ref="Q524:Q527"/>
    <mergeCell ref="R524:R527"/>
    <mergeCell ref="S524:S527"/>
    <mergeCell ref="T524:T527"/>
    <mergeCell ref="I524:I527"/>
    <mergeCell ref="J524:J527"/>
    <mergeCell ref="K524:K527"/>
    <mergeCell ref="L524:L527"/>
    <mergeCell ref="M524:M527"/>
    <mergeCell ref="N524:N527"/>
    <mergeCell ref="B524:B527"/>
    <mergeCell ref="C524:C525"/>
    <mergeCell ref="E524:E527"/>
    <mergeCell ref="F524:F527"/>
    <mergeCell ref="G524:G527"/>
    <mergeCell ref="H524:H527"/>
    <mergeCell ref="Q520:Q523"/>
    <mergeCell ref="R520:R523"/>
    <mergeCell ref="S520:S523"/>
    <mergeCell ref="T520:T523"/>
    <mergeCell ref="U520:U523"/>
    <mergeCell ref="C522:C523"/>
    <mergeCell ref="K520:K523"/>
    <mergeCell ref="L520:L523"/>
    <mergeCell ref="M520:M523"/>
    <mergeCell ref="N520:N523"/>
    <mergeCell ref="O520:O523"/>
    <mergeCell ref="P520:P523"/>
    <mergeCell ref="U516:U519"/>
    <mergeCell ref="C518:C519"/>
    <mergeCell ref="B520:B523"/>
    <mergeCell ref="C520:C521"/>
    <mergeCell ref="E520:E523"/>
    <mergeCell ref="F520:F523"/>
    <mergeCell ref="G520:G523"/>
    <mergeCell ref="H520:H523"/>
    <mergeCell ref="I520:I523"/>
    <mergeCell ref="J520:J523"/>
    <mergeCell ref="O516:O519"/>
    <mergeCell ref="P516:P519"/>
    <mergeCell ref="Q516:Q519"/>
    <mergeCell ref="R516:R519"/>
    <mergeCell ref="S516:S519"/>
    <mergeCell ref="T516:T519"/>
    <mergeCell ref="I516:I519"/>
    <mergeCell ref="J516:J519"/>
    <mergeCell ref="K516:K519"/>
    <mergeCell ref="L516:L519"/>
    <mergeCell ref="M516:M519"/>
    <mergeCell ref="N516:N519"/>
    <mergeCell ref="B516:B519"/>
    <mergeCell ref="C516:C517"/>
    <mergeCell ref="E516:E519"/>
    <mergeCell ref="F516:F519"/>
    <mergeCell ref="G516:G519"/>
    <mergeCell ref="H516:H519"/>
    <mergeCell ref="Q512:Q515"/>
    <mergeCell ref="R512:R515"/>
    <mergeCell ref="S512:S515"/>
    <mergeCell ref="T512:T515"/>
    <mergeCell ref="U512:U515"/>
    <mergeCell ref="C514:C515"/>
    <mergeCell ref="K512:K515"/>
    <mergeCell ref="L512:L515"/>
    <mergeCell ref="M512:M515"/>
    <mergeCell ref="N512:N515"/>
    <mergeCell ref="O512:O515"/>
    <mergeCell ref="P512:P515"/>
    <mergeCell ref="U508:U511"/>
    <mergeCell ref="C510:C511"/>
    <mergeCell ref="B512:B515"/>
    <mergeCell ref="C512:C513"/>
    <mergeCell ref="E512:E515"/>
    <mergeCell ref="F512:F515"/>
    <mergeCell ref="G512:G515"/>
    <mergeCell ref="H512:H515"/>
    <mergeCell ref="I512:I515"/>
    <mergeCell ref="J512:J515"/>
    <mergeCell ref="O508:O511"/>
    <mergeCell ref="P508:P511"/>
    <mergeCell ref="Q508:Q511"/>
    <mergeCell ref="R508:R511"/>
    <mergeCell ref="S508:S511"/>
    <mergeCell ref="T508:T511"/>
    <mergeCell ref="I508:I511"/>
    <mergeCell ref="J508:J511"/>
    <mergeCell ref="K508:K511"/>
    <mergeCell ref="L508:L511"/>
    <mergeCell ref="M508:M511"/>
    <mergeCell ref="N508:N511"/>
    <mergeCell ref="B508:B511"/>
    <mergeCell ref="C508:C509"/>
    <mergeCell ref="E508:E511"/>
    <mergeCell ref="F508:F511"/>
    <mergeCell ref="G508:G511"/>
    <mergeCell ref="H508:H511"/>
    <mergeCell ref="Q504:Q507"/>
    <mergeCell ref="R504:R507"/>
    <mergeCell ref="S504:S507"/>
    <mergeCell ref="T504:T507"/>
    <mergeCell ref="U504:U507"/>
    <mergeCell ref="C506:C507"/>
    <mergeCell ref="K504:K507"/>
    <mergeCell ref="L504:L507"/>
    <mergeCell ref="M504:M507"/>
    <mergeCell ref="N504:N507"/>
    <mergeCell ref="O504:O507"/>
    <mergeCell ref="P504:P507"/>
    <mergeCell ref="B504:B507"/>
    <mergeCell ref="C504:C505"/>
    <mergeCell ref="E504:E507"/>
    <mergeCell ref="F504:F507"/>
    <mergeCell ref="G504:G507"/>
    <mergeCell ref="H504:H507"/>
    <mergeCell ref="I504:I507"/>
    <mergeCell ref="J504:J507"/>
    <mergeCell ref="U496:U499"/>
    <mergeCell ref="C498:C499"/>
    <mergeCell ref="B500:B503"/>
    <mergeCell ref="C500:C501"/>
    <mergeCell ref="E500:E503"/>
    <mergeCell ref="F500:F503"/>
    <mergeCell ref="G500:G503"/>
    <mergeCell ref="H500:H503"/>
    <mergeCell ref="M496:M499"/>
    <mergeCell ref="N496:N499"/>
    <mergeCell ref="O496:O499"/>
    <mergeCell ref="P496:P499"/>
    <mergeCell ref="Q496:Q499"/>
    <mergeCell ref="R496:R499"/>
    <mergeCell ref="G496:G499"/>
    <mergeCell ref="H496:H499"/>
    <mergeCell ref="I496:I499"/>
    <mergeCell ref="J496:J499"/>
    <mergeCell ref="U500:U503"/>
    <mergeCell ref="C502:C503"/>
    <mergeCell ref="O500:O503"/>
    <mergeCell ref="P500:P503"/>
    <mergeCell ref="U492:U495"/>
    <mergeCell ref="C494:C495"/>
    <mergeCell ref="K492:K495"/>
    <mergeCell ref="L492:L495"/>
    <mergeCell ref="M492:M495"/>
    <mergeCell ref="N492:N495"/>
    <mergeCell ref="O492:O495"/>
    <mergeCell ref="P492:P495"/>
    <mergeCell ref="U488:U491"/>
    <mergeCell ref="C490:C491"/>
    <mergeCell ref="B492:B495"/>
    <mergeCell ref="C492:C493"/>
    <mergeCell ref="E492:E495"/>
    <mergeCell ref="F492:F495"/>
    <mergeCell ref="G492:G495"/>
    <mergeCell ref="H492:H495"/>
    <mergeCell ref="I492:I495"/>
    <mergeCell ref="J492:J495"/>
    <mergeCell ref="O488:O491"/>
    <mergeCell ref="P488:P491"/>
    <mergeCell ref="Q488:Q491"/>
    <mergeCell ref="R488:R491"/>
    <mergeCell ref="S488:S491"/>
    <mergeCell ref="T488:T491"/>
    <mergeCell ref="I488:I491"/>
    <mergeCell ref="J488:J491"/>
    <mergeCell ref="K488:K491"/>
    <mergeCell ref="L488:L491"/>
    <mergeCell ref="U480:U483"/>
    <mergeCell ref="J480:J483"/>
    <mergeCell ref="K480:K483"/>
    <mergeCell ref="L480:L483"/>
    <mergeCell ref="M480:M483"/>
    <mergeCell ref="N480:N483"/>
    <mergeCell ref="O480:O483"/>
    <mergeCell ref="M488:M491"/>
    <mergeCell ref="N488:N491"/>
    <mergeCell ref="S484:S487"/>
    <mergeCell ref="T484:T487"/>
    <mergeCell ref="U484:U487"/>
    <mergeCell ref="C486:C487"/>
    <mergeCell ref="B488:B491"/>
    <mergeCell ref="C488:C489"/>
    <mergeCell ref="E488:E491"/>
    <mergeCell ref="F488:F491"/>
    <mergeCell ref="G488:G491"/>
    <mergeCell ref="H488:H491"/>
    <mergeCell ref="M484:M487"/>
    <mergeCell ref="N484:N487"/>
    <mergeCell ref="O484:O487"/>
    <mergeCell ref="P484:P487"/>
    <mergeCell ref="Q484:Q487"/>
    <mergeCell ref="R484:R487"/>
    <mergeCell ref="G484:G487"/>
    <mergeCell ref="H484:H487"/>
    <mergeCell ref="I484:I487"/>
    <mergeCell ref="J484:J487"/>
    <mergeCell ref="K484:K487"/>
    <mergeCell ref="L484:L487"/>
    <mergeCell ref="B480:B483"/>
    <mergeCell ref="A484:A551"/>
    <mergeCell ref="B484:B487"/>
    <mergeCell ref="C484:C485"/>
    <mergeCell ref="E484:E487"/>
    <mergeCell ref="F484:F487"/>
    <mergeCell ref="B496:B499"/>
    <mergeCell ref="C496:C497"/>
    <mergeCell ref="E496:E499"/>
    <mergeCell ref="F496:F499"/>
    <mergeCell ref="P480:P483"/>
    <mergeCell ref="Q480:Q483"/>
    <mergeCell ref="R480:R483"/>
    <mergeCell ref="S480:S483"/>
    <mergeCell ref="T480:T483"/>
    <mergeCell ref="Q492:Q495"/>
    <mergeCell ref="R492:R495"/>
    <mergeCell ref="S492:S495"/>
    <mergeCell ref="T492:T495"/>
    <mergeCell ref="K496:K499"/>
    <mergeCell ref="L496:L499"/>
    <mergeCell ref="Q500:Q503"/>
    <mergeCell ref="R500:R503"/>
    <mergeCell ref="S500:S503"/>
    <mergeCell ref="T500:T503"/>
    <mergeCell ref="I500:I503"/>
    <mergeCell ref="J500:J503"/>
    <mergeCell ref="K500:K503"/>
    <mergeCell ref="L500:L503"/>
    <mergeCell ref="M500:M503"/>
    <mergeCell ref="N500:N503"/>
    <mergeCell ref="S496:S499"/>
    <mergeCell ref="T496:T499"/>
    <mergeCell ref="C480:C481"/>
    <mergeCell ref="E480:E483"/>
    <mergeCell ref="F480:F483"/>
    <mergeCell ref="G480:G483"/>
    <mergeCell ref="H480:H483"/>
    <mergeCell ref="I480:I483"/>
    <mergeCell ref="N476:N479"/>
    <mergeCell ref="O476:O479"/>
    <mergeCell ref="P476:P479"/>
    <mergeCell ref="Q476:Q479"/>
    <mergeCell ref="R476:R479"/>
    <mergeCell ref="S476:S479"/>
    <mergeCell ref="H476:H479"/>
    <mergeCell ref="I476:I479"/>
    <mergeCell ref="J476:J479"/>
    <mergeCell ref="K476:K479"/>
    <mergeCell ref="L476:L479"/>
    <mergeCell ref="M476:M479"/>
    <mergeCell ref="C482:C483"/>
    <mergeCell ref="B476:B479"/>
    <mergeCell ref="C476:C477"/>
    <mergeCell ref="E476:E479"/>
    <mergeCell ref="F476:F479"/>
    <mergeCell ref="G476:G479"/>
    <mergeCell ref="T472:T475"/>
    <mergeCell ref="U472:U475"/>
    <mergeCell ref="J472:J475"/>
    <mergeCell ref="K472:K475"/>
    <mergeCell ref="L472:L475"/>
    <mergeCell ref="M472:M475"/>
    <mergeCell ref="N472:N475"/>
    <mergeCell ref="O472:O475"/>
    <mergeCell ref="T468:T471"/>
    <mergeCell ref="U468:U471"/>
    <mergeCell ref="C470:C471"/>
    <mergeCell ref="T476:T479"/>
    <mergeCell ref="U476:U479"/>
    <mergeCell ref="C478:C479"/>
    <mergeCell ref="B472:B475"/>
    <mergeCell ref="C472:C473"/>
    <mergeCell ref="E472:E475"/>
    <mergeCell ref="F472:F475"/>
    <mergeCell ref="G472:G475"/>
    <mergeCell ref="H472:H475"/>
    <mergeCell ref="I472:I475"/>
    <mergeCell ref="N468:N471"/>
    <mergeCell ref="O468:O471"/>
    <mergeCell ref="P468:P471"/>
    <mergeCell ref="Q468:Q471"/>
    <mergeCell ref="R468:R471"/>
    <mergeCell ref="S468:S471"/>
    <mergeCell ref="H468:H471"/>
    <mergeCell ref="I468:I471"/>
    <mergeCell ref="J468:J471"/>
    <mergeCell ref="K468:K471"/>
    <mergeCell ref="L468:L471"/>
    <mergeCell ref="M468:M471"/>
    <mergeCell ref="C466:C467"/>
    <mergeCell ref="C474:C475"/>
    <mergeCell ref="B468:B471"/>
    <mergeCell ref="C468:C469"/>
    <mergeCell ref="E468:E471"/>
    <mergeCell ref="F468:F471"/>
    <mergeCell ref="G468:G471"/>
    <mergeCell ref="P472:P475"/>
    <mergeCell ref="Q472:Q475"/>
    <mergeCell ref="R472:R475"/>
    <mergeCell ref="S472:S475"/>
    <mergeCell ref="P464:P467"/>
    <mergeCell ref="Q464:Q467"/>
    <mergeCell ref="R464:R467"/>
    <mergeCell ref="S464:S467"/>
    <mergeCell ref="T452:T455"/>
    <mergeCell ref="U452:U455"/>
    <mergeCell ref="C454:C455"/>
    <mergeCell ref="T464:T467"/>
    <mergeCell ref="U464:U467"/>
    <mergeCell ref="J464:J467"/>
    <mergeCell ref="K464:K467"/>
    <mergeCell ref="L464:L467"/>
    <mergeCell ref="M464:M467"/>
    <mergeCell ref="N464:N467"/>
    <mergeCell ref="O464:O467"/>
    <mergeCell ref="T460:T463"/>
    <mergeCell ref="U460:U463"/>
    <mergeCell ref="C462:C463"/>
    <mergeCell ref="B464:B467"/>
    <mergeCell ref="C464:C465"/>
    <mergeCell ref="E464:E467"/>
    <mergeCell ref="F464:F467"/>
    <mergeCell ref="G464:G467"/>
    <mergeCell ref="H464:H467"/>
    <mergeCell ref="I464:I467"/>
    <mergeCell ref="N460:N463"/>
    <mergeCell ref="O460:O463"/>
    <mergeCell ref="P460:P463"/>
    <mergeCell ref="Q460:Q463"/>
    <mergeCell ref="R460:R463"/>
    <mergeCell ref="S460:S463"/>
    <mergeCell ref="H460:H463"/>
    <mergeCell ref="I460:I463"/>
    <mergeCell ref="J460:J463"/>
    <mergeCell ref="K460:K463"/>
    <mergeCell ref="L460:L463"/>
    <mergeCell ref="E460:E463"/>
    <mergeCell ref="F460:F463"/>
    <mergeCell ref="G460:G463"/>
    <mergeCell ref="P456:P459"/>
    <mergeCell ref="Q456:Q459"/>
    <mergeCell ref="R456:R459"/>
    <mergeCell ref="S456:S459"/>
    <mergeCell ref="T456:T459"/>
    <mergeCell ref="U456:U459"/>
    <mergeCell ref="J456:J459"/>
    <mergeCell ref="K456:K459"/>
    <mergeCell ref="L456:L459"/>
    <mergeCell ref="M456:M459"/>
    <mergeCell ref="N456:N459"/>
    <mergeCell ref="O456:O459"/>
    <mergeCell ref="B456:B459"/>
    <mergeCell ref="C456:C457"/>
    <mergeCell ref="E456:E459"/>
    <mergeCell ref="F456:F459"/>
    <mergeCell ref="G456:G459"/>
    <mergeCell ref="H456:H459"/>
    <mergeCell ref="I456:I459"/>
    <mergeCell ref="M460:M463"/>
    <mergeCell ref="B460:B463"/>
    <mergeCell ref="C460:C461"/>
    <mergeCell ref="N452:N455"/>
    <mergeCell ref="O452:O455"/>
    <mergeCell ref="P452:P455"/>
    <mergeCell ref="Q452:Q455"/>
    <mergeCell ref="R452:R455"/>
    <mergeCell ref="S452:S455"/>
    <mergeCell ref="H452:H455"/>
    <mergeCell ref="I452:I455"/>
    <mergeCell ref="J452:J455"/>
    <mergeCell ref="K452:K455"/>
    <mergeCell ref="L452:L455"/>
    <mergeCell ref="M452:M455"/>
    <mergeCell ref="C450:C451"/>
    <mergeCell ref="C458:C459"/>
    <mergeCell ref="B452:B455"/>
    <mergeCell ref="C452:C453"/>
    <mergeCell ref="E452:E455"/>
    <mergeCell ref="F452:F455"/>
    <mergeCell ref="G452:G455"/>
    <mergeCell ref="P448:P451"/>
    <mergeCell ref="Q448:Q451"/>
    <mergeCell ref="R448:R451"/>
    <mergeCell ref="S448:S451"/>
    <mergeCell ref="T448:T451"/>
    <mergeCell ref="U448:U451"/>
    <mergeCell ref="J448:J451"/>
    <mergeCell ref="K448:K451"/>
    <mergeCell ref="L448:L451"/>
    <mergeCell ref="M448:M451"/>
    <mergeCell ref="N448:N451"/>
    <mergeCell ref="O448:O451"/>
    <mergeCell ref="T444:T447"/>
    <mergeCell ref="U444:U447"/>
    <mergeCell ref="C446:C447"/>
    <mergeCell ref="B448:B451"/>
    <mergeCell ref="C448:C449"/>
    <mergeCell ref="E448:E451"/>
    <mergeCell ref="F448:F451"/>
    <mergeCell ref="G448:G451"/>
    <mergeCell ref="H448:H451"/>
    <mergeCell ref="I448:I451"/>
    <mergeCell ref="N444:N447"/>
    <mergeCell ref="O444:O447"/>
    <mergeCell ref="P444:P447"/>
    <mergeCell ref="Q444:Q447"/>
    <mergeCell ref="R444:R447"/>
    <mergeCell ref="S444:S447"/>
    <mergeCell ref="H444:H447"/>
    <mergeCell ref="I444:I447"/>
    <mergeCell ref="J444:J447"/>
    <mergeCell ref="K444:K447"/>
    <mergeCell ref="L444:L447"/>
    <mergeCell ref="M444:M447"/>
    <mergeCell ref="B444:B447"/>
    <mergeCell ref="C444:C445"/>
    <mergeCell ref="E444:E447"/>
    <mergeCell ref="F444:F447"/>
    <mergeCell ref="G444:G447"/>
    <mergeCell ref="K436:K439"/>
    <mergeCell ref="L436:L439"/>
    <mergeCell ref="M436:M439"/>
    <mergeCell ref="C442:C443"/>
    <mergeCell ref="B436:B439"/>
    <mergeCell ref="C436:C437"/>
    <mergeCell ref="E436:E439"/>
    <mergeCell ref="F436:F439"/>
    <mergeCell ref="G436:G439"/>
    <mergeCell ref="P440:P443"/>
    <mergeCell ref="Q440:Q443"/>
    <mergeCell ref="R440:R443"/>
    <mergeCell ref="S440:S443"/>
    <mergeCell ref="T440:T443"/>
    <mergeCell ref="U440:U443"/>
    <mergeCell ref="J440:J443"/>
    <mergeCell ref="K440:K443"/>
    <mergeCell ref="L440:L443"/>
    <mergeCell ref="M440:M443"/>
    <mergeCell ref="N440:N443"/>
    <mergeCell ref="O440:O443"/>
    <mergeCell ref="B440:B443"/>
    <mergeCell ref="C440:C441"/>
    <mergeCell ref="E440:E443"/>
    <mergeCell ref="F440:F443"/>
    <mergeCell ref="G440:G443"/>
    <mergeCell ref="H440:H443"/>
    <mergeCell ref="I440:I443"/>
    <mergeCell ref="P432:P435"/>
    <mergeCell ref="Q432:Q435"/>
    <mergeCell ref="R432:R435"/>
    <mergeCell ref="S432:S435"/>
    <mergeCell ref="T432:T435"/>
    <mergeCell ref="U432:U435"/>
    <mergeCell ref="J432:J435"/>
    <mergeCell ref="K432:K435"/>
    <mergeCell ref="L432:L435"/>
    <mergeCell ref="M432:M435"/>
    <mergeCell ref="N432:N435"/>
    <mergeCell ref="O432:O435"/>
    <mergeCell ref="T436:T439"/>
    <mergeCell ref="U436:U439"/>
    <mergeCell ref="C438:C439"/>
    <mergeCell ref="B432:B435"/>
    <mergeCell ref="C432:C433"/>
    <mergeCell ref="E432:E435"/>
    <mergeCell ref="F432:F435"/>
    <mergeCell ref="G432:G435"/>
    <mergeCell ref="H432:H435"/>
    <mergeCell ref="I432:I435"/>
    <mergeCell ref="C434:C435"/>
    <mergeCell ref="N436:N439"/>
    <mergeCell ref="O436:O439"/>
    <mergeCell ref="P436:P439"/>
    <mergeCell ref="Q436:Q439"/>
    <mergeCell ref="R436:R439"/>
    <mergeCell ref="S436:S439"/>
    <mergeCell ref="H436:H439"/>
    <mergeCell ref="I436:I439"/>
    <mergeCell ref="J436:J439"/>
    <mergeCell ref="B424:B427"/>
    <mergeCell ref="C424:C425"/>
    <mergeCell ref="E424:E427"/>
    <mergeCell ref="F424:F427"/>
    <mergeCell ref="G424:G427"/>
    <mergeCell ref="H424:H427"/>
    <mergeCell ref="I424:I427"/>
    <mergeCell ref="N428:N431"/>
    <mergeCell ref="O428:O431"/>
    <mergeCell ref="P428:P431"/>
    <mergeCell ref="H428:H431"/>
    <mergeCell ref="I428:I431"/>
    <mergeCell ref="J428:J431"/>
    <mergeCell ref="K428:K431"/>
    <mergeCell ref="L428:L431"/>
    <mergeCell ref="M428:M431"/>
    <mergeCell ref="B428:B431"/>
    <mergeCell ref="C428:C429"/>
    <mergeCell ref="E428:E431"/>
    <mergeCell ref="F428:F431"/>
    <mergeCell ref="G428:G431"/>
    <mergeCell ref="M420:M423"/>
    <mergeCell ref="C426:C427"/>
    <mergeCell ref="F420:F423"/>
    <mergeCell ref="G420:G423"/>
    <mergeCell ref="P416:P419"/>
    <mergeCell ref="Q416:Q419"/>
    <mergeCell ref="R416:R419"/>
    <mergeCell ref="S416:S419"/>
    <mergeCell ref="P424:P427"/>
    <mergeCell ref="Q424:Q427"/>
    <mergeCell ref="R424:R427"/>
    <mergeCell ref="S424:S427"/>
    <mergeCell ref="T424:T427"/>
    <mergeCell ref="U424:U427"/>
    <mergeCell ref="J424:J427"/>
    <mergeCell ref="K424:K427"/>
    <mergeCell ref="L424:L427"/>
    <mergeCell ref="M424:M427"/>
    <mergeCell ref="N424:N427"/>
    <mergeCell ref="O424:O427"/>
    <mergeCell ref="U420:U423"/>
    <mergeCell ref="C422:C423"/>
    <mergeCell ref="I420:I423"/>
    <mergeCell ref="J420:J423"/>
    <mergeCell ref="T428:T431"/>
    <mergeCell ref="U428:U431"/>
    <mergeCell ref="C430:C431"/>
    <mergeCell ref="Q428:Q431"/>
    <mergeCell ref="R428:R431"/>
    <mergeCell ref="S428:S431"/>
    <mergeCell ref="A416:A483"/>
    <mergeCell ref="B416:B419"/>
    <mergeCell ref="C416:C417"/>
    <mergeCell ref="E416:E419"/>
    <mergeCell ref="F416:F419"/>
    <mergeCell ref="G416:G419"/>
    <mergeCell ref="H416:H419"/>
    <mergeCell ref="I416:I419"/>
    <mergeCell ref="O412:O415"/>
    <mergeCell ref="P412:P415"/>
    <mergeCell ref="Q412:Q415"/>
    <mergeCell ref="R412:R415"/>
    <mergeCell ref="S412:S415"/>
    <mergeCell ref="T412:T415"/>
    <mergeCell ref="I412:I415"/>
    <mergeCell ref="J412:J415"/>
    <mergeCell ref="K412:K415"/>
    <mergeCell ref="L412:L415"/>
    <mergeCell ref="M412:M415"/>
    <mergeCell ref="N420:N423"/>
    <mergeCell ref="O420:O423"/>
    <mergeCell ref="P420:P423"/>
    <mergeCell ref="Q420:Q423"/>
    <mergeCell ref="R420:R423"/>
    <mergeCell ref="S420:S423"/>
    <mergeCell ref="H420:H423"/>
    <mergeCell ref="A348:A415"/>
    <mergeCell ref="B348:B351"/>
    <mergeCell ref="C348:C349"/>
    <mergeCell ref="E348:E351"/>
    <mergeCell ref="F348:F351"/>
    <mergeCell ref="M408:M411"/>
    <mergeCell ref="N408:N411"/>
    <mergeCell ref="O408:O411"/>
    <mergeCell ref="P408:P411"/>
    <mergeCell ref="T416:T419"/>
    <mergeCell ref="U416:U419"/>
    <mergeCell ref="J416:J419"/>
    <mergeCell ref="K416:K419"/>
    <mergeCell ref="L416:L419"/>
    <mergeCell ref="M416:M419"/>
    <mergeCell ref="N416:N419"/>
    <mergeCell ref="O416:O419"/>
    <mergeCell ref="T420:T423"/>
    <mergeCell ref="U412:U415"/>
    <mergeCell ref="C414:C415"/>
    <mergeCell ref="N412:N415"/>
    <mergeCell ref="B412:B415"/>
    <mergeCell ref="K420:K423"/>
    <mergeCell ref="L420:L423"/>
    <mergeCell ref="C412:C413"/>
    <mergeCell ref="E412:E415"/>
    <mergeCell ref="F412:F415"/>
    <mergeCell ref="G412:G415"/>
    <mergeCell ref="H412:H415"/>
    <mergeCell ref="C418:C419"/>
    <mergeCell ref="B420:B423"/>
    <mergeCell ref="C420:C421"/>
    <mergeCell ref="E420:E423"/>
    <mergeCell ref="Q408:Q411"/>
    <mergeCell ref="R408:R411"/>
    <mergeCell ref="S408:S411"/>
    <mergeCell ref="T408:T411"/>
    <mergeCell ref="U404:U407"/>
    <mergeCell ref="C406:C407"/>
    <mergeCell ref="B408:B411"/>
    <mergeCell ref="C408:C409"/>
    <mergeCell ref="E408:E411"/>
    <mergeCell ref="F408:F411"/>
    <mergeCell ref="G408:G411"/>
    <mergeCell ref="H408:H411"/>
    <mergeCell ref="I408:I411"/>
    <mergeCell ref="J408:J411"/>
    <mergeCell ref="O404:O407"/>
    <mergeCell ref="P404:P407"/>
    <mergeCell ref="Q404:Q407"/>
    <mergeCell ref="R404:R407"/>
    <mergeCell ref="S404:S407"/>
    <mergeCell ref="T404:T407"/>
    <mergeCell ref="I404:I407"/>
    <mergeCell ref="J404:J407"/>
    <mergeCell ref="K404:K407"/>
    <mergeCell ref="L404:L407"/>
    <mergeCell ref="M404:M407"/>
    <mergeCell ref="N404:N407"/>
    <mergeCell ref="B404:B407"/>
    <mergeCell ref="C404:C405"/>
    <mergeCell ref="E404:E407"/>
    <mergeCell ref="F404:F407"/>
    <mergeCell ref="G404:G407"/>
    <mergeCell ref="H404:H407"/>
    <mergeCell ref="U408:U411"/>
    <mergeCell ref="C410:C411"/>
    <mergeCell ref="K408:K411"/>
    <mergeCell ref="L408:L411"/>
    <mergeCell ref="Q400:Q403"/>
    <mergeCell ref="R400:R403"/>
    <mergeCell ref="S400:S403"/>
    <mergeCell ref="T400:T403"/>
    <mergeCell ref="U400:U403"/>
    <mergeCell ref="C402:C403"/>
    <mergeCell ref="K400:K403"/>
    <mergeCell ref="L400:L403"/>
    <mergeCell ref="M400:M403"/>
    <mergeCell ref="N400:N403"/>
    <mergeCell ref="O400:O403"/>
    <mergeCell ref="P400:P403"/>
    <mergeCell ref="U396:U399"/>
    <mergeCell ref="C398:C399"/>
    <mergeCell ref="B400:B403"/>
    <mergeCell ref="C400:C401"/>
    <mergeCell ref="E400:E403"/>
    <mergeCell ref="F400:F403"/>
    <mergeCell ref="G400:G403"/>
    <mergeCell ref="H400:H403"/>
    <mergeCell ref="I400:I403"/>
    <mergeCell ref="J400:J403"/>
    <mergeCell ref="O396:O399"/>
    <mergeCell ref="P396:P399"/>
    <mergeCell ref="Q396:Q399"/>
    <mergeCell ref="R396:R399"/>
    <mergeCell ref="S396:S399"/>
    <mergeCell ref="T396:T399"/>
    <mergeCell ref="I396:I399"/>
    <mergeCell ref="J396:J399"/>
    <mergeCell ref="K396:K399"/>
    <mergeCell ref="L396:L399"/>
    <mergeCell ref="M396:M399"/>
    <mergeCell ref="N396:N399"/>
    <mergeCell ref="B396:B399"/>
    <mergeCell ref="C396:C397"/>
    <mergeCell ref="E396:E399"/>
    <mergeCell ref="F396:F399"/>
    <mergeCell ref="G396:G399"/>
    <mergeCell ref="H396:H399"/>
    <mergeCell ref="Q392:Q395"/>
    <mergeCell ref="R392:R395"/>
    <mergeCell ref="S392:S395"/>
    <mergeCell ref="T392:T395"/>
    <mergeCell ref="U392:U395"/>
    <mergeCell ref="C394:C395"/>
    <mergeCell ref="K392:K395"/>
    <mergeCell ref="L392:L395"/>
    <mergeCell ref="M392:M395"/>
    <mergeCell ref="N392:N395"/>
    <mergeCell ref="O392:O395"/>
    <mergeCell ref="P392:P395"/>
    <mergeCell ref="U388:U391"/>
    <mergeCell ref="C390:C391"/>
    <mergeCell ref="B392:B395"/>
    <mergeCell ref="C392:C393"/>
    <mergeCell ref="E392:E395"/>
    <mergeCell ref="F392:F395"/>
    <mergeCell ref="G392:G395"/>
    <mergeCell ref="H392:H395"/>
    <mergeCell ref="I392:I395"/>
    <mergeCell ref="J392:J395"/>
    <mergeCell ref="O388:O391"/>
    <mergeCell ref="P388:P391"/>
    <mergeCell ref="Q388:Q391"/>
    <mergeCell ref="R388:R391"/>
    <mergeCell ref="S388:S391"/>
    <mergeCell ref="T388:T391"/>
    <mergeCell ref="I388:I391"/>
    <mergeCell ref="J388:J391"/>
    <mergeCell ref="K388:K391"/>
    <mergeCell ref="L388:L391"/>
    <mergeCell ref="M388:M391"/>
    <mergeCell ref="N388:N391"/>
    <mergeCell ref="B388:B391"/>
    <mergeCell ref="C388:C389"/>
    <mergeCell ref="E388:E391"/>
    <mergeCell ref="F388:F391"/>
    <mergeCell ref="G388:G391"/>
    <mergeCell ref="H388:H391"/>
    <mergeCell ref="Q384:Q387"/>
    <mergeCell ref="R384:R387"/>
    <mergeCell ref="S384:S387"/>
    <mergeCell ref="T384:T387"/>
    <mergeCell ref="U384:U387"/>
    <mergeCell ref="C386:C387"/>
    <mergeCell ref="K384:K387"/>
    <mergeCell ref="L384:L387"/>
    <mergeCell ref="M384:M387"/>
    <mergeCell ref="N384:N387"/>
    <mergeCell ref="O384:O387"/>
    <mergeCell ref="P384:P387"/>
    <mergeCell ref="U380:U383"/>
    <mergeCell ref="C382:C383"/>
    <mergeCell ref="B384:B387"/>
    <mergeCell ref="C384:C385"/>
    <mergeCell ref="E384:E387"/>
    <mergeCell ref="F384:F387"/>
    <mergeCell ref="G384:G387"/>
    <mergeCell ref="H384:H387"/>
    <mergeCell ref="I384:I387"/>
    <mergeCell ref="J384:J387"/>
    <mergeCell ref="O380:O383"/>
    <mergeCell ref="P380:P383"/>
    <mergeCell ref="Q380:Q383"/>
    <mergeCell ref="R380:R383"/>
    <mergeCell ref="S380:S383"/>
    <mergeCell ref="T380:T383"/>
    <mergeCell ref="I380:I383"/>
    <mergeCell ref="J380:J383"/>
    <mergeCell ref="K380:K383"/>
    <mergeCell ref="L380:L383"/>
    <mergeCell ref="M380:M383"/>
    <mergeCell ref="N380:N383"/>
    <mergeCell ref="B380:B383"/>
    <mergeCell ref="C380:C381"/>
    <mergeCell ref="E380:E383"/>
    <mergeCell ref="F380:F383"/>
    <mergeCell ref="G380:G383"/>
    <mergeCell ref="H380:H383"/>
    <mergeCell ref="Q376:Q379"/>
    <mergeCell ref="R376:R379"/>
    <mergeCell ref="S376:S379"/>
    <mergeCell ref="T376:T379"/>
    <mergeCell ref="U376:U379"/>
    <mergeCell ref="C378:C379"/>
    <mergeCell ref="K376:K379"/>
    <mergeCell ref="L376:L379"/>
    <mergeCell ref="M376:M379"/>
    <mergeCell ref="N376:N379"/>
    <mergeCell ref="O376:O379"/>
    <mergeCell ref="P376:P379"/>
    <mergeCell ref="U372:U375"/>
    <mergeCell ref="C374:C375"/>
    <mergeCell ref="B376:B379"/>
    <mergeCell ref="C376:C377"/>
    <mergeCell ref="E376:E379"/>
    <mergeCell ref="F376:F379"/>
    <mergeCell ref="G376:G379"/>
    <mergeCell ref="H376:H379"/>
    <mergeCell ref="I376:I379"/>
    <mergeCell ref="J376:J379"/>
    <mergeCell ref="O372:O375"/>
    <mergeCell ref="P372:P375"/>
    <mergeCell ref="Q372:Q375"/>
    <mergeCell ref="R372:R375"/>
    <mergeCell ref="S372:S375"/>
    <mergeCell ref="T372:T375"/>
    <mergeCell ref="I372:I375"/>
    <mergeCell ref="J372:J375"/>
    <mergeCell ref="K372:K375"/>
    <mergeCell ref="L372:L375"/>
    <mergeCell ref="M372:M375"/>
    <mergeCell ref="N372:N375"/>
    <mergeCell ref="B372:B375"/>
    <mergeCell ref="C372:C373"/>
    <mergeCell ref="E372:E375"/>
    <mergeCell ref="F372:F375"/>
    <mergeCell ref="G372:G375"/>
    <mergeCell ref="H372:H375"/>
    <mergeCell ref="Q368:Q371"/>
    <mergeCell ref="R368:R371"/>
    <mergeCell ref="S368:S371"/>
    <mergeCell ref="T368:T371"/>
    <mergeCell ref="U368:U371"/>
    <mergeCell ref="C370:C371"/>
    <mergeCell ref="K368:K371"/>
    <mergeCell ref="L368:L371"/>
    <mergeCell ref="M368:M371"/>
    <mergeCell ref="N368:N371"/>
    <mergeCell ref="O368:O371"/>
    <mergeCell ref="P368:P371"/>
    <mergeCell ref="B368:B371"/>
    <mergeCell ref="C368:C369"/>
    <mergeCell ref="E368:E371"/>
    <mergeCell ref="F368:F371"/>
    <mergeCell ref="G368:G371"/>
    <mergeCell ref="H368:H371"/>
    <mergeCell ref="I368:I371"/>
    <mergeCell ref="J368:J371"/>
    <mergeCell ref="U360:U363"/>
    <mergeCell ref="C362:C363"/>
    <mergeCell ref="B364:B367"/>
    <mergeCell ref="C364:C365"/>
    <mergeCell ref="E364:E367"/>
    <mergeCell ref="F364:F367"/>
    <mergeCell ref="G364:G367"/>
    <mergeCell ref="H364:H367"/>
    <mergeCell ref="M360:M363"/>
    <mergeCell ref="N360:N363"/>
    <mergeCell ref="O360:O363"/>
    <mergeCell ref="P360:P363"/>
    <mergeCell ref="Q360:Q363"/>
    <mergeCell ref="R360:R363"/>
    <mergeCell ref="G360:G363"/>
    <mergeCell ref="H360:H363"/>
    <mergeCell ref="I360:I363"/>
    <mergeCell ref="J360:J363"/>
    <mergeCell ref="U364:U367"/>
    <mergeCell ref="C366:C367"/>
    <mergeCell ref="O364:O367"/>
    <mergeCell ref="P364:P367"/>
    <mergeCell ref="B360:B363"/>
    <mergeCell ref="C360:C361"/>
    <mergeCell ref="E360:E363"/>
    <mergeCell ref="F360:F363"/>
    <mergeCell ref="U356:U359"/>
    <mergeCell ref="C358:C359"/>
    <mergeCell ref="K356:K359"/>
    <mergeCell ref="L356:L359"/>
    <mergeCell ref="M356:M359"/>
    <mergeCell ref="N356:N359"/>
    <mergeCell ref="O356:O359"/>
    <mergeCell ref="P356:P359"/>
    <mergeCell ref="U352:U355"/>
    <mergeCell ref="C354:C355"/>
    <mergeCell ref="B356:B359"/>
    <mergeCell ref="C356:C357"/>
    <mergeCell ref="E356:E359"/>
    <mergeCell ref="F356:F359"/>
    <mergeCell ref="G356:G359"/>
    <mergeCell ref="H356:H359"/>
    <mergeCell ref="I356:I359"/>
    <mergeCell ref="J356:J359"/>
    <mergeCell ref="O352:O355"/>
    <mergeCell ref="P352:P355"/>
    <mergeCell ref="Q352:Q355"/>
    <mergeCell ref="R352:R355"/>
    <mergeCell ref="S352:S355"/>
    <mergeCell ref="T352:T355"/>
    <mergeCell ref="I352:I355"/>
    <mergeCell ref="J352:J355"/>
    <mergeCell ref="K352:K355"/>
    <mergeCell ref="L352:L355"/>
    <mergeCell ref="U344:U347"/>
    <mergeCell ref="J344:J347"/>
    <mergeCell ref="K344:K347"/>
    <mergeCell ref="L344:L347"/>
    <mergeCell ref="M344:M347"/>
    <mergeCell ref="N344:N347"/>
    <mergeCell ref="O344:O347"/>
    <mergeCell ref="M352:M355"/>
    <mergeCell ref="N352:N355"/>
    <mergeCell ref="S348:S351"/>
    <mergeCell ref="T348:T351"/>
    <mergeCell ref="U348:U351"/>
    <mergeCell ref="C350:C351"/>
    <mergeCell ref="B352:B355"/>
    <mergeCell ref="C352:C353"/>
    <mergeCell ref="E352:E355"/>
    <mergeCell ref="F352:F355"/>
    <mergeCell ref="G352:G355"/>
    <mergeCell ref="H352:H355"/>
    <mergeCell ref="M348:M351"/>
    <mergeCell ref="N348:N351"/>
    <mergeCell ref="O348:O351"/>
    <mergeCell ref="P348:P351"/>
    <mergeCell ref="Q348:Q351"/>
    <mergeCell ref="R348:R351"/>
    <mergeCell ref="G348:G351"/>
    <mergeCell ref="H348:H351"/>
    <mergeCell ref="I348:I351"/>
    <mergeCell ref="J348:J351"/>
    <mergeCell ref="K348:K351"/>
    <mergeCell ref="L348:L351"/>
    <mergeCell ref="B344:B347"/>
    <mergeCell ref="T344:T347"/>
    <mergeCell ref="Q356:Q359"/>
    <mergeCell ref="R356:R359"/>
    <mergeCell ref="S356:S359"/>
    <mergeCell ref="T356:T359"/>
    <mergeCell ref="K360:K363"/>
    <mergeCell ref="L360:L363"/>
    <mergeCell ref="Q364:Q367"/>
    <mergeCell ref="R364:R367"/>
    <mergeCell ref="S364:S367"/>
    <mergeCell ref="T364:T367"/>
    <mergeCell ref="I364:I367"/>
    <mergeCell ref="J364:J367"/>
    <mergeCell ref="K364:K367"/>
    <mergeCell ref="L364:L367"/>
    <mergeCell ref="M364:M367"/>
    <mergeCell ref="N364:N367"/>
    <mergeCell ref="S360:S363"/>
    <mergeCell ref="T360:T363"/>
    <mergeCell ref="C344:C345"/>
    <mergeCell ref="E344:E347"/>
    <mergeCell ref="F344:F347"/>
    <mergeCell ref="G344:G347"/>
    <mergeCell ref="H344:H347"/>
    <mergeCell ref="I344:I347"/>
    <mergeCell ref="N340:N343"/>
    <mergeCell ref="O340:O343"/>
    <mergeCell ref="P340:P343"/>
    <mergeCell ref="Q340:Q343"/>
    <mergeCell ref="R340:R343"/>
    <mergeCell ref="S340:S343"/>
    <mergeCell ref="H340:H343"/>
    <mergeCell ref="I340:I343"/>
    <mergeCell ref="J340:J343"/>
    <mergeCell ref="K340:K343"/>
    <mergeCell ref="L340:L343"/>
    <mergeCell ref="M340:M343"/>
    <mergeCell ref="C346:C347"/>
    <mergeCell ref="P344:P347"/>
    <mergeCell ref="Q344:Q347"/>
    <mergeCell ref="R344:R347"/>
    <mergeCell ref="S344:S347"/>
    <mergeCell ref="B340:B343"/>
    <mergeCell ref="C340:C341"/>
    <mergeCell ref="E340:E343"/>
    <mergeCell ref="F340:F343"/>
    <mergeCell ref="G340:G343"/>
    <mergeCell ref="T336:T339"/>
    <mergeCell ref="U336:U339"/>
    <mergeCell ref="J336:J339"/>
    <mergeCell ref="K336:K339"/>
    <mergeCell ref="L336:L339"/>
    <mergeCell ref="M336:M339"/>
    <mergeCell ref="N336:N339"/>
    <mergeCell ref="O336:O339"/>
    <mergeCell ref="T332:T335"/>
    <mergeCell ref="U332:U335"/>
    <mergeCell ref="C334:C335"/>
    <mergeCell ref="T340:T343"/>
    <mergeCell ref="U340:U343"/>
    <mergeCell ref="C342:C343"/>
    <mergeCell ref="B336:B339"/>
    <mergeCell ref="C336:C337"/>
    <mergeCell ref="E336:E339"/>
    <mergeCell ref="F336:F339"/>
    <mergeCell ref="G336:G339"/>
    <mergeCell ref="H336:H339"/>
    <mergeCell ref="I336:I339"/>
    <mergeCell ref="N332:N335"/>
    <mergeCell ref="O332:O335"/>
    <mergeCell ref="P332:P335"/>
    <mergeCell ref="Q332:Q335"/>
    <mergeCell ref="R332:R335"/>
    <mergeCell ref="S332:S335"/>
    <mergeCell ref="H332:H335"/>
    <mergeCell ref="I332:I335"/>
    <mergeCell ref="J332:J335"/>
    <mergeCell ref="K332:K335"/>
    <mergeCell ref="L332:L335"/>
    <mergeCell ref="M332:M335"/>
    <mergeCell ref="C330:C331"/>
    <mergeCell ref="C338:C339"/>
    <mergeCell ref="B332:B335"/>
    <mergeCell ref="C332:C333"/>
    <mergeCell ref="E332:E335"/>
    <mergeCell ref="F332:F335"/>
    <mergeCell ref="G332:G335"/>
    <mergeCell ref="P336:P339"/>
    <mergeCell ref="Q336:Q339"/>
    <mergeCell ref="R336:R339"/>
    <mergeCell ref="S336:S339"/>
    <mergeCell ref="P328:P331"/>
    <mergeCell ref="Q328:Q331"/>
    <mergeCell ref="R328:R331"/>
    <mergeCell ref="S328:S331"/>
    <mergeCell ref="T316:T319"/>
    <mergeCell ref="U316:U319"/>
    <mergeCell ref="C318:C319"/>
    <mergeCell ref="T328:T331"/>
    <mergeCell ref="U328:U331"/>
    <mergeCell ref="J328:J331"/>
    <mergeCell ref="K328:K331"/>
    <mergeCell ref="L328:L331"/>
    <mergeCell ref="M328:M331"/>
    <mergeCell ref="N328:N331"/>
    <mergeCell ref="O328:O331"/>
    <mergeCell ref="T324:T327"/>
    <mergeCell ref="U324:U327"/>
    <mergeCell ref="C326:C327"/>
    <mergeCell ref="B328:B331"/>
    <mergeCell ref="C328:C329"/>
    <mergeCell ref="E328:E331"/>
    <mergeCell ref="F328:F331"/>
    <mergeCell ref="G328:G331"/>
    <mergeCell ref="H328:H331"/>
    <mergeCell ref="I328:I331"/>
    <mergeCell ref="N324:N327"/>
    <mergeCell ref="O324:O327"/>
    <mergeCell ref="P324:P327"/>
    <mergeCell ref="Q324:Q327"/>
    <mergeCell ref="R324:R327"/>
    <mergeCell ref="S324:S327"/>
    <mergeCell ref="H324:H327"/>
    <mergeCell ref="I324:I327"/>
    <mergeCell ref="J324:J327"/>
    <mergeCell ref="K324:K327"/>
    <mergeCell ref="L324:L327"/>
    <mergeCell ref="E324:E327"/>
    <mergeCell ref="F324:F327"/>
    <mergeCell ref="G324:G327"/>
    <mergeCell ref="P320:P323"/>
    <mergeCell ref="Q320:Q323"/>
    <mergeCell ref="R320:R323"/>
    <mergeCell ref="S320:S323"/>
    <mergeCell ref="T320:T323"/>
    <mergeCell ref="U320:U323"/>
    <mergeCell ref="J320:J323"/>
    <mergeCell ref="K320:K323"/>
    <mergeCell ref="L320:L323"/>
    <mergeCell ref="M320:M323"/>
    <mergeCell ref="N320:N323"/>
    <mergeCell ref="O320:O323"/>
    <mergeCell ref="B320:B323"/>
    <mergeCell ref="C320:C321"/>
    <mergeCell ref="E320:E323"/>
    <mergeCell ref="F320:F323"/>
    <mergeCell ref="G320:G323"/>
    <mergeCell ref="H320:H323"/>
    <mergeCell ref="I320:I323"/>
    <mergeCell ref="M324:M327"/>
    <mergeCell ref="B324:B327"/>
    <mergeCell ref="C324:C325"/>
    <mergeCell ref="N316:N319"/>
    <mergeCell ref="O316:O319"/>
    <mergeCell ref="P316:P319"/>
    <mergeCell ref="Q316:Q319"/>
    <mergeCell ref="R316:R319"/>
    <mergeCell ref="S316:S319"/>
    <mergeCell ref="H316:H319"/>
    <mergeCell ref="I316:I319"/>
    <mergeCell ref="J316:J319"/>
    <mergeCell ref="K316:K319"/>
    <mergeCell ref="L316:L319"/>
    <mergeCell ref="M316:M319"/>
    <mergeCell ref="C314:C315"/>
    <mergeCell ref="C322:C323"/>
    <mergeCell ref="B316:B319"/>
    <mergeCell ref="C316:C317"/>
    <mergeCell ref="E316:E319"/>
    <mergeCell ref="F316:F319"/>
    <mergeCell ref="G316:G319"/>
    <mergeCell ref="P312:P315"/>
    <mergeCell ref="Q312:Q315"/>
    <mergeCell ref="R312:R315"/>
    <mergeCell ref="S312:S315"/>
    <mergeCell ref="T312:T315"/>
    <mergeCell ref="U312:U315"/>
    <mergeCell ref="J312:J315"/>
    <mergeCell ref="K312:K315"/>
    <mergeCell ref="L312:L315"/>
    <mergeCell ref="M312:M315"/>
    <mergeCell ref="N312:N315"/>
    <mergeCell ref="O312:O315"/>
    <mergeCell ref="T308:T311"/>
    <mergeCell ref="U308:U311"/>
    <mergeCell ref="C310:C311"/>
    <mergeCell ref="B312:B315"/>
    <mergeCell ref="C312:C313"/>
    <mergeCell ref="E312:E315"/>
    <mergeCell ref="F312:F315"/>
    <mergeCell ref="G312:G315"/>
    <mergeCell ref="H312:H315"/>
    <mergeCell ref="I312:I315"/>
    <mergeCell ref="N308:N311"/>
    <mergeCell ref="O308:O311"/>
    <mergeCell ref="P308:P311"/>
    <mergeCell ref="Q308:Q311"/>
    <mergeCell ref="R308:R311"/>
    <mergeCell ref="S308:S311"/>
    <mergeCell ref="H308:H311"/>
    <mergeCell ref="I308:I311"/>
    <mergeCell ref="J308:J311"/>
    <mergeCell ref="K308:K311"/>
    <mergeCell ref="L308:L311"/>
    <mergeCell ref="M308:M311"/>
    <mergeCell ref="B308:B311"/>
    <mergeCell ref="C308:C309"/>
    <mergeCell ref="E308:E311"/>
    <mergeCell ref="F308:F311"/>
    <mergeCell ref="G308:G311"/>
    <mergeCell ref="K300:K303"/>
    <mergeCell ref="L300:L303"/>
    <mergeCell ref="M300:M303"/>
    <mergeCell ref="C306:C307"/>
    <mergeCell ref="B300:B303"/>
    <mergeCell ref="C300:C301"/>
    <mergeCell ref="E300:E303"/>
    <mergeCell ref="F300:F303"/>
    <mergeCell ref="G300:G303"/>
    <mergeCell ref="P304:P307"/>
    <mergeCell ref="Q304:Q307"/>
    <mergeCell ref="R304:R307"/>
    <mergeCell ref="S304:S307"/>
    <mergeCell ref="T304:T307"/>
    <mergeCell ref="U304:U307"/>
    <mergeCell ref="J304:J307"/>
    <mergeCell ref="K304:K307"/>
    <mergeCell ref="L304:L307"/>
    <mergeCell ref="M304:M307"/>
    <mergeCell ref="N304:N307"/>
    <mergeCell ref="O304:O307"/>
    <mergeCell ref="B304:B307"/>
    <mergeCell ref="C304:C305"/>
    <mergeCell ref="E304:E307"/>
    <mergeCell ref="F304:F307"/>
    <mergeCell ref="G304:G307"/>
    <mergeCell ref="H304:H307"/>
    <mergeCell ref="I304:I307"/>
    <mergeCell ref="P296:P299"/>
    <mergeCell ref="Q296:Q299"/>
    <mergeCell ref="R296:R299"/>
    <mergeCell ref="S296:S299"/>
    <mergeCell ref="T296:T299"/>
    <mergeCell ref="U296:U299"/>
    <mergeCell ref="J296:J299"/>
    <mergeCell ref="K296:K299"/>
    <mergeCell ref="L296:L299"/>
    <mergeCell ref="M296:M299"/>
    <mergeCell ref="N296:N299"/>
    <mergeCell ref="O296:O299"/>
    <mergeCell ref="T300:T303"/>
    <mergeCell ref="U300:U303"/>
    <mergeCell ref="C302:C303"/>
    <mergeCell ref="B296:B299"/>
    <mergeCell ref="C296:C297"/>
    <mergeCell ref="E296:E299"/>
    <mergeCell ref="F296:F299"/>
    <mergeCell ref="G296:G299"/>
    <mergeCell ref="H296:H299"/>
    <mergeCell ref="I296:I299"/>
    <mergeCell ref="C298:C299"/>
    <mergeCell ref="N300:N303"/>
    <mergeCell ref="O300:O303"/>
    <mergeCell ref="P300:P303"/>
    <mergeCell ref="Q300:Q303"/>
    <mergeCell ref="R300:R303"/>
    <mergeCell ref="S300:S303"/>
    <mergeCell ref="H300:H303"/>
    <mergeCell ref="I300:I303"/>
    <mergeCell ref="J300:J303"/>
    <mergeCell ref="B288:B291"/>
    <mergeCell ref="C288:C289"/>
    <mergeCell ref="E288:E291"/>
    <mergeCell ref="F288:F291"/>
    <mergeCell ref="G288:G291"/>
    <mergeCell ref="H288:H291"/>
    <mergeCell ref="I288:I291"/>
    <mergeCell ref="N292:N295"/>
    <mergeCell ref="O292:O295"/>
    <mergeCell ref="P292:P295"/>
    <mergeCell ref="H292:H295"/>
    <mergeCell ref="I292:I295"/>
    <mergeCell ref="J292:J295"/>
    <mergeCell ref="K292:K295"/>
    <mergeCell ref="L292:L295"/>
    <mergeCell ref="M292:M295"/>
    <mergeCell ref="B292:B295"/>
    <mergeCell ref="C292:C293"/>
    <mergeCell ref="E292:E295"/>
    <mergeCell ref="F292:F295"/>
    <mergeCell ref="G292:G295"/>
    <mergeCell ref="M284:M287"/>
    <mergeCell ref="C290:C291"/>
    <mergeCell ref="F284:F287"/>
    <mergeCell ref="G284:G287"/>
    <mergeCell ref="P280:P283"/>
    <mergeCell ref="Q280:Q283"/>
    <mergeCell ref="R280:R283"/>
    <mergeCell ref="S280:S283"/>
    <mergeCell ref="P288:P291"/>
    <mergeCell ref="Q288:Q291"/>
    <mergeCell ref="R288:R291"/>
    <mergeCell ref="S288:S291"/>
    <mergeCell ref="T288:T291"/>
    <mergeCell ref="U288:U291"/>
    <mergeCell ref="J288:J291"/>
    <mergeCell ref="K288:K291"/>
    <mergeCell ref="L288:L291"/>
    <mergeCell ref="M288:M291"/>
    <mergeCell ref="N288:N291"/>
    <mergeCell ref="O288:O291"/>
    <mergeCell ref="U284:U287"/>
    <mergeCell ref="C286:C287"/>
    <mergeCell ref="I284:I287"/>
    <mergeCell ref="J284:J287"/>
    <mergeCell ref="T292:T295"/>
    <mergeCell ref="U292:U295"/>
    <mergeCell ref="C294:C295"/>
    <mergeCell ref="Q292:Q295"/>
    <mergeCell ref="R292:R295"/>
    <mergeCell ref="S292:S295"/>
    <mergeCell ref="A280:A347"/>
    <mergeCell ref="B280:B283"/>
    <mergeCell ref="C280:C281"/>
    <mergeCell ref="E280:E283"/>
    <mergeCell ref="F280:F283"/>
    <mergeCell ref="G280:G283"/>
    <mergeCell ref="H280:H283"/>
    <mergeCell ref="I280:I283"/>
    <mergeCell ref="O276:O279"/>
    <mergeCell ref="P276:P279"/>
    <mergeCell ref="Q276:Q279"/>
    <mergeCell ref="R276:R279"/>
    <mergeCell ref="S276:S279"/>
    <mergeCell ref="T276:T279"/>
    <mergeCell ref="I276:I279"/>
    <mergeCell ref="J276:J279"/>
    <mergeCell ref="K276:K279"/>
    <mergeCell ref="L276:L279"/>
    <mergeCell ref="M276:M279"/>
    <mergeCell ref="N284:N287"/>
    <mergeCell ref="O284:O287"/>
    <mergeCell ref="P284:P287"/>
    <mergeCell ref="Q284:Q287"/>
    <mergeCell ref="R284:R287"/>
    <mergeCell ref="S284:S287"/>
    <mergeCell ref="H284:H287"/>
    <mergeCell ref="A212:A279"/>
    <mergeCell ref="B212:B215"/>
    <mergeCell ref="C212:C213"/>
    <mergeCell ref="E212:E215"/>
    <mergeCell ref="F212:F215"/>
    <mergeCell ref="M272:M275"/>
    <mergeCell ref="N272:N275"/>
    <mergeCell ref="O272:O275"/>
    <mergeCell ref="P272:P275"/>
    <mergeCell ref="T280:T283"/>
    <mergeCell ref="U280:U283"/>
    <mergeCell ref="J280:J283"/>
    <mergeCell ref="K280:K283"/>
    <mergeCell ref="L280:L283"/>
    <mergeCell ref="M280:M283"/>
    <mergeCell ref="N280:N283"/>
    <mergeCell ref="O280:O283"/>
    <mergeCell ref="T284:T287"/>
    <mergeCell ref="U276:U279"/>
    <mergeCell ref="C278:C279"/>
    <mergeCell ref="N276:N279"/>
    <mergeCell ref="B276:B279"/>
    <mergeCell ref="K284:K287"/>
    <mergeCell ref="L284:L287"/>
    <mergeCell ref="C276:C277"/>
    <mergeCell ref="E276:E279"/>
    <mergeCell ref="F276:F279"/>
    <mergeCell ref="G276:G279"/>
    <mergeCell ref="H276:H279"/>
    <mergeCell ref="C282:C283"/>
    <mergeCell ref="B284:B287"/>
    <mergeCell ref="C284:C285"/>
    <mergeCell ref="E284:E287"/>
    <mergeCell ref="Q272:Q275"/>
    <mergeCell ref="R272:R275"/>
    <mergeCell ref="S272:S275"/>
    <mergeCell ref="T272:T275"/>
    <mergeCell ref="U268:U271"/>
    <mergeCell ref="C270:C271"/>
    <mergeCell ref="B272:B275"/>
    <mergeCell ref="C272:C273"/>
    <mergeCell ref="E272:E275"/>
    <mergeCell ref="F272:F275"/>
    <mergeCell ref="G272:G275"/>
    <mergeCell ref="H272:H275"/>
    <mergeCell ref="I272:I275"/>
    <mergeCell ref="J272:J275"/>
    <mergeCell ref="O268:O271"/>
    <mergeCell ref="P268:P271"/>
    <mergeCell ref="Q268:Q271"/>
    <mergeCell ref="R268:R271"/>
    <mergeCell ref="S268:S271"/>
    <mergeCell ref="T268:T271"/>
    <mergeCell ref="I268:I271"/>
    <mergeCell ref="J268:J271"/>
    <mergeCell ref="K268:K271"/>
    <mergeCell ref="L268:L271"/>
    <mergeCell ref="M268:M271"/>
    <mergeCell ref="N268:N271"/>
    <mergeCell ref="B268:B271"/>
    <mergeCell ref="C268:C269"/>
    <mergeCell ref="E268:E271"/>
    <mergeCell ref="F268:F271"/>
    <mergeCell ref="G268:G271"/>
    <mergeCell ref="H268:H271"/>
    <mergeCell ref="U272:U275"/>
    <mergeCell ref="C274:C275"/>
    <mergeCell ref="K272:K275"/>
    <mergeCell ref="L272:L275"/>
    <mergeCell ref="Q264:Q267"/>
    <mergeCell ref="R264:R267"/>
    <mergeCell ref="S264:S267"/>
    <mergeCell ref="T264:T267"/>
    <mergeCell ref="U264:U267"/>
    <mergeCell ref="C266:C267"/>
    <mergeCell ref="K264:K267"/>
    <mergeCell ref="L264:L267"/>
    <mergeCell ref="M264:M267"/>
    <mergeCell ref="N264:N267"/>
    <mergeCell ref="O264:O267"/>
    <mergeCell ref="P264:P267"/>
    <mergeCell ref="U260:U263"/>
    <mergeCell ref="C262:C263"/>
    <mergeCell ref="B264:B267"/>
    <mergeCell ref="C264:C265"/>
    <mergeCell ref="E264:E267"/>
    <mergeCell ref="F264:F267"/>
    <mergeCell ref="G264:G267"/>
    <mergeCell ref="H264:H267"/>
    <mergeCell ref="I264:I267"/>
    <mergeCell ref="J264:J267"/>
    <mergeCell ref="O260:O263"/>
    <mergeCell ref="P260:P263"/>
    <mergeCell ref="Q260:Q263"/>
    <mergeCell ref="R260:R263"/>
    <mergeCell ref="S260:S263"/>
    <mergeCell ref="T260:T263"/>
    <mergeCell ref="I260:I263"/>
    <mergeCell ref="J260:J263"/>
    <mergeCell ref="K260:K263"/>
    <mergeCell ref="L260:L263"/>
    <mergeCell ref="M260:M263"/>
    <mergeCell ref="N260:N263"/>
    <mergeCell ref="B260:B263"/>
    <mergeCell ref="C260:C261"/>
    <mergeCell ref="E260:E263"/>
    <mergeCell ref="F260:F263"/>
    <mergeCell ref="G260:G263"/>
    <mergeCell ref="H260:H263"/>
    <mergeCell ref="Q256:Q259"/>
    <mergeCell ref="R256:R259"/>
    <mergeCell ref="S256:S259"/>
    <mergeCell ref="T256:T259"/>
    <mergeCell ref="U256:U259"/>
    <mergeCell ref="C258:C259"/>
    <mergeCell ref="K256:K259"/>
    <mergeCell ref="L256:L259"/>
    <mergeCell ref="M256:M259"/>
    <mergeCell ref="N256:N259"/>
    <mergeCell ref="O256:O259"/>
    <mergeCell ref="P256:P259"/>
    <mergeCell ref="U252:U255"/>
    <mergeCell ref="C254:C255"/>
    <mergeCell ref="B256:B259"/>
    <mergeCell ref="C256:C257"/>
    <mergeCell ref="E256:E259"/>
    <mergeCell ref="F256:F259"/>
    <mergeCell ref="G256:G259"/>
    <mergeCell ref="H256:H259"/>
    <mergeCell ref="I256:I259"/>
    <mergeCell ref="J256:J259"/>
    <mergeCell ref="O252:O255"/>
    <mergeCell ref="P252:P255"/>
    <mergeCell ref="Q252:Q255"/>
    <mergeCell ref="R252:R255"/>
    <mergeCell ref="S252:S255"/>
    <mergeCell ref="T252:T255"/>
    <mergeCell ref="I252:I255"/>
    <mergeCell ref="J252:J255"/>
    <mergeCell ref="K252:K255"/>
    <mergeCell ref="L252:L255"/>
    <mergeCell ref="M252:M255"/>
    <mergeCell ref="N252:N255"/>
    <mergeCell ref="B252:B255"/>
    <mergeCell ref="C252:C253"/>
    <mergeCell ref="E252:E255"/>
    <mergeCell ref="F252:F255"/>
    <mergeCell ref="G252:G255"/>
    <mergeCell ref="H252:H255"/>
    <mergeCell ref="Q248:Q251"/>
    <mergeCell ref="R248:R251"/>
    <mergeCell ref="S248:S251"/>
    <mergeCell ref="T248:T251"/>
    <mergeCell ref="U248:U251"/>
    <mergeCell ref="C250:C251"/>
    <mergeCell ref="K248:K251"/>
    <mergeCell ref="L248:L251"/>
    <mergeCell ref="M248:M251"/>
    <mergeCell ref="N248:N251"/>
    <mergeCell ref="O248:O251"/>
    <mergeCell ref="P248:P251"/>
    <mergeCell ref="U244:U247"/>
    <mergeCell ref="C246:C247"/>
    <mergeCell ref="B248:B251"/>
    <mergeCell ref="C248:C249"/>
    <mergeCell ref="E248:E251"/>
    <mergeCell ref="F248:F251"/>
    <mergeCell ref="G248:G251"/>
    <mergeCell ref="H248:H251"/>
    <mergeCell ref="I248:I251"/>
    <mergeCell ref="J248:J251"/>
    <mergeCell ref="O244:O247"/>
    <mergeCell ref="P244:P247"/>
    <mergeCell ref="Q244:Q247"/>
    <mergeCell ref="R244:R247"/>
    <mergeCell ref="S244:S247"/>
    <mergeCell ref="T244:T247"/>
    <mergeCell ref="I244:I247"/>
    <mergeCell ref="J244:J247"/>
    <mergeCell ref="K244:K247"/>
    <mergeCell ref="L244:L247"/>
    <mergeCell ref="M244:M247"/>
    <mergeCell ref="N244:N247"/>
    <mergeCell ref="B244:B247"/>
    <mergeCell ref="C244:C245"/>
    <mergeCell ref="E244:E247"/>
    <mergeCell ref="F244:F247"/>
    <mergeCell ref="G244:G247"/>
    <mergeCell ref="H244:H247"/>
    <mergeCell ref="Q240:Q243"/>
    <mergeCell ref="R240:R243"/>
    <mergeCell ref="S240:S243"/>
    <mergeCell ref="T240:T243"/>
    <mergeCell ref="U240:U243"/>
    <mergeCell ref="C242:C243"/>
    <mergeCell ref="K240:K243"/>
    <mergeCell ref="L240:L243"/>
    <mergeCell ref="M240:M243"/>
    <mergeCell ref="N240:N243"/>
    <mergeCell ref="O240:O243"/>
    <mergeCell ref="P240:P243"/>
    <mergeCell ref="U236:U239"/>
    <mergeCell ref="C238:C239"/>
    <mergeCell ref="B240:B243"/>
    <mergeCell ref="C240:C241"/>
    <mergeCell ref="E240:E243"/>
    <mergeCell ref="F240:F243"/>
    <mergeCell ref="G240:G243"/>
    <mergeCell ref="H240:H243"/>
    <mergeCell ref="I240:I243"/>
    <mergeCell ref="J240:J243"/>
    <mergeCell ref="O236:O239"/>
    <mergeCell ref="P236:P239"/>
    <mergeCell ref="Q236:Q239"/>
    <mergeCell ref="R236:R239"/>
    <mergeCell ref="S236:S239"/>
    <mergeCell ref="T236:T239"/>
    <mergeCell ref="I236:I239"/>
    <mergeCell ref="J236:J239"/>
    <mergeCell ref="K236:K239"/>
    <mergeCell ref="L236:L239"/>
    <mergeCell ref="M236:M239"/>
    <mergeCell ref="N236:N239"/>
    <mergeCell ref="B236:B239"/>
    <mergeCell ref="C236:C237"/>
    <mergeCell ref="E236:E239"/>
    <mergeCell ref="F236:F239"/>
    <mergeCell ref="G236:G239"/>
    <mergeCell ref="H236:H239"/>
    <mergeCell ref="Q232:Q235"/>
    <mergeCell ref="R232:R235"/>
    <mergeCell ref="S232:S235"/>
    <mergeCell ref="T232:T235"/>
    <mergeCell ref="U232:U235"/>
    <mergeCell ref="C234:C235"/>
    <mergeCell ref="K232:K235"/>
    <mergeCell ref="L232:L235"/>
    <mergeCell ref="M232:M235"/>
    <mergeCell ref="N232:N235"/>
    <mergeCell ref="O232:O235"/>
    <mergeCell ref="P232:P235"/>
    <mergeCell ref="B232:B235"/>
    <mergeCell ref="C232:C233"/>
    <mergeCell ref="E232:E235"/>
    <mergeCell ref="F232:F235"/>
    <mergeCell ref="G232:G235"/>
    <mergeCell ref="H232:H235"/>
    <mergeCell ref="I232:I235"/>
    <mergeCell ref="J232:J235"/>
    <mergeCell ref="U224:U227"/>
    <mergeCell ref="C226:C227"/>
    <mergeCell ref="B228:B231"/>
    <mergeCell ref="C228:C229"/>
    <mergeCell ref="E228:E231"/>
    <mergeCell ref="F228:F231"/>
    <mergeCell ref="G228:G231"/>
    <mergeCell ref="H228:H231"/>
    <mergeCell ref="M224:M227"/>
    <mergeCell ref="N224:N227"/>
    <mergeCell ref="O224:O227"/>
    <mergeCell ref="P224:P227"/>
    <mergeCell ref="Q224:Q227"/>
    <mergeCell ref="R224:R227"/>
    <mergeCell ref="G224:G227"/>
    <mergeCell ref="H224:H227"/>
    <mergeCell ref="I224:I227"/>
    <mergeCell ref="J224:J227"/>
    <mergeCell ref="U228:U231"/>
    <mergeCell ref="C230:C231"/>
    <mergeCell ref="O228:O231"/>
    <mergeCell ref="P228:P231"/>
    <mergeCell ref="B224:B227"/>
    <mergeCell ref="C224:C225"/>
    <mergeCell ref="E224:E227"/>
    <mergeCell ref="F224:F227"/>
    <mergeCell ref="U220:U223"/>
    <mergeCell ref="C222:C223"/>
    <mergeCell ref="K220:K223"/>
    <mergeCell ref="L220:L223"/>
    <mergeCell ref="M220:M223"/>
    <mergeCell ref="N220:N223"/>
    <mergeCell ref="O220:O223"/>
    <mergeCell ref="P220:P223"/>
    <mergeCell ref="U216:U219"/>
    <mergeCell ref="C218:C219"/>
    <mergeCell ref="B220:B223"/>
    <mergeCell ref="C220:C221"/>
    <mergeCell ref="E220:E223"/>
    <mergeCell ref="F220:F223"/>
    <mergeCell ref="G220:G223"/>
    <mergeCell ref="H220:H223"/>
    <mergeCell ref="I220:I223"/>
    <mergeCell ref="J220:J223"/>
    <mergeCell ref="O216:O219"/>
    <mergeCell ref="P216:P219"/>
    <mergeCell ref="Q216:Q219"/>
    <mergeCell ref="R216:R219"/>
    <mergeCell ref="S216:S219"/>
    <mergeCell ref="T216:T219"/>
    <mergeCell ref="I216:I219"/>
    <mergeCell ref="J216:J219"/>
    <mergeCell ref="K216:K219"/>
    <mergeCell ref="L216:L219"/>
    <mergeCell ref="U208:U211"/>
    <mergeCell ref="J208:J211"/>
    <mergeCell ref="K208:K211"/>
    <mergeCell ref="L208:L211"/>
    <mergeCell ref="M208:M211"/>
    <mergeCell ref="N208:N211"/>
    <mergeCell ref="O208:O211"/>
    <mergeCell ref="M216:M219"/>
    <mergeCell ref="N216:N219"/>
    <mergeCell ref="S212:S215"/>
    <mergeCell ref="T212:T215"/>
    <mergeCell ref="U212:U215"/>
    <mergeCell ref="C214:C215"/>
    <mergeCell ref="B216:B219"/>
    <mergeCell ref="C216:C217"/>
    <mergeCell ref="E216:E219"/>
    <mergeCell ref="F216:F219"/>
    <mergeCell ref="G216:G219"/>
    <mergeCell ref="H216:H219"/>
    <mergeCell ref="M212:M215"/>
    <mergeCell ref="N212:N215"/>
    <mergeCell ref="O212:O215"/>
    <mergeCell ref="P212:P215"/>
    <mergeCell ref="Q212:Q215"/>
    <mergeCell ref="R212:R215"/>
    <mergeCell ref="G212:G215"/>
    <mergeCell ref="H212:H215"/>
    <mergeCell ref="I212:I215"/>
    <mergeCell ref="J212:J215"/>
    <mergeCell ref="K212:K215"/>
    <mergeCell ref="L212:L215"/>
    <mergeCell ref="B208:B211"/>
    <mergeCell ref="T208:T211"/>
    <mergeCell ref="Q220:Q223"/>
    <mergeCell ref="R220:R223"/>
    <mergeCell ref="S220:S223"/>
    <mergeCell ref="T220:T223"/>
    <mergeCell ref="K224:K227"/>
    <mergeCell ref="L224:L227"/>
    <mergeCell ref="Q228:Q231"/>
    <mergeCell ref="R228:R231"/>
    <mergeCell ref="S228:S231"/>
    <mergeCell ref="T228:T231"/>
    <mergeCell ref="I228:I231"/>
    <mergeCell ref="J228:J231"/>
    <mergeCell ref="K228:K231"/>
    <mergeCell ref="L228:L231"/>
    <mergeCell ref="M228:M231"/>
    <mergeCell ref="N228:N231"/>
    <mergeCell ref="S224:S227"/>
    <mergeCell ref="T224:T227"/>
    <mergeCell ref="C208:C209"/>
    <mergeCell ref="E208:E211"/>
    <mergeCell ref="F208:F211"/>
    <mergeCell ref="G208:G211"/>
    <mergeCell ref="H208:H211"/>
    <mergeCell ref="I208:I211"/>
    <mergeCell ref="N204:N207"/>
    <mergeCell ref="O204:O207"/>
    <mergeCell ref="P204:P207"/>
    <mergeCell ref="Q204:Q207"/>
    <mergeCell ref="R204:R207"/>
    <mergeCell ref="S204:S207"/>
    <mergeCell ref="H204:H207"/>
    <mergeCell ref="I204:I207"/>
    <mergeCell ref="J204:J207"/>
    <mergeCell ref="K204:K207"/>
    <mergeCell ref="L204:L207"/>
    <mergeCell ref="M204:M207"/>
    <mergeCell ref="C210:C211"/>
    <mergeCell ref="P208:P211"/>
    <mergeCell ref="Q208:Q211"/>
    <mergeCell ref="R208:R211"/>
    <mergeCell ref="S208:S211"/>
    <mergeCell ref="B204:B207"/>
    <mergeCell ref="C204:C205"/>
    <mergeCell ref="E204:E207"/>
    <mergeCell ref="F204:F207"/>
    <mergeCell ref="G204:G207"/>
    <mergeCell ref="T200:T203"/>
    <mergeCell ref="U200:U203"/>
    <mergeCell ref="J200:J203"/>
    <mergeCell ref="K200:K203"/>
    <mergeCell ref="L200:L203"/>
    <mergeCell ref="M200:M203"/>
    <mergeCell ref="N200:N203"/>
    <mergeCell ref="O200:O203"/>
    <mergeCell ref="T196:T199"/>
    <mergeCell ref="U196:U199"/>
    <mergeCell ref="C198:C199"/>
    <mergeCell ref="T204:T207"/>
    <mergeCell ref="U204:U207"/>
    <mergeCell ref="C206:C207"/>
    <mergeCell ref="B200:B203"/>
    <mergeCell ref="C200:C201"/>
    <mergeCell ref="E200:E203"/>
    <mergeCell ref="F200:F203"/>
    <mergeCell ref="G200:G203"/>
    <mergeCell ref="H200:H203"/>
    <mergeCell ref="I200:I203"/>
    <mergeCell ref="N196:N199"/>
    <mergeCell ref="O196:O199"/>
    <mergeCell ref="P196:P199"/>
    <mergeCell ref="Q196:Q199"/>
    <mergeCell ref="R196:R199"/>
    <mergeCell ref="S196:S199"/>
    <mergeCell ref="H196:H199"/>
    <mergeCell ref="I196:I199"/>
    <mergeCell ref="J196:J199"/>
    <mergeCell ref="K196:K199"/>
    <mergeCell ref="L196:L199"/>
    <mergeCell ref="M196:M199"/>
    <mergeCell ref="C194:C195"/>
    <mergeCell ref="C202:C203"/>
    <mergeCell ref="B196:B199"/>
    <mergeCell ref="C196:C197"/>
    <mergeCell ref="E196:E199"/>
    <mergeCell ref="F196:F199"/>
    <mergeCell ref="G196:G199"/>
    <mergeCell ref="P200:P203"/>
    <mergeCell ref="Q200:Q203"/>
    <mergeCell ref="R200:R203"/>
    <mergeCell ref="S200:S203"/>
    <mergeCell ref="P192:P195"/>
    <mergeCell ref="Q192:Q195"/>
    <mergeCell ref="R192:R195"/>
    <mergeCell ref="S192:S195"/>
    <mergeCell ref="T180:T183"/>
    <mergeCell ref="U180:U183"/>
    <mergeCell ref="C182:C183"/>
    <mergeCell ref="T192:T195"/>
    <mergeCell ref="U192:U195"/>
    <mergeCell ref="J192:J195"/>
    <mergeCell ref="K192:K195"/>
    <mergeCell ref="L192:L195"/>
    <mergeCell ref="M192:M195"/>
    <mergeCell ref="N192:N195"/>
    <mergeCell ref="O192:O195"/>
    <mergeCell ref="T188:T191"/>
    <mergeCell ref="U188:U191"/>
    <mergeCell ref="C190:C191"/>
    <mergeCell ref="B192:B195"/>
    <mergeCell ref="C192:C193"/>
    <mergeCell ref="E192:E195"/>
    <mergeCell ref="F192:F195"/>
    <mergeCell ref="G192:G195"/>
    <mergeCell ref="H192:H195"/>
    <mergeCell ref="I192:I195"/>
    <mergeCell ref="N188:N191"/>
    <mergeCell ref="O188:O191"/>
    <mergeCell ref="P188:P191"/>
    <mergeCell ref="Q188:Q191"/>
    <mergeCell ref="R188:R191"/>
    <mergeCell ref="S188:S191"/>
    <mergeCell ref="H188:H191"/>
    <mergeCell ref="I188:I191"/>
    <mergeCell ref="J188:J191"/>
    <mergeCell ref="K188:K191"/>
    <mergeCell ref="L188:L191"/>
    <mergeCell ref="E188:E191"/>
    <mergeCell ref="F188:F191"/>
    <mergeCell ref="G188:G191"/>
    <mergeCell ref="P184:P187"/>
    <mergeCell ref="Q184:Q187"/>
    <mergeCell ref="R184:R187"/>
    <mergeCell ref="S184:S187"/>
    <mergeCell ref="T184:T187"/>
    <mergeCell ref="U184:U187"/>
    <mergeCell ref="J184:J187"/>
    <mergeCell ref="K184:K187"/>
    <mergeCell ref="L184:L187"/>
    <mergeCell ref="M184:M187"/>
    <mergeCell ref="N184:N187"/>
    <mergeCell ref="O184:O187"/>
    <mergeCell ref="B184:B187"/>
    <mergeCell ref="C184:C185"/>
    <mergeCell ref="E184:E187"/>
    <mergeCell ref="F184:F187"/>
    <mergeCell ref="G184:G187"/>
    <mergeCell ref="H184:H187"/>
    <mergeCell ref="I184:I187"/>
    <mergeCell ref="M188:M191"/>
    <mergeCell ref="B188:B191"/>
    <mergeCell ref="C188:C189"/>
    <mergeCell ref="N180:N183"/>
    <mergeCell ref="O180:O183"/>
    <mergeCell ref="P180:P183"/>
    <mergeCell ref="Q180:Q183"/>
    <mergeCell ref="R180:R183"/>
    <mergeCell ref="S180:S183"/>
    <mergeCell ref="H180:H183"/>
    <mergeCell ref="I180:I183"/>
    <mergeCell ref="J180:J183"/>
    <mergeCell ref="K180:K183"/>
    <mergeCell ref="L180:L183"/>
    <mergeCell ref="M180:M183"/>
    <mergeCell ref="C178:C179"/>
    <mergeCell ref="C186:C187"/>
    <mergeCell ref="B180:B183"/>
    <mergeCell ref="C180:C181"/>
    <mergeCell ref="E180:E183"/>
    <mergeCell ref="F180:F183"/>
    <mergeCell ref="G180:G183"/>
    <mergeCell ref="P176:P179"/>
    <mergeCell ref="Q176:Q179"/>
    <mergeCell ref="R176:R179"/>
    <mergeCell ref="S176:S179"/>
    <mergeCell ref="T176:T179"/>
    <mergeCell ref="U176:U179"/>
    <mergeCell ref="J176:J179"/>
    <mergeCell ref="K176:K179"/>
    <mergeCell ref="L176:L179"/>
    <mergeCell ref="M176:M179"/>
    <mergeCell ref="N176:N179"/>
    <mergeCell ref="O176:O179"/>
    <mergeCell ref="T172:T175"/>
    <mergeCell ref="U172:U175"/>
    <mergeCell ref="C174:C175"/>
    <mergeCell ref="B176:B179"/>
    <mergeCell ref="C176:C177"/>
    <mergeCell ref="E176:E179"/>
    <mergeCell ref="F176:F179"/>
    <mergeCell ref="G176:G179"/>
    <mergeCell ref="H176:H179"/>
    <mergeCell ref="I176:I179"/>
    <mergeCell ref="N172:N175"/>
    <mergeCell ref="O172:O175"/>
    <mergeCell ref="P172:P175"/>
    <mergeCell ref="Q172:Q175"/>
    <mergeCell ref="R172:R175"/>
    <mergeCell ref="S172:S175"/>
    <mergeCell ref="H172:H175"/>
    <mergeCell ref="I172:I175"/>
    <mergeCell ref="J172:J175"/>
    <mergeCell ref="K172:K175"/>
    <mergeCell ref="L172:L175"/>
    <mergeCell ref="M172:M175"/>
    <mergeCell ref="B172:B175"/>
    <mergeCell ref="C172:C173"/>
    <mergeCell ref="E172:E175"/>
    <mergeCell ref="F172:F175"/>
    <mergeCell ref="G172:G175"/>
    <mergeCell ref="K164:K167"/>
    <mergeCell ref="L164:L167"/>
    <mergeCell ref="M164:M167"/>
    <mergeCell ref="C170:C171"/>
    <mergeCell ref="B164:B167"/>
    <mergeCell ref="C164:C165"/>
    <mergeCell ref="E164:E167"/>
    <mergeCell ref="F164:F167"/>
    <mergeCell ref="G164:G167"/>
    <mergeCell ref="P168:P171"/>
    <mergeCell ref="Q168:Q171"/>
    <mergeCell ref="R168:R171"/>
    <mergeCell ref="S168:S171"/>
    <mergeCell ref="T168:T171"/>
    <mergeCell ref="U168:U171"/>
    <mergeCell ref="J168:J171"/>
    <mergeCell ref="K168:K171"/>
    <mergeCell ref="L168:L171"/>
    <mergeCell ref="M168:M171"/>
    <mergeCell ref="N168:N171"/>
    <mergeCell ref="O168:O171"/>
    <mergeCell ref="B168:B171"/>
    <mergeCell ref="C168:C169"/>
    <mergeCell ref="E168:E171"/>
    <mergeCell ref="F168:F171"/>
    <mergeCell ref="G168:G171"/>
    <mergeCell ref="H168:H171"/>
    <mergeCell ref="I168:I171"/>
    <mergeCell ref="P160:P163"/>
    <mergeCell ref="Q160:Q163"/>
    <mergeCell ref="R160:R163"/>
    <mergeCell ref="S160:S163"/>
    <mergeCell ref="T160:T163"/>
    <mergeCell ref="U160:U163"/>
    <mergeCell ref="J160:J163"/>
    <mergeCell ref="K160:K163"/>
    <mergeCell ref="L160:L163"/>
    <mergeCell ref="M160:M163"/>
    <mergeCell ref="N160:N163"/>
    <mergeCell ref="O160:O163"/>
    <mergeCell ref="T164:T167"/>
    <mergeCell ref="U164:U167"/>
    <mergeCell ref="C166:C167"/>
    <mergeCell ref="B160:B163"/>
    <mergeCell ref="C160:C161"/>
    <mergeCell ref="E160:E163"/>
    <mergeCell ref="F160:F163"/>
    <mergeCell ref="G160:G163"/>
    <mergeCell ref="H160:H163"/>
    <mergeCell ref="I160:I163"/>
    <mergeCell ref="C162:C163"/>
    <mergeCell ref="N164:N167"/>
    <mergeCell ref="O164:O167"/>
    <mergeCell ref="P164:P167"/>
    <mergeCell ref="Q164:Q167"/>
    <mergeCell ref="R164:R167"/>
    <mergeCell ref="S164:S167"/>
    <mergeCell ref="H164:H167"/>
    <mergeCell ref="I164:I167"/>
    <mergeCell ref="J164:J167"/>
    <mergeCell ref="B152:B155"/>
    <mergeCell ref="C152:C153"/>
    <mergeCell ref="E152:E155"/>
    <mergeCell ref="F152:F155"/>
    <mergeCell ref="G152:G155"/>
    <mergeCell ref="H152:H155"/>
    <mergeCell ref="I152:I155"/>
    <mergeCell ref="N156:N159"/>
    <mergeCell ref="O156:O159"/>
    <mergeCell ref="P156:P159"/>
    <mergeCell ref="H156:H159"/>
    <mergeCell ref="I156:I159"/>
    <mergeCell ref="J156:J159"/>
    <mergeCell ref="K156:K159"/>
    <mergeCell ref="L156:L159"/>
    <mergeCell ref="M156:M159"/>
    <mergeCell ref="B156:B159"/>
    <mergeCell ref="C156:C157"/>
    <mergeCell ref="E156:E159"/>
    <mergeCell ref="F156:F159"/>
    <mergeCell ref="G156:G159"/>
    <mergeCell ref="M148:M151"/>
    <mergeCell ref="C154:C155"/>
    <mergeCell ref="F148:F151"/>
    <mergeCell ref="G148:G151"/>
    <mergeCell ref="P144:P147"/>
    <mergeCell ref="Q144:Q147"/>
    <mergeCell ref="R144:R147"/>
    <mergeCell ref="S144:S147"/>
    <mergeCell ref="P152:P155"/>
    <mergeCell ref="Q152:Q155"/>
    <mergeCell ref="R152:R155"/>
    <mergeCell ref="S152:S155"/>
    <mergeCell ref="T152:T155"/>
    <mergeCell ref="U152:U155"/>
    <mergeCell ref="J152:J155"/>
    <mergeCell ref="K152:K155"/>
    <mergeCell ref="L152:L155"/>
    <mergeCell ref="M152:M155"/>
    <mergeCell ref="N152:N155"/>
    <mergeCell ref="O152:O155"/>
    <mergeCell ref="U148:U151"/>
    <mergeCell ref="C150:C151"/>
    <mergeCell ref="I148:I151"/>
    <mergeCell ref="J148:J151"/>
    <mergeCell ref="T156:T159"/>
    <mergeCell ref="U156:U159"/>
    <mergeCell ref="C158:C159"/>
    <mergeCell ref="Q156:Q159"/>
    <mergeCell ref="R156:R159"/>
    <mergeCell ref="S156:S159"/>
    <mergeCell ref="A144:A211"/>
    <mergeCell ref="B144:B147"/>
    <mergeCell ref="C144:C145"/>
    <mergeCell ref="E144:E147"/>
    <mergeCell ref="F144:F147"/>
    <mergeCell ref="G144:G147"/>
    <mergeCell ref="H144:H147"/>
    <mergeCell ref="I144:I147"/>
    <mergeCell ref="O140:O143"/>
    <mergeCell ref="P140:P143"/>
    <mergeCell ref="Q140:Q143"/>
    <mergeCell ref="R140:R143"/>
    <mergeCell ref="S140:S143"/>
    <mergeCell ref="T140:T143"/>
    <mergeCell ref="I140:I143"/>
    <mergeCell ref="J140:J143"/>
    <mergeCell ref="K140:K143"/>
    <mergeCell ref="L140:L143"/>
    <mergeCell ref="M140:M143"/>
    <mergeCell ref="N148:N151"/>
    <mergeCell ref="O148:O151"/>
    <mergeCell ref="P148:P151"/>
    <mergeCell ref="Q148:Q151"/>
    <mergeCell ref="R148:R151"/>
    <mergeCell ref="S148:S151"/>
    <mergeCell ref="H148:H151"/>
    <mergeCell ref="A76:A143"/>
    <mergeCell ref="B76:B79"/>
    <mergeCell ref="C76:C77"/>
    <mergeCell ref="E76:E79"/>
    <mergeCell ref="F76:F79"/>
    <mergeCell ref="M136:M139"/>
    <mergeCell ref="N136:N139"/>
    <mergeCell ref="O136:O139"/>
    <mergeCell ref="P136:P139"/>
    <mergeCell ref="T144:T147"/>
    <mergeCell ref="U144:U147"/>
    <mergeCell ref="J144:J147"/>
    <mergeCell ref="K144:K147"/>
    <mergeCell ref="L144:L147"/>
    <mergeCell ref="M144:M147"/>
    <mergeCell ref="N144:N147"/>
    <mergeCell ref="O144:O147"/>
    <mergeCell ref="T148:T151"/>
    <mergeCell ref="U140:U143"/>
    <mergeCell ref="C142:C143"/>
    <mergeCell ref="N140:N143"/>
    <mergeCell ref="B140:B143"/>
    <mergeCell ref="K148:K151"/>
    <mergeCell ref="L148:L151"/>
    <mergeCell ref="C140:C141"/>
    <mergeCell ref="E140:E143"/>
    <mergeCell ref="F140:F143"/>
    <mergeCell ref="G140:G143"/>
    <mergeCell ref="H140:H143"/>
    <mergeCell ref="C146:C147"/>
    <mergeCell ref="B148:B151"/>
    <mergeCell ref="C148:C149"/>
    <mergeCell ref="E148:E151"/>
    <mergeCell ref="Q136:Q139"/>
    <mergeCell ref="R136:R139"/>
    <mergeCell ref="S136:S139"/>
    <mergeCell ref="T136:T139"/>
    <mergeCell ref="U132:U135"/>
    <mergeCell ref="C134:C135"/>
    <mergeCell ref="B136:B139"/>
    <mergeCell ref="C136:C137"/>
    <mergeCell ref="E136:E139"/>
    <mergeCell ref="F136:F139"/>
    <mergeCell ref="G136:G139"/>
    <mergeCell ref="H136:H139"/>
    <mergeCell ref="I136:I139"/>
    <mergeCell ref="J136:J139"/>
    <mergeCell ref="O132:O135"/>
    <mergeCell ref="P132:P135"/>
    <mergeCell ref="Q132:Q135"/>
    <mergeCell ref="R132:R135"/>
    <mergeCell ref="S132:S135"/>
    <mergeCell ref="T132:T135"/>
    <mergeCell ref="I132:I135"/>
    <mergeCell ref="J132:J135"/>
    <mergeCell ref="K132:K135"/>
    <mergeCell ref="L132:L135"/>
    <mergeCell ref="M132:M135"/>
    <mergeCell ref="N132:N135"/>
    <mergeCell ref="B132:B135"/>
    <mergeCell ref="C132:C133"/>
    <mergeCell ref="E132:E135"/>
    <mergeCell ref="F132:F135"/>
    <mergeCell ref="G132:G135"/>
    <mergeCell ref="H132:H135"/>
    <mergeCell ref="U136:U139"/>
    <mergeCell ref="C138:C139"/>
    <mergeCell ref="K136:K139"/>
    <mergeCell ref="L136:L139"/>
    <mergeCell ref="Q128:Q131"/>
    <mergeCell ref="R128:R131"/>
    <mergeCell ref="S128:S131"/>
    <mergeCell ref="T128:T131"/>
    <mergeCell ref="U128:U131"/>
    <mergeCell ref="C130:C131"/>
    <mergeCell ref="K128:K131"/>
    <mergeCell ref="L128:L131"/>
    <mergeCell ref="M128:M131"/>
    <mergeCell ref="N128:N131"/>
    <mergeCell ref="O128:O131"/>
    <mergeCell ref="P128:P131"/>
    <mergeCell ref="U124:U127"/>
    <mergeCell ref="C126:C127"/>
    <mergeCell ref="B128:B131"/>
    <mergeCell ref="C128:C129"/>
    <mergeCell ref="E128:E131"/>
    <mergeCell ref="F128:F131"/>
    <mergeCell ref="G128:G131"/>
    <mergeCell ref="H128:H131"/>
    <mergeCell ref="I128:I131"/>
    <mergeCell ref="J128:J131"/>
    <mergeCell ref="O124:O127"/>
    <mergeCell ref="P124:P127"/>
    <mergeCell ref="Q124:Q127"/>
    <mergeCell ref="R124:R127"/>
    <mergeCell ref="S124:S127"/>
    <mergeCell ref="T124:T127"/>
    <mergeCell ref="I124:I127"/>
    <mergeCell ref="J124:J127"/>
    <mergeCell ref="K124:K127"/>
    <mergeCell ref="L124:L127"/>
    <mergeCell ref="M124:M127"/>
    <mergeCell ref="N124:N127"/>
    <mergeCell ref="B124:B127"/>
    <mergeCell ref="C124:C125"/>
    <mergeCell ref="E124:E127"/>
    <mergeCell ref="F124:F127"/>
    <mergeCell ref="G124:G127"/>
    <mergeCell ref="H124:H127"/>
    <mergeCell ref="Q120:Q123"/>
    <mergeCell ref="R120:R123"/>
    <mergeCell ref="S120:S123"/>
    <mergeCell ref="T120:T123"/>
    <mergeCell ref="U120:U123"/>
    <mergeCell ref="C122:C123"/>
    <mergeCell ref="K120:K123"/>
    <mergeCell ref="L120:L123"/>
    <mergeCell ref="M120:M123"/>
    <mergeCell ref="N120:N123"/>
    <mergeCell ref="O120:O123"/>
    <mergeCell ref="P120:P123"/>
    <mergeCell ref="U116:U119"/>
    <mergeCell ref="C118:C119"/>
    <mergeCell ref="B120:B123"/>
    <mergeCell ref="C120:C121"/>
    <mergeCell ref="E120:E123"/>
    <mergeCell ref="F120:F123"/>
    <mergeCell ref="G120:G123"/>
    <mergeCell ref="H120:H123"/>
    <mergeCell ref="I120:I123"/>
    <mergeCell ref="J120:J123"/>
    <mergeCell ref="O116:O119"/>
    <mergeCell ref="P116:P119"/>
    <mergeCell ref="Q116:Q119"/>
    <mergeCell ref="R116:R119"/>
    <mergeCell ref="S116:S119"/>
    <mergeCell ref="T116:T119"/>
    <mergeCell ref="I116:I119"/>
    <mergeCell ref="J116:J119"/>
    <mergeCell ref="K116:K119"/>
    <mergeCell ref="L116:L119"/>
    <mergeCell ref="M116:M119"/>
    <mergeCell ref="N116:N119"/>
    <mergeCell ref="B116:B119"/>
    <mergeCell ref="C116:C117"/>
    <mergeCell ref="E116:E119"/>
    <mergeCell ref="F116:F119"/>
    <mergeCell ref="G116:G119"/>
    <mergeCell ref="H116:H119"/>
    <mergeCell ref="Q112:Q115"/>
    <mergeCell ref="R112:R115"/>
    <mergeCell ref="S112:S115"/>
    <mergeCell ref="T112:T115"/>
    <mergeCell ref="U112:U115"/>
    <mergeCell ref="C114:C115"/>
    <mergeCell ref="K112:K115"/>
    <mergeCell ref="L112:L115"/>
    <mergeCell ref="M112:M115"/>
    <mergeCell ref="N112:N115"/>
    <mergeCell ref="O112:O115"/>
    <mergeCell ref="P112:P115"/>
    <mergeCell ref="U108:U111"/>
    <mergeCell ref="C110:C111"/>
    <mergeCell ref="B112:B115"/>
    <mergeCell ref="C112:C113"/>
    <mergeCell ref="E112:E115"/>
    <mergeCell ref="F112:F115"/>
    <mergeCell ref="G112:G115"/>
    <mergeCell ref="H112:H115"/>
    <mergeCell ref="I112:I115"/>
    <mergeCell ref="J112:J115"/>
    <mergeCell ref="O108:O111"/>
    <mergeCell ref="P108:P111"/>
    <mergeCell ref="Q108:Q111"/>
    <mergeCell ref="R108:R111"/>
    <mergeCell ref="S108:S111"/>
    <mergeCell ref="T108:T111"/>
    <mergeCell ref="I108:I111"/>
    <mergeCell ref="J108:J111"/>
    <mergeCell ref="K108:K111"/>
    <mergeCell ref="L108:L111"/>
    <mergeCell ref="M108:M111"/>
    <mergeCell ref="N108:N111"/>
    <mergeCell ref="B108:B111"/>
    <mergeCell ref="C108:C109"/>
    <mergeCell ref="E108:E111"/>
    <mergeCell ref="F108:F111"/>
    <mergeCell ref="G108:G111"/>
    <mergeCell ref="H108:H111"/>
    <mergeCell ref="Q104:Q107"/>
    <mergeCell ref="R104:R107"/>
    <mergeCell ref="S104:S107"/>
    <mergeCell ref="T104:T107"/>
    <mergeCell ref="U104:U107"/>
    <mergeCell ref="C106:C107"/>
    <mergeCell ref="K104:K107"/>
    <mergeCell ref="L104:L107"/>
    <mergeCell ref="M104:M107"/>
    <mergeCell ref="N104:N107"/>
    <mergeCell ref="O104:O107"/>
    <mergeCell ref="P104:P107"/>
    <mergeCell ref="U100:U103"/>
    <mergeCell ref="C102:C103"/>
    <mergeCell ref="B104:B107"/>
    <mergeCell ref="C104:C105"/>
    <mergeCell ref="E104:E107"/>
    <mergeCell ref="F104:F107"/>
    <mergeCell ref="G104:G107"/>
    <mergeCell ref="H104:H107"/>
    <mergeCell ref="I104:I107"/>
    <mergeCell ref="J104:J107"/>
    <mergeCell ref="O100:O103"/>
    <mergeCell ref="P100:P103"/>
    <mergeCell ref="Q100:Q103"/>
    <mergeCell ref="R100:R103"/>
    <mergeCell ref="S100:S103"/>
    <mergeCell ref="T100:T103"/>
    <mergeCell ref="I100:I103"/>
    <mergeCell ref="J100:J103"/>
    <mergeCell ref="K100:K103"/>
    <mergeCell ref="L100:L103"/>
    <mergeCell ref="M100:M103"/>
    <mergeCell ref="N100:N103"/>
    <mergeCell ref="B100:B103"/>
    <mergeCell ref="C100:C101"/>
    <mergeCell ref="E100:E103"/>
    <mergeCell ref="F100:F103"/>
    <mergeCell ref="G100:G103"/>
    <mergeCell ref="H100:H103"/>
    <mergeCell ref="Q96:Q99"/>
    <mergeCell ref="R96:R99"/>
    <mergeCell ref="S96:S99"/>
    <mergeCell ref="T96:T99"/>
    <mergeCell ref="U96:U99"/>
    <mergeCell ref="C98:C99"/>
    <mergeCell ref="K96:K99"/>
    <mergeCell ref="L96:L99"/>
    <mergeCell ref="M96:M99"/>
    <mergeCell ref="N96:N99"/>
    <mergeCell ref="O96:O99"/>
    <mergeCell ref="P96:P99"/>
    <mergeCell ref="B96:B99"/>
    <mergeCell ref="C96:C97"/>
    <mergeCell ref="E96:E99"/>
    <mergeCell ref="F96:F99"/>
    <mergeCell ref="G96:G99"/>
    <mergeCell ref="H96:H99"/>
    <mergeCell ref="I96:I99"/>
    <mergeCell ref="J96:J99"/>
    <mergeCell ref="U88:U91"/>
    <mergeCell ref="C90:C91"/>
    <mergeCell ref="B92:B95"/>
    <mergeCell ref="C92:C93"/>
    <mergeCell ref="E92:E95"/>
    <mergeCell ref="F92:F95"/>
    <mergeCell ref="G92:G95"/>
    <mergeCell ref="H92:H95"/>
    <mergeCell ref="M88:M91"/>
    <mergeCell ref="N88:N91"/>
    <mergeCell ref="O88:O91"/>
    <mergeCell ref="P88:P91"/>
    <mergeCell ref="Q88:Q91"/>
    <mergeCell ref="R88:R91"/>
    <mergeCell ref="G88:G91"/>
    <mergeCell ref="H88:H91"/>
    <mergeCell ref="I88:I91"/>
    <mergeCell ref="J88:J91"/>
    <mergeCell ref="U92:U95"/>
    <mergeCell ref="C94:C95"/>
    <mergeCell ref="O92:O95"/>
    <mergeCell ref="P92:P95"/>
    <mergeCell ref="B88:B91"/>
    <mergeCell ref="C88:C89"/>
    <mergeCell ref="E88:E91"/>
    <mergeCell ref="F88:F91"/>
    <mergeCell ref="U84:U87"/>
    <mergeCell ref="C86:C87"/>
    <mergeCell ref="K84:K87"/>
    <mergeCell ref="L84:L87"/>
    <mergeCell ref="M84:M87"/>
    <mergeCell ref="N84:N87"/>
    <mergeCell ref="O84:O87"/>
    <mergeCell ref="P84:P87"/>
    <mergeCell ref="U80:U83"/>
    <mergeCell ref="C82:C83"/>
    <mergeCell ref="B84:B87"/>
    <mergeCell ref="C84:C85"/>
    <mergeCell ref="E84:E87"/>
    <mergeCell ref="F84:F87"/>
    <mergeCell ref="G84:G87"/>
    <mergeCell ref="H84:H87"/>
    <mergeCell ref="I84:I87"/>
    <mergeCell ref="J84:J87"/>
    <mergeCell ref="O80:O83"/>
    <mergeCell ref="P80:P83"/>
    <mergeCell ref="Q80:Q83"/>
    <mergeCell ref="R80:R83"/>
    <mergeCell ref="S80:S83"/>
    <mergeCell ref="T80:T83"/>
    <mergeCell ref="I80:I83"/>
    <mergeCell ref="J80:J83"/>
    <mergeCell ref="K80:K83"/>
    <mergeCell ref="L80:L83"/>
    <mergeCell ref="U72:U75"/>
    <mergeCell ref="J72:J75"/>
    <mergeCell ref="K72:K75"/>
    <mergeCell ref="L72:L75"/>
    <mergeCell ref="M72:M75"/>
    <mergeCell ref="N72:N75"/>
    <mergeCell ref="O72:O75"/>
    <mergeCell ref="M80:M83"/>
    <mergeCell ref="N80:N83"/>
    <mergeCell ref="S76:S79"/>
    <mergeCell ref="T76:T79"/>
    <mergeCell ref="U76:U79"/>
    <mergeCell ref="C78:C79"/>
    <mergeCell ref="B80:B83"/>
    <mergeCell ref="C80:C81"/>
    <mergeCell ref="E80:E83"/>
    <mergeCell ref="F80:F83"/>
    <mergeCell ref="G80:G83"/>
    <mergeCell ref="H80:H83"/>
    <mergeCell ref="M76:M79"/>
    <mergeCell ref="N76:N79"/>
    <mergeCell ref="O76:O79"/>
    <mergeCell ref="P76:P79"/>
    <mergeCell ref="Q76:Q79"/>
    <mergeCell ref="R76:R79"/>
    <mergeCell ref="G76:G79"/>
    <mergeCell ref="H76:H79"/>
    <mergeCell ref="I76:I79"/>
    <mergeCell ref="J76:J79"/>
    <mergeCell ref="K76:K79"/>
    <mergeCell ref="L76:L79"/>
    <mergeCell ref="B72:B75"/>
    <mergeCell ref="T72:T75"/>
    <mergeCell ref="Q84:Q87"/>
    <mergeCell ref="R84:R87"/>
    <mergeCell ref="S84:S87"/>
    <mergeCell ref="T84:T87"/>
    <mergeCell ref="K88:K91"/>
    <mergeCell ref="L88:L91"/>
    <mergeCell ref="Q92:Q95"/>
    <mergeCell ref="R92:R95"/>
    <mergeCell ref="S92:S95"/>
    <mergeCell ref="T92:T95"/>
    <mergeCell ref="I92:I95"/>
    <mergeCell ref="J92:J95"/>
    <mergeCell ref="K92:K95"/>
    <mergeCell ref="L92:L95"/>
    <mergeCell ref="M92:M95"/>
    <mergeCell ref="N92:N95"/>
    <mergeCell ref="S88:S91"/>
    <mergeCell ref="T88:T91"/>
    <mergeCell ref="C72:C73"/>
    <mergeCell ref="E72:E75"/>
    <mergeCell ref="F72:F75"/>
    <mergeCell ref="G72:G75"/>
    <mergeCell ref="H72:H75"/>
    <mergeCell ref="I72:I75"/>
    <mergeCell ref="N68:N71"/>
    <mergeCell ref="O68:O71"/>
    <mergeCell ref="P68:P71"/>
    <mergeCell ref="Q68:Q71"/>
    <mergeCell ref="R68:R71"/>
    <mergeCell ref="S68:S71"/>
    <mergeCell ref="H68:H71"/>
    <mergeCell ref="I68:I71"/>
    <mergeCell ref="J68:J71"/>
    <mergeCell ref="K68:K71"/>
    <mergeCell ref="L68:L71"/>
    <mergeCell ref="M68:M71"/>
    <mergeCell ref="C74:C75"/>
    <mergeCell ref="P72:P75"/>
    <mergeCell ref="Q72:Q75"/>
    <mergeCell ref="R72:R75"/>
    <mergeCell ref="S72:S75"/>
    <mergeCell ref="B68:B71"/>
    <mergeCell ref="C68:C69"/>
    <mergeCell ref="E68:E71"/>
    <mergeCell ref="F68:F71"/>
    <mergeCell ref="G68:G71"/>
    <mergeCell ref="T64:T67"/>
    <mergeCell ref="U64:U67"/>
    <mergeCell ref="J64:J67"/>
    <mergeCell ref="K64:K67"/>
    <mergeCell ref="L64:L67"/>
    <mergeCell ref="M64:M67"/>
    <mergeCell ref="N64:N67"/>
    <mergeCell ref="O64:O67"/>
    <mergeCell ref="T60:T63"/>
    <mergeCell ref="U60:U63"/>
    <mergeCell ref="C62:C63"/>
    <mergeCell ref="T68:T71"/>
    <mergeCell ref="U68:U71"/>
    <mergeCell ref="C70:C71"/>
    <mergeCell ref="B64:B67"/>
    <mergeCell ref="C64:C65"/>
    <mergeCell ref="E64:E67"/>
    <mergeCell ref="F64:F67"/>
    <mergeCell ref="G64:G67"/>
    <mergeCell ref="H64:H67"/>
    <mergeCell ref="I64:I67"/>
    <mergeCell ref="N60:N63"/>
    <mergeCell ref="O60:O63"/>
    <mergeCell ref="P60:P63"/>
    <mergeCell ref="Q60:Q63"/>
    <mergeCell ref="R60:R63"/>
    <mergeCell ref="S60:S63"/>
    <mergeCell ref="H60:H63"/>
    <mergeCell ref="I60:I63"/>
    <mergeCell ref="J60:J63"/>
    <mergeCell ref="K60:K63"/>
    <mergeCell ref="L60:L63"/>
    <mergeCell ref="M60:M63"/>
    <mergeCell ref="C58:C59"/>
    <mergeCell ref="C66:C67"/>
    <mergeCell ref="B60:B63"/>
    <mergeCell ref="C60:C61"/>
    <mergeCell ref="E60:E63"/>
    <mergeCell ref="F60:F63"/>
    <mergeCell ref="G60:G63"/>
    <mergeCell ref="P64:P67"/>
    <mergeCell ref="Q64:Q67"/>
    <mergeCell ref="R64:R67"/>
    <mergeCell ref="S64:S67"/>
    <mergeCell ref="P56:P59"/>
    <mergeCell ref="Q56:Q59"/>
    <mergeCell ref="R56:R59"/>
    <mergeCell ref="S56:S59"/>
    <mergeCell ref="T56:T59"/>
    <mergeCell ref="U56:U59"/>
    <mergeCell ref="J56:J59"/>
    <mergeCell ref="K56:K59"/>
    <mergeCell ref="L56:L59"/>
    <mergeCell ref="M56:M59"/>
    <mergeCell ref="N56:N59"/>
    <mergeCell ref="O56:O59"/>
    <mergeCell ref="T52:T55"/>
    <mergeCell ref="U52:U55"/>
    <mergeCell ref="C54:C55"/>
    <mergeCell ref="B56:B59"/>
    <mergeCell ref="C56:C57"/>
    <mergeCell ref="E56:E59"/>
    <mergeCell ref="F56:F59"/>
    <mergeCell ref="G56:G59"/>
    <mergeCell ref="H56:H59"/>
    <mergeCell ref="I56:I59"/>
    <mergeCell ref="N52:N55"/>
    <mergeCell ref="O52:O55"/>
    <mergeCell ref="P52:P55"/>
    <mergeCell ref="Q52:Q55"/>
    <mergeCell ref="R52:R55"/>
    <mergeCell ref="S52:S55"/>
    <mergeCell ref="H52:H55"/>
    <mergeCell ref="I52:I55"/>
    <mergeCell ref="J52:J55"/>
    <mergeCell ref="K52:K55"/>
    <mergeCell ref="L52:L55"/>
    <mergeCell ref="M52:M55"/>
    <mergeCell ref="B52:B55"/>
    <mergeCell ref="C52:C53"/>
    <mergeCell ref="E52:E55"/>
    <mergeCell ref="F52:F55"/>
    <mergeCell ref="G52:G55"/>
    <mergeCell ref="P48:P51"/>
    <mergeCell ref="Q48:Q51"/>
    <mergeCell ref="R48:R51"/>
    <mergeCell ref="S48:S51"/>
    <mergeCell ref="T48:T51"/>
    <mergeCell ref="U48:U51"/>
    <mergeCell ref="J48:J51"/>
    <mergeCell ref="K48:K51"/>
    <mergeCell ref="L48:L51"/>
    <mergeCell ref="M48:M51"/>
    <mergeCell ref="N48:N51"/>
    <mergeCell ref="O48:O51"/>
    <mergeCell ref="T44:T47"/>
    <mergeCell ref="U44:U47"/>
    <mergeCell ref="C46:C47"/>
    <mergeCell ref="B48:B51"/>
    <mergeCell ref="C48:C49"/>
    <mergeCell ref="E48:E51"/>
    <mergeCell ref="F48:F51"/>
    <mergeCell ref="G48:G51"/>
    <mergeCell ref="H48:H51"/>
    <mergeCell ref="I48:I51"/>
    <mergeCell ref="N44:N47"/>
    <mergeCell ref="O44:O47"/>
    <mergeCell ref="P44:P47"/>
    <mergeCell ref="Q44:Q47"/>
    <mergeCell ref="R44:R47"/>
    <mergeCell ref="S44:S47"/>
    <mergeCell ref="H44:H47"/>
    <mergeCell ref="I44:I47"/>
    <mergeCell ref="J44:J47"/>
    <mergeCell ref="K44:K47"/>
    <mergeCell ref="L44:L47"/>
    <mergeCell ref="M44:M47"/>
    <mergeCell ref="B44:B47"/>
    <mergeCell ref="C44:C45"/>
    <mergeCell ref="E44:E47"/>
    <mergeCell ref="F44:F47"/>
    <mergeCell ref="G44:G47"/>
    <mergeCell ref="C50:C51"/>
    <mergeCell ref="L36:L39"/>
    <mergeCell ref="M36:M39"/>
    <mergeCell ref="C42:C43"/>
    <mergeCell ref="B36:B39"/>
    <mergeCell ref="C36:C37"/>
    <mergeCell ref="E36:E39"/>
    <mergeCell ref="F36:F39"/>
    <mergeCell ref="G36:G39"/>
    <mergeCell ref="P40:P43"/>
    <mergeCell ref="Q40:Q43"/>
    <mergeCell ref="R40:R43"/>
    <mergeCell ref="S40:S43"/>
    <mergeCell ref="T40:T43"/>
    <mergeCell ref="U40:U43"/>
    <mergeCell ref="J40:J43"/>
    <mergeCell ref="K40:K43"/>
    <mergeCell ref="L40:L43"/>
    <mergeCell ref="M40:M43"/>
    <mergeCell ref="N40:N43"/>
    <mergeCell ref="O40:O43"/>
    <mergeCell ref="B40:B43"/>
    <mergeCell ref="C40:C41"/>
    <mergeCell ref="E40:E43"/>
    <mergeCell ref="F40:F43"/>
    <mergeCell ref="G40:G43"/>
    <mergeCell ref="H40:H43"/>
    <mergeCell ref="I40:I43"/>
    <mergeCell ref="P32:P35"/>
    <mergeCell ref="Q32:Q35"/>
    <mergeCell ref="R32:R35"/>
    <mergeCell ref="S32:S35"/>
    <mergeCell ref="T32:T35"/>
    <mergeCell ref="U32:U35"/>
    <mergeCell ref="J32:J35"/>
    <mergeCell ref="K32:K35"/>
    <mergeCell ref="L32:L35"/>
    <mergeCell ref="M32:M35"/>
    <mergeCell ref="N32:N35"/>
    <mergeCell ref="O32:O35"/>
    <mergeCell ref="T36:T39"/>
    <mergeCell ref="U36:U39"/>
    <mergeCell ref="C38:C39"/>
    <mergeCell ref="B32:B35"/>
    <mergeCell ref="C32:C33"/>
    <mergeCell ref="E32:E35"/>
    <mergeCell ref="F32:F35"/>
    <mergeCell ref="G32:G35"/>
    <mergeCell ref="H32:H35"/>
    <mergeCell ref="I32:I35"/>
    <mergeCell ref="N36:N39"/>
    <mergeCell ref="O36:O39"/>
    <mergeCell ref="P36:P39"/>
    <mergeCell ref="Q36:Q39"/>
    <mergeCell ref="R36:R39"/>
    <mergeCell ref="S36:S39"/>
    <mergeCell ref="H36:H39"/>
    <mergeCell ref="I36:I39"/>
    <mergeCell ref="J36:J39"/>
    <mergeCell ref="K36:K39"/>
    <mergeCell ref="N28:N31"/>
    <mergeCell ref="O28:O31"/>
    <mergeCell ref="P28:P31"/>
    <mergeCell ref="Q28:Q31"/>
    <mergeCell ref="R28:R31"/>
    <mergeCell ref="S28:S31"/>
    <mergeCell ref="H28:H31"/>
    <mergeCell ref="I28:I31"/>
    <mergeCell ref="J28:J31"/>
    <mergeCell ref="K28:K31"/>
    <mergeCell ref="L28:L31"/>
    <mergeCell ref="M28:M31"/>
    <mergeCell ref="C34:C35"/>
    <mergeCell ref="L20:L23"/>
    <mergeCell ref="M20:M23"/>
    <mergeCell ref="C26:C27"/>
    <mergeCell ref="B28:B31"/>
    <mergeCell ref="C28:C29"/>
    <mergeCell ref="E28:E31"/>
    <mergeCell ref="F28:F31"/>
    <mergeCell ref="G28:G31"/>
    <mergeCell ref="P24:P27"/>
    <mergeCell ref="Q24:Q27"/>
    <mergeCell ref="R24:R27"/>
    <mergeCell ref="S24:S27"/>
    <mergeCell ref="C22:C23"/>
    <mergeCell ref="N20:N23"/>
    <mergeCell ref="O20:O23"/>
    <mergeCell ref="P20:P23"/>
    <mergeCell ref="Q20:Q23"/>
    <mergeCell ref="R20:R23"/>
    <mergeCell ref="S20:S23"/>
    <mergeCell ref="T24:T27"/>
    <mergeCell ref="U24:U27"/>
    <mergeCell ref="J24:J27"/>
    <mergeCell ref="K24:K27"/>
    <mergeCell ref="L24:L27"/>
    <mergeCell ref="M24:M27"/>
    <mergeCell ref="N24:N27"/>
    <mergeCell ref="O24:O27"/>
    <mergeCell ref="T28:T31"/>
    <mergeCell ref="U28:U31"/>
    <mergeCell ref="C30:C31"/>
    <mergeCell ref="U16:U19"/>
    <mergeCell ref="C18:C19"/>
    <mergeCell ref="B20:B23"/>
    <mergeCell ref="C20:C21"/>
    <mergeCell ref="E20:E23"/>
    <mergeCell ref="F20:F23"/>
    <mergeCell ref="G20:G23"/>
    <mergeCell ref="L16:L19"/>
    <mergeCell ref="M16:M19"/>
    <mergeCell ref="N16:N19"/>
    <mergeCell ref="O16:O19"/>
    <mergeCell ref="P16:P19"/>
    <mergeCell ref="Q16:Q19"/>
    <mergeCell ref="F16:F19"/>
    <mergeCell ref="G16:G19"/>
    <mergeCell ref="H16:H19"/>
    <mergeCell ref="I16:I19"/>
    <mergeCell ref="J16:J19"/>
    <mergeCell ref="K16:K19"/>
    <mergeCell ref="T20:T23"/>
    <mergeCell ref="U20:U23"/>
    <mergeCell ref="J20:J23"/>
    <mergeCell ref="K20:K23"/>
    <mergeCell ref="U12:U15"/>
    <mergeCell ref="J12:J15"/>
    <mergeCell ref="K12:K15"/>
    <mergeCell ref="L12:L15"/>
    <mergeCell ref="M12:M15"/>
    <mergeCell ref="N12:N15"/>
    <mergeCell ref="O12:O15"/>
    <mergeCell ref="T8:T11"/>
    <mergeCell ref="U8:U11"/>
    <mergeCell ref="C10:C11"/>
    <mergeCell ref="B12:B15"/>
    <mergeCell ref="C12:C13"/>
    <mergeCell ref="E12:E15"/>
    <mergeCell ref="F12:F15"/>
    <mergeCell ref="G12:G15"/>
    <mergeCell ref="H12:H15"/>
    <mergeCell ref="I12:I15"/>
    <mergeCell ref="N8:N11"/>
    <mergeCell ref="O8:O11"/>
    <mergeCell ref="P8:P11"/>
    <mergeCell ref="Q8:Q11"/>
    <mergeCell ref="R8:R11"/>
    <mergeCell ref="S8:S11"/>
    <mergeCell ref="H8:H11"/>
    <mergeCell ref="I8:I11"/>
    <mergeCell ref="J8:J11"/>
    <mergeCell ref="K8:K11"/>
    <mergeCell ref="L8:L11"/>
    <mergeCell ref="M8:M11"/>
    <mergeCell ref="A8:A75"/>
    <mergeCell ref="B8:B11"/>
    <mergeCell ref="C8:C9"/>
    <mergeCell ref="E8:E11"/>
    <mergeCell ref="F8:F11"/>
    <mergeCell ref="G8:G11"/>
    <mergeCell ref="C14:C15"/>
    <mergeCell ref="B16:B19"/>
    <mergeCell ref="C16:C17"/>
    <mergeCell ref="E16:E19"/>
    <mergeCell ref="P4:P6"/>
    <mergeCell ref="Q4:Q6"/>
    <mergeCell ref="R4:R6"/>
    <mergeCell ref="S4:S6"/>
    <mergeCell ref="T4:T6"/>
    <mergeCell ref="P12:P15"/>
    <mergeCell ref="Q12:Q15"/>
    <mergeCell ref="R12:R15"/>
    <mergeCell ref="S12:S15"/>
    <mergeCell ref="T12:T15"/>
    <mergeCell ref="R16:R19"/>
    <mergeCell ref="S16:S19"/>
    <mergeCell ref="T16:T19"/>
    <mergeCell ref="B24:B27"/>
    <mergeCell ref="C24:C25"/>
    <mergeCell ref="E24:E27"/>
    <mergeCell ref="F24:F27"/>
    <mergeCell ref="G24:G27"/>
    <mergeCell ref="H24:H27"/>
    <mergeCell ref="I24:I27"/>
    <mergeCell ref="H20:H23"/>
    <mergeCell ref="I20:I23"/>
    <mergeCell ref="U4:U6"/>
    <mergeCell ref="J4:J6"/>
    <mergeCell ref="K4:K6"/>
    <mergeCell ref="L4:L6"/>
    <mergeCell ref="M4:M6"/>
    <mergeCell ref="N4:N6"/>
    <mergeCell ref="O4:O6"/>
    <mergeCell ref="A3:A6"/>
    <mergeCell ref="B3:B6"/>
    <mergeCell ref="C3:C6"/>
    <mergeCell ref="D3:D6"/>
    <mergeCell ref="E3:U3"/>
    <mergeCell ref="E4:E6"/>
    <mergeCell ref="F4:F6"/>
    <mergeCell ref="G4:G6"/>
    <mergeCell ref="H4:H6"/>
    <mergeCell ref="I4:I6"/>
  </mergeCells>
  <phoneticPr fontId="60"/>
  <pageMargins left="0.70866141732283472" right="0.70866141732283472" top="0.74803149606299213" bottom="0.74803149606299213" header="0.31496062992125984" footer="0.31496062992125984"/>
  <pageSetup paperSize="9" scale="49" orientation="portrait" r:id="rId1"/>
  <rowBreaks count="7" manualBreakCount="7">
    <brk id="75" max="20" man="1"/>
    <brk id="143" max="20" man="1"/>
    <brk id="211" max="20" man="1"/>
    <brk id="279" max="20" man="1"/>
    <brk id="347" max="20" man="1"/>
    <brk id="415" max="20" man="1"/>
    <brk id="483" max="2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FFFF00"/>
  </sheetPr>
  <dimension ref="A1:BC77"/>
  <sheetViews>
    <sheetView view="pageBreakPreview" topLeftCell="AA1" zoomScale="85" zoomScaleNormal="100" zoomScaleSheetLayoutView="85" workbookViewId="0">
      <selection activeCell="AA52" sqref="Y6:AB78"/>
    </sheetView>
  </sheetViews>
  <sheetFormatPr defaultRowHeight="13.5"/>
  <cols>
    <col min="1" max="1" width="7.5" customWidth="1"/>
    <col min="2" max="2" width="7.625" bestFit="1" customWidth="1"/>
    <col min="3" max="3" width="4.625" bestFit="1" customWidth="1"/>
    <col min="4" max="4" width="9.125" bestFit="1" customWidth="1"/>
    <col min="5" max="5" width="2.5" bestFit="1" customWidth="1"/>
    <col min="6" max="6" width="7" bestFit="1" customWidth="1"/>
    <col min="7" max="7" width="8.5" bestFit="1" customWidth="1"/>
    <col min="8" max="8" width="3.25" bestFit="1" customWidth="1"/>
    <col min="9" max="9" width="5.5" bestFit="1" customWidth="1"/>
    <col min="10" max="10" width="7" bestFit="1" customWidth="1"/>
    <col min="11" max="11" width="7.625" bestFit="1" customWidth="1"/>
    <col min="12" max="12" width="3.25" bestFit="1" customWidth="1"/>
    <col min="13" max="13" width="5.5" bestFit="1" customWidth="1"/>
    <col min="14" max="14" width="3.25" bestFit="1" customWidth="1"/>
    <col min="15" max="15" width="14.125" bestFit="1" customWidth="1"/>
    <col min="16" max="16" width="3.5" bestFit="1" customWidth="1"/>
    <col min="17" max="17" width="7" bestFit="1" customWidth="1"/>
    <col min="18" max="18" width="14.125" bestFit="1" customWidth="1"/>
    <col min="19" max="19" width="3.25" bestFit="1" customWidth="1"/>
    <col min="20" max="20" width="6.25" bestFit="1" customWidth="1"/>
    <col min="21" max="21" width="3.25" bestFit="1" customWidth="1"/>
    <col min="22" max="22" width="14.125" bestFit="1" customWidth="1"/>
    <col min="23" max="23" width="3.25" bestFit="1" customWidth="1"/>
    <col min="24" max="24" width="6.25" bestFit="1" customWidth="1"/>
    <col min="25" max="25" width="3.25" bestFit="1" customWidth="1"/>
    <col min="26" max="26" width="14.125" bestFit="1" customWidth="1"/>
    <col min="27" max="27" width="3.5" bestFit="1" customWidth="1"/>
    <col min="28" max="28" width="5.5" bestFit="1" customWidth="1"/>
    <col min="29" max="29" width="3.25" bestFit="1" customWidth="1"/>
    <col min="30" max="30" width="11.25" bestFit="1" customWidth="1"/>
    <col min="31" max="31" width="3.25" bestFit="1" customWidth="1"/>
    <col min="32" max="32" width="14.25" bestFit="1" customWidth="1"/>
    <col min="33" max="33" width="3.25" bestFit="1" customWidth="1"/>
    <col min="34" max="34" width="18.5" bestFit="1" customWidth="1"/>
    <col min="35" max="35" width="3.25" bestFit="1" customWidth="1"/>
    <col min="36" max="36" width="5.5" bestFit="1" customWidth="1"/>
    <col min="37" max="37" width="3.25" bestFit="1" customWidth="1"/>
    <col min="38" max="38" width="14.25" bestFit="1" customWidth="1"/>
    <col min="39" max="39" width="3.5" bestFit="1" customWidth="1"/>
    <col min="40" max="40" width="16" bestFit="1" customWidth="1"/>
    <col min="41" max="41" width="3.25" bestFit="1" customWidth="1"/>
    <col min="42" max="42" width="22.625" bestFit="1" customWidth="1"/>
    <col min="43" max="43" width="3.25" bestFit="1" customWidth="1"/>
    <col min="44" max="44" width="16" bestFit="1" customWidth="1"/>
    <col min="45" max="45" width="3.25" bestFit="1" customWidth="1"/>
    <col min="46" max="46" width="22.625" bestFit="1" customWidth="1"/>
    <col min="47" max="47" width="3.25" bestFit="1" customWidth="1"/>
    <col min="48" max="48" width="9.25" bestFit="1" customWidth="1"/>
    <col min="49" max="49" width="3.5" bestFit="1" customWidth="1"/>
    <col min="50" max="50" width="16.25" bestFit="1" customWidth="1"/>
    <col min="51" max="51" width="3.5" bestFit="1" customWidth="1"/>
    <col min="52" max="52" width="17.625" bestFit="1" customWidth="1"/>
    <col min="53" max="53" width="3.25" bestFit="1" customWidth="1"/>
    <col min="54" max="54" width="19.375" bestFit="1" customWidth="1"/>
  </cols>
  <sheetData>
    <row r="1" spans="1:55" s="1" customFormat="1" ht="13.5" customHeight="1">
      <c r="A1" s="2020" t="s">
        <v>364</v>
      </c>
      <c r="B1" s="2020" t="s">
        <v>324</v>
      </c>
      <c r="C1" s="2020" t="s">
        <v>22</v>
      </c>
      <c r="D1" s="2020" t="s">
        <v>325</v>
      </c>
      <c r="E1" s="240"/>
      <c r="F1" s="2008" t="s">
        <v>339</v>
      </c>
      <c r="G1" s="2010"/>
      <c r="H1" s="239"/>
      <c r="I1" s="2025" t="s">
        <v>171</v>
      </c>
      <c r="J1" s="2030"/>
      <c r="K1" s="2026"/>
      <c r="L1" s="239"/>
      <c r="M1" s="2025" t="s">
        <v>365</v>
      </c>
      <c r="N1" s="2030"/>
      <c r="O1" s="2026"/>
      <c r="P1" s="239"/>
      <c r="Q1" s="2025" t="s">
        <v>24</v>
      </c>
      <c r="R1" s="2026"/>
      <c r="S1" s="239"/>
      <c r="T1" s="2008" t="s">
        <v>366</v>
      </c>
      <c r="U1" s="2009"/>
      <c r="V1" s="2010"/>
      <c r="W1" s="239"/>
      <c r="X1" s="2008" t="s">
        <v>367</v>
      </c>
      <c r="Y1" s="2009"/>
      <c r="Z1" s="2010"/>
      <c r="AA1" s="239"/>
      <c r="AB1" s="2008" t="s">
        <v>368</v>
      </c>
      <c r="AC1" s="2030"/>
      <c r="AD1" s="2026"/>
      <c r="AE1" s="239"/>
      <c r="AF1" s="2008" t="s">
        <v>369</v>
      </c>
      <c r="AG1" s="2030"/>
      <c r="AH1" s="2026"/>
      <c r="AI1" s="239"/>
      <c r="AJ1" s="2025" t="s">
        <v>41</v>
      </c>
      <c r="AK1" s="2030"/>
      <c r="AL1" s="2026"/>
      <c r="AM1" s="239"/>
      <c r="AN1" s="2223" t="s">
        <v>295</v>
      </c>
      <c r="AO1" s="2224"/>
      <c r="AP1" s="2225"/>
      <c r="AQ1" s="239"/>
      <c r="AR1" s="2223" t="s">
        <v>296</v>
      </c>
      <c r="AS1" s="2224"/>
      <c r="AT1" s="2225"/>
      <c r="AU1" s="239"/>
      <c r="AV1" s="2021" t="s">
        <v>370</v>
      </c>
      <c r="AW1" s="239"/>
      <c r="AX1" s="2221" t="s">
        <v>363</v>
      </c>
      <c r="AY1" s="239"/>
      <c r="AZ1" s="2021" t="s">
        <v>371</v>
      </c>
      <c r="BA1" s="239"/>
      <c r="BB1" s="2021" t="s">
        <v>372</v>
      </c>
      <c r="BC1" s="2"/>
    </row>
    <row r="2" spans="1:55" s="1" customFormat="1" ht="13.5" customHeight="1">
      <c r="A2" s="2020"/>
      <c r="B2" s="2020"/>
      <c r="C2" s="2020"/>
      <c r="D2" s="2020"/>
      <c r="E2" s="240"/>
      <c r="F2" s="2011"/>
      <c r="G2" s="2013"/>
      <c r="H2" s="236"/>
      <c r="I2" s="2027"/>
      <c r="J2" s="2031"/>
      <c r="K2" s="2028"/>
      <c r="L2" s="236"/>
      <c r="M2" s="2027"/>
      <c r="N2" s="2031"/>
      <c r="O2" s="2028"/>
      <c r="P2" s="236"/>
      <c r="Q2" s="2027"/>
      <c r="R2" s="2028"/>
      <c r="S2" s="236"/>
      <c r="T2" s="2011"/>
      <c r="U2" s="2012"/>
      <c r="V2" s="2013"/>
      <c r="W2" s="236"/>
      <c r="X2" s="2011"/>
      <c r="Y2" s="2012"/>
      <c r="Z2" s="2013"/>
      <c r="AA2" s="236"/>
      <c r="AB2" s="2027"/>
      <c r="AC2" s="2031"/>
      <c r="AD2" s="2028"/>
      <c r="AE2" s="236"/>
      <c r="AF2" s="2027"/>
      <c r="AG2" s="2031"/>
      <c r="AH2" s="2028"/>
      <c r="AI2" s="236"/>
      <c r="AJ2" s="2027"/>
      <c r="AK2" s="2031"/>
      <c r="AL2" s="2028"/>
      <c r="AM2" s="239"/>
      <c r="AN2" s="2226"/>
      <c r="AO2" s="2227"/>
      <c r="AP2" s="2228"/>
      <c r="AQ2" s="239"/>
      <c r="AR2" s="2226"/>
      <c r="AS2" s="2227"/>
      <c r="AT2" s="2228"/>
      <c r="AU2" s="236"/>
      <c r="AV2" s="2038"/>
      <c r="AW2" s="236"/>
      <c r="AX2" s="2222"/>
      <c r="AY2" s="239"/>
      <c r="AZ2" s="2038"/>
      <c r="BA2" s="236"/>
      <c r="BB2" s="2038"/>
      <c r="BC2" s="23"/>
    </row>
    <row r="3" spans="1:55" s="5" customFormat="1" ht="13.5" customHeight="1">
      <c r="A3" s="2020"/>
      <c r="B3" s="2020"/>
      <c r="C3" s="2020"/>
      <c r="D3" s="2020"/>
      <c r="E3" s="243"/>
      <c r="F3" s="2011"/>
      <c r="G3" s="2013"/>
      <c r="H3" s="244"/>
      <c r="I3" s="246"/>
      <c r="J3" s="94"/>
      <c r="K3" s="96"/>
      <c r="L3" s="95"/>
      <c r="M3" s="247"/>
      <c r="N3" s="245"/>
      <c r="O3" s="2014" t="s">
        <v>171</v>
      </c>
      <c r="P3" s="244"/>
      <c r="Q3" s="237"/>
      <c r="R3" s="2217" t="s">
        <v>269</v>
      </c>
      <c r="S3" s="95"/>
      <c r="T3" s="247"/>
      <c r="U3" s="245"/>
      <c r="V3" s="2014" t="s">
        <v>171</v>
      </c>
      <c r="W3" s="95"/>
      <c r="X3" s="247"/>
      <c r="Y3" s="245"/>
      <c r="Z3" s="2014" t="s">
        <v>171</v>
      </c>
      <c r="AA3" s="95"/>
      <c r="AB3" s="247"/>
      <c r="AC3" s="245"/>
      <c r="AD3" s="2219" t="s">
        <v>171</v>
      </c>
      <c r="AE3" s="95"/>
      <c r="AF3" s="247"/>
      <c r="AG3" s="245"/>
      <c r="AH3" s="2021" t="s">
        <v>171</v>
      </c>
      <c r="AI3" s="95"/>
      <c r="AJ3" s="247"/>
      <c r="AK3" s="245"/>
      <c r="AL3" s="2014" t="s">
        <v>171</v>
      </c>
      <c r="AM3" s="39"/>
      <c r="AN3" s="214"/>
      <c r="AO3" s="215"/>
      <c r="AP3" s="2221" t="s">
        <v>171</v>
      </c>
      <c r="AQ3" s="39"/>
      <c r="AR3" s="214"/>
      <c r="AS3" s="215"/>
      <c r="AT3" s="2221" t="s">
        <v>171</v>
      </c>
      <c r="AU3" s="95"/>
      <c r="AV3" s="128"/>
      <c r="AW3" s="95"/>
      <c r="AX3" s="2222"/>
      <c r="AY3" s="39"/>
      <c r="AZ3" s="128"/>
      <c r="BA3" s="95"/>
      <c r="BB3" s="128"/>
      <c r="BC3" s="3"/>
    </row>
    <row r="4" spans="1:55" s="79" customFormat="1" ht="13.5" customHeight="1">
      <c r="A4" s="2021"/>
      <c r="B4" s="2021"/>
      <c r="C4" s="2021"/>
      <c r="D4" s="2021"/>
      <c r="E4" s="243"/>
      <c r="F4" s="246"/>
      <c r="G4" s="100" t="s">
        <v>373</v>
      </c>
      <c r="H4" s="238"/>
      <c r="I4" s="247"/>
      <c r="J4" s="101" t="s">
        <v>374</v>
      </c>
      <c r="K4" s="96"/>
      <c r="L4" s="95"/>
      <c r="M4" s="246"/>
      <c r="N4" s="238"/>
      <c r="O4" s="2015"/>
      <c r="P4" s="236"/>
      <c r="Q4" s="247"/>
      <c r="R4" s="2218"/>
      <c r="S4" s="95"/>
      <c r="T4" s="246"/>
      <c r="U4" s="238"/>
      <c r="V4" s="2015"/>
      <c r="W4" s="95"/>
      <c r="X4" s="246"/>
      <c r="Y4" s="238"/>
      <c r="Z4" s="2015"/>
      <c r="AA4" s="95"/>
      <c r="AB4" s="246"/>
      <c r="AC4" s="238"/>
      <c r="AD4" s="2220"/>
      <c r="AE4" s="95"/>
      <c r="AF4" s="246"/>
      <c r="AG4" s="238"/>
      <c r="AH4" s="2038"/>
      <c r="AI4" s="95"/>
      <c r="AJ4" s="246"/>
      <c r="AK4" s="238"/>
      <c r="AL4" s="2015"/>
      <c r="AM4" s="248"/>
      <c r="AN4" s="214"/>
      <c r="AO4" s="197"/>
      <c r="AP4" s="2222"/>
      <c r="AQ4" s="248"/>
      <c r="AR4" s="214"/>
      <c r="AS4" s="197"/>
      <c r="AT4" s="2222"/>
      <c r="AU4" s="95"/>
      <c r="AV4" s="237"/>
      <c r="AW4" s="95"/>
      <c r="AX4" s="2222"/>
      <c r="AY4" s="248"/>
      <c r="AZ4" s="237"/>
      <c r="BA4" s="95"/>
      <c r="BB4" s="237"/>
      <c r="BC4" s="3"/>
    </row>
    <row r="5" spans="1:55" s="5" customFormat="1" ht="13.5" customHeight="1">
      <c r="A5" s="242" t="s">
        <v>54</v>
      </c>
      <c r="B5" s="129" t="s">
        <v>375</v>
      </c>
      <c r="C5" s="242" t="s">
        <v>55</v>
      </c>
      <c r="D5" s="242" t="s">
        <v>376</v>
      </c>
      <c r="E5" s="244"/>
      <c r="F5" s="1993" t="s">
        <v>377</v>
      </c>
      <c r="G5" s="1995"/>
      <c r="H5" s="236"/>
      <c r="I5" s="1993" t="s">
        <v>378</v>
      </c>
      <c r="J5" s="1994"/>
      <c r="K5" s="1995"/>
      <c r="L5" s="95"/>
      <c r="M5" s="1993" t="s">
        <v>56</v>
      </c>
      <c r="N5" s="1994"/>
      <c r="O5" s="1995"/>
      <c r="P5" s="236"/>
      <c r="Q5" s="1993" t="s">
        <v>379</v>
      </c>
      <c r="R5" s="1995"/>
      <c r="S5" s="95"/>
      <c r="T5" s="1993" t="s">
        <v>72</v>
      </c>
      <c r="U5" s="1994"/>
      <c r="V5" s="1995"/>
      <c r="W5" s="95"/>
      <c r="X5" s="1993" t="s">
        <v>380</v>
      </c>
      <c r="Y5" s="1994"/>
      <c r="Z5" s="1995"/>
      <c r="AA5" s="95"/>
      <c r="AB5" s="1993" t="s">
        <v>381</v>
      </c>
      <c r="AC5" s="1994"/>
      <c r="AD5" s="1995"/>
      <c r="AE5" s="95"/>
      <c r="AF5" s="1993" t="s">
        <v>58</v>
      </c>
      <c r="AG5" s="1994"/>
      <c r="AH5" s="1995"/>
      <c r="AI5" s="95"/>
      <c r="AJ5" s="1993" t="s">
        <v>59</v>
      </c>
      <c r="AK5" s="1994"/>
      <c r="AL5" s="1995"/>
      <c r="AM5" s="248"/>
      <c r="AN5" s="1993" t="s">
        <v>60</v>
      </c>
      <c r="AO5" s="1994"/>
      <c r="AP5" s="1995"/>
      <c r="AQ5" s="248"/>
      <c r="AR5" s="1993" t="s">
        <v>382</v>
      </c>
      <c r="AS5" s="1994"/>
      <c r="AT5" s="1995"/>
      <c r="AU5" s="95"/>
      <c r="AV5" s="241" t="s">
        <v>253</v>
      </c>
      <c r="AW5" s="95"/>
      <c r="AX5" s="216" t="s">
        <v>383</v>
      </c>
      <c r="AY5" s="248"/>
      <c r="AZ5" s="241" t="s">
        <v>79</v>
      </c>
      <c r="BA5" s="95"/>
      <c r="BB5" s="241" t="s">
        <v>303</v>
      </c>
      <c r="BC5" s="3"/>
    </row>
    <row r="6" spans="1:55" s="4" customFormat="1" ht="3.75" customHeight="1">
      <c r="A6" s="6"/>
      <c r="B6" s="76"/>
      <c r="C6" s="7"/>
      <c r="D6" s="7"/>
      <c r="E6" s="47"/>
      <c r="F6" s="8"/>
      <c r="G6" s="9"/>
      <c r="H6" s="23"/>
      <c r="I6" s="11"/>
      <c r="J6" s="12"/>
      <c r="K6" s="13"/>
      <c r="L6" s="3"/>
      <c r="M6" s="14"/>
      <c r="N6" s="23"/>
      <c r="O6" s="41"/>
      <c r="P6" s="23"/>
      <c r="Q6" s="11"/>
      <c r="R6" s="46"/>
      <c r="S6" s="3"/>
      <c r="T6" s="34"/>
      <c r="U6" s="23"/>
      <c r="V6" s="42"/>
      <c r="W6" s="3"/>
      <c r="X6" s="34"/>
      <c r="Y6" s="23"/>
      <c r="Z6" s="42"/>
      <c r="AA6" s="3"/>
      <c r="AB6" s="14"/>
      <c r="AC6" s="23"/>
      <c r="AD6" s="15"/>
      <c r="AE6" s="3"/>
      <c r="AF6" s="14"/>
      <c r="AG6" s="23"/>
      <c r="AH6" s="15"/>
      <c r="AI6" s="3"/>
      <c r="AJ6" s="14"/>
      <c r="AK6" s="23"/>
      <c r="AL6" s="15"/>
      <c r="AM6" s="43"/>
      <c r="AN6" s="14"/>
      <c r="AO6" s="23"/>
      <c r="AP6" s="15"/>
      <c r="AQ6" s="43"/>
      <c r="AR6" s="43"/>
      <c r="AS6" s="43"/>
      <c r="AT6" s="43"/>
      <c r="AU6" s="43"/>
      <c r="AV6" s="10"/>
      <c r="AW6" s="34"/>
      <c r="AX6" s="34"/>
      <c r="AY6" s="43"/>
      <c r="AZ6" s="43"/>
      <c r="BA6" s="3"/>
      <c r="BB6" s="3"/>
      <c r="BC6" s="3"/>
    </row>
    <row r="7" spans="1:55" ht="24" customHeight="1">
      <c r="A7" s="2216" t="s">
        <v>1014</v>
      </c>
      <c r="B7" s="2212" t="s">
        <v>552</v>
      </c>
      <c r="C7" s="2214" t="s">
        <v>553</v>
      </c>
      <c r="D7" s="1122" t="s">
        <v>554</v>
      </c>
      <c r="E7" s="1123"/>
      <c r="F7" s="1142">
        <v>101830</v>
      </c>
      <c r="G7" s="1143">
        <v>108900</v>
      </c>
      <c r="H7" s="1144" t="s">
        <v>255</v>
      </c>
      <c r="I7" s="1145">
        <v>990</v>
      </c>
      <c r="J7" s="1146">
        <v>1070</v>
      </c>
      <c r="K7" s="1147" t="s">
        <v>1073</v>
      </c>
      <c r="L7" s="1972" t="s">
        <v>255</v>
      </c>
      <c r="M7" s="2205">
        <v>6500</v>
      </c>
      <c r="N7" s="1972" t="s">
        <v>255</v>
      </c>
      <c r="O7" s="2229">
        <v>60</v>
      </c>
      <c r="P7" s="1144" t="s">
        <v>255</v>
      </c>
      <c r="Q7" s="1148">
        <v>7070</v>
      </c>
      <c r="R7" s="1238">
        <v>70</v>
      </c>
      <c r="S7" s="1239"/>
      <c r="T7" s="1173"/>
      <c r="U7" s="1172"/>
      <c r="V7" s="38"/>
      <c r="W7" s="1172"/>
      <c r="X7" s="1173" t="s">
        <v>46</v>
      </c>
      <c r="Y7" s="1172"/>
      <c r="Z7" s="1240"/>
      <c r="AA7" s="2060" t="s">
        <v>255</v>
      </c>
      <c r="AB7" s="2201">
        <v>5780</v>
      </c>
      <c r="AC7" s="1972" t="s">
        <v>255</v>
      </c>
      <c r="AD7" s="2203">
        <v>50</v>
      </c>
      <c r="AE7" s="1972" t="s">
        <v>31</v>
      </c>
      <c r="AF7" s="2198">
        <v>28290</v>
      </c>
      <c r="AG7" s="1972" t="s">
        <v>255</v>
      </c>
      <c r="AH7" s="2209">
        <v>280</v>
      </c>
      <c r="AI7" s="1972" t="s">
        <v>31</v>
      </c>
      <c r="AJ7" s="2205">
        <v>3640</v>
      </c>
      <c r="AK7" s="1972" t="s">
        <v>255</v>
      </c>
      <c r="AL7" s="2207">
        <v>30</v>
      </c>
      <c r="AM7" s="1972" t="s">
        <v>31</v>
      </c>
      <c r="AN7" s="1241">
        <v>2730</v>
      </c>
      <c r="AO7" s="1972" t="s">
        <v>31</v>
      </c>
      <c r="AP7" s="1242">
        <v>20</v>
      </c>
      <c r="AQ7" s="1972" t="s">
        <v>31</v>
      </c>
      <c r="AR7" s="1241">
        <v>480</v>
      </c>
      <c r="AS7" s="1972" t="s">
        <v>31</v>
      </c>
      <c r="AT7" s="1242">
        <v>4</v>
      </c>
      <c r="AU7" s="2200" t="s">
        <v>555</v>
      </c>
      <c r="AV7" s="2232">
        <v>27330</v>
      </c>
      <c r="AW7" s="2200" t="s">
        <v>555</v>
      </c>
      <c r="AX7" s="1243">
        <v>235</v>
      </c>
      <c r="AY7" s="1972" t="s">
        <v>78</v>
      </c>
      <c r="AZ7" s="1244">
        <v>28290</v>
      </c>
      <c r="BA7" s="1125"/>
      <c r="BB7" s="969"/>
    </row>
    <row r="8" spans="1:55" ht="24" customHeight="1">
      <c r="A8" s="2216"/>
      <c r="B8" s="2213"/>
      <c r="C8" s="2215"/>
      <c r="D8" s="1126" t="s">
        <v>556</v>
      </c>
      <c r="E8" s="1123"/>
      <c r="F8" s="1177">
        <v>108900</v>
      </c>
      <c r="G8" s="1178"/>
      <c r="H8" s="1144" t="s">
        <v>255</v>
      </c>
      <c r="I8" s="1163">
        <v>1070</v>
      </c>
      <c r="J8" s="1179"/>
      <c r="K8" s="1180" t="s">
        <v>1073</v>
      </c>
      <c r="L8" s="1972"/>
      <c r="M8" s="2206"/>
      <c r="N8" s="1972"/>
      <c r="O8" s="2230"/>
      <c r="P8" s="1144" t="s">
        <v>255</v>
      </c>
      <c r="Q8" s="1163">
        <v>7070</v>
      </c>
      <c r="R8" s="1245">
        <v>70</v>
      </c>
      <c r="S8" s="1246" t="s">
        <v>255</v>
      </c>
      <c r="T8" s="1247">
        <v>49520</v>
      </c>
      <c r="U8" s="1172" t="s">
        <v>255</v>
      </c>
      <c r="V8" s="1248">
        <v>490</v>
      </c>
      <c r="W8" s="1249" t="s">
        <v>255</v>
      </c>
      <c r="X8" s="1250">
        <v>42450</v>
      </c>
      <c r="Y8" s="1249" t="s">
        <v>31</v>
      </c>
      <c r="Z8" s="1248">
        <v>420</v>
      </c>
      <c r="AA8" s="1972"/>
      <c r="AB8" s="2202"/>
      <c r="AC8" s="1972"/>
      <c r="AD8" s="2204"/>
      <c r="AE8" s="1972"/>
      <c r="AF8" s="2199"/>
      <c r="AG8" s="1972"/>
      <c r="AH8" s="2210"/>
      <c r="AI8" s="1972"/>
      <c r="AJ8" s="2206"/>
      <c r="AK8" s="1972"/>
      <c r="AL8" s="2208"/>
      <c r="AM8" s="1972"/>
      <c r="AN8" s="1251" t="s">
        <v>1074</v>
      </c>
      <c r="AO8" s="1972"/>
      <c r="AP8" s="1251" t="s">
        <v>1075</v>
      </c>
      <c r="AQ8" s="1972"/>
      <c r="AR8" s="1251" t="s">
        <v>1074</v>
      </c>
      <c r="AS8" s="1972"/>
      <c r="AT8" s="1251" t="s">
        <v>1075</v>
      </c>
      <c r="AU8" s="2200"/>
      <c r="AV8" s="2233"/>
      <c r="AW8" s="2200"/>
      <c r="AX8" s="1252" t="s">
        <v>302</v>
      </c>
      <c r="AY8" s="1972"/>
      <c r="AZ8" s="1253">
        <v>280</v>
      </c>
      <c r="BA8" s="1125"/>
      <c r="BB8" s="970"/>
    </row>
    <row r="9" spans="1:55" ht="24" customHeight="1">
      <c r="A9" s="2216"/>
      <c r="B9" s="2212" t="s">
        <v>557</v>
      </c>
      <c r="C9" s="2214" t="s">
        <v>553</v>
      </c>
      <c r="D9" s="1122" t="s">
        <v>554</v>
      </c>
      <c r="E9" s="1123"/>
      <c r="F9" s="1142">
        <v>62890</v>
      </c>
      <c r="G9" s="1143">
        <v>69960</v>
      </c>
      <c r="H9" s="1144" t="s">
        <v>255</v>
      </c>
      <c r="I9" s="1145">
        <v>610</v>
      </c>
      <c r="J9" s="1146">
        <v>680</v>
      </c>
      <c r="K9" s="1147" t="s">
        <v>1073</v>
      </c>
      <c r="L9" s="1972" t="s">
        <v>255</v>
      </c>
      <c r="M9" s="2205">
        <v>3900</v>
      </c>
      <c r="N9" s="1972" t="s">
        <v>255</v>
      </c>
      <c r="O9" s="2229">
        <v>30</v>
      </c>
      <c r="P9" s="1144" t="s">
        <v>255</v>
      </c>
      <c r="Q9" s="1148">
        <v>7070</v>
      </c>
      <c r="R9" s="1238">
        <v>70</v>
      </c>
      <c r="S9" s="1239"/>
      <c r="T9" s="1173"/>
      <c r="U9" s="1172"/>
      <c r="V9" s="38"/>
      <c r="W9" s="1172"/>
      <c r="X9" s="1173" t="s">
        <v>46</v>
      </c>
      <c r="Y9" s="1172"/>
      <c r="Z9" s="1240"/>
      <c r="AA9" s="2060" t="s">
        <v>255</v>
      </c>
      <c r="AB9" s="2201">
        <v>3470</v>
      </c>
      <c r="AC9" s="1972" t="s">
        <v>255</v>
      </c>
      <c r="AD9" s="2203">
        <v>30</v>
      </c>
      <c r="AE9" s="1972" t="s">
        <v>31</v>
      </c>
      <c r="AF9" s="2198">
        <v>16970</v>
      </c>
      <c r="AG9" s="1972" t="s">
        <v>255</v>
      </c>
      <c r="AH9" s="2209">
        <v>160</v>
      </c>
      <c r="AI9" s="1972" t="s">
        <v>31</v>
      </c>
      <c r="AJ9" s="2205">
        <v>2490</v>
      </c>
      <c r="AK9" s="1972" t="s">
        <v>255</v>
      </c>
      <c r="AL9" s="2207">
        <v>20</v>
      </c>
      <c r="AM9" s="1972" t="s">
        <v>31</v>
      </c>
      <c r="AN9" s="1241">
        <v>1630</v>
      </c>
      <c r="AO9" s="1972" t="s">
        <v>31</v>
      </c>
      <c r="AP9" s="1242">
        <v>10</v>
      </c>
      <c r="AQ9" s="1972" t="s">
        <v>31</v>
      </c>
      <c r="AR9" s="1241">
        <v>290</v>
      </c>
      <c r="AS9" s="1972" t="s">
        <v>31</v>
      </c>
      <c r="AT9" s="1242">
        <v>2</v>
      </c>
      <c r="AU9" s="2200" t="s">
        <v>555</v>
      </c>
      <c r="AV9" s="2232">
        <v>16800</v>
      </c>
      <c r="AW9" s="2200" t="s">
        <v>555</v>
      </c>
      <c r="AX9" s="1243">
        <v>235</v>
      </c>
      <c r="AY9" s="1972" t="s">
        <v>78</v>
      </c>
      <c r="AZ9" s="1244">
        <v>16970</v>
      </c>
      <c r="BA9" s="1125"/>
      <c r="BB9" s="969"/>
    </row>
    <row r="10" spans="1:55" ht="24" customHeight="1">
      <c r="A10" s="2216"/>
      <c r="B10" s="2213"/>
      <c r="C10" s="2215"/>
      <c r="D10" s="1126" t="s">
        <v>556</v>
      </c>
      <c r="E10" s="1123"/>
      <c r="F10" s="1177">
        <v>69960</v>
      </c>
      <c r="G10" s="1178"/>
      <c r="H10" s="1144" t="s">
        <v>255</v>
      </c>
      <c r="I10" s="1163">
        <v>680</v>
      </c>
      <c r="J10" s="1179"/>
      <c r="K10" s="1180" t="s">
        <v>1073</v>
      </c>
      <c r="L10" s="1972"/>
      <c r="M10" s="2206"/>
      <c r="N10" s="1972"/>
      <c r="O10" s="2230"/>
      <c r="P10" s="1144" t="s">
        <v>255</v>
      </c>
      <c r="Q10" s="1163">
        <v>7070</v>
      </c>
      <c r="R10" s="1245">
        <v>70</v>
      </c>
      <c r="S10" s="1246" t="s">
        <v>255</v>
      </c>
      <c r="T10" s="1247">
        <v>49520</v>
      </c>
      <c r="U10" s="1172" t="s">
        <v>255</v>
      </c>
      <c r="V10" s="1248">
        <v>490</v>
      </c>
      <c r="W10" s="1249" t="s">
        <v>255</v>
      </c>
      <c r="X10" s="1250">
        <v>42450</v>
      </c>
      <c r="Y10" s="1249" t="s">
        <v>31</v>
      </c>
      <c r="Z10" s="1248">
        <v>420</v>
      </c>
      <c r="AA10" s="1972"/>
      <c r="AB10" s="2202"/>
      <c r="AC10" s="1972"/>
      <c r="AD10" s="2204"/>
      <c r="AE10" s="1972"/>
      <c r="AF10" s="2199"/>
      <c r="AG10" s="1972"/>
      <c r="AH10" s="2210"/>
      <c r="AI10" s="1972"/>
      <c r="AJ10" s="2206"/>
      <c r="AK10" s="1972"/>
      <c r="AL10" s="2208"/>
      <c r="AM10" s="1972"/>
      <c r="AN10" s="1251" t="s">
        <v>902</v>
      </c>
      <c r="AO10" s="1972"/>
      <c r="AP10" s="1251" t="s">
        <v>903</v>
      </c>
      <c r="AQ10" s="1972"/>
      <c r="AR10" s="1251" t="s">
        <v>902</v>
      </c>
      <c r="AS10" s="1972"/>
      <c r="AT10" s="1251" t="s">
        <v>903</v>
      </c>
      <c r="AU10" s="2200"/>
      <c r="AV10" s="2233"/>
      <c r="AW10" s="2200"/>
      <c r="AX10" s="1252" t="s">
        <v>302</v>
      </c>
      <c r="AY10" s="1972"/>
      <c r="AZ10" s="1253">
        <v>170</v>
      </c>
      <c r="BA10" s="1125"/>
      <c r="BB10" s="970"/>
    </row>
    <row r="11" spans="1:55" ht="24" customHeight="1">
      <c r="A11" s="2216"/>
      <c r="B11" s="2212" t="s">
        <v>558</v>
      </c>
      <c r="C11" s="2214" t="s">
        <v>553</v>
      </c>
      <c r="D11" s="1122" t="s">
        <v>554</v>
      </c>
      <c r="E11" s="1123"/>
      <c r="F11" s="1142">
        <v>46200</v>
      </c>
      <c r="G11" s="1143">
        <v>53270</v>
      </c>
      <c r="H11" s="1144" t="s">
        <v>255</v>
      </c>
      <c r="I11" s="1145">
        <v>440</v>
      </c>
      <c r="J11" s="1146">
        <v>510</v>
      </c>
      <c r="K11" s="1147" t="s">
        <v>1073</v>
      </c>
      <c r="L11" s="1972" t="s">
        <v>255</v>
      </c>
      <c r="M11" s="2205">
        <v>2780</v>
      </c>
      <c r="N11" s="1972" t="s">
        <v>255</v>
      </c>
      <c r="O11" s="2229">
        <v>20</v>
      </c>
      <c r="P11" s="1144" t="s">
        <v>255</v>
      </c>
      <c r="Q11" s="1148">
        <v>7070</v>
      </c>
      <c r="R11" s="1238">
        <v>70</v>
      </c>
      <c r="S11" s="1239"/>
      <c r="T11" s="1173"/>
      <c r="U11" s="1172"/>
      <c r="V11" s="38"/>
      <c r="W11" s="1172"/>
      <c r="X11" s="1173" t="s">
        <v>46</v>
      </c>
      <c r="Y11" s="1172"/>
      <c r="Z11" s="1240"/>
      <c r="AA11" s="2060" t="s">
        <v>255</v>
      </c>
      <c r="AB11" s="2201">
        <v>2480</v>
      </c>
      <c r="AC11" s="1972" t="s">
        <v>255</v>
      </c>
      <c r="AD11" s="2203">
        <v>20</v>
      </c>
      <c r="AE11" s="1972" t="s">
        <v>31</v>
      </c>
      <c r="AF11" s="2198">
        <v>12120</v>
      </c>
      <c r="AG11" s="1972" t="s">
        <v>255</v>
      </c>
      <c r="AH11" s="2209">
        <v>120</v>
      </c>
      <c r="AI11" s="1972" t="s">
        <v>31</v>
      </c>
      <c r="AJ11" s="2205">
        <v>2000</v>
      </c>
      <c r="AK11" s="1972" t="s">
        <v>255</v>
      </c>
      <c r="AL11" s="2207">
        <v>20</v>
      </c>
      <c r="AM11" s="1972" t="s">
        <v>31</v>
      </c>
      <c r="AN11" s="1241">
        <v>1170</v>
      </c>
      <c r="AO11" s="1972" t="s">
        <v>31</v>
      </c>
      <c r="AP11" s="1242">
        <v>10</v>
      </c>
      <c r="AQ11" s="1972" t="s">
        <v>31</v>
      </c>
      <c r="AR11" s="1241">
        <v>200</v>
      </c>
      <c r="AS11" s="1972" t="s">
        <v>31</v>
      </c>
      <c r="AT11" s="1242">
        <v>2</v>
      </c>
      <c r="AU11" s="2200" t="s">
        <v>555</v>
      </c>
      <c r="AV11" s="2232">
        <v>12280</v>
      </c>
      <c r="AW11" s="2200" t="s">
        <v>555</v>
      </c>
      <c r="AX11" s="1243">
        <v>235</v>
      </c>
      <c r="AY11" s="1972" t="s">
        <v>78</v>
      </c>
      <c r="AZ11" s="1244">
        <v>12120</v>
      </c>
      <c r="BA11" s="1125"/>
      <c r="BB11" s="969"/>
    </row>
    <row r="12" spans="1:55" ht="24" customHeight="1">
      <c r="A12" s="2216"/>
      <c r="B12" s="2213"/>
      <c r="C12" s="2215"/>
      <c r="D12" s="1126" t="s">
        <v>556</v>
      </c>
      <c r="E12" s="1123"/>
      <c r="F12" s="1177">
        <v>53270</v>
      </c>
      <c r="G12" s="1178"/>
      <c r="H12" s="1144" t="s">
        <v>255</v>
      </c>
      <c r="I12" s="1163">
        <v>510</v>
      </c>
      <c r="J12" s="1179"/>
      <c r="K12" s="1180" t="s">
        <v>1073</v>
      </c>
      <c r="L12" s="1972"/>
      <c r="M12" s="2206"/>
      <c r="N12" s="1972"/>
      <c r="O12" s="2230"/>
      <c r="P12" s="1144" t="s">
        <v>255</v>
      </c>
      <c r="Q12" s="1163">
        <v>7070</v>
      </c>
      <c r="R12" s="1245">
        <v>70</v>
      </c>
      <c r="S12" s="1246" t="s">
        <v>255</v>
      </c>
      <c r="T12" s="1247">
        <v>49520</v>
      </c>
      <c r="U12" s="1172" t="s">
        <v>255</v>
      </c>
      <c r="V12" s="1248">
        <v>490</v>
      </c>
      <c r="W12" s="1249" t="s">
        <v>255</v>
      </c>
      <c r="X12" s="1250">
        <v>42450</v>
      </c>
      <c r="Y12" s="1249" t="s">
        <v>31</v>
      </c>
      <c r="Z12" s="1248">
        <v>420</v>
      </c>
      <c r="AA12" s="1972"/>
      <c r="AB12" s="2202"/>
      <c r="AC12" s="1972"/>
      <c r="AD12" s="2204"/>
      <c r="AE12" s="1972"/>
      <c r="AF12" s="2199"/>
      <c r="AG12" s="1972"/>
      <c r="AH12" s="2210"/>
      <c r="AI12" s="1972"/>
      <c r="AJ12" s="2206"/>
      <c r="AK12" s="1972"/>
      <c r="AL12" s="2208"/>
      <c r="AM12" s="1972"/>
      <c r="AN12" s="1251" t="s">
        <v>902</v>
      </c>
      <c r="AO12" s="1972"/>
      <c r="AP12" s="1251" t="s">
        <v>903</v>
      </c>
      <c r="AQ12" s="1972"/>
      <c r="AR12" s="1251" t="s">
        <v>902</v>
      </c>
      <c r="AS12" s="1972"/>
      <c r="AT12" s="1251" t="s">
        <v>903</v>
      </c>
      <c r="AU12" s="2200"/>
      <c r="AV12" s="2233"/>
      <c r="AW12" s="2200"/>
      <c r="AX12" s="1252" t="s">
        <v>302</v>
      </c>
      <c r="AY12" s="1972"/>
      <c r="AZ12" s="1253">
        <v>120</v>
      </c>
      <c r="BA12" s="1125"/>
      <c r="BB12" s="970"/>
    </row>
    <row r="13" spans="1:55" ht="24" customHeight="1">
      <c r="A13" s="2216"/>
      <c r="B13" s="2212" t="s">
        <v>559</v>
      </c>
      <c r="C13" s="2214" t="s">
        <v>553</v>
      </c>
      <c r="D13" s="1122" t="s">
        <v>554</v>
      </c>
      <c r="E13" s="1123"/>
      <c r="F13" s="1142">
        <v>46420</v>
      </c>
      <c r="G13" s="1143">
        <v>53490</v>
      </c>
      <c r="H13" s="1144" t="s">
        <v>255</v>
      </c>
      <c r="I13" s="1145">
        <v>440</v>
      </c>
      <c r="J13" s="1146">
        <v>510</v>
      </c>
      <c r="K13" s="1147" t="s">
        <v>1073</v>
      </c>
      <c r="L13" s="1972" t="s">
        <v>255</v>
      </c>
      <c r="M13" s="2205">
        <v>2160</v>
      </c>
      <c r="N13" s="1972" t="s">
        <v>255</v>
      </c>
      <c r="O13" s="2229">
        <v>20</v>
      </c>
      <c r="P13" s="1144" t="s">
        <v>255</v>
      </c>
      <c r="Q13" s="1148">
        <v>7070</v>
      </c>
      <c r="R13" s="1238">
        <v>70</v>
      </c>
      <c r="S13" s="1239"/>
      <c r="T13" s="1173"/>
      <c r="U13" s="1172"/>
      <c r="V13" s="38"/>
      <c r="W13" s="1172"/>
      <c r="X13" s="1173" t="s">
        <v>46</v>
      </c>
      <c r="Y13" s="1172"/>
      <c r="Z13" s="1240"/>
      <c r="AA13" s="2060" t="s">
        <v>255</v>
      </c>
      <c r="AB13" s="2201" t="s">
        <v>276</v>
      </c>
      <c r="AC13" s="1972" t="s">
        <v>255</v>
      </c>
      <c r="AD13" s="2203" t="s">
        <v>276</v>
      </c>
      <c r="AE13" s="1972" t="s">
        <v>31</v>
      </c>
      <c r="AF13" s="2198">
        <v>9430</v>
      </c>
      <c r="AG13" s="1972" t="s">
        <v>255</v>
      </c>
      <c r="AH13" s="2209">
        <v>90</v>
      </c>
      <c r="AI13" s="1972" t="s">
        <v>31</v>
      </c>
      <c r="AJ13" s="2205">
        <v>1730</v>
      </c>
      <c r="AK13" s="1972" t="s">
        <v>255</v>
      </c>
      <c r="AL13" s="2207">
        <v>10</v>
      </c>
      <c r="AM13" s="1972" t="s">
        <v>31</v>
      </c>
      <c r="AN13" s="1241">
        <v>910</v>
      </c>
      <c r="AO13" s="1972" t="s">
        <v>31</v>
      </c>
      <c r="AP13" s="1242">
        <v>9</v>
      </c>
      <c r="AQ13" s="1972" t="s">
        <v>31</v>
      </c>
      <c r="AR13" s="1241">
        <v>160</v>
      </c>
      <c r="AS13" s="1972" t="s">
        <v>31</v>
      </c>
      <c r="AT13" s="1242">
        <v>1</v>
      </c>
      <c r="AU13" s="2200" t="s">
        <v>555</v>
      </c>
      <c r="AV13" s="2232">
        <v>9770</v>
      </c>
      <c r="AW13" s="2200" t="s">
        <v>555</v>
      </c>
      <c r="AX13" s="1243">
        <v>235</v>
      </c>
      <c r="AY13" s="1972" t="s">
        <v>78</v>
      </c>
      <c r="AZ13" s="1244">
        <v>9430</v>
      </c>
      <c r="BA13" s="1125"/>
      <c r="BB13" s="969"/>
    </row>
    <row r="14" spans="1:55" ht="24" customHeight="1">
      <c r="A14" s="2216"/>
      <c r="B14" s="2213"/>
      <c r="C14" s="2215"/>
      <c r="D14" s="1126" t="s">
        <v>556</v>
      </c>
      <c r="E14" s="1123"/>
      <c r="F14" s="1177">
        <v>53490</v>
      </c>
      <c r="G14" s="1178"/>
      <c r="H14" s="1144" t="s">
        <v>255</v>
      </c>
      <c r="I14" s="1163">
        <v>510</v>
      </c>
      <c r="J14" s="1179"/>
      <c r="K14" s="1180" t="s">
        <v>1073</v>
      </c>
      <c r="L14" s="1972"/>
      <c r="M14" s="2206"/>
      <c r="N14" s="1972"/>
      <c r="O14" s="2230"/>
      <c r="P14" s="1144" t="s">
        <v>255</v>
      </c>
      <c r="Q14" s="1163">
        <v>7070</v>
      </c>
      <c r="R14" s="1245">
        <v>70</v>
      </c>
      <c r="S14" s="1246" t="s">
        <v>255</v>
      </c>
      <c r="T14" s="1247">
        <v>49520</v>
      </c>
      <c r="U14" s="1172" t="s">
        <v>255</v>
      </c>
      <c r="V14" s="1248">
        <v>490</v>
      </c>
      <c r="W14" s="1249" t="s">
        <v>255</v>
      </c>
      <c r="X14" s="1250">
        <v>42450</v>
      </c>
      <c r="Y14" s="1249" t="s">
        <v>31</v>
      </c>
      <c r="Z14" s="1248">
        <v>420</v>
      </c>
      <c r="AA14" s="1972"/>
      <c r="AB14" s="2202"/>
      <c r="AC14" s="1972"/>
      <c r="AD14" s="2204"/>
      <c r="AE14" s="1972"/>
      <c r="AF14" s="2199"/>
      <c r="AG14" s="1972"/>
      <c r="AH14" s="2210"/>
      <c r="AI14" s="1972"/>
      <c r="AJ14" s="2206"/>
      <c r="AK14" s="1972"/>
      <c r="AL14" s="2208"/>
      <c r="AM14" s="1972"/>
      <c r="AN14" s="1251" t="s">
        <v>902</v>
      </c>
      <c r="AO14" s="1972"/>
      <c r="AP14" s="1251" t="s">
        <v>903</v>
      </c>
      <c r="AQ14" s="1972"/>
      <c r="AR14" s="1251" t="s">
        <v>902</v>
      </c>
      <c r="AS14" s="1972"/>
      <c r="AT14" s="1251" t="s">
        <v>903</v>
      </c>
      <c r="AU14" s="2200"/>
      <c r="AV14" s="2233"/>
      <c r="AW14" s="2200"/>
      <c r="AX14" s="1252" t="s">
        <v>302</v>
      </c>
      <c r="AY14" s="1972"/>
      <c r="AZ14" s="1253">
        <v>90</v>
      </c>
      <c r="BA14" s="1125"/>
      <c r="BB14" s="970"/>
    </row>
    <row r="15" spans="1:55" ht="24" customHeight="1">
      <c r="A15" s="2216"/>
      <c r="B15" s="2212" t="s">
        <v>560</v>
      </c>
      <c r="C15" s="2214" t="s">
        <v>553</v>
      </c>
      <c r="D15" s="1122" t="s">
        <v>554</v>
      </c>
      <c r="E15" s="1123"/>
      <c r="F15" s="1142">
        <v>42970</v>
      </c>
      <c r="G15" s="1143">
        <v>50040</v>
      </c>
      <c r="H15" s="1144" t="s">
        <v>255</v>
      </c>
      <c r="I15" s="1145">
        <v>410</v>
      </c>
      <c r="J15" s="1146">
        <v>480</v>
      </c>
      <c r="K15" s="1147" t="s">
        <v>1073</v>
      </c>
      <c r="L15" s="1972" t="s">
        <v>255</v>
      </c>
      <c r="M15" s="2205">
        <v>1620</v>
      </c>
      <c r="N15" s="1972" t="s">
        <v>255</v>
      </c>
      <c r="O15" s="2229">
        <v>10</v>
      </c>
      <c r="P15" s="1144" t="s">
        <v>255</v>
      </c>
      <c r="Q15" s="1148">
        <v>7070</v>
      </c>
      <c r="R15" s="1238">
        <v>70</v>
      </c>
      <c r="S15" s="1239"/>
      <c r="T15" s="1173"/>
      <c r="U15" s="1172"/>
      <c r="V15" s="38"/>
      <c r="W15" s="1172"/>
      <c r="X15" s="1173" t="s">
        <v>46</v>
      </c>
      <c r="Y15" s="1172"/>
      <c r="Z15" s="1240"/>
      <c r="AA15" s="2060" t="s">
        <v>255</v>
      </c>
      <c r="AB15" s="2201" t="s">
        <v>276</v>
      </c>
      <c r="AC15" s="1972" t="s">
        <v>255</v>
      </c>
      <c r="AD15" s="2203" t="s">
        <v>276</v>
      </c>
      <c r="AE15" s="1972" t="s">
        <v>31</v>
      </c>
      <c r="AF15" s="2198">
        <v>7070</v>
      </c>
      <c r="AG15" s="1972" t="s">
        <v>255</v>
      </c>
      <c r="AH15" s="2209">
        <v>70</v>
      </c>
      <c r="AI15" s="1972" t="s">
        <v>31</v>
      </c>
      <c r="AJ15" s="2205">
        <v>1300</v>
      </c>
      <c r="AK15" s="1972" t="s">
        <v>255</v>
      </c>
      <c r="AL15" s="2207">
        <v>10</v>
      </c>
      <c r="AM15" s="1972" t="s">
        <v>31</v>
      </c>
      <c r="AN15" s="1241">
        <v>680</v>
      </c>
      <c r="AO15" s="1972" t="s">
        <v>31</v>
      </c>
      <c r="AP15" s="1242">
        <v>6</v>
      </c>
      <c r="AQ15" s="1972" t="s">
        <v>31</v>
      </c>
      <c r="AR15" s="1241">
        <v>120</v>
      </c>
      <c r="AS15" s="1972" t="s">
        <v>31</v>
      </c>
      <c r="AT15" s="1242">
        <v>1</v>
      </c>
      <c r="AU15" s="2200" t="s">
        <v>555</v>
      </c>
      <c r="AV15" s="2232">
        <v>7500</v>
      </c>
      <c r="AW15" s="2200" t="s">
        <v>555</v>
      </c>
      <c r="AX15" s="1243">
        <v>235</v>
      </c>
      <c r="AY15" s="1972" t="s">
        <v>78</v>
      </c>
      <c r="AZ15" s="1244">
        <v>7070</v>
      </c>
      <c r="BA15" s="1125"/>
      <c r="BB15" s="969"/>
    </row>
    <row r="16" spans="1:55" ht="24" customHeight="1">
      <c r="A16" s="2216"/>
      <c r="B16" s="2213"/>
      <c r="C16" s="2215"/>
      <c r="D16" s="1126" t="s">
        <v>556</v>
      </c>
      <c r="E16" s="1123"/>
      <c r="F16" s="1177">
        <v>50040</v>
      </c>
      <c r="G16" s="1178"/>
      <c r="H16" s="1144" t="s">
        <v>255</v>
      </c>
      <c r="I16" s="1163">
        <v>480</v>
      </c>
      <c r="J16" s="1179"/>
      <c r="K16" s="1180" t="s">
        <v>1073</v>
      </c>
      <c r="L16" s="1972"/>
      <c r="M16" s="2206"/>
      <c r="N16" s="1972"/>
      <c r="O16" s="2230"/>
      <c r="P16" s="1144" t="s">
        <v>255</v>
      </c>
      <c r="Q16" s="1163">
        <v>7070</v>
      </c>
      <c r="R16" s="1245">
        <v>70</v>
      </c>
      <c r="S16" s="1246" t="s">
        <v>255</v>
      </c>
      <c r="T16" s="1247">
        <v>49520</v>
      </c>
      <c r="U16" s="1172" t="s">
        <v>255</v>
      </c>
      <c r="V16" s="1248">
        <v>490</v>
      </c>
      <c r="W16" s="1249" t="s">
        <v>255</v>
      </c>
      <c r="X16" s="1250">
        <v>42450</v>
      </c>
      <c r="Y16" s="1249" t="s">
        <v>31</v>
      </c>
      <c r="Z16" s="1248">
        <v>420</v>
      </c>
      <c r="AA16" s="1972"/>
      <c r="AB16" s="2202"/>
      <c r="AC16" s="1972"/>
      <c r="AD16" s="2204"/>
      <c r="AE16" s="1972"/>
      <c r="AF16" s="2199"/>
      <c r="AG16" s="1972"/>
      <c r="AH16" s="2210"/>
      <c r="AI16" s="1972"/>
      <c r="AJ16" s="2206"/>
      <c r="AK16" s="1972"/>
      <c r="AL16" s="2208"/>
      <c r="AM16" s="1972"/>
      <c r="AN16" s="1251" t="s">
        <v>902</v>
      </c>
      <c r="AO16" s="1972"/>
      <c r="AP16" s="1251" t="s">
        <v>903</v>
      </c>
      <c r="AQ16" s="1972"/>
      <c r="AR16" s="1251" t="s">
        <v>902</v>
      </c>
      <c r="AS16" s="1972"/>
      <c r="AT16" s="1251" t="s">
        <v>903</v>
      </c>
      <c r="AU16" s="2200"/>
      <c r="AV16" s="2233"/>
      <c r="AW16" s="2200"/>
      <c r="AX16" s="1252" t="s">
        <v>302</v>
      </c>
      <c r="AY16" s="1972"/>
      <c r="AZ16" s="1253">
        <v>70</v>
      </c>
      <c r="BA16" s="1125"/>
      <c r="BB16" s="970"/>
    </row>
    <row r="17" spans="1:54" ht="24" customHeight="1">
      <c r="A17" s="2216"/>
      <c r="B17" s="2212" t="s">
        <v>561</v>
      </c>
      <c r="C17" s="2214" t="s">
        <v>553</v>
      </c>
      <c r="D17" s="1122" t="s">
        <v>554</v>
      </c>
      <c r="E17" s="1123"/>
      <c r="F17" s="1142">
        <v>38130</v>
      </c>
      <c r="G17" s="1143">
        <v>45200</v>
      </c>
      <c r="H17" s="1144" t="s">
        <v>255</v>
      </c>
      <c r="I17" s="1145">
        <v>360</v>
      </c>
      <c r="J17" s="1146">
        <v>430</v>
      </c>
      <c r="K17" s="1147" t="s">
        <v>1073</v>
      </c>
      <c r="L17" s="1972" t="s">
        <v>255</v>
      </c>
      <c r="M17" s="2205">
        <v>1300</v>
      </c>
      <c r="N17" s="1972" t="s">
        <v>255</v>
      </c>
      <c r="O17" s="2229">
        <v>10</v>
      </c>
      <c r="P17" s="1144" t="s">
        <v>255</v>
      </c>
      <c r="Q17" s="1148">
        <v>7070</v>
      </c>
      <c r="R17" s="1238">
        <v>70</v>
      </c>
      <c r="S17" s="1239"/>
      <c r="T17" s="1173"/>
      <c r="U17" s="1172"/>
      <c r="V17" s="38"/>
      <c r="W17" s="1172"/>
      <c r="X17" s="1173" t="s">
        <v>46</v>
      </c>
      <c r="Y17" s="1172"/>
      <c r="Z17" s="1240"/>
      <c r="AA17" s="2060" t="s">
        <v>255</v>
      </c>
      <c r="AB17" s="2201" t="s">
        <v>276</v>
      </c>
      <c r="AC17" s="1972" t="s">
        <v>255</v>
      </c>
      <c r="AD17" s="2203" t="s">
        <v>276</v>
      </c>
      <c r="AE17" s="1972" t="s">
        <v>31</v>
      </c>
      <c r="AF17" s="2198">
        <v>5650</v>
      </c>
      <c r="AG17" s="1972" t="s">
        <v>255</v>
      </c>
      <c r="AH17" s="2209">
        <v>50</v>
      </c>
      <c r="AI17" s="1972" t="s">
        <v>31</v>
      </c>
      <c r="AJ17" s="2205">
        <v>1040</v>
      </c>
      <c r="AK17" s="1972" t="s">
        <v>255</v>
      </c>
      <c r="AL17" s="2207">
        <v>10</v>
      </c>
      <c r="AM17" s="1972" t="s">
        <v>31</v>
      </c>
      <c r="AN17" s="1241">
        <v>570</v>
      </c>
      <c r="AO17" s="1972" t="s">
        <v>31</v>
      </c>
      <c r="AP17" s="1242">
        <v>5</v>
      </c>
      <c r="AQ17" s="1972" t="s">
        <v>31</v>
      </c>
      <c r="AR17" s="1241">
        <v>100</v>
      </c>
      <c r="AS17" s="1972" t="s">
        <v>31</v>
      </c>
      <c r="AT17" s="1242">
        <v>1</v>
      </c>
      <c r="AU17" s="2200" t="s">
        <v>555</v>
      </c>
      <c r="AV17" s="2232">
        <v>6130</v>
      </c>
      <c r="AW17" s="2200" t="s">
        <v>555</v>
      </c>
      <c r="AX17" s="1243">
        <v>235</v>
      </c>
      <c r="AY17" s="1972" t="s">
        <v>78</v>
      </c>
      <c r="AZ17" s="1244">
        <v>5660</v>
      </c>
      <c r="BA17" s="1125"/>
      <c r="BB17" s="969"/>
    </row>
    <row r="18" spans="1:54" ht="24" customHeight="1">
      <c r="A18" s="2216"/>
      <c r="B18" s="2213"/>
      <c r="C18" s="2215"/>
      <c r="D18" s="1126" t="s">
        <v>556</v>
      </c>
      <c r="E18" s="1123"/>
      <c r="F18" s="1177">
        <v>45200</v>
      </c>
      <c r="G18" s="1178"/>
      <c r="H18" s="1144" t="s">
        <v>255</v>
      </c>
      <c r="I18" s="1163">
        <v>430</v>
      </c>
      <c r="J18" s="1179"/>
      <c r="K18" s="1180" t="s">
        <v>1073</v>
      </c>
      <c r="L18" s="1972"/>
      <c r="M18" s="2206"/>
      <c r="N18" s="1972"/>
      <c r="O18" s="2230"/>
      <c r="P18" s="1144" t="s">
        <v>255</v>
      </c>
      <c r="Q18" s="1163">
        <v>7070</v>
      </c>
      <c r="R18" s="1245">
        <v>70</v>
      </c>
      <c r="S18" s="1246" t="s">
        <v>255</v>
      </c>
      <c r="T18" s="1247">
        <v>49520</v>
      </c>
      <c r="U18" s="1172" t="s">
        <v>255</v>
      </c>
      <c r="V18" s="1248">
        <v>490</v>
      </c>
      <c r="W18" s="1249" t="s">
        <v>255</v>
      </c>
      <c r="X18" s="1250">
        <v>42450</v>
      </c>
      <c r="Y18" s="1249" t="s">
        <v>31</v>
      </c>
      <c r="Z18" s="1248">
        <v>420</v>
      </c>
      <c r="AA18" s="1972"/>
      <c r="AB18" s="2202"/>
      <c r="AC18" s="1972"/>
      <c r="AD18" s="2204"/>
      <c r="AE18" s="1972"/>
      <c r="AF18" s="2199"/>
      <c r="AG18" s="1972"/>
      <c r="AH18" s="2210"/>
      <c r="AI18" s="1972"/>
      <c r="AJ18" s="2206"/>
      <c r="AK18" s="1972"/>
      <c r="AL18" s="2208"/>
      <c r="AM18" s="1972"/>
      <c r="AN18" s="1251" t="s">
        <v>902</v>
      </c>
      <c r="AO18" s="1972"/>
      <c r="AP18" s="1251" t="s">
        <v>903</v>
      </c>
      <c r="AQ18" s="1972"/>
      <c r="AR18" s="1251" t="s">
        <v>902</v>
      </c>
      <c r="AS18" s="1972"/>
      <c r="AT18" s="1251" t="s">
        <v>903</v>
      </c>
      <c r="AU18" s="2200"/>
      <c r="AV18" s="2233"/>
      <c r="AW18" s="2200"/>
      <c r="AX18" s="1252" t="s">
        <v>302</v>
      </c>
      <c r="AY18" s="1972"/>
      <c r="AZ18" s="1253">
        <v>50</v>
      </c>
      <c r="BA18" s="1127"/>
      <c r="BB18" s="970"/>
    </row>
    <row r="19" spans="1:54" ht="24" customHeight="1">
      <c r="A19" s="2216"/>
      <c r="B19" s="2212" t="s">
        <v>562</v>
      </c>
      <c r="C19" s="2214" t="s">
        <v>553</v>
      </c>
      <c r="D19" s="1122" t="s">
        <v>554</v>
      </c>
      <c r="E19" s="1123"/>
      <c r="F19" s="1142">
        <v>34870</v>
      </c>
      <c r="G19" s="1143">
        <v>41940</v>
      </c>
      <c r="H19" s="1144" t="s">
        <v>255</v>
      </c>
      <c r="I19" s="1145">
        <v>330</v>
      </c>
      <c r="J19" s="1146">
        <v>400</v>
      </c>
      <c r="K19" s="1147" t="s">
        <v>1073</v>
      </c>
      <c r="L19" s="1972" t="s">
        <v>255</v>
      </c>
      <c r="M19" s="2205">
        <v>1080</v>
      </c>
      <c r="N19" s="1972" t="s">
        <v>255</v>
      </c>
      <c r="O19" s="2229">
        <v>10</v>
      </c>
      <c r="P19" s="1144" t="s">
        <v>255</v>
      </c>
      <c r="Q19" s="1148">
        <v>7070</v>
      </c>
      <c r="R19" s="1238">
        <v>70</v>
      </c>
      <c r="S19" s="1239"/>
      <c r="T19" s="1173"/>
      <c r="U19" s="1172"/>
      <c r="V19" s="38"/>
      <c r="W19" s="1172"/>
      <c r="X19" s="1173" t="s">
        <v>46</v>
      </c>
      <c r="Y19" s="1172"/>
      <c r="Z19" s="1240"/>
      <c r="AA19" s="2060" t="s">
        <v>255</v>
      </c>
      <c r="AB19" s="2201" t="s">
        <v>276</v>
      </c>
      <c r="AC19" s="1972" t="s">
        <v>255</v>
      </c>
      <c r="AD19" s="2203" t="s">
        <v>276</v>
      </c>
      <c r="AE19" s="1972" t="s">
        <v>31</v>
      </c>
      <c r="AF19" s="2198">
        <v>4710</v>
      </c>
      <c r="AG19" s="1972" t="s">
        <v>255</v>
      </c>
      <c r="AH19" s="2209">
        <v>40</v>
      </c>
      <c r="AI19" s="1972" t="s">
        <v>31</v>
      </c>
      <c r="AJ19" s="2205">
        <v>860</v>
      </c>
      <c r="AK19" s="1972" t="s">
        <v>255</v>
      </c>
      <c r="AL19" s="2207">
        <v>8</v>
      </c>
      <c r="AM19" s="1972" t="s">
        <v>31</v>
      </c>
      <c r="AN19" s="1241">
        <v>500</v>
      </c>
      <c r="AO19" s="1972" t="s">
        <v>31</v>
      </c>
      <c r="AP19" s="1242">
        <v>5</v>
      </c>
      <c r="AQ19" s="1972" t="s">
        <v>31</v>
      </c>
      <c r="AR19" s="1241">
        <v>80</v>
      </c>
      <c r="AS19" s="1972" t="s">
        <v>31</v>
      </c>
      <c r="AT19" s="1242">
        <v>1</v>
      </c>
      <c r="AU19" s="2200" t="s">
        <v>555</v>
      </c>
      <c r="AV19" s="2232">
        <v>5220</v>
      </c>
      <c r="AW19" s="2200" t="s">
        <v>555</v>
      </c>
      <c r="AX19" s="1243">
        <v>235</v>
      </c>
      <c r="AY19" s="1972" t="s">
        <v>78</v>
      </c>
      <c r="AZ19" s="1244">
        <v>4710</v>
      </c>
      <c r="BA19" s="1110"/>
      <c r="BB19" s="969"/>
    </row>
    <row r="20" spans="1:54" ht="24" customHeight="1">
      <c r="A20" s="2216"/>
      <c r="B20" s="2213"/>
      <c r="C20" s="2215"/>
      <c r="D20" s="1126" t="s">
        <v>556</v>
      </c>
      <c r="E20" s="1123"/>
      <c r="F20" s="1177">
        <v>41940</v>
      </c>
      <c r="G20" s="1178"/>
      <c r="H20" s="1144" t="s">
        <v>255</v>
      </c>
      <c r="I20" s="1163">
        <v>400</v>
      </c>
      <c r="J20" s="1179"/>
      <c r="K20" s="1180" t="s">
        <v>1073</v>
      </c>
      <c r="L20" s="1972"/>
      <c r="M20" s="2206"/>
      <c r="N20" s="1972"/>
      <c r="O20" s="2230"/>
      <c r="P20" s="1144" t="s">
        <v>255</v>
      </c>
      <c r="Q20" s="1163">
        <v>7070</v>
      </c>
      <c r="R20" s="1245">
        <v>70</v>
      </c>
      <c r="S20" s="1246" t="s">
        <v>255</v>
      </c>
      <c r="T20" s="1247">
        <v>49520</v>
      </c>
      <c r="U20" s="1172" t="s">
        <v>255</v>
      </c>
      <c r="V20" s="1248">
        <v>490</v>
      </c>
      <c r="W20" s="1249" t="s">
        <v>255</v>
      </c>
      <c r="X20" s="1250">
        <v>42450</v>
      </c>
      <c r="Y20" s="1249" t="s">
        <v>31</v>
      </c>
      <c r="Z20" s="1248">
        <v>420</v>
      </c>
      <c r="AA20" s="1972"/>
      <c r="AB20" s="2202"/>
      <c r="AC20" s="1972"/>
      <c r="AD20" s="2204"/>
      <c r="AE20" s="1972"/>
      <c r="AF20" s="2199"/>
      <c r="AG20" s="1972"/>
      <c r="AH20" s="2210"/>
      <c r="AI20" s="1972"/>
      <c r="AJ20" s="2206"/>
      <c r="AK20" s="1972"/>
      <c r="AL20" s="2208"/>
      <c r="AM20" s="1972"/>
      <c r="AN20" s="1251" t="s">
        <v>902</v>
      </c>
      <c r="AO20" s="1972"/>
      <c r="AP20" s="1251" t="s">
        <v>903</v>
      </c>
      <c r="AQ20" s="1972"/>
      <c r="AR20" s="1251" t="s">
        <v>902</v>
      </c>
      <c r="AS20" s="1972"/>
      <c r="AT20" s="1251" t="s">
        <v>903</v>
      </c>
      <c r="AU20" s="2200"/>
      <c r="AV20" s="2233"/>
      <c r="AW20" s="2200"/>
      <c r="AX20" s="1252" t="s">
        <v>302</v>
      </c>
      <c r="AY20" s="1972"/>
      <c r="AZ20" s="1253">
        <v>40</v>
      </c>
      <c r="BA20" s="1110"/>
      <c r="BB20" s="970"/>
    </row>
    <row r="21" spans="1:54" ht="24" customHeight="1">
      <c r="A21" s="2216"/>
      <c r="B21" s="2212" t="s">
        <v>563</v>
      </c>
      <c r="C21" s="2214" t="s">
        <v>553</v>
      </c>
      <c r="D21" s="1122" t="s">
        <v>554</v>
      </c>
      <c r="E21" s="1123"/>
      <c r="F21" s="1142">
        <v>32540</v>
      </c>
      <c r="G21" s="1143">
        <v>39610</v>
      </c>
      <c r="H21" s="1144" t="s">
        <v>255</v>
      </c>
      <c r="I21" s="1145">
        <v>300</v>
      </c>
      <c r="J21" s="1146">
        <v>370</v>
      </c>
      <c r="K21" s="1147" t="s">
        <v>1073</v>
      </c>
      <c r="L21" s="1972" t="s">
        <v>255</v>
      </c>
      <c r="M21" s="2205">
        <v>920</v>
      </c>
      <c r="N21" s="1972" t="s">
        <v>255</v>
      </c>
      <c r="O21" s="2229">
        <v>9</v>
      </c>
      <c r="P21" s="1144" t="s">
        <v>255</v>
      </c>
      <c r="Q21" s="1148">
        <v>7070</v>
      </c>
      <c r="R21" s="1238">
        <v>70</v>
      </c>
      <c r="S21" s="1239"/>
      <c r="T21" s="1173"/>
      <c r="U21" s="1172"/>
      <c r="V21" s="38"/>
      <c r="W21" s="1172"/>
      <c r="X21" s="1173" t="s">
        <v>46</v>
      </c>
      <c r="Y21" s="1172"/>
      <c r="Z21" s="1240"/>
      <c r="AA21" s="2060" t="s">
        <v>255</v>
      </c>
      <c r="AB21" s="2201" t="s">
        <v>276</v>
      </c>
      <c r="AC21" s="1972" t="s">
        <v>255</v>
      </c>
      <c r="AD21" s="2203" t="s">
        <v>276</v>
      </c>
      <c r="AE21" s="1972" t="s">
        <v>31</v>
      </c>
      <c r="AF21" s="2198">
        <v>4040</v>
      </c>
      <c r="AG21" s="1972" t="s">
        <v>255</v>
      </c>
      <c r="AH21" s="2209">
        <v>40</v>
      </c>
      <c r="AI21" s="1972" t="s">
        <v>31</v>
      </c>
      <c r="AJ21" s="2205">
        <v>740</v>
      </c>
      <c r="AK21" s="1972" t="s">
        <v>255</v>
      </c>
      <c r="AL21" s="2207">
        <v>7</v>
      </c>
      <c r="AM21" s="1972" t="s">
        <v>31</v>
      </c>
      <c r="AN21" s="1241">
        <v>440</v>
      </c>
      <c r="AO21" s="1972" t="s">
        <v>31</v>
      </c>
      <c r="AP21" s="1242">
        <v>4</v>
      </c>
      <c r="AQ21" s="1972" t="s">
        <v>31</v>
      </c>
      <c r="AR21" s="1241">
        <v>80</v>
      </c>
      <c r="AS21" s="1972" t="s">
        <v>31</v>
      </c>
      <c r="AT21" s="1242">
        <v>1</v>
      </c>
      <c r="AU21" s="2200" t="s">
        <v>555</v>
      </c>
      <c r="AV21" s="2232">
        <v>4660</v>
      </c>
      <c r="AW21" s="2200" t="s">
        <v>555</v>
      </c>
      <c r="AX21" s="1243">
        <v>235</v>
      </c>
      <c r="AY21" s="1972" t="s">
        <v>78</v>
      </c>
      <c r="AZ21" s="1244">
        <v>4040</v>
      </c>
      <c r="BA21" s="1110"/>
      <c r="BB21" s="969"/>
    </row>
    <row r="22" spans="1:54" ht="24" customHeight="1">
      <c r="A22" s="2216"/>
      <c r="B22" s="2213"/>
      <c r="C22" s="2215"/>
      <c r="D22" s="1126" t="s">
        <v>556</v>
      </c>
      <c r="E22" s="1123"/>
      <c r="F22" s="1177">
        <v>39610</v>
      </c>
      <c r="G22" s="1178"/>
      <c r="H22" s="1144" t="s">
        <v>255</v>
      </c>
      <c r="I22" s="1163">
        <v>370</v>
      </c>
      <c r="J22" s="1179"/>
      <c r="K22" s="1180" t="s">
        <v>1073</v>
      </c>
      <c r="L22" s="1972"/>
      <c r="M22" s="2206"/>
      <c r="N22" s="1972"/>
      <c r="O22" s="2230"/>
      <c r="P22" s="1144" t="s">
        <v>255</v>
      </c>
      <c r="Q22" s="1163">
        <v>7070</v>
      </c>
      <c r="R22" s="1245">
        <v>70</v>
      </c>
      <c r="S22" s="1246" t="s">
        <v>255</v>
      </c>
      <c r="T22" s="1247">
        <v>49520</v>
      </c>
      <c r="U22" s="1172" t="s">
        <v>255</v>
      </c>
      <c r="V22" s="1248">
        <v>490</v>
      </c>
      <c r="W22" s="1249" t="s">
        <v>255</v>
      </c>
      <c r="X22" s="1250">
        <v>42450</v>
      </c>
      <c r="Y22" s="1249" t="s">
        <v>31</v>
      </c>
      <c r="Z22" s="1248">
        <v>420</v>
      </c>
      <c r="AA22" s="1972"/>
      <c r="AB22" s="2202"/>
      <c r="AC22" s="1972"/>
      <c r="AD22" s="2204"/>
      <c r="AE22" s="1972"/>
      <c r="AF22" s="2199"/>
      <c r="AG22" s="1972"/>
      <c r="AH22" s="2210"/>
      <c r="AI22" s="1972"/>
      <c r="AJ22" s="2206"/>
      <c r="AK22" s="1972"/>
      <c r="AL22" s="2208"/>
      <c r="AM22" s="1972"/>
      <c r="AN22" s="1251" t="s">
        <v>902</v>
      </c>
      <c r="AO22" s="1972"/>
      <c r="AP22" s="1251" t="s">
        <v>903</v>
      </c>
      <c r="AQ22" s="1972"/>
      <c r="AR22" s="1251" t="s">
        <v>902</v>
      </c>
      <c r="AS22" s="1972"/>
      <c r="AT22" s="1251" t="s">
        <v>903</v>
      </c>
      <c r="AU22" s="2200"/>
      <c r="AV22" s="2233"/>
      <c r="AW22" s="2200"/>
      <c r="AX22" s="1252" t="s">
        <v>302</v>
      </c>
      <c r="AY22" s="1972"/>
      <c r="AZ22" s="1253">
        <v>40</v>
      </c>
      <c r="BA22" s="1110"/>
      <c r="BB22" s="970"/>
    </row>
    <row r="23" spans="1:54" ht="24" customHeight="1">
      <c r="A23" s="2216"/>
      <c r="B23" s="2212" t="s">
        <v>564</v>
      </c>
      <c r="C23" s="2214" t="s">
        <v>553</v>
      </c>
      <c r="D23" s="1122" t="s">
        <v>554</v>
      </c>
      <c r="E23" s="1123"/>
      <c r="F23" s="1142">
        <v>30820</v>
      </c>
      <c r="G23" s="1143">
        <v>37890</v>
      </c>
      <c r="H23" s="1144" t="s">
        <v>255</v>
      </c>
      <c r="I23" s="1145">
        <v>280</v>
      </c>
      <c r="J23" s="1146">
        <v>360</v>
      </c>
      <c r="K23" s="1147" t="s">
        <v>1073</v>
      </c>
      <c r="L23" s="1972" t="s">
        <v>255</v>
      </c>
      <c r="M23" s="2205">
        <v>810</v>
      </c>
      <c r="N23" s="1972" t="s">
        <v>255</v>
      </c>
      <c r="O23" s="2229">
        <v>8</v>
      </c>
      <c r="P23" s="1144" t="s">
        <v>255</v>
      </c>
      <c r="Q23" s="1148">
        <v>7070</v>
      </c>
      <c r="R23" s="1238">
        <v>70</v>
      </c>
      <c r="S23" s="1239"/>
      <c r="T23" s="1173"/>
      <c r="U23" s="1172"/>
      <c r="V23" s="38"/>
      <c r="W23" s="1172"/>
      <c r="X23" s="1173" t="s">
        <v>46</v>
      </c>
      <c r="Y23" s="1172"/>
      <c r="Z23" s="1240"/>
      <c r="AA23" s="2060" t="s">
        <v>255</v>
      </c>
      <c r="AB23" s="2201" t="s">
        <v>276</v>
      </c>
      <c r="AC23" s="1972" t="s">
        <v>255</v>
      </c>
      <c r="AD23" s="2203" t="s">
        <v>276</v>
      </c>
      <c r="AE23" s="1972" t="s">
        <v>31</v>
      </c>
      <c r="AF23" s="2198">
        <v>3530</v>
      </c>
      <c r="AG23" s="1972" t="s">
        <v>255</v>
      </c>
      <c r="AH23" s="2209">
        <v>30</v>
      </c>
      <c r="AI23" s="1972" t="s">
        <v>31</v>
      </c>
      <c r="AJ23" s="2205">
        <v>650</v>
      </c>
      <c r="AK23" s="1972" t="s">
        <v>255</v>
      </c>
      <c r="AL23" s="2207">
        <v>6</v>
      </c>
      <c r="AM23" s="1972" t="s">
        <v>31</v>
      </c>
      <c r="AN23" s="1241">
        <v>410</v>
      </c>
      <c r="AO23" s="1972" t="s">
        <v>31</v>
      </c>
      <c r="AP23" s="1242">
        <v>4</v>
      </c>
      <c r="AQ23" s="1972" t="s">
        <v>31</v>
      </c>
      <c r="AR23" s="1241">
        <v>70</v>
      </c>
      <c r="AS23" s="1972" t="s">
        <v>31</v>
      </c>
      <c r="AT23" s="1242">
        <v>1</v>
      </c>
      <c r="AU23" s="2200" t="s">
        <v>555</v>
      </c>
      <c r="AV23" s="2232">
        <v>4250</v>
      </c>
      <c r="AW23" s="2200" t="s">
        <v>555</v>
      </c>
      <c r="AX23" s="1243">
        <v>235</v>
      </c>
      <c r="AY23" s="1972" t="s">
        <v>78</v>
      </c>
      <c r="AZ23" s="1244">
        <v>3530</v>
      </c>
      <c r="BA23" s="1110"/>
      <c r="BB23" s="969"/>
    </row>
    <row r="24" spans="1:54" ht="24" customHeight="1">
      <c r="A24" s="2216"/>
      <c r="B24" s="2213"/>
      <c r="C24" s="2215"/>
      <c r="D24" s="1126" t="s">
        <v>556</v>
      </c>
      <c r="E24" s="1123"/>
      <c r="F24" s="1177">
        <v>37890</v>
      </c>
      <c r="G24" s="1178"/>
      <c r="H24" s="1144" t="s">
        <v>255</v>
      </c>
      <c r="I24" s="1163">
        <v>360</v>
      </c>
      <c r="J24" s="1179"/>
      <c r="K24" s="1180" t="s">
        <v>1073</v>
      </c>
      <c r="L24" s="1972"/>
      <c r="M24" s="2206"/>
      <c r="N24" s="1972"/>
      <c r="O24" s="2230"/>
      <c r="P24" s="1144" t="s">
        <v>255</v>
      </c>
      <c r="Q24" s="1163">
        <v>7070</v>
      </c>
      <c r="R24" s="1245">
        <v>70</v>
      </c>
      <c r="S24" s="1246" t="s">
        <v>255</v>
      </c>
      <c r="T24" s="1247">
        <v>49520</v>
      </c>
      <c r="U24" s="1172" t="s">
        <v>255</v>
      </c>
      <c r="V24" s="1248">
        <v>490</v>
      </c>
      <c r="W24" s="1249" t="s">
        <v>255</v>
      </c>
      <c r="X24" s="1250">
        <v>42450</v>
      </c>
      <c r="Y24" s="1249" t="s">
        <v>31</v>
      </c>
      <c r="Z24" s="1248">
        <v>420</v>
      </c>
      <c r="AA24" s="1972"/>
      <c r="AB24" s="2202"/>
      <c r="AC24" s="1972"/>
      <c r="AD24" s="2204"/>
      <c r="AE24" s="1972"/>
      <c r="AF24" s="2199"/>
      <c r="AG24" s="1972"/>
      <c r="AH24" s="2210"/>
      <c r="AI24" s="1972"/>
      <c r="AJ24" s="2206"/>
      <c r="AK24" s="1972"/>
      <c r="AL24" s="2208"/>
      <c r="AM24" s="1972"/>
      <c r="AN24" s="1251" t="s">
        <v>902</v>
      </c>
      <c r="AO24" s="1972"/>
      <c r="AP24" s="1251" t="s">
        <v>903</v>
      </c>
      <c r="AQ24" s="1972"/>
      <c r="AR24" s="1251" t="s">
        <v>902</v>
      </c>
      <c r="AS24" s="1972"/>
      <c r="AT24" s="1251" t="s">
        <v>903</v>
      </c>
      <c r="AU24" s="2200"/>
      <c r="AV24" s="2233"/>
      <c r="AW24" s="2200"/>
      <c r="AX24" s="1252" t="s">
        <v>302</v>
      </c>
      <c r="AY24" s="1972"/>
      <c r="AZ24" s="1253">
        <v>30</v>
      </c>
      <c r="BA24" s="1110"/>
      <c r="BB24" s="970"/>
    </row>
    <row r="25" spans="1:54" ht="24" customHeight="1">
      <c r="A25" s="2216"/>
      <c r="B25" s="2212" t="s">
        <v>565</v>
      </c>
      <c r="C25" s="2214" t="s">
        <v>553</v>
      </c>
      <c r="D25" s="1122" t="s">
        <v>554</v>
      </c>
      <c r="E25" s="1123"/>
      <c r="F25" s="1142">
        <v>29450</v>
      </c>
      <c r="G25" s="1143">
        <v>36520</v>
      </c>
      <c r="H25" s="1144" t="s">
        <v>255</v>
      </c>
      <c r="I25" s="1145">
        <v>270</v>
      </c>
      <c r="J25" s="1146">
        <v>340</v>
      </c>
      <c r="K25" s="1147" t="s">
        <v>1073</v>
      </c>
      <c r="L25" s="1972" t="s">
        <v>255</v>
      </c>
      <c r="M25" s="2205">
        <v>720</v>
      </c>
      <c r="N25" s="1972" t="s">
        <v>255</v>
      </c>
      <c r="O25" s="2229">
        <v>7</v>
      </c>
      <c r="P25" s="1144" t="s">
        <v>255</v>
      </c>
      <c r="Q25" s="1148">
        <v>7070</v>
      </c>
      <c r="R25" s="1238">
        <v>70</v>
      </c>
      <c r="S25" s="1239"/>
      <c r="T25" s="1173"/>
      <c r="U25" s="1172"/>
      <c r="V25" s="38"/>
      <c r="W25" s="1172"/>
      <c r="X25" s="1173" t="s">
        <v>46</v>
      </c>
      <c r="Y25" s="1172"/>
      <c r="Z25" s="1240"/>
      <c r="AA25" s="2060" t="s">
        <v>255</v>
      </c>
      <c r="AB25" s="2201">
        <v>640</v>
      </c>
      <c r="AC25" s="1972" t="s">
        <v>255</v>
      </c>
      <c r="AD25" s="2203">
        <v>6</v>
      </c>
      <c r="AE25" s="1972" t="s">
        <v>31</v>
      </c>
      <c r="AF25" s="2198">
        <v>3140</v>
      </c>
      <c r="AG25" s="1972" t="s">
        <v>255</v>
      </c>
      <c r="AH25" s="2209">
        <v>30</v>
      </c>
      <c r="AI25" s="1972" t="s">
        <v>31</v>
      </c>
      <c r="AJ25" s="2205">
        <v>570</v>
      </c>
      <c r="AK25" s="1972" t="s">
        <v>255</v>
      </c>
      <c r="AL25" s="2207">
        <v>5</v>
      </c>
      <c r="AM25" s="1972" t="s">
        <v>31</v>
      </c>
      <c r="AN25" s="1241">
        <v>370</v>
      </c>
      <c r="AO25" s="1972" t="s">
        <v>31</v>
      </c>
      <c r="AP25" s="1242">
        <v>3</v>
      </c>
      <c r="AQ25" s="1972" t="s">
        <v>31</v>
      </c>
      <c r="AR25" s="1241">
        <v>60</v>
      </c>
      <c r="AS25" s="1972" t="s">
        <v>31</v>
      </c>
      <c r="AT25" s="1242">
        <v>1</v>
      </c>
      <c r="AU25" s="2200" t="s">
        <v>555</v>
      </c>
      <c r="AV25" s="2232">
        <v>3920</v>
      </c>
      <c r="AW25" s="2200" t="s">
        <v>555</v>
      </c>
      <c r="AX25" s="1243">
        <v>235</v>
      </c>
      <c r="AY25" s="1972" t="s">
        <v>78</v>
      </c>
      <c r="AZ25" s="1244">
        <v>3140</v>
      </c>
      <c r="BA25" s="1110"/>
      <c r="BB25" s="969"/>
    </row>
    <row r="26" spans="1:54" ht="24" customHeight="1">
      <c r="A26" s="2216"/>
      <c r="B26" s="2213"/>
      <c r="C26" s="2215"/>
      <c r="D26" s="1126" t="s">
        <v>556</v>
      </c>
      <c r="E26" s="1123"/>
      <c r="F26" s="1177">
        <v>36520</v>
      </c>
      <c r="G26" s="1178"/>
      <c r="H26" s="1144" t="s">
        <v>255</v>
      </c>
      <c r="I26" s="1163">
        <v>340</v>
      </c>
      <c r="J26" s="1179"/>
      <c r="K26" s="1180" t="s">
        <v>1073</v>
      </c>
      <c r="L26" s="1972"/>
      <c r="M26" s="2206"/>
      <c r="N26" s="1972"/>
      <c r="O26" s="2230"/>
      <c r="P26" s="1144" t="s">
        <v>255</v>
      </c>
      <c r="Q26" s="1163">
        <v>7070</v>
      </c>
      <c r="R26" s="1245">
        <v>70</v>
      </c>
      <c r="S26" s="1246" t="s">
        <v>255</v>
      </c>
      <c r="T26" s="1247">
        <v>49520</v>
      </c>
      <c r="U26" s="1172" t="s">
        <v>255</v>
      </c>
      <c r="V26" s="1248">
        <v>490</v>
      </c>
      <c r="W26" s="1249" t="s">
        <v>255</v>
      </c>
      <c r="X26" s="1250">
        <v>42450</v>
      </c>
      <c r="Y26" s="1249" t="s">
        <v>31</v>
      </c>
      <c r="Z26" s="1248">
        <v>420</v>
      </c>
      <c r="AA26" s="1972"/>
      <c r="AB26" s="2202"/>
      <c r="AC26" s="1972"/>
      <c r="AD26" s="2204"/>
      <c r="AE26" s="1972"/>
      <c r="AF26" s="2199"/>
      <c r="AG26" s="1972"/>
      <c r="AH26" s="2210"/>
      <c r="AI26" s="1972"/>
      <c r="AJ26" s="2206"/>
      <c r="AK26" s="1972"/>
      <c r="AL26" s="2208"/>
      <c r="AM26" s="1972"/>
      <c r="AN26" s="1251" t="s">
        <v>902</v>
      </c>
      <c r="AO26" s="1972"/>
      <c r="AP26" s="1251" t="s">
        <v>903</v>
      </c>
      <c r="AQ26" s="1972"/>
      <c r="AR26" s="1251" t="s">
        <v>902</v>
      </c>
      <c r="AS26" s="1972"/>
      <c r="AT26" s="1251" t="s">
        <v>903</v>
      </c>
      <c r="AU26" s="2200"/>
      <c r="AV26" s="2233"/>
      <c r="AW26" s="2200"/>
      <c r="AX26" s="1252" t="s">
        <v>302</v>
      </c>
      <c r="AY26" s="1972"/>
      <c r="AZ26" s="1253">
        <v>30</v>
      </c>
      <c r="BA26" s="1110"/>
      <c r="BB26" s="970"/>
    </row>
    <row r="27" spans="1:54" ht="24" customHeight="1">
      <c r="A27" s="2216"/>
      <c r="B27" s="2212" t="s">
        <v>566</v>
      </c>
      <c r="C27" s="2214" t="s">
        <v>553</v>
      </c>
      <c r="D27" s="1122" t="s">
        <v>554</v>
      </c>
      <c r="E27" s="1123"/>
      <c r="F27" s="1142">
        <v>28380</v>
      </c>
      <c r="G27" s="1143">
        <v>35450</v>
      </c>
      <c r="H27" s="1144" t="s">
        <v>255</v>
      </c>
      <c r="I27" s="1145">
        <v>260</v>
      </c>
      <c r="J27" s="1146">
        <v>330</v>
      </c>
      <c r="K27" s="1147" t="s">
        <v>1073</v>
      </c>
      <c r="L27" s="1972" t="s">
        <v>255</v>
      </c>
      <c r="M27" s="2205">
        <v>650</v>
      </c>
      <c r="N27" s="1972" t="s">
        <v>255</v>
      </c>
      <c r="O27" s="2229">
        <v>6</v>
      </c>
      <c r="P27" s="1144" t="s">
        <v>255</v>
      </c>
      <c r="Q27" s="1148">
        <v>7070</v>
      </c>
      <c r="R27" s="1238">
        <v>70</v>
      </c>
      <c r="S27" s="1239"/>
      <c r="T27" s="1173"/>
      <c r="U27" s="1172"/>
      <c r="V27" s="38"/>
      <c r="W27" s="1172"/>
      <c r="X27" s="1173" t="s">
        <v>46</v>
      </c>
      <c r="Y27" s="1172"/>
      <c r="Z27" s="1240"/>
      <c r="AA27" s="2060" t="s">
        <v>255</v>
      </c>
      <c r="AB27" s="2201">
        <v>570</v>
      </c>
      <c r="AC27" s="1972" t="s">
        <v>255</v>
      </c>
      <c r="AD27" s="2203">
        <v>5</v>
      </c>
      <c r="AE27" s="1972" t="s">
        <v>31</v>
      </c>
      <c r="AF27" s="2198">
        <v>2820</v>
      </c>
      <c r="AG27" s="1972" t="s">
        <v>255</v>
      </c>
      <c r="AH27" s="2209">
        <v>20</v>
      </c>
      <c r="AI27" s="1972" t="s">
        <v>31</v>
      </c>
      <c r="AJ27" s="2205">
        <v>520</v>
      </c>
      <c r="AK27" s="1972" t="s">
        <v>255</v>
      </c>
      <c r="AL27" s="2207">
        <v>5</v>
      </c>
      <c r="AM27" s="1972" t="s">
        <v>31</v>
      </c>
      <c r="AN27" s="1241">
        <v>350</v>
      </c>
      <c r="AO27" s="1972" t="s">
        <v>31</v>
      </c>
      <c r="AP27" s="1242">
        <v>3</v>
      </c>
      <c r="AQ27" s="1972" t="s">
        <v>31</v>
      </c>
      <c r="AR27" s="1241">
        <v>60</v>
      </c>
      <c r="AS27" s="1972" t="s">
        <v>31</v>
      </c>
      <c r="AT27" s="1242">
        <v>1</v>
      </c>
      <c r="AU27" s="2200" t="s">
        <v>555</v>
      </c>
      <c r="AV27" s="2232">
        <v>3660</v>
      </c>
      <c r="AW27" s="2200" t="s">
        <v>555</v>
      </c>
      <c r="AX27" s="1243">
        <v>235</v>
      </c>
      <c r="AY27" s="1972" t="s">
        <v>78</v>
      </c>
      <c r="AZ27" s="1244">
        <v>2830</v>
      </c>
      <c r="BA27" s="1110"/>
      <c r="BB27" s="969"/>
    </row>
    <row r="28" spans="1:54" ht="24" customHeight="1">
      <c r="A28" s="2216"/>
      <c r="B28" s="2213"/>
      <c r="C28" s="2215"/>
      <c r="D28" s="1126" t="s">
        <v>556</v>
      </c>
      <c r="E28" s="1123"/>
      <c r="F28" s="1177">
        <v>35450</v>
      </c>
      <c r="G28" s="1178"/>
      <c r="H28" s="1144" t="s">
        <v>255</v>
      </c>
      <c r="I28" s="1163">
        <v>330</v>
      </c>
      <c r="J28" s="1179"/>
      <c r="K28" s="1180" t="s">
        <v>1073</v>
      </c>
      <c r="L28" s="1972"/>
      <c r="M28" s="2206"/>
      <c r="N28" s="1972"/>
      <c r="O28" s="2230"/>
      <c r="P28" s="1144" t="s">
        <v>255</v>
      </c>
      <c r="Q28" s="1163">
        <v>7070</v>
      </c>
      <c r="R28" s="1245">
        <v>70</v>
      </c>
      <c r="S28" s="1246" t="s">
        <v>255</v>
      </c>
      <c r="T28" s="1247">
        <v>49520</v>
      </c>
      <c r="U28" s="1172" t="s">
        <v>255</v>
      </c>
      <c r="V28" s="1248">
        <v>490</v>
      </c>
      <c r="W28" s="1249" t="s">
        <v>255</v>
      </c>
      <c r="X28" s="1250">
        <v>42450</v>
      </c>
      <c r="Y28" s="1249" t="s">
        <v>31</v>
      </c>
      <c r="Z28" s="1248">
        <v>420</v>
      </c>
      <c r="AA28" s="1972"/>
      <c r="AB28" s="2202"/>
      <c r="AC28" s="1972"/>
      <c r="AD28" s="2204"/>
      <c r="AE28" s="1972"/>
      <c r="AF28" s="2199"/>
      <c r="AG28" s="1972"/>
      <c r="AH28" s="2210"/>
      <c r="AI28" s="1972"/>
      <c r="AJ28" s="2206"/>
      <c r="AK28" s="1972"/>
      <c r="AL28" s="2208"/>
      <c r="AM28" s="1972"/>
      <c r="AN28" s="1251" t="s">
        <v>902</v>
      </c>
      <c r="AO28" s="1972"/>
      <c r="AP28" s="1251" t="s">
        <v>903</v>
      </c>
      <c r="AQ28" s="1972"/>
      <c r="AR28" s="1251" t="s">
        <v>902</v>
      </c>
      <c r="AS28" s="1972"/>
      <c r="AT28" s="1251" t="s">
        <v>903</v>
      </c>
      <c r="AU28" s="2200"/>
      <c r="AV28" s="2233"/>
      <c r="AW28" s="2200"/>
      <c r="AX28" s="1252" t="s">
        <v>302</v>
      </c>
      <c r="AY28" s="1972"/>
      <c r="AZ28" s="1253">
        <v>20</v>
      </c>
      <c r="BA28" s="1110"/>
      <c r="BB28" s="970"/>
    </row>
    <row r="29" spans="1:54" ht="24" customHeight="1">
      <c r="A29" s="2216"/>
      <c r="B29" s="2212" t="s">
        <v>567</v>
      </c>
      <c r="C29" s="2214" t="s">
        <v>553</v>
      </c>
      <c r="D29" s="1122" t="s">
        <v>554</v>
      </c>
      <c r="E29" s="1123"/>
      <c r="F29" s="1142">
        <v>26760</v>
      </c>
      <c r="G29" s="1143">
        <v>33830</v>
      </c>
      <c r="H29" s="1144" t="s">
        <v>255</v>
      </c>
      <c r="I29" s="1145">
        <v>240</v>
      </c>
      <c r="J29" s="1146">
        <v>310</v>
      </c>
      <c r="K29" s="1147" t="s">
        <v>1073</v>
      </c>
      <c r="L29" s="1972" t="s">
        <v>255</v>
      </c>
      <c r="M29" s="2205">
        <v>540</v>
      </c>
      <c r="N29" s="1972" t="s">
        <v>255</v>
      </c>
      <c r="O29" s="2229">
        <v>5</v>
      </c>
      <c r="P29" s="1144" t="s">
        <v>255</v>
      </c>
      <c r="Q29" s="1148">
        <v>7070</v>
      </c>
      <c r="R29" s="1238">
        <v>70</v>
      </c>
      <c r="S29" s="1239"/>
      <c r="T29" s="1173"/>
      <c r="U29" s="1172"/>
      <c r="V29" s="38"/>
      <c r="W29" s="1172"/>
      <c r="X29" s="1173" t="s">
        <v>46</v>
      </c>
      <c r="Y29" s="1172"/>
      <c r="Z29" s="1240"/>
      <c r="AA29" s="2060" t="s">
        <v>255</v>
      </c>
      <c r="AB29" s="2201">
        <v>480</v>
      </c>
      <c r="AC29" s="1972" t="s">
        <v>255</v>
      </c>
      <c r="AD29" s="2203">
        <v>4</v>
      </c>
      <c r="AE29" s="1972" t="s">
        <v>31</v>
      </c>
      <c r="AF29" s="2198">
        <v>2350</v>
      </c>
      <c r="AG29" s="1972" t="s">
        <v>255</v>
      </c>
      <c r="AH29" s="2209">
        <v>20</v>
      </c>
      <c r="AI29" s="1972" t="s">
        <v>31</v>
      </c>
      <c r="AJ29" s="2205">
        <v>500</v>
      </c>
      <c r="AK29" s="1972" t="s">
        <v>255</v>
      </c>
      <c r="AL29" s="2207">
        <v>5</v>
      </c>
      <c r="AM29" s="1972" t="s">
        <v>31</v>
      </c>
      <c r="AN29" s="1241">
        <v>300</v>
      </c>
      <c r="AO29" s="1972" t="s">
        <v>31</v>
      </c>
      <c r="AP29" s="1242">
        <v>3</v>
      </c>
      <c r="AQ29" s="1972" t="s">
        <v>31</v>
      </c>
      <c r="AR29" s="1241">
        <v>50</v>
      </c>
      <c r="AS29" s="1972" t="s">
        <v>31</v>
      </c>
      <c r="AT29" s="1242">
        <v>1</v>
      </c>
      <c r="AU29" s="2200" t="s">
        <v>555</v>
      </c>
      <c r="AV29" s="2232">
        <v>3160</v>
      </c>
      <c r="AW29" s="2200" t="s">
        <v>555</v>
      </c>
      <c r="AX29" s="1243">
        <v>235</v>
      </c>
      <c r="AY29" s="1972" t="s">
        <v>78</v>
      </c>
      <c r="AZ29" s="1244">
        <v>2350</v>
      </c>
      <c r="BA29" s="1110"/>
      <c r="BB29" s="969"/>
    </row>
    <row r="30" spans="1:54" ht="24" customHeight="1">
      <c r="A30" s="2216"/>
      <c r="B30" s="2213"/>
      <c r="C30" s="2215"/>
      <c r="D30" s="1126" t="s">
        <v>556</v>
      </c>
      <c r="E30" s="1123"/>
      <c r="F30" s="1177">
        <v>33830</v>
      </c>
      <c r="G30" s="1178"/>
      <c r="H30" s="1144" t="s">
        <v>255</v>
      </c>
      <c r="I30" s="1163">
        <v>310</v>
      </c>
      <c r="J30" s="1179"/>
      <c r="K30" s="1180" t="s">
        <v>1073</v>
      </c>
      <c r="L30" s="1972"/>
      <c r="M30" s="2206"/>
      <c r="N30" s="1972"/>
      <c r="O30" s="2230"/>
      <c r="P30" s="1144" t="s">
        <v>255</v>
      </c>
      <c r="Q30" s="1163">
        <v>7070</v>
      </c>
      <c r="R30" s="1245">
        <v>70</v>
      </c>
      <c r="S30" s="1246" t="s">
        <v>255</v>
      </c>
      <c r="T30" s="1247">
        <v>49520</v>
      </c>
      <c r="U30" s="1172" t="s">
        <v>255</v>
      </c>
      <c r="V30" s="1248">
        <v>490</v>
      </c>
      <c r="W30" s="1249" t="s">
        <v>255</v>
      </c>
      <c r="X30" s="1250">
        <v>42450</v>
      </c>
      <c r="Y30" s="1249" t="s">
        <v>31</v>
      </c>
      <c r="Z30" s="1248">
        <v>420</v>
      </c>
      <c r="AA30" s="1972"/>
      <c r="AB30" s="2202"/>
      <c r="AC30" s="1972"/>
      <c r="AD30" s="2204"/>
      <c r="AE30" s="1972"/>
      <c r="AF30" s="2199"/>
      <c r="AG30" s="1972"/>
      <c r="AH30" s="2210"/>
      <c r="AI30" s="1972"/>
      <c r="AJ30" s="2206"/>
      <c r="AK30" s="1972"/>
      <c r="AL30" s="2208"/>
      <c r="AM30" s="1972"/>
      <c r="AN30" s="1251" t="s">
        <v>902</v>
      </c>
      <c r="AO30" s="1972"/>
      <c r="AP30" s="1251" t="s">
        <v>903</v>
      </c>
      <c r="AQ30" s="1972"/>
      <c r="AR30" s="1251" t="s">
        <v>902</v>
      </c>
      <c r="AS30" s="1972"/>
      <c r="AT30" s="1251" t="s">
        <v>903</v>
      </c>
      <c r="AU30" s="2200"/>
      <c r="AV30" s="2233"/>
      <c r="AW30" s="2200"/>
      <c r="AX30" s="1252" t="s">
        <v>302</v>
      </c>
      <c r="AY30" s="1972"/>
      <c r="AZ30" s="1253">
        <v>20</v>
      </c>
      <c r="BA30" s="1110"/>
      <c r="BB30" s="970"/>
    </row>
    <row r="31" spans="1:54" ht="24" customHeight="1">
      <c r="A31" s="2216"/>
      <c r="B31" s="2212" t="s">
        <v>568</v>
      </c>
      <c r="C31" s="2214" t="s">
        <v>553</v>
      </c>
      <c r="D31" s="1122" t="s">
        <v>554</v>
      </c>
      <c r="E31" s="1123"/>
      <c r="F31" s="1142">
        <v>25590</v>
      </c>
      <c r="G31" s="1143">
        <v>32660</v>
      </c>
      <c r="H31" s="1144" t="s">
        <v>255</v>
      </c>
      <c r="I31" s="1145">
        <v>230</v>
      </c>
      <c r="J31" s="1146">
        <v>300</v>
      </c>
      <c r="K31" s="1147" t="s">
        <v>1073</v>
      </c>
      <c r="L31" s="1972" t="s">
        <v>255</v>
      </c>
      <c r="M31" s="2205">
        <v>460</v>
      </c>
      <c r="N31" s="1972" t="s">
        <v>255</v>
      </c>
      <c r="O31" s="2229">
        <v>4</v>
      </c>
      <c r="P31" s="1144" t="s">
        <v>255</v>
      </c>
      <c r="Q31" s="1148">
        <v>7070</v>
      </c>
      <c r="R31" s="1238">
        <v>70</v>
      </c>
      <c r="S31" s="1239"/>
      <c r="T31" s="1173"/>
      <c r="U31" s="1172"/>
      <c r="V31" s="38"/>
      <c r="W31" s="1172"/>
      <c r="X31" s="1173" t="s">
        <v>46</v>
      </c>
      <c r="Y31" s="1172"/>
      <c r="Z31" s="1240"/>
      <c r="AA31" s="2060" t="s">
        <v>255</v>
      </c>
      <c r="AB31" s="2201">
        <v>410</v>
      </c>
      <c r="AC31" s="1972" t="s">
        <v>255</v>
      </c>
      <c r="AD31" s="2203">
        <v>4</v>
      </c>
      <c r="AE31" s="1972" t="s">
        <v>31</v>
      </c>
      <c r="AF31" s="2198">
        <v>2020</v>
      </c>
      <c r="AG31" s="1972" t="s">
        <v>255</v>
      </c>
      <c r="AH31" s="2209">
        <v>20</v>
      </c>
      <c r="AI31" s="1972" t="s">
        <v>31</v>
      </c>
      <c r="AJ31" s="2205">
        <v>500</v>
      </c>
      <c r="AK31" s="1972" t="s">
        <v>255</v>
      </c>
      <c r="AL31" s="2207">
        <v>5</v>
      </c>
      <c r="AM31" s="1972" t="s">
        <v>31</v>
      </c>
      <c r="AN31" s="1241">
        <v>270</v>
      </c>
      <c r="AO31" s="1972" t="s">
        <v>31</v>
      </c>
      <c r="AP31" s="1242">
        <v>2</v>
      </c>
      <c r="AQ31" s="1972" t="s">
        <v>31</v>
      </c>
      <c r="AR31" s="1241">
        <v>40</v>
      </c>
      <c r="AS31" s="1972" t="s">
        <v>31</v>
      </c>
      <c r="AT31" s="1242">
        <v>1</v>
      </c>
      <c r="AU31" s="2200" t="s">
        <v>555</v>
      </c>
      <c r="AV31" s="2232">
        <v>2810</v>
      </c>
      <c r="AW31" s="2200" t="s">
        <v>555</v>
      </c>
      <c r="AX31" s="1243">
        <v>235</v>
      </c>
      <c r="AY31" s="1972" t="s">
        <v>78</v>
      </c>
      <c r="AZ31" s="1244">
        <v>2020</v>
      </c>
      <c r="BA31" s="1110"/>
      <c r="BB31" s="969"/>
    </row>
    <row r="32" spans="1:54" ht="24" customHeight="1">
      <c r="A32" s="2216"/>
      <c r="B32" s="2213"/>
      <c r="C32" s="2215"/>
      <c r="D32" s="1126" t="s">
        <v>556</v>
      </c>
      <c r="E32" s="1123"/>
      <c r="F32" s="1177">
        <v>32660</v>
      </c>
      <c r="G32" s="1178"/>
      <c r="H32" s="1144" t="s">
        <v>255</v>
      </c>
      <c r="I32" s="1163">
        <v>300</v>
      </c>
      <c r="J32" s="1179"/>
      <c r="K32" s="1180" t="s">
        <v>1073</v>
      </c>
      <c r="L32" s="1972"/>
      <c r="M32" s="2206"/>
      <c r="N32" s="1972"/>
      <c r="O32" s="2230"/>
      <c r="P32" s="1144" t="s">
        <v>255</v>
      </c>
      <c r="Q32" s="1163">
        <v>7070</v>
      </c>
      <c r="R32" s="1245">
        <v>70</v>
      </c>
      <c r="S32" s="1246" t="s">
        <v>255</v>
      </c>
      <c r="T32" s="1247">
        <v>49520</v>
      </c>
      <c r="U32" s="1172" t="s">
        <v>255</v>
      </c>
      <c r="V32" s="1248">
        <v>490</v>
      </c>
      <c r="W32" s="1249" t="s">
        <v>255</v>
      </c>
      <c r="X32" s="1250">
        <v>42450</v>
      </c>
      <c r="Y32" s="1249" t="s">
        <v>31</v>
      </c>
      <c r="Z32" s="1248">
        <v>420</v>
      </c>
      <c r="AA32" s="1972"/>
      <c r="AB32" s="2202"/>
      <c r="AC32" s="1972"/>
      <c r="AD32" s="2204"/>
      <c r="AE32" s="1972"/>
      <c r="AF32" s="2199"/>
      <c r="AG32" s="1972"/>
      <c r="AH32" s="2210"/>
      <c r="AI32" s="1972"/>
      <c r="AJ32" s="2206"/>
      <c r="AK32" s="1972"/>
      <c r="AL32" s="2208"/>
      <c r="AM32" s="1972"/>
      <c r="AN32" s="1251" t="s">
        <v>902</v>
      </c>
      <c r="AO32" s="1972"/>
      <c r="AP32" s="1251" t="s">
        <v>903</v>
      </c>
      <c r="AQ32" s="1972"/>
      <c r="AR32" s="1251" t="s">
        <v>902</v>
      </c>
      <c r="AS32" s="1972"/>
      <c r="AT32" s="1251" t="s">
        <v>903</v>
      </c>
      <c r="AU32" s="2200"/>
      <c r="AV32" s="2233"/>
      <c r="AW32" s="2200"/>
      <c r="AX32" s="1252" t="s">
        <v>302</v>
      </c>
      <c r="AY32" s="1972"/>
      <c r="AZ32" s="1253">
        <v>20</v>
      </c>
      <c r="BA32" s="1110"/>
      <c r="BB32" s="970"/>
    </row>
    <row r="33" spans="1:55" ht="24" customHeight="1">
      <c r="A33" s="2216"/>
      <c r="B33" s="2212" t="s">
        <v>569</v>
      </c>
      <c r="C33" s="2214" t="s">
        <v>553</v>
      </c>
      <c r="D33" s="1122" t="s">
        <v>554</v>
      </c>
      <c r="E33" s="1123"/>
      <c r="F33" s="1142">
        <v>24720</v>
      </c>
      <c r="G33" s="1143">
        <v>31790</v>
      </c>
      <c r="H33" s="1144" t="s">
        <v>255</v>
      </c>
      <c r="I33" s="1145">
        <v>220</v>
      </c>
      <c r="J33" s="1146">
        <v>290</v>
      </c>
      <c r="K33" s="1147" t="s">
        <v>1073</v>
      </c>
      <c r="L33" s="1972" t="s">
        <v>255</v>
      </c>
      <c r="M33" s="2205">
        <v>400</v>
      </c>
      <c r="N33" s="1972" t="s">
        <v>255</v>
      </c>
      <c r="O33" s="2229">
        <v>4</v>
      </c>
      <c r="P33" s="1144" t="s">
        <v>255</v>
      </c>
      <c r="Q33" s="1148">
        <v>7070</v>
      </c>
      <c r="R33" s="1238">
        <v>70</v>
      </c>
      <c r="S33" s="1239"/>
      <c r="T33" s="1173"/>
      <c r="U33" s="1172"/>
      <c r="V33" s="38"/>
      <c r="W33" s="1172"/>
      <c r="X33" s="1173" t="s">
        <v>46</v>
      </c>
      <c r="Y33" s="1172"/>
      <c r="Z33" s="1240"/>
      <c r="AA33" s="2060" t="s">
        <v>255</v>
      </c>
      <c r="AB33" s="2201">
        <v>360</v>
      </c>
      <c r="AC33" s="1972" t="s">
        <v>255</v>
      </c>
      <c r="AD33" s="2203">
        <v>3</v>
      </c>
      <c r="AE33" s="1972" t="s">
        <v>31</v>
      </c>
      <c r="AF33" s="2198">
        <v>1760</v>
      </c>
      <c r="AG33" s="1972" t="s">
        <v>255</v>
      </c>
      <c r="AH33" s="2209">
        <v>10</v>
      </c>
      <c r="AI33" s="1972" t="s">
        <v>31</v>
      </c>
      <c r="AJ33" s="2205">
        <v>500</v>
      </c>
      <c r="AK33" s="1972" t="s">
        <v>255</v>
      </c>
      <c r="AL33" s="2207">
        <v>5</v>
      </c>
      <c r="AM33" s="1972" t="s">
        <v>31</v>
      </c>
      <c r="AN33" s="1241">
        <v>250</v>
      </c>
      <c r="AO33" s="1972" t="s">
        <v>31</v>
      </c>
      <c r="AP33" s="1242">
        <v>2</v>
      </c>
      <c r="AQ33" s="1972" t="s">
        <v>31</v>
      </c>
      <c r="AR33" s="1241">
        <v>40</v>
      </c>
      <c r="AS33" s="1972" t="s">
        <v>31</v>
      </c>
      <c r="AT33" s="1242">
        <v>1</v>
      </c>
      <c r="AU33" s="2200" t="s">
        <v>555</v>
      </c>
      <c r="AV33" s="2232">
        <v>2540</v>
      </c>
      <c r="AW33" s="2200" t="s">
        <v>555</v>
      </c>
      <c r="AX33" s="1243">
        <v>235</v>
      </c>
      <c r="AY33" s="1972" t="s">
        <v>78</v>
      </c>
      <c r="AZ33" s="1244">
        <v>1760</v>
      </c>
      <c r="BA33" s="1110"/>
      <c r="BB33" s="969"/>
    </row>
    <row r="34" spans="1:55" ht="24" customHeight="1">
      <c r="A34" s="2216"/>
      <c r="B34" s="2213"/>
      <c r="C34" s="2215"/>
      <c r="D34" s="1126" t="s">
        <v>556</v>
      </c>
      <c r="E34" s="1123"/>
      <c r="F34" s="1177">
        <v>31790</v>
      </c>
      <c r="G34" s="1178"/>
      <c r="H34" s="1144" t="s">
        <v>255</v>
      </c>
      <c r="I34" s="1163">
        <v>290</v>
      </c>
      <c r="J34" s="1179"/>
      <c r="K34" s="1180" t="s">
        <v>1073</v>
      </c>
      <c r="L34" s="1972"/>
      <c r="M34" s="2206"/>
      <c r="N34" s="1972"/>
      <c r="O34" s="2230"/>
      <c r="P34" s="1144" t="s">
        <v>255</v>
      </c>
      <c r="Q34" s="1163">
        <v>7070</v>
      </c>
      <c r="R34" s="1245">
        <v>70</v>
      </c>
      <c r="S34" s="1246" t="s">
        <v>255</v>
      </c>
      <c r="T34" s="1247">
        <v>49520</v>
      </c>
      <c r="U34" s="1172" t="s">
        <v>255</v>
      </c>
      <c r="V34" s="1248">
        <v>490</v>
      </c>
      <c r="W34" s="1249" t="s">
        <v>255</v>
      </c>
      <c r="X34" s="1250">
        <v>42450</v>
      </c>
      <c r="Y34" s="1249" t="s">
        <v>31</v>
      </c>
      <c r="Z34" s="1248">
        <v>420</v>
      </c>
      <c r="AA34" s="1972"/>
      <c r="AB34" s="2202"/>
      <c r="AC34" s="1972"/>
      <c r="AD34" s="2204"/>
      <c r="AE34" s="1972"/>
      <c r="AF34" s="2199"/>
      <c r="AG34" s="1972"/>
      <c r="AH34" s="2210"/>
      <c r="AI34" s="1972"/>
      <c r="AJ34" s="2206"/>
      <c r="AK34" s="1972"/>
      <c r="AL34" s="2208"/>
      <c r="AM34" s="1972"/>
      <c r="AN34" s="1251" t="s">
        <v>902</v>
      </c>
      <c r="AO34" s="1972"/>
      <c r="AP34" s="1251" t="s">
        <v>903</v>
      </c>
      <c r="AQ34" s="1972"/>
      <c r="AR34" s="1251" t="s">
        <v>902</v>
      </c>
      <c r="AS34" s="1972"/>
      <c r="AT34" s="1251" t="s">
        <v>903</v>
      </c>
      <c r="AU34" s="2200"/>
      <c r="AV34" s="2233"/>
      <c r="AW34" s="2200"/>
      <c r="AX34" s="1252" t="s">
        <v>302</v>
      </c>
      <c r="AY34" s="1972"/>
      <c r="AZ34" s="1253">
        <v>10</v>
      </c>
      <c r="BA34" s="1110"/>
      <c r="BB34" s="970"/>
    </row>
    <row r="35" spans="1:55" ht="24" customHeight="1">
      <c r="A35" s="2216"/>
      <c r="B35" s="2212" t="s">
        <v>570</v>
      </c>
      <c r="C35" s="2214" t="s">
        <v>553</v>
      </c>
      <c r="D35" s="1122" t="s">
        <v>554</v>
      </c>
      <c r="E35" s="1123"/>
      <c r="F35" s="1142">
        <v>24050</v>
      </c>
      <c r="G35" s="1143">
        <v>31120</v>
      </c>
      <c r="H35" s="1144" t="s">
        <v>255</v>
      </c>
      <c r="I35" s="1145">
        <v>220</v>
      </c>
      <c r="J35" s="1146">
        <v>290</v>
      </c>
      <c r="K35" s="1147" t="s">
        <v>1073</v>
      </c>
      <c r="L35" s="1972" t="s">
        <v>255</v>
      </c>
      <c r="M35" s="2205">
        <v>360</v>
      </c>
      <c r="N35" s="1972" t="s">
        <v>255</v>
      </c>
      <c r="O35" s="2229">
        <v>3</v>
      </c>
      <c r="P35" s="1144" t="s">
        <v>255</v>
      </c>
      <c r="Q35" s="1148">
        <v>7070</v>
      </c>
      <c r="R35" s="1238">
        <v>70</v>
      </c>
      <c r="S35" s="1239"/>
      <c r="T35" s="1173"/>
      <c r="U35" s="1172"/>
      <c r="V35" s="38"/>
      <c r="W35" s="1172"/>
      <c r="X35" s="1173" t="s">
        <v>46</v>
      </c>
      <c r="Y35" s="1172"/>
      <c r="Z35" s="1240"/>
      <c r="AA35" s="2060" t="s">
        <v>255</v>
      </c>
      <c r="AB35" s="2201">
        <v>320</v>
      </c>
      <c r="AC35" s="1972" t="s">
        <v>255</v>
      </c>
      <c r="AD35" s="2203">
        <v>3</v>
      </c>
      <c r="AE35" s="1972" t="s">
        <v>31</v>
      </c>
      <c r="AF35" s="2198">
        <v>1570</v>
      </c>
      <c r="AG35" s="1972" t="s">
        <v>255</v>
      </c>
      <c r="AH35" s="2209">
        <v>10</v>
      </c>
      <c r="AI35" s="1972" t="s">
        <v>31</v>
      </c>
      <c r="AJ35" s="2205">
        <v>500</v>
      </c>
      <c r="AK35" s="1972" t="s">
        <v>255</v>
      </c>
      <c r="AL35" s="2207">
        <v>5</v>
      </c>
      <c r="AM35" s="1972" t="s">
        <v>31</v>
      </c>
      <c r="AN35" s="1241">
        <v>220</v>
      </c>
      <c r="AO35" s="1972" t="s">
        <v>31</v>
      </c>
      <c r="AP35" s="1242">
        <v>2</v>
      </c>
      <c r="AQ35" s="1972" t="s">
        <v>31</v>
      </c>
      <c r="AR35" s="1241">
        <v>40</v>
      </c>
      <c r="AS35" s="1972" t="s">
        <v>31</v>
      </c>
      <c r="AT35" s="1242">
        <v>1</v>
      </c>
      <c r="AU35" s="2200" t="s">
        <v>555</v>
      </c>
      <c r="AV35" s="2232">
        <v>2440</v>
      </c>
      <c r="AW35" s="2200" t="s">
        <v>555</v>
      </c>
      <c r="AX35" s="1243">
        <v>235</v>
      </c>
      <c r="AY35" s="1972" t="s">
        <v>78</v>
      </c>
      <c r="AZ35" s="1244">
        <v>1570</v>
      </c>
      <c r="BA35" s="1110"/>
      <c r="BB35" s="969"/>
    </row>
    <row r="36" spans="1:55" ht="24" customHeight="1">
      <c r="A36" s="2216"/>
      <c r="B36" s="2213"/>
      <c r="C36" s="2215"/>
      <c r="D36" s="1126" t="s">
        <v>556</v>
      </c>
      <c r="E36" s="1123"/>
      <c r="F36" s="1177">
        <v>31120</v>
      </c>
      <c r="G36" s="1178"/>
      <c r="H36" s="1144" t="s">
        <v>255</v>
      </c>
      <c r="I36" s="1163">
        <v>290</v>
      </c>
      <c r="J36" s="1179"/>
      <c r="K36" s="1180" t="s">
        <v>1073</v>
      </c>
      <c r="L36" s="1972"/>
      <c r="M36" s="2206"/>
      <c r="N36" s="1972"/>
      <c r="O36" s="2230"/>
      <c r="P36" s="1144" t="s">
        <v>255</v>
      </c>
      <c r="Q36" s="1163">
        <v>7070</v>
      </c>
      <c r="R36" s="1245">
        <v>70</v>
      </c>
      <c r="S36" s="1246" t="s">
        <v>255</v>
      </c>
      <c r="T36" s="1247">
        <v>49520</v>
      </c>
      <c r="U36" s="1172" t="s">
        <v>255</v>
      </c>
      <c r="V36" s="1248">
        <v>490</v>
      </c>
      <c r="W36" s="1249" t="s">
        <v>255</v>
      </c>
      <c r="X36" s="1250">
        <v>42450</v>
      </c>
      <c r="Y36" s="1249" t="s">
        <v>31</v>
      </c>
      <c r="Z36" s="1248">
        <v>420</v>
      </c>
      <c r="AA36" s="1972"/>
      <c r="AB36" s="2202"/>
      <c r="AC36" s="1972"/>
      <c r="AD36" s="2204"/>
      <c r="AE36" s="1972"/>
      <c r="AF36" s="2199"/>
      <c r="AG36" s="1972"/>
      <c r="AH36" s="2210"/>
      <c r="AI36" s="1972"/>
      <c r="AJ36" s="2206"/>
      <c r="AK36" s="1972"/>
      <c r="AL36" s="2208"/>
      <c r="AM36" s="1972"/>
      <c r="AN36" s="1251" t="s">
        <v>902</v>
      </c>
      <c r="AO36" s="1972"/>
      <c r="AP36" s="1251" t="s">
        <v>903</v>
      </c>
      <c r="AQ36" s="1972"/>
      <c r="AR36" s="1251" t="s">
        <v>902</v>
      </c>
      <c r="AS36" s="1972"/>
      <c r="AT36" s="1251" t="s">
        <v>903</v>
      </c>
      <c r="AU36" s="2200"/>
      <c r="AV36" s="2233"/>
      <c r="AW36" s="2200"/>
      <c r="AX36" s="1252" t="s">
        <v>302</v>
      </c>
      <c r="AY36" s="1972"/>
      <c r="AZ36" s="1253">
        <v>10</v>
      </c>
      <c r="BA36" s="1110"/>
      <c r="BB36" s="970"/>
    </row>
    <row r="37" spans="1:55" ht="24" customHeight="1">
      <c r="A37" s="2216"/>
      <c r="B37" s="2212" t="s">
        <v>571</v>
      </c>
      <c r="C37" s="2214" t="s">
        <v>553</v>
      </c>
      <c r="D37" s="1122" t="s">
        <v>554</v>
      </c>
      <c r="E37" s="1123"/>
      <c r="F37" s="1142">
        <v>23510</v>
      </c>
      <c r="G37" s="1143">
        <v>30580</v>
      </c>
      <c r="H37" s="1144" t="s">
        <v>255</v>
      </c>
      <c r="I37" s="1145">
        <v>210</v>
      </c>
      <c r="J37" s="1146">
        <v>280</v>
      </c>
      <c r="K37" s="1147" t="s">
        <v>1073</v>
      </c>
      <c r="L37" s="1972" t="s">
        <v>255</v>
      </c>
      <c r="M37" s="2205">
        <v>320</v>
      </c>
      <c r="N37" s="1972" t="s">
        <v>255</v>
      </c>
      <c r="O37" s="2229">
        <v>3</v>
      </c>
      <c r="P37" s="1144" t="s">
        <v>255</v>
      </c>
      <c r="Q37" s="1148">
        <v>7070</v>
      </c>
      <c r="R37" s="1238">
        <v>70</v>
      </c>
      <c r="S37" s="1239"/>
      <c r="T37" s="1173"/>
      <c r="U37" s="1172"/>
      <c r="V37" s="38"/>
      <c r="W37" s="1172"/>
      <c r="X37" s="1173" t="s">
        <v>46</v>
      </c>
      <c r="Y37" s="1172"/>
      <c r="Z37" s="1240"/>
      <c r="AA37" s="2060" t="s">
        <v>255</v>
      </c>
      <c r="AB37" s="2201">
        <v>280</v>
      </c>
      <c r="AC37" s="1972" t="s">
        <v>255</v>
      </c>
      <c r="AD37" s="2203">
        <v>2</v>
      </c>
      <c r="AE37" s="1972" t="s">
        <v>31</v>
      </c>
      <c r="AF37" s="2198">
        <v>1410</v>
      </c>
      <c r="AG37" s="1972" t="s">
        <v>255</v>
      </c>
      <c r="AH37" s="2209">
        <v>10</v>
      </c>
      <c r="AI37" s="1972" t="s">
        <v>31</v>
      </c>
      <c r="AJ37" s="2205">
        <v>500</v>
      </c>
      <c r="AK37" s="1972" t="s">
        <v>255</v>
      </c>
      <c r="AL37" s="2207">
        <v>5</v>
      </c>
      <c r="AM37" s="1972" t="s">
        <v>31</v>
      </c>
      <c r="AN37" s="1241">
        <v>200</v>
      </c>
      <c r="AO37" s="1972" t="s">
        <v>31</v>
      </c>
      <c r="AP37" s="1242">
        <v>2</v>
      </c>
      <c r="AQ37" s="1972" t="s">
        <v>31</v>
      </c>
      <c r="AR37" s="1241">
        <v>30</v>
      </c>
      <c r="AS37" s="1972" t="s">
        <v>31</v>
      </c>
      <c r="AT37" s="1242">
        <v>1</v>
      </c>
      <c r="AU37" s="2200" t="s">
        <v>555</v>
      </c>
      <c r="AV37" s="2232">
        <v>2360</v>
      </c>
      <c r="AW37" s="2200" t="s">
        <v>555</v>
      </c>
      <c r="AX37" s="1243">
        <v>235</v>
      </c>
      <c r="AY37" s="1972" t="s">
        <v>78</v>
      </c>
      <c r="AZ37" s="1244">
        <v>1410</v>
      </c>
      <c r="BA37" s="1110"/>
      <c r="BB37" s="969"/>
    </row>
    <row r="38" spans="1:55" ht="24" customHeight="1">
      <c r="A38" s="2216"/>
      <c r="B38" s="2213"/>
      <c r="C38" s="2215"/>
      <c r="D38" s="1126" t="s">
        <v>556</v>
      </c>
      <c r="E38" s="1123"/>
      <c r="F38" s="1177">
        <v>30580</v>
      </c>
      <c r="G38" s="1178"/>
      <c r="H38" s="1144" t="s">
        <v>255</v>
      </c>
      <c r="I38" s="1163">
        <v>280</v>
      </c>
      <c r="J38" s="1179"/>
      <c r="K38" s="1180" t="s">
        <v>1073</v>
      </c>
      <c r="L38" s="1972"/>
      <c r="M38" s="2206"/>
      <c r="N38" s="1972"/>
      <c r="O38" s="2230"/>
      <c r="P38" s="1144" t="s">
        <v>255</v>
      </c>
      <c r="Q38" s="1163">
        <v>7070</v>
      </c>
      <c r="R38" s="1245">
        <v>70</v>
      </c>
      <c r="S38" s="1246" t="s">
        <v>255</v>
      </c>
      <c r="T38" s="1247">
        <v>49520</v>
      </c>
      <c r="U38" s="1172" t="s">
        <v>255</v>
      </c>
      <c r="V38" s="1248">
        <v>490</v>
      </c>
      <c r="W38" s="1249" t="s">
        <v>255</v>
      </c>
      <c r="X38" s="1250">
        <v>42450</v>
      </c>
      <c r="Y38" s="1249" t="s">
        <v>31</v>
      </c>
      <c r="Z38" s="1248">
        <v>420</v>
      </c>
      <c r="AA38" s="1972"/>
      <c r="AB38" s="2202"/>
      <c r="AC38" s="1972"/>
      <c r="AD38" s="2204"/>
      <c r="AE38" s="1972"/>
      <c r="AF38" s="2199"/>
      <c r="AG38" s="1972"/>
      <c r="AH38" s="2210"/>
      <c r="AI38" s="1972"/>
      <c r="AJ38" s="2206"/>
      <c r="AK38" s="1972"/>
      <c r="AL38" s="2208"/>
      <c r="AM38" s="1972"/>
      <c r="AN38" s="1251" t="s">
        <v>902</v>
      </c>
      <c r="AO38" s="1972"/>
      <c r="AP38" s="1251" t="s">
        <v>903</v>
      </c>
      <c r="AQ38" s="1972"/>
      <c r="AR38" s="1251" t="s">
        <v>902</v>
      </c>
      <c r="AS38" s="1972"/>
      <c r="AT38" s="1251" t="s">
        <v>903</v>
      </c>
      <c r="AU38" s="2200"/>
      <c r="AV38" s="2233"/>
      <c r="AW38" s="2200"/>
      <c r="AX38" s="1252" t="s">
        <v>302</v>
      </c>
      <c r="AY38" s="1972"/>
      <c r="AZ38" s="1253">
        <v>10</v>
      </c>
      <c r="BA38" s="1110"/>
      <c r="BB38" s="970"/>
    </row>
    <row r="39" spans="1:55" ht="24" customHeight="1">
      <c r="A39" s="2216"/>
      <c r="B39" s="2212" t="s">
        <v>572</v>
      </c>
      <c r="C39" s="2214" t="s">
        <v>553</v>
      </c>
      <c r="D39" s="1122" t="s">
        <v>554</v>
      </c>
      <c r="E39" s="1123"/>
      <c r="F39" s="1142">
        <v>21790</v>
      </c>
      <c r="G39" s="1143">
        <v>28860</v>
      </c>
      <c r="H39" s="1144" t="s">
        <v>255</v>
      </c>
      <c r="I39" s="1145">
        <v>190</v>
      </c>
      <c r="J39" s="1146">
        <v>260</v>
      </c>
      <c r="K39" s="1147" t="s">
        <v>1073</v>
      </c>
      <c r="L39" s="1972" t="s">
        <v>255</v>
      </c>
      <c r="M39" s="2205">
        <v>290</v>
      </c>
      <c r="N39" s="1972" t="s">
        <v>255</v>
      </c>
      <c r="O39" s="2229">
        <v>2</v>
      </c>
      <c r="P39" s="1144" t="s">
        <v>255</v>
      </c>
      <c r="Q39" s="1148">
        <v>7070</v>
      </c>
      <c r="R39" s="1238">
        <v>70</v>
      </c>
      <c r="S39" s="1239"/>
      <c r="T39" s="1173"/>
      <c r="U39" s="1172"/>
      <c r="V39" s="38"/>
      <c r="W39" s="1172"/>
      <c r="X39" s="1173" t="s">
        <v>46</v>
      </c>
      <c r="Y39" s="1172"/>
      <c r="Z39" s="1240"/>
      <c r="AA39" s="2060" t="s">
        <v>255</v>
      </c>
      <c r="AB39" s="2201">
        <v>260</v>
      </c>
      <c r="AC39" s="1972" t="s">
        <v>255</v>
      </c>
      <c r="AD39" s="2203">
        <v>2</v>
      </c>
      <c r="AE39" s="1972" t="s">
        <v>31</v>
      </c>
      <c r="AF39" s="2198">
        <v>1280</v>
      </c>
      <c r="AG39" s="1972" t="s">
        <v>255</v>
      </c>
      <c r="AH39" s="2209">
        <v>10</v>
      </c>
      <c r="AI39" s="1972" t="s">
        <v>31</v>
      </c>
      <c r="AJ39" s="2205">
        <v>500</v>
      </c>
      <c r="AK39" s="1972" t="s">
        <v>255</v>
      </c>
      <c r="AL39" s="2207">
        <v>5</v>
      </c>
      <c r="AM39" s="1972" t="s">
        <v>31</v>
      </c>
      <c r="AN39" s="1241">
        <v>180</v>
      </c>
      <c r="AO39" s="1972" t="s">
        <v>31</v>
      </c>
      <c r="AP39" s="1242">
        <v>1</v>
      </c>
      <c r="AQ39" s="1972" t="s">
        <v>31</v>
      </c>
      <c r="AR39" s="1241">
        <v>30</v>
      </c>
      <c r="AS39" s="1972" t="s">
        <v>31</v>
      </c>
      <c r="AT39" s="1242">
        <v>1</v>
      </c>
      <c r="AU39" s="2200" t="s">
        <v>555</v>
      </c>
      <c r="AV39" s="2232">
        <v>2150</v>
      </c>
      <c r="AW39" s="2200" t="s">
        <v>555</v>
      </c>
      <c r="AX39" s="1243">
        <v>235</v>
      </c>
      <c r="AY39" s="1972" t="s">
        <v>78</v>
      </c>
      <c r="AZ39" s="1244">
        <v>1280</v>
      </c>
      <c r="BA39" s="1110"/>
      <c r="BB39" s="969"/>
    </row>
    <row r="40" spans="1:55" ht="24" customHeight="1">
      <c r="A40" s="2216"/>
      <c r="B40" s="2213"/>
      <c r="C40" s="2231"/>
      <c r="D40" s="1126" t="s">
        <v>556</v>
      </c>
      <c r="E40" s="1123"/>
      <c r="F40" s="1177">
        <v>28860</v>
      </c>
      <c r="G40" s="1178"/>
      <c r="H40" s="1144" t="s">
        <v>255</v>
      </c>
      <c r="I40" s="1163">
        <v>260</v>
      </c>
      <c r="J40" s="1179"/>
      <c r="K40" s="1180" t="s">
        <v>1073</v>
      </c>
      <c r="L40" s="1972"/>
      <c r="M40" s="2206"/>
      <c r="N40" s="1972"/>
      <c r="O40" s="2230"/>
      <c r="P40" s="1144" t="s">
        <v>255</v>
      </c>
      <c r="Q40" s="1163">
        <v>7070</v>
      </c>
      <c r="R40" s="1245">
        <v>70</v>
      </c>
      <c r="S40" s="1246" t="s">
        <v>255</v>
      </c>
      <c r="T40" s="1247">
        <v>49520</v>
      </c>
      <c r="U40" s="1172" t="s">
        <v>255</v>
      </c>
      <c r="V40" s="1248">
        <v>490</v>
      </c>
      <c r="W40" s="1249" t="s">
        <v>255</v>
      </c>
      <c r="X40" s="1250">
        <v>42450</v>
      </c>
      <c r="Y40" s="1249" t="s">
        <v>31</v>
      </c>
      <c r="Z40" s="1248">
        <v>420</v>
      </c>
      <c r="AA40" s="1972"/>
      <c r="AB40" s="2202"/>
      <c r="AC40" s="1972"/>
      <c r="AD40" s="2204"/>
      <c r="AE40" s="1972"/>
      <c r="AF40" s="2199"/>
      <c r="AG40" s="1972"/>
      <c r="AH40" s="2210"/>
      <c r="AI40" s="1972"/>
      <c r="AJ40" s="2206"/>
      <c r="AK40" s="1972"/>
      <c r="AL40" s="2208"/>
      <c r="AM40" s="1972"/>
      <c r="AN40" s="1251" t="s">
        <v>902</v>
      </c>
      <c r="AO40" s="1972"/>
      <c r="AP40" s="1251" t="s">
        <v>903</v>
      </c>
      <c r="AQ40" s="1972"/>
      <c r="AR40" s="1251" t="s">
        <v>902</v>
      </c>
      <c r="AS40" s="1972"/>
      <c r="AT40" s="1251" t="s">
        <v>903</v>
      </c>
      <c r="AU40" s="2200"/>
      <c r="AV40" s="2233"/>
      <c r="AW40" s="2200"/>
      <c r="AX40" s="1252" t="s">
        <v>302</v>
      </c>
      <c r="AY40" s="1972"/>
      <c r="AZ40" s="1253">
        <v>10</v>
      </c>
      <c r="BA40" s="1110"/>
      <c r="BB40" s="971"/>
    </row>
    <row r="42" spans="1:55" s="27" customFormat="1">
      <c r="A42" s="28"/>
      <c r="B42" s="77">
        <v>1</v>
      </c>
      <c r="C42" s="77">
        <v>2</v>
      </c>
      <c r="D42" s="77">
        <v>3</v>
      </c>
      <c r="E42" s="77">
        <v>4</v>
      </c>
      <c r="F42" s="77">
        <v>5</v>
      </c>
      <c r="G42" s="77">
        <v>6</v>
      </c>
      <c r="H42" s="77">
        <v>7</v>
      </c>
      <c r="I42" s="77">
        <v>8</v>
      </c>
      <c r="J42" s="77">
        <v>9</v>
      </c>
      <c r="K42" s="77">
        <v>10</v>
      </c>
      <c r="L42" s="77">
        <v>11</v>
      </c>
      <c r="M42" s="77">
        <v>12</v>
      </c>
      <c r="N42" s="77">
        <v>13</v>
      </c>
      <c r="O42" s="77">
        <v>14</v>
      </c>
      <c r="P42" s="77">
        <v>15</v>
      </c>
      <c r="Q42" s="77">
        <v>16</v>
      </c>
      <c r="R42" s="77">
        <v>17</v>
      </c>
      <c r="S42" s="77">
        <v>18</v>
      </c>
      <c r="T42" s="77">
        <v>19</v>
      </c>
      <c r="U42" s="77">
        <v>20</v>
      </c>
      <c r="V42" s="77">
        <v>21</v>
      </c>
      <c r="W42" s="77">
        <v>22</v>
      </c>
      <c r="X42" s="77">
        <v>23</v>
      </c>
      <c r="Y42" s="77">
        <v>24</v>
      </c>
      <c r="Z42" s="77">
        <v>25</v>
      </c>
      <c r="AA42" s="77">
        <v>26</v>
      </c>
      <c r="AB42" s="77">
        <v>27</v>
      </c>
      <c r="AC42" s="77">
        <v>28</v>
      </c>
      <c r="AD42" s="77">
        <v>29</v>
      </c>
      <c r="AE42" s="77">
        <v>30</v>
      </c>
      <c r="AF42" s="77">
        <v>31</v>
      </c>
      <c r="AG42" s="77">
        <v>32</v>
      </c>
      <c r="AH42" s="77">
        <v>33</v>
      </c>
      <c r="AI42" s="77">
        <v>34</v>
      </c>
      <c r="AJ42" s="77">
        <v>35</v>
      </c>
      <c r="AK42" s="77">
        <v>36</v>
      </c>
      <c r="AL42" s="77">
        <v>37</v>
      </c>
      <c r="AM42" s="77">
        <v>38</v>
      </c>
      <c r="AN42" s="77">
        <v>39</v>
      </c>
      <c r="AO42" s="77">
        <v>40</v>
      </c>
      <c r="AP42" s="77">
        <v>41</v>
      </c>
      <c r="AQ42" s="77">
        <v>42</v>
      </c>
      <c r="AR42" s="77">
        <v>43</v>
      </c>
      <c r="AS42" s="77">
        <v>44</v>
      </c>
      <c r="AT42" s="77">
        <v>45</v>
      </c>
      <c r="AU42" s="77">
        <v>46</v>
      </c>
      <c r="AV42" s="77">
        <v>47</v>
      </c>
      <c r="AW42" s="77">
        <v>48</v>
      </c>
      <c r="AX42" s="77">
        <v>49</v>
      </c>
      <c r="AY42" s="77">
        <v>50</v>
      </c>
      <c r="AZ42" s="77">
        <v>51</v>
      </c>
      <c r="BA42" s="77">
        <v>52</v>
      </c>
      <c r="BB42" s="77">
        <v>53</v>
      </c>
      <c r="BC42" s="77"/>
    </row>
    <row r="43" spans="1:55" s="27" customFormat="1">
      <c r="A43" s="2211" t="s">
        <v>187</v>
      </c>
      <c r="B43" s="77">
        <v>1</v>
      </c>
      <c r="C43" s="28"/>
      <c r="D43" s="28" t="str">
        <f>D7</f>
        <v>４歳以上児</v>
      </c>
      <c r="E43" s="28">
        <f t="shared" ref="E43:BA43" si="0">E7</f>
        <v>0</v>
      </c>
      <c r="F43" s="28">
        <f t="shared" si="0"/>
        <v>101830</v>
      </c>
      <c r="G43" s="28">
        <f t="shared" si="0"/>
        <v>108900</v>
      </c>
      <c r="H43" s="28" t="str">
        <f t="shared" si="0"/>
        <v>＋</v>
      </c>
      <c r="I43" s="28">
        <f t="shared" si="0"/>
        <v>990</v>
      </c>
      <c r="J43" s="28">
        <f t="shared" si="0"/>
        <v>1070</v>
      </c>
      <c r="K43" s="28" t="str">
        <f t="shared" si="0"/>
        <v>×加算率</v>
      </c>
      <c r="L43" s="28" t="str">
        <f t="shared" si="0"/>
        <v>＋</v>
      </c>
      <c r="M43" s="28">
        <f t="shared" si="0"/>
        <v>6500</v>
      </c>
      <c r="N43" s="28" t="str">
        <f t="shared" si="0"/>
        <v>＋</v>
      </c>
      <c r="O43" s="28">
        <f t="shared" si="0"/>
        <v>60</v>
      </c>
      <c r="P43" s="28" t="str">
        <f t="shared" si="0"/>
        <v>＋</v>
      </c>
      <c r="Q43" s="28">
        <f t="shared" si="0"/>
        <v>7070</v>
      </c>
      <c r="R43" s="28">
        <f t="shared" si="0"/>
        <v>70</v>
      </c>
      <c r="S43" s="28"/>
      <c r="T43" s="28"/>
      <c r="U43" s="28"/>
      <c r="V43" s="28"/>
      <c r="W43" s="28">
        <f t="shared" si="0"/>
        <v>0</v>
      </c>
      <c r="X43" s="28" t="str">
        <f t="shared" si="0"/>
        <v/>
      </c>
      <c r="Y43" s="28">
        <f t="shared" si="0"/>
        <v>0</v>
      </c>
      <c r="Z43" s="28">
        <f t="shared" si="0"/>
        <v>0</v>
      </c>
      <c r="AA43" s="28" t="str">
        <f t="shared" si="0"/>
        <v>＋</v>
      </c>
      <c r="AB43" s="28">
        <f>AB7</f>
        <v>5780</v>
      </c>
      <c r="AC43" s="28" t="str">
        <f>AC7</f>
        <v>＋</v>
      </c>
      <c r="AD43" s="28">
        <f>AD7</f>
        <v>50</v>
      </c>
      <c r="AE43" s="28" t="str">
        <f>AE7</f>
        <v>＋</v>
      </c>
      <c r="AF43" s="28">
        <f t="shared" si="0"/>
        <v>28290</v>
      </c>
      <c r="AG43" s="28" t="str">
        <f t="shared" si="0"/>
        <v>＋</v>
      </c>
      <c r="AH43" s="28">
        <f t="shared" si="0"/>
        <v>280</v>
      </c>
      <c r="AI43" s="28" t="str">
        <f t="shared" si="0"/>
        <v>＋</v>
      </c>
      <c r="AJ43" s="28">
        <f t="shared" si="0"/>
        <v>3640</v>
      </c>
      <c r="AK43" s="28" t="str">
        <f t="shared" si="0"/>
        <v>＋</v>
      </c>
      <c r="AL43" s="28">
        <f t="shared" si="0"/>
        <v>30</v>
      </c>
      <c r="AM43" s="28" t="str">
        <f t="shared" si="0"/>
        <v>＋</v>
      </c>
      <c r="AN43" s="28">
        <f t="shared" si="0"/>
        <v>2730</v>
      </c>
      <c r="AO43" s="28" t="str">
        <f t="shared" si="0"/>
        <v>＋</v>
      </c>
      <c r="AP43" s="28">
        <f t="shared" si="0"/>
        <v>20</v>
      </c>
      <c r="AQ43" s="28" t="str">
        <f t="shared" si="0"/>
        <v>＋</v>
      </c>
      <c r="AR43" s="28">
        <f t="shared" si="0"/>
        <v>480</v>
      </c>
      <c r="AS43" s="28" t="str">
        <f t="shared" si="0"/>
        <v>＋</v>
      </c>
      <c r="AT43" s="28">
        <f t="shared" si="0"/>
        <v>4</v>
      </c>
      <c r="AU43" s="28" t="str">
        <f t="shared" si="0"/>
        <v>＋</v>
      </c>
      <c r="AV43" s="28">
        <f t="shared" si="0"/>
        <v>27330</v>
      </c>
      <c r="AW43" s="28"/>
      <c r="AX43" s="28"/>
      <c r="AY43" s="28" t="str">
        <f t="shared" si="0"/>
        <v>－</v>
      </c>
      <c r="AZ43" s="28">
        <f>AZ8</f>
        <v>280</v>
      </c>
      <c r="BA43" s="28">
        <f t="shared" si="0"/>
        <v>0</v>
      </c>
      <c r="BB43" s="228">
        <f>BB8</f>
        <v>0</v>
      </c>
      <c r="BC43" s="32"/>
    </row>
    <row r="44" spans="1:55" s="27" customFormat="1">
      <c r="A44" s="2211"/>
      <c r="B44" s="77">
        <v>16</v>
      </c>
      <c r="C44" s="28"/>
      <c r="D44" s="28" t="str">
        <f>D9</f>
        <v>４歳以上児</v>
      </c>
      <c r="E44" s="28">
        <f t="shared" ref="E44:BA44" si="1">E9</f>
        <v>0</v>
      </c>
      <c r="F44" s="28">
        <f t="shared" si="1"/>
        <v>62890</v>
      </c>
      <c r="G44" s="28">
        <f t="shared" si="1"/>
        <v>69960</v>
      </c>
      <c r="H44" s="28" t="str">
        <f t="shared" si="1"/>
        <v>＋</v>
      </c>
      <c r="I44" s="28">
        <f t="shared" si="1"/>
        <v>610</v>
      </c>
      <c r="J44" s="28">
        <f t="shared" si="1"/>
        <v>680</v>
      </c>
      <c r="K44" s="28" t="str">
        <f t="shared" si="1"/>
        <v>×加算率</v>
      </c>
      <c r="L44" s="28" t="str">
        <f t="shared" si="1"/>
        <v>＋</v>
      </c>
      <c r="M44" s="28">
        <f t="shared" si="1"/>
        <v>3900</v>
      </c>
      <c r="N44" s="28" t="str">
        <f t="shared" si="1"/>
        <v>＋</v>
      </c>
      <c r="O44" s="28">
        <f t="shared" si="1"/>
        <v>30</v>
      </c>
      <c r="P44" s="28" t="str">
        <f t="shared" si="1"/>
        <v>＋</v>
      </c>
      <c r="Q44" s="28">
        <f t="shared" si="1"/>
        <v>7070</v>
      </c>
      <c r="R44" s="28">
        <f t="shared" si="1"/>
        <v>70</v>
      </c>
      <c r="S44" s="28"/>
      <c r="T44" s="28"/>
      <c r="U44" s="28"/>
      <c r="V44" s="28"/>
      <c r="W44" s="28">
        <f t="shared" si="1"/>
        <v>0</v>
      </c>
      <c r="X44" s="28" t="str">
        <f t="shared" si="1"/>
        <v/>
      </c>
      <c r="Y44" s="28">
        <f t="shared" si="1"/>
        <v>0</v>
      </c>
      <c r="Z44" s="28">
        <f t="shared" si="1"/>
        <v>0</v>
      </c>
      <c r="AA44" s="28" t="str">
        <f t="shared" si="1"/>
        <v>＋</v>
      </c>
      <c r="AB44" s="28">
        <f>AB9</f>
        <v>3470</v>
      </c>
      <c r="AC44" s="28" t="str">
        <f>AC9</f>
        <v>＋</v>
      </c>
      <c r="AD44" s="28">
        <f>AD9</f>
        <v>30</v>
      </c>
      <c r="AE44" s="28" t="str">
        <f>AE9</f>
        <v>＋</v>
      </c>
      <c r="AF44" s="28">
        <f t="shared" si="1"/>
        <v>16970</v>
      </c>
      <c r="AG44" s="28" t="str">
        <f t="shared" si="1"/>
        <v>＋</v>
      </c>
      <c r="AH44" s="28">
        <f t="shared" si="1"/>
        <v>160</v>
      </c>
      <c r="AI44" s="28" t="str">
        <f t="shared" si="1"/>
        <v>＋</v>
      </c>
      <c r="AJ44" s="28">
        <f t="shared" si="1"/>
        <v>2490</v>
      </c>
      <c r="AK44" s="28" t="str">
        <f t="shared" si="1"/>
        <v>＋</v>
      </c>
      <c r="AL44" s="28">
        <f t="shared" si="1"/>
        <v>20</v>
      </c>
      <c r="AM44" s="28" t="str">
        <f t="shared" si="1"/>
        <v>＋</v>
      </c>
      <c r="AN44" s="28">
        <f t="shared" si="1"/>
        <v>1630</v>
      </c>
      <c r="AO44" s="28" t="str">
        <f t="shared" si="1"/>
        <v>＋</v>
      </c>
      <c r="AP44" s="28">
        <f t="shared" si="1"/>
        <v>10</v>
      </c>
      <c r="AQ44" s="28" t="str">
        <f t="shared" si="1"/>
        <v>＋</v>
      </c>
      <c r="AR44" s="28">
        <f t="shared" si="1"/>
        <v>290</v>
      </c>
      <c r="AS44" s="28" t="str">
        <f t="shared" si="1"/>
        <v>＋</v>
      </c>
      <c r="AT44" s="28">
        <f t="shared" si="1"/>
        <v>2</v>
      </c>
      <c r="AU44" s="28" t="str">
        <f t="shared" si="1"/>
        <v>＋</v>
      </c>
      <c r="AV44" s="28">
        <f t="shared" si="1"/>
        <v>16800</v>
      </c>
      <c r="AW44" s="28"/>
      <c r="AX44" s="28"/>
      <c r="AY44" s="28" t="str">
        <f t="shared" si="1"/>
        <v>－</v>
      </c>
      <c r="AZ44" s="28">
        <f>AZ10</f>
        <v>170</v>
      </c>
      <c r="BA44" s="28">
        <f t="shared" si="1"/>
        <v>0</v>
      </c>
      <c r="BB44" s="228">
        <f>BB10</f>
        <v>0</v>
      </c>
      <c r="BC44" s="32"/>
    </row>
    <row r="45" spans="1:55" s="27" customFormat="1">
      <c r="A45" s="2211"/>
      <c r="B45" s="77">
        <v>26</v>
      </c>
      <c r="C45" s="28"/>
      <c r="D45" s="28" t="str">
        <f>D11</f>
        <v>４歳以上児</v>
      </c>
      <c r="E45" s="28">
        <f t="shared" ref="E45:BA45" si="2">E11</f>
        <v>0</v>
      </c>
      <c r="F45" s="28">
        <f t="shared" si="2"/>
        <v>46200</v>
      </c>
      <c r="G45" s="28">
        <f t="shared" si="2"/>
        <v>53270</v>
      </c>
      <c r="H45" s="28" t="str">
        <f t="shared" si="2"/>
        <v>＋</v>
      </c>
      <c r="I45" s="28">
        <f t="shared" si="2"/>
        <v>440</v>
      </c>
      <c r="J45" s="28">
        <f t="shared" si="2"/>
        <v>510</v>
      </c>
      <c r="K45" s="28" t="str">
        <f t="shared" si="2"/>
        <v>×加算率</v>
      </c>
      <c r="L45" s="28" t="str">
        <f t="shared" si="2"/>
        <v>＋</v>
      </c>
      <c r="M45" s="28">
        <f t="shared" si="2"/>
        <v>2780</v>
      </c>
      <c r="N45" s="28" t="str">
        <f t="shared" si="2"/>
        <v>＋</v>
      </c>
      <c r="O45" s="28">
        <f t="shared" si="2"/>
        <v>20</v>
      </c>
      <c r="P45" s="28" t="str">
        <f t="shared" si="2"/>
        <v>＋</v>
      </c>
      <c r="Q45" s="28">
        <f t="shared" si="2"/>
        <v>7070</v>
      </c>
      <c r="R45" s="28">
        <f t="shared" si="2"/>
        <v>70</v>
      </c>
      <c r="S45" s="28"/>
      <c r="T45" s="28"/>
      <c r="U45" s="28"/>
      <c r="V45" s="28"/>
      <c r="W45" s="28">
        <f t="shared" si="2"/>
        <v>0</v>
      </c>
      <c r="X45" s="28" t="str">
        <f t="shared" si="2"/>
        <v/>
      </c>
      <c r="Y45" s="28">
        <f t="shared" si="2"/>
        <v>0</v>
      </c>
      <c r="Z45" s="28">
        <f t="shared" si="2"/>
        <v>0</v>
      </c>
      <c r="AA45" s="28" t="str">
        <f t="shared" si="2"/>
        <v>＋</v>
      </c>
      <c r="AB45" s="28">
        <f>AB11</f>
        <v>2480</v>
      </c>
      <c r="AC45" s="28" t="str">
        <f>AC11</f>
        <v>＋</v>
      </c>
      <c r="AD45" s="28">
        <f>AD11</f>
        <v>20</v>
      </c>
      <c r="AE45" s="28" t="str">
        <f>AE11</f>
        <v>＋</v>
      </c>
      <c r="AF45" s="28">
        <f t="shared" si="2"/>
        <v>12120</v>
      </c>
      <c r="AG45" s="28" t="str">
        <f t="shared" si="2"/>
        <v>＋</v>
      </c>
      <c r="AH45" s="28">
        <f t="shared" si="2"/>
        <v>120</v>
      </c>
      <c r="AI45" s="28" t="str">
        <f t="shared" si="2"/>
        <v>＋</v>
      </c>
      <c r="AJ45" s="28">
        <f t="shared" si="2"/>
        <v>2000</v>
      </c>
      <c r="AK45" s="28" t="str">
        <f t="shared" si="2"/>
        <v>＋</v>
      </c>
      <c r="AL45" s="28">
        <f t="shared" si="2"/>
        <v>20</v>
      </c>
      <c r="AM45" s="28" t="str">
        <f t="shared" si="2"/>
        <v>＋</v>
      </c>
      <c r="AN45" s="28">
        <f t="shared" si="2"/>
        <v>1170</v>
      </c>
      <c r="AO45" s="28" t="str">
        <f t="shared" si="2"/>
        <v>＋</v>
      </c>
      <c r="AP45" s="28">
        <f t="shared" si="2"/>
        <v>10</v>
      </c>
      <c r="AQ45" s="28" t="str">
        <f t="shared" si="2"/>
        <v>＋</v>
      </c>
      <c r="AR45" s="28">
        <f t="shared" si="2"/>
        <v>200</v>
      </c>
      <c r="AS45" s="28" t="str">
        <f t="shared" si="2"/>
        <v>＋</v>
      </c>
      <c r="AT45" s="28">
        <f t="shared" si="2"/>
        <v>2</v>
      </c>
      <c r="AU45" s="28" t="str">
        <f t="shared" si="2"/>
        <v>＋</v>
      </c>
      <c r="AV45" s="28">
        <f t="shared" si="2"/>
        <v>12280</v>
      </c>
      <c r="AW45" s="28"/>
      <c r="AX45" s="28"/>
      <c r="AY45" s="28" t="str">
        <f t="shared" si="2"/>
        <v>－</v>
      </c>
      <c r="AZ45" s="28">
        <f>AZ12</f>
        <v>120</v>
      </c>
      <c r="BA45" s="28">
        <f t="shared" si="2"/>
        <v>0</v>
      </c>
      <c r="BB45" s="228">
        <f>BB12</f>
        <v>0</v>
      </c>
      <c r="BC45" s="32"/>
    </row>
    <row r="46" spans="1:55" s="27" customFormat="1">
      <c r="A46" s="2211"/>
      <c r="B46" s="77">
        <v>36</v>
      </c>
      <c r="C46" s="28"/>
      <c r="D46" s="28" t="str">
        <f>D13</f>
        <v>４歳以上児</v>
      </c>
      <c r="E46" s="28">
        <f t="shared" ref="E46:BA46" si="3">E13</f>
        <v>0</v>
      </c>
      <c r="F46" s="28">
        <f t="shared" si="3"/>
        <v>46420</v>
      </c>
      <c r="G46" s="28">
        <f t="shared" si="3"/>
        <v>53490</v>
      </c>
      <c r="H46" s="28" t="str">
        <f t="shared" si="3"/>
        <v>＋</v>
      </c>
      <c r="I46" s="28">
        <f t="shared" si="3"/>
        <v>440</v>
      </c>
      <c r="J46" s="28">
        <f t="shared" si="3"/>
        <v>510</v>
      </c>
      <c r="K46" s="28" t="str">
        <f t="shared" si="3"/>
        <v>×加算率</v>
      </c>
      <c r="L46" s="28" t="str">
        <f t="shared" si="3"/>
        <v>＋</v>
      </c>
      <c r="M46" s="28">
        <f t="shared" si="3"/>
        <v>2160</v>
      </c>
      <c r="N46" s="28" t="str">
        <f t="shared" si="3"/>
        <v>＋</v>
      </c>
      <c r="O46" s="28">
        <f t="shared" si="3"/>
        <v>20</v>
      </c>
      <c r="P46" s="28" t="str">
        <f t="shared" si="3"/>
        <v>＋</v>
      </c>
      <c r="Q46" s="28">
        <f t="shared" si="3"/>
        <v>7070</v>
      </c>
      <c r="R46" s="28">
        <f t="shared" si="3"/>
        <v>70</v>
      </c>
      <c r="S46" s="28"/>
      <c r="T46" s="28"/>
      <c r="U46" s="28"/>
      <c r="V46" s="28"/>
      <c r="W46" s="28">
        <f t="shared" si="3"/>
        <v>0</v>
      </c>
      <c r="X46" s="28" t="str">
        <f t="shared" si="3"/>
        <v/>
      </c>
      <c r="Y46" s="28">
        <f t="shared" si="3"/>
        <v>0</v>
      </c>
      <c r="Z46" s="28">
        <f t="shared" si="3"/>
        <v>0</v>
      </c>
      <c r="AA46" s="28" t="str">
        <f t="shared" si="3"/>
        <v>＋</v>
      </c>
      <c r="AB46" s="28"/>
      <c r="AC46" s="28" t="str">
        <f>AC13</f>
        <v>＋</v>
      </c>
      <c r="AD46" s="28"/>
      <c r="AE46" s="28" t="str">
        <f>AE13</f>
        <v>＋</v>
      </c>
      <c r="AF46" s="28">
        <f t="shared" si="3"/>
        <v>9430</v>
      </c>
      <c r="AG46" s="28" t="str">
        <f t="shared" si="3"/>
        <v>＋</v>
      </c>
      <c r="AH46" s="28">
        <f t="shared" si="3"/>
        <v>90</v>
      </c>
      <c r="AI46" s="28" t="str">
        <f t="shared" si="3"/>
        <v>＋</v>
      </c>
      <c r="AJ46" s="28">
        <f t="shared" si="3"/>
        <v>1730</v>
      </c>
      <c r="AK46" s="28" t="str">
        <f t="shared" si="3"/>
        <v>＋</v>
      </c>
      <c r="AL46" s="28">
        <f t="shared" si="3"/>
        <v>10</v>
      </c>
      <c r="AM46" s="28" t="str">
        <f t="shared" si="3"/>
        <v>＋</v>
      </c>
      <c r="AN46" s="28">
        <f t="shared" si="3"/>
        <v>910</v>
      </c>
      <c r="AO46" s="28" t="str">
        <f t="shared" si="3"/>
        <v>＋</v>
      </c>
      <c r="AP46" s="28">
        <f t="shared" si="3"/>
        <v>9</v>
      </c>
      <c r="AQ46" s="28" t="str">
        <f t="shared" si="3"/>
        <v>＋</v>
      </c>
      <c r="AR46" s="28">
        <f t="shared" si="3"/>
        <v>160</v>
      </c>
      <c r="AS46" s="28" t="str">
        <f t="shared" si="3"/>
        <v>＋</v>
      </c>
      <c r="AT46" s="28">
        <f t="shared" si="3"/>
        <v>1</v>
      </c>
      <c r="AU46" s="28" t="str">
        <f t="shared" si="3"/>
        <v>＋</v>
      </c>
      <c r="AV46" s="28">
        <f t="shared" si="3"/>
        <v>9770</v>
      </c>
      <c r="AW46" s="28"/>
      <c r="AX46" s="28"/>
      <c r="AY46" s="28" t="str">
        <f t="shared" si="3"/>
        <v>－</v>
      </c>
      <c r="AZ46" s="28">
        <f>AZ14</f>
        <v>90</v>
      </c>
      <c r="BA46" s="28">
        <f t="shared" si="3"/>
        <v>0</v>
      </c>
      <c r="BB46" s="228">
        <f>BB14</f>
        <v>0</v>
      </c>
      <c r="BC46" s="32"/>
    </row>
    <row r="47" spans="1:55" s="27" customFormat="1">
      <c r="A47" s="2211"/>
      <c r="B47" s="77">
        <v>46</v>
      </c>
      <c r="C47" s="28"/>
      <c r="D47" s="28" t="str">
        <f>D15</f>
        <v>４歳以上児</v>
      </c>
      <c r="E47" s="28">
        <f t="shared" ref="E47:BA47" si="4">E15</f>
        <v>0</v>
      </c>
      <c r="F47" s="28">
        <f t="shared" si="4"/>
        <v>42970</v>
      </c>
      <c r="G47" s="28">
        <f t="shared" si="4"/>
        <v>50040</v>
      </c>
      <c r="H47" s="28" t="str">
        <f t="shared" si="4"/>
        <v>＋</v>
      </c>
      <c r="I47" s="28">
        <f t="shared" si="4"/>
        <v>410</v>
      </c>
      <c r="J47" s="28">
        <f t="shared" si="4"/>
        <v>480</v>
      </c>
      <c r="K47" s="28" t="str">
        <f t="shared" si="4"/>
        <v>×加算率</v>
      </c>
      <c r="L47" s="28" t="str">
        <f t="shared" si="4"/>
        <v>＋</v>
      </c>
      <c r="M47" s="28">
        <f t="shared" si="4"/>
        <v>1620</v>
      </c>
      <c r="N47" s="28" t="str">
        <f t="shared" si="4"/>
        <v>＋</v>
      </c>
      <c r="O47" s="28">
        <f t="shared" si="4"/>
        <v>10</v>
      </c>
      <c r="P47" s="28" t="str">
        <f t="shared" si="4"/>
        <v>＋</v>
      </c>
      <c r="Q47" s="28">
        <f t="shared" si="4"/>
        <v>7070</v>
      </c>
      <c r="R47" s="28">
        <f t="shared" si="4"/>
        <v>70</v>
      </c>
      <c r="S47" s="28"/>
      <c r="T47" s="28"/>
      <c r="U47" s="28"/>
      <c r="V47" s="28"/>
      <c r="W47" s="28">
        <f t="shared" si="4"/>
        <v>0</v>
      </c>
      <c r="X47" s="28" t="str">
        <f t="shared" si="4"/>
        <v/>
      </c>
      <c r="Y47" s="28">
        <f t="shared" si="4"/>
        <v>0</v>
      </c>
      <c r="Z47" s="28">
        <f t="shared" si="4"/>
        <v>0</v>
      </c>
      <c r="AA47" s="28" t="str">
        <f t="shared" si="4"/>
        <v>＋</v>
      </c>
      <c r="AB47" s="28"/>
      <c r="AC47" s="28" t="str">
        <f>AC15</f>
        <v>＋</v>
      </c>
      <c r="AD47" s="28"/>
      <c r="AE47" s="28" t="str">
        <f>AE15</f>
        <v>＋</v>
      </c>
      <c r="AF47" s="28">
        <f t="shared" si="4"/>
        <v>7070</v>
      </c>
      <c r="AG47" s="28" t="str">
        <f t="shared" si="4"/>
        <v>＋</v>
      </c>
      <c r="AH47" s="28">
        <f t="shared" si="4"/>
        <v>70</v>
      </c>
      <c r="AI47" s="28" t="str">
        <f t="shared" si="4"/>
        <v>＋</v>
      </c>
      <c r="AJ47" s="28">
        <f t="shared" si="4"/>
        <v>1300</v>
      </c>
      <c r="AK47" s="28" t="str">
        <f t="shared" si="4"/>
        <v>＋</v>
      </c>
      <c r="AL47" s="28">
        <f t="shared" si="4"/>
        <v>10</v>
      </c>
      <c r="AM47" s="28" t="str">
        <f t="shared" si="4"/>
        <v>＋</v>
      </c>
      <c r="AN47" s="28">
        <f t="shared" si="4"/>
        <v>680</v>
      </c>
      <c r="AO47" s="28" t="str">
        <f t="shared" si="4"/>
        <v>＋</v>
      </c>
      <c r="AP47" s="28">
        <f t="shared" si="4"/>
        <v>6</v>
      </c>
      <c r="AQ47" s="28" t="str">
        <f t="shared" si="4"/>
        <v>＋</v>
      </c>
      <c r="AR47" s="28">
        <f t="shared" si="4"/>
        <v>120</v>
      </c>
      <c r="AS47" s="28" t="str">
        <f t="shared" si="4"/>
        <v>＋</v>
      </c>
      <c r="AT47" s="28">
        <f t="shared" si="4"/>
        <v>1</v>
      </c>
      <c r="AU47" s="28" t="str">
        <f t="shared" si="4"/>
        <v>＋</v>
      </c>
      <c r="AV47" s="28">
        <f t="shared" si="4"/>
        <v>7500</v>
      </c>
      <c r="AW47" s="28"/>
      <c r="AX47" s="28"/>
      <c r="AY47" s="28" t="str">
        <f t="shared" si="4"/>
        <v>－</v>
      </c>
      <c r="AZ47" s="28">
        <f>AZ16</f>
        <v>70</v>
      </c>
      <c r="BA47" s="28">
        <f t="shared" si="4"/>
        <v>0</v>
      </c>
      <c r="BB47" s="228">
        <f>BB16</f>
        <v>0</v>
      </c>
      <c r="BC47" s="32"/>
    </row>
    <row r="48" spans="1:55" s="27" customFormat="1">
      <c r="A48" s="2211"/>
      <c r="B48" s="77">
        <v>61</v>
      </c>
      <c r="C48" s="28"/>
      <c r="D48" s="28" t="str">
        <f>D17</f>
        <v>４歳以上児</v>
      </c>
      <c r="E48" s="28">
        <f t="shared" ref="E48:BA48" si="5">E17</f>
        <v>0</v>
      </c>
      <c r="F48" s="28">
        <f t="shared" si="5"/>
        <v>38130</v>
      </c>
      <c r="G48" s="28">
        <f t="shared" si="5"/>
        <v>45200</v>
      </c>
      <c r="H48" s="28" t="str">
        <f t="shared" si="5"/>
        <v>＋</v>
      </c>
      <c r="I48" s="28">
        <f t="shared" si="5"/>
        <v>360</v>
      </c>
      <c r="J48" s="28">
        <f t="shared" si="5"/>
        <v>430</v>
      </c>
      <c r="K48" s="28" t="str">
        <f t="shared" si="5"/>
        <v>×加算率</v>
      </c>
      <c r="L48" s="28" t="str">
        <f t="shared" si="5"/>
        <v>＋</v>
      </c>
      <c r="M48" s="28">
        <f t="shared" si="5"/>
        <v>1300</v>
      </c>
      <c r="N48" s="28" t="str">
        <f t="shared" si="5"/>
        <v>＋</v>
      </c>
      <c r="O48" s="28">
        <f t="shared" si="5"/>
        <v>10</v>
      </c>
      <c r="P48" s="28" t="str">
        <f t="shared" si="5"/>
        <v>＋</v>
      </c>
      <c r="Q48" s="28">
        <f t="shared" si="5"/>
        <v>7070</v>
      </c>
      <c r="R48" s="28">
        <f t="shared" si="5"/>
        <v>70</v>
      </c>
      <c r="S48" s="28"/>
      <c r="T48" s="28"/>
      <c r="U48" s="28"/>
      <c r="V48" s="28"/>
      <c r="W48" s="28">
        <f t="shared" si="5"/>
        <v>0</v>
      </c>
      <c r="X48" s="28" t="str">
        <f t="shared" si="5"/>
        <v/>
      </c>
      <c r="Y48" s="28">
        <f t="shared" si="5"/>
        <v>0</v>
      </c>
      <c r="Z48" s="28">
        <f t="shared" si="5"/>
        <v>0</v>
      </c>
      <c r="AA48" s="28" t="str">
        <f t="shared" si="5"/>
        <v>＋</v>
      </c>
      <c r="AB48" s="28"/>
      <c r="AC48" s="28" t="str">
        <f>AC17</f>
        <v>＋</v>
      </c>
      <c r="AD48" s="28"/>
      <c r="AE48" s="28" t="str">
        <f>AE17</f>
        <v>＋</v>
      </c>
      <c r="AF48" s="28">
        <f t="shared" si="5"/>
        <v>5650</v>
      </c>
      <c r="AG48" s="28" t="str">
        <f t="shared" si="5"/>
        <v>＋</v>
      </c>
      <c r="AH48" s="28">
        <f t="shared" si="5"/>
        <v>50</v>
      </c>
      <c r="AI48" s="28" t="str">
        <f t="shared" si="5"/>
        <v>＋</v>
      </c>
      <c r="AJ48" s="28">
        <f t="shared" si="5"/>
        <v>1040</v>
      </c>
      <c r="AK48" s="28" t="str">
        <f t="shared" si="5"/>
        <v>＋</v>
      </c>
      <c r="AL48" s="28">
        <f t="shared" si="5"/>
        <v>10</v>
      </c>
      <c r="AM48" s="28" t="str">
        <f t="shared" si="5"/>
        <v>＋</v>
      </c>
      <c r="AN48" s="28">
        <f t="shared" si="5"/>
        <v>570</v>
      </c>
      <c r="AO48" s="28" t="str">
        <f t="shared" si="5"/>
        <v>＋</v>
      </c>
      <c r="AP48" s="28">
        <f t="shared" si="5"/>
        <v>5</v>
      </c>
      <c r="AQ48" s="28" t="str">
        <f t="shared" si="5"/>
        <v>＋</v>
      </c>
      <c r="AR48" s="28">
        <f t="shared" si="5"/>
        <v>100</v>
      </c>
      <c r="AS48" s="28" t="str">
        <f t="shared" si="5"/>
        <v>＋</v>
      </c>
      <c r="AT48" s="28">
        <f t="shared" si="5"/>
        <v>1</v>
      </c>
      <c r="AU48" s="28" t="str">
        <f t="shared" si="5"/>
        <v>＋</v>
      </c>
      <c r="AV48" s="28">
        <f t="shared" si="5"/>
        <v>6130</v>
      </c>
      <c r="AW48" s="28"/>
      <c r="AX48" s="28"/>
      <c r="AY48" s="28" t="str">
        <f t="shared" si="5"/>
        <v>－</v>
      </c>
      <c r="AZ48" s="28">
        <f>AZ18</f>
        <v>50</v>
      </c>
      <c r="BA48" s="28">
        <f t="shared" si="5"/>
        <v>0</v>
      </c>
      <c r="BB48" s="228">
        <f>BB18</f>
        <v>0</v>
      </c>
      <c r="BC48" s="32"/>
    </row>
    <row r="49" spans="1:55" s="27" customFormat="1">
      <c r="A49" s="2211"/>
      <c r="B49" s="77">
        <v>76</v>
      </c>
      <c r="C49" s="28"/>
      <c r="D49" s="28" t="str">
        <f>D19</f>
        <v>４歳以上児</v>
      </c>
      <c r="E49" s="28">
        <f t="shared" ref="E49:BA49" si="6">E19</f>
        <v>0</v>
      </c>
      <c r="F49" s="28">
        <f t="shared" si="6"/>
        <v>34870</v>
      </c>
      <c r="G49" s="28">
        <f t="shared" si="6"/>
        <v>41940</v>
      </c>
      <c r="H49" s="28" t="str">
        <f t="shared" si="6"/>
        <v>＋</v>
      </c>
      <c r="I49" s="28">
        <f t="shared" si="6"/>
        <v>330</v>
      </c>
      <c r="J49" s="28">
        <f t="shared" si="6"/>
        <v>400</v>
      </c>
      <c r="K49" s="28" t="str">
        <f t="shared" si="6"/>
        <v>×加算率</v>
      </c>
      <c r="L49" s="28" t="str">
        <f t="shared" si="6"/>
        <v>＋</v>
      </c>
      <c r="M49" s="28">
        <f t="shared" si="6"/>
        <v>1080</v>
      </c>
      <c r="N49" s="28" t="str">
        <f t="shared" si="6"/>
        <v>＋</v>
      </c>
      <c r="O49" s="28">
        <f t="shared" si="6"/>
        <v>10</v>
      </c>
      <c r="P49" s="28" t="str">
        <f t="shared" si="6"/>
        <v>＋</v>
      </c>
      <c r="Q49" s="28">
        <f t="shared" si="6"/>
        <v>7070</v>
      </c>
      <c r="R49" s="28">
        <f t="shared" si="6"/>
        <v>70</v>
      </c>
      <c r="S49" s="28"/>
      <c r="T49" s="28"/>
      <c r="U49" s="28"/>
      <c r="V49" s="28"/>
      <c r="W49" s="28">
        <f t="shared" si="6"/>
        <v>0</v>
      </c>
      <c r="X49" s="28" t="str">
        <f t="shared" si="6"/>
        <v/>
      </c>
      <c r="Y49" s="28">
        <f t="shared" si="6"/>
        <v>0</v>
      </c>
      <c r="Z49" s="28">
        <f t="shared" si="6"/>
        <v>0</v>
      </c>
      <c r="AA49" s="28" t="str">
        <f t="shared" si="6"/>
        <v>＋</v>
      </c>
      <c r="AB49" s="28"/>
      <c r="AC49" s="28" t="str">
        <f>AC19</f>
        <v>＋</v>
      </c>
      <c r="AD49" s="28"/>
      <c r="AE49" s="28" t="str">
        <f>AE19</f>
        <v>＋</v>
      </c>
      <c r="AF49" s="28">
        <f t="shared" si="6"/>
        <v>4710</v>
      </c>
      <c r="AG49" s="28" t="str">
        <f t="shared" si="6"/>
        <v>＋</v>
      </c>
      <c r="AH49" s="28">
        <f t="shared" si="6"/>
        <v>40</v>
      </c>
      <c r="AI49" s="28" t="str">
        <f t="shared" si="6"/>
        <v>＋</v>
      </c>
      <c r="AJ49" s="28">
        <f t="shared" si="6"/>
        <v>860</v>
      </c>
      <c r="AK49" s="28" t="str">
        <f t="shared" si="6"/>
        <v>＋</v>
      </c>
      <c r="AL49" s="28">
        <f t="shared" si="6"/>
        <v>8</v>
      </c>
      <c r="AM49" s="28" t="str">
        <f t="shared" si="6"/>
        <v>＋</v>
      </c>
      <c r="AN49" s="28">
        <f t="shared" si="6"/>
        <v>500</v>
      </c>
      <c r="AO49" s="28" t="str">
        <f t="shared" si="6"/>
        <v>＋</v>
      </c>
      <c r="AP49" s="28">
        <f t="shared" si="6"/>
        <v>5</v>
      </c>
      <c r="AQ49" s="28" t="str">
        <f t="shared" si="6"/>
        <v>＋</v>
      </c>
      <c r="AR49" s="28">
        <f t="shared" si="6"/>
        <v>80</v>
      </c>
      <c r="AS49" s="28" t="str">
        <f t="shared" si="6"/>
        <v>＋</v>
      </c>
      <c r="AT49" s="28">
        <f t="shared" si="6"/>
        <v>1</v>
      </c>
      <c r="AU49" s="28" t="str">
        <f t="shared" si="6"/>
        <v>＋</v>
      </c>
      <c r="AV49" s="28">
        <f t="shared" si="6"/>
        <v>5220</v>
      </c>
      <c r="AW49" s="28"/>
      <c r="AX49" s="28"/>
      <c r="AY49" s="28" t="str">
        <f t="shared" si="6"/>
        <v>－</v>
      </c>
      <c r="AZ49" s="28">
        <f>AZ20</f>
        <v>40</v>
      </c>
      <c r="BA49" s="28">
        <f t="shared" si="6"/>
        <v>0</v>
      </c>
      <c r="BB49" s="228">
        <f>BB20</f>
        <v>0</v>
      </c>
      <c r="BC49" s="32"/>
    </row>
    <row r="50" spans="1:55" s="27" customFormat="1">
      <c r="A50" s="2211"/>
      <c r="B50" s="77">
        <v>91</v>
      </c>
      <c r="C50" s="28"/>
      <c r="D50" s="28" t="str">
        <f>D21</f>
        <v>４歳以上児</v>
      </c>
      <c r="E50" s="28">
        <f t="shared" ref="E50:BA50" si="7">E21</f>
        <v>0</v>
      </c>
      <c r="F50" s="28">
        <f t="shared" si="7"/>
        <v>32540</v>
      </c>
      <c r="G50" s="28">
        <f t="shared" si="7"/>
        <v>39610</v>
      </c>
      <c r="H50" s="28" t="str">
        <f t="shared" si="7"/>
        <v>＋</v>
      </c>
      <c r="I50" s="28">
        <f t="shared" si="7"/>
        <v>300</v>
      </c>
      <c r="J50" s="28">
        <f t="shared" si="7"/>
        <v>370</v>
      </c>
      <c r="K50" s="28" t="str">
        <f t="shared" si="7"/>
        <v>×加算率</v>
      </c>
      <c r="L50" s="28" t="str">
        <f t="shared" si="7"/>
        <v>＋</v>
      </c>
      <c r="M50" s="28">
        <f t="shared" si="7"/>
        <v>920</v>
      </c>
      <c r="N50" s="28" t="str">
        <f t="shared" si="7"/>
        <v>＋</v>
      </c>
      <c r="O50" s="28">
        <f t="shared" si="7"/>
        <v>9</v>
      </c>
      <c r="P50" s="28" t="str">
        <f t="shared" si="7"/>
        <v>＋</v>
      </c>
      <c r="Q50" s="28">
        <f t="shared" si="7"/>
        <v>7070</v>
      </c>
      <c r="R50" s="28">
        <f t="shared" si="7"/>
        <v>70</v>
      </c>
      <c r="S50" s="28"/>
      <c r="T50" s="28"/>
      <c r="U50" s="28"/>
      <c r="V50" s="28"/>
      <c r="W50" s="28">
        <f t="shared" si="7"/>
        <v>0</v>
      </c>
      <c r="X50" s="28" t="str">
        <f t="shared" si="7"/>
        <v/>
      </c>
      <c r="Y50" s="28">
        <f t="shared" si="7"/>
        <v>0</v>
      </c>
      <c r="Z50" s="28">
        <f t="shared" si="7"/>
        <v>0</v>
      </c>
      <c r="AA50" s="28" t="str">
        <f t="shared" si="7"/>
        <v>＋</v>
      </c>
      <c r="AB50" s="28"/>
      <c r="AC50" s="28" t="str">
        <f>AC21</f>
        <v>＋</v>
      </c>
      <c r="AD50" s="28"/>
      <c r="AE50" s="28" t="str">
        <f>AE21</f>
        <v>＋</v>
      </c>
      <c r="AF50" s="28">
        <f t="shared" si="7"/>
        <v>4040</v>
      </c>
      <c r="AG50" s="28" t="str">
        <f t="shared" si="7"/>
        <v>＋</v>
      </c>
      <c r="AH50" s="28">
        <f t="shared" si="7"/>
        <v>40</v>
      </c>
      <c r="AI50" s="28" t="str">
        <f t="shared" si="7"/>
        <v>＋</v>
      </c>
      <c r="AJ50" s="28">
        <f t="shared" si="7"/>
        <v>740</v>
      </c>
      <c r="AK50" s="28" t="str">
        <f t="shared" si="7"/>
        <v>＋</v>
      </c>
      <c r="AL50" s="28">
        <f t="shared" si="7"/>
        <v>7</v>
      </c>
      <c r="AM50" s="28" t="str">
        <f t="shared" si="7"/>
        <v>＋</v>
      </c>
      <c r="AN50" s="28">
        <f t="shared" si="7"/>
        <v>440</v>
      </c>
      <c r="AO50" s="28" t="str">
        <f t="shared" si="7"/>
        <v>＋</v>
      </c>
      <c r="AP50" s="28">
        <f t="shared" si="7"/>
        <v>4</v>
      </c>
      <c r="AQ50" s="28" t="str">
        <f t="shared" si="7"/>
        <v>＋</v>
      </c>
      <c r="AR50" s="28">
        <f t="shared" si="7"/>
        <v>80</v>
      </c>
      <c r="AS50" s="28" t="str">
        <f t="shared" si="7"/>
        <v>＋</v>
      </c>
      <c r="AT50" s="28">
        <f t="shared" si="7"/>
        <v>1</v>
      </c>
      <c r="AU50" s="28" t="str">
        <f t="shared" si="7"/>
        <v>＋</v>
      </c>
      <c r="AV50" s="28">
        <f t="shared" si="7"/>
        <v>4660</v>
      </c>
      <c r="AW50" s="28"/>
      <c r="AX50" s="28"/>
      <c r="AY50" s="28" t="str">
        <f t="shared" si="7"/>
        <v>－</v>
      </c>
      <c r="AZ50" s="28">
        <f>AZ22</f>
        <v>40</v>
      </c>
      <c r="BA50" s="28">
        <f t="shared" si="7"/>
        <v>0</v>
      </c>
      <c r="BB50" s="228">
        <f>BB22</f>
        <v>0</v>
      </c>
      <c r="BC50" s="32"/>
    </row>
    <row r="51" spans="1:55" s="27" customFormat="1">
      <c r="A51" s="2211"/>
      <c r="B51" s="77">
        <v>106</v>
      </c>
      <c r="C51" s="28"/>
      <c r="D51" s="28" t="str">
        <f>D23</f>
        <v>４歳以上児</v>
      </c>
      <c r="E51" s="28">
        <f t="shared" ref="E51:BA51" si="8">E23</f>
        <v>0</v>
      </c>
      <c r="F51" s="28">
        <f t="shared" si="8"/>
        <v>30820</v>
      </c>
      <c r="G51" s="28">
        <f t="shared" si="8"/>
        <v>37890</v>
      </c>
      <c r="H51" s="28" t="str">
        <f t="shared" si="8"/>
        <v>＋</v>
      </c>
      <c r="I51" s="28">
        <f t="shared" si="8"/>
        <v>280</v>
      </c>
      <c r="J51" s="28">
        <f t="shared" si="8"/>
        <v>360</v>
      </c>
      <c r="K51" s="28" t="str">
        <f t="shared" si="8"/>
        <v>×加算率</v>
      </c>
      <c r="L51" s="28" t="str">
        <f t="shared" si="8"/>
        <v>＋</v>
      </c>
      <c r="M51" s="28">
        <f t="shared" si="8"/>
        <v>810</v>
      </c>
      <c r="N51" s="28" t="str">
        <f t="shared" si="8"/>
        <v>＋</v>
      </c>
      <c r="O51" s="28">
        <f t="shared" si="8"/>
        <v>8</v>
      </c>
      <c r="P51" s="28" t="str">
        <f t="shared" si="8"/>
        <v>＋</v>
      </c>
      <c r="Q51" s="28">
        <f t="shared" si="8"/>
        <v>7070</v>
      </c>
      <c r="R51" s="28">
        <f t="shared" si="8"/>
        <v>70</v>
      </c>
      <c r="S51" s="28"/>
      <c r="T51" s="28"/>
      <c r="U51" s="28"/>
      <c r="V51" s="28"/>
      <c r="W51" s="28">
        <f t="shared" si="8"/>
        <v>0</v>
      </c>
      <c r="X51" s="28" t="str">
        <f t="shared" si="8"/>
        <v/>
      </c>
      <c r="Y51" s="28">
        <f t="shared" si="8"/>
        <v>0</v>
      </c>
      <c r="Z51" s="28">
        <f t="shared" si="8"/>
        <v>0</v>
      </c>
      <c r="AA51" s="28" t="str">
        <f t="shared" si="8"/>
        <v>＋</v>
      </c>
      <c r="AB51" s="28"/>
      <c r="AC51" s="28" t="str">
        <f>AC23</f>
        <v>＋</v>
      </c>
      <c r="AD51" s="28"/>
      <c r="AE51" s="28" t="str">
        <f>AE23</f>
        <v>＋</v>
      </c>
      <c r="AF51" s="28">
        <f t="shared" si="8"/>
        <v>3530</v>
      </c>
      <c r="AG51" s="28" t="str">
        <f t="shared" si="8"/>
        <v>＋</v>
      </c>
      <c r="AH51" s="28">
        <f t="shared" si="8"/>
        <v>30</v>
      </c>
      <c r="AI51" s="28" t="str">
        <f t="shared" si="8"/>
        <v>＋</v>
      </c>
      <c r="AJ51" s="28">
        <f t="shared" si="8"/>
        <v>650</v>
      </c>
      <c r="AK51" s="28" t="str">
        <f t="shared" si="8"/>
        <v>＋</v>
      </c>
      <c r="AL51" s="28">
        <f t="shared" si="8"/>
        <v>6</v>
      </c>
      <c r="AM51" s="28" t="str">
        <f t="shared" si="8"/>
        <v>＋</v>
      </c>
      <c r="AN51" s="28">
        <f t="shared" si="8"/>
        <v>410</v>
      </c>
      <c r="AO51" s="28" t="str">
        <f t="shared" si="8"/>
        <v>＋</v>
      </c>
      <c r="AP51" s="28">
        <f t="shared" si="8"/>
        <v>4</v>
      </c>
      <c r="AQ51" s="28" t="str">
        <f t="shared" si="8"/>
        <v>＋</v>
      </c>
      <c r="AR51" s="28">
        <f t="shared" si="8"/>
        <v>70</v>
      </c>
      <c r="AS51" s="28" t="str">
        <f t="shared" si="8"/>
        <v>＋</v>
      </c>
      <c r="AT51" s="28">
        <f t="shared" si="8"/>
        <v>1</v>
      </c>
      <c r="AU51" s="28" t="str">
        <f t="shared" si="8"/>
        <v>＋</v>
      </c>
      <c r="AV51" s="28">
        <f t="shared" si="8"/>
        <v>4250</v>
      </c>
      <c r="AW51" s="28"/>
      <c r="AX51" s="28"/>
      <c r="AY51" s="28" t="str">
        <f t="shared" si="8"/>
        <v>－</v>
      </c>
      <c r="AZ51" s="28">
        <f>AZ24</f>
        <v>30</v>
      </c>
      <c r="BA51" s="28">
        <f t="shared" si="8"/>
        <v>0</v>
      </c>
      <c r="BB51" s="228">
        <f>BB24</f>
        <v>0</v>
      </c>
      <c r="BC51" s="32"/>
    </row>
    <row r="52" spans="1:55" s="27" customFormat="1">
      <c r="A52" s="2211"/>
      <c r="B52" s="77">
        <v>121</v>
      </c>
      <c r="C52" s="28"/>
      <c r="D52" s="28" t="str">
        <f>D25</f>
        <v>４歳以上児</v>
      </c>
      <c r="E52" s="28">
        <f t="shared" ref="E52:BA52" si="9">E25</f>
        <v>0</v>
      </c>
      <c r="F52" s="28">
        <f t="shared" si="9"/>
        <v>29450</v>
      </c>
      <c r="G52" s="28">
        <f t="shared" si="9"/>
        <v>36520</v>
      </c>
      <c r="H52" s="28" t="str">
        <f t="shared" si="9"/>
        <v>＋</v>
      </c>
      <c r="I52" s="28">
        <f t="shared" si="9"/>
        <v>270</v>
      </c>
      <c r="J52" s="28">
        <f t="shared" si="9"/>
        <v>340</v>
      </c>
      <c r="K52" s="28" t="str">
        <f t="shared" si="9"/>
        <v>×加算率</v>
      </c>
      <c r="L52" s="28" t="str">
        <f t="shared" si="9"/>
        <v>＋</v>
      </c>
      <c r="M52" s="28">
        <f t="shared" si="9"/>
        <v>720</v>
      </c>
      <c r="N52" s="28" t="str">
        <f t="shared" si="9"/>
        <v>＋</v>
      </c>
      <c r="O52" s="28">
        <f t="shared" si="9"/>
        <v>7</v>
      </c>
      <c r="P52" s="28" t="str">
        <f t="shared" si="9"/>
        <v>＋</v>
      </c>
      <c r="Q52" s="28">
        <f t="shared" si="9"/>
        <v>7070</v>
      </c>
      <c r="R52" s="28">
        <f t="shared" si="9"/>
        <v>70</v>
      </c>
      <c r="S52" s="28"/>
      <c r="T52" s="28"/>
      <c r="U52" s="28"/>
      <c r="V52" s="28"/>
      <c r="W52" s="28">
        <f t="shared" si="9"/>
        <v>0</v>
      </c>
      <c r="X52" s="28" t="str">
        <f t="shared" si="9"/>
        <v/>
      </c>
      <c r="Y52" s="28">
        <f t="shared" si="9"/>
        <v>0</v>
      </c>
      <c r="Z52" s="28">
        <f t="shared" si="9"/>
        <v>0</v>
      </c>
      <c r="AA52" s="28" t="str">
        <f t="shared" si="9"/>
        <v>＋</v>
      </c>
      <c r="AB52" s="28">
        <f>AB25</f>
        <v>640</v>
      </c>
      <c r="AC52" s="28" t="str">
        <f>AC25</f>
        <v>＋</v>
      </c>
      <c r="AD52" s="28">
        <f>AD25</f>
        <v>6</v>
      </c>
      <c r="AE52" s="28" t="str">
        <f>AE25</f>
        <v>＋</v>
      </c>
      <c r="AF52" s="28">
        <f t="shared" si="9"/>
        <v>3140</v>
      </c>
      <c r="AG52" s="28" t="str">
        <f t="shared" si="9"/>
        <v>＋</v>
      </c>
      <c r="AH52" s="28">
        <f t="shared" si="9"/>
        <v>30</v>
      </c>
      <c r="AI52" s="28" t="str">
        <f t="shared" si="9"/>
        <v>＋</v>
      </c>
      <c r="AJ52" s="28">
        <f t="shared" si="9"/>
        <v>570</v>
      </c>
      <c r="AK52" s="28" t="str">
        <f t="shared" si="9"/>
        <v>＋</v>
      </c>
      <c r="AL52" s="28">
        <f t="shared" si="9"/>
        <v>5</v>
      </c>
      <c r="AM52" s="28" t="str">
        <f t="shared" si="9"/>
        <v>＋</v>
      </c>
      <c r="AN52" s="28">
        <f t="shared" si="9"/>
        <v>370</v>
      </c>
      <c r="AO52" s="28" t="str">
        <f t="shared" si="9"/>
        <v>＋</v>
      </c>
      <c r="AP52" s="28">
        <f t="shared" si="9"/>
        <v>3</v>
      </c>
      <c r="AQ52" s="28" t="str">
        <f t="shared" si="9"/>
        <v>＋</v>
      </c>
      <c r="AR52" s="28">
        <f t="shared" si="9"/>
        <v>60</v>
      </c>
      <c r="AS52" s="28" t="str">
        <f t="shared" si="9"/>
        <v>＋</v>
      </c>
      <c r="AT52" s="28">
        <f t="shared" si="9"/>
        <v>1</v>
      </c>
      <c r="AU52" s="28" t="str">
        <f t="shared" si="9"/>
        <v>＋</v>
      </c>
      <c r="AV52" s="28">
        <f t="shared" si="9"/>
        <v>3920</v>
      </c>
      <c r="AW52" s="28"/>
      <c r="AX52" s="28"/>
      <c r="AY52" s="28" t="str">
        <f t="shared" si="9"/>
        <v>－</v>
      </c>
      <c r="AZ52" s="28">
        <f>AZ26</f>
        <v>30</v>
      </c>
      <c r="BA52" s="28">
        <f t="shared" si="9"/>
        <v>0</v>
      </c>
      <c r="BB52" s="228">
        <f>BB26</f>
        <v>0</v>
      </c>
      <c r="BC52" s="32"/>
    </row>
    <row r="53" spans="1:55" s="27" customFormat="1">
      <c r="A53" s="2211"/>
      <c r="B53" s="77">
        <v>136</v>
      </c>
      <c r="C53" s="28"/>
      <c r="D53" s="28" t="str">
        <f>D27</f>
        <v>４歳以上児</v>
      </c>
      <c r="E53" s="28">
        <f t="shared" ref="E53:BA53" si="10">E27</f>
        <v>0</v>
      </c>
      <c r="F53" s="28">
        <f t="shared" si="10"/>
        <v>28380</v>
      </c>
      <c r="G53" s="28">
        <f t="shared" si="10"/>
        <v>35450</v>
      </c>
      <c r="H53" s="28" t="str">
        <f t="shared" si="10"/>
        <v>＋</v>
      </c>
      <c r="I53" s="28">
        <f t="shared" si="10"/>
        <v>260</v>
      </c>
      <c r="J53" s="28">
        <f t="shared" si="10"/>
        <v>330</v>
      </c>
      <c r="K53" s="28" t="str">
        <f t="shared" si="10"/>
        <v>×加算率</v>
      </c>
      <c r="L53" s="28" t="str">
        <f t="shared" si="10"/>
        <v>＋</v>
      </c>
      <c r="M53" s="28">
        <f t="shared" si="10"/>
        <v>650</v>
      </c>
      <c r="N53" s="28" t="str">
        <f t="shared" si="10"/>
        <v>＋</v>
      </c>
      <c r="O53" s="28">
        <f t="shared" si="10"/>
        <v>6</v>
      </c>
      <c r="P53" s="28" t="str">
        <f t="shared" si="10"/>
        <v>＋</v>
      </c>
      <c r="Q53" s="28">
        <f t="shared" si="10"/>
        <v>7070</v>
      </c>
      <c r="R53" s="28">
        <f t="shared" si="10"/>
        <v>70</v>
      </c>
      <c r="S53" s="28"/>
      <c r="T53" s="28"/>
      <c r="U53" s="28"/>
      <c r="V53" s="28"/>
      <c r="W53" s="28">
        <f t="shared" si="10"/>
        <v>0</v>
      </c>
      <c r="X53" s="28" t="str">
        <f t="shared" si="10"/>
        <v/>
      </c>
      <c r="Y53" s="28">
        <f t="shared" si="10"/>
        <v>0</v>
      </c>
      <c r="Z53" s="28">
        <f t="shared" si="10"/>
        <v>0</v>
      </c>
      <c r="AA53" s="28" t="str">
        <f t="shared" si="10"/>
        <v>＋</v>
      </c>
      <c r="AB53" s="28">
        <f>AB27</f>
        <v>570</v>
      </c>
      <c r="AC53" s="28" t="str">
        <f>AC27</f>
        <v>＋</v>
      </c>
      <c r="AD53" s="28">
        <f>AD27</f>
        <v>5</v>
      </c>
      <c r="AE53" s="28" t="str">
        <f>AE27</f>
        <v>＋</v>
      </c>
      <c r="AF53" s="28">
        <f t="shared" si="10"/>
        <v>2820</v>
      </c>
      <c r="AG53" s="28" t="str">
        <f t="shared" si="10"/>
        <v>＋</v>
      </c>
      <c r="AH53" s="28">
        <f t="shared" si="10"/>
        <v>20</v>
      </c>
      <c r="AI53" s="28" t="str">
        <f t="shared" si="10"/>
        <v>＋</v>
      </c>
      <c r="AJ53" s="28">
        <f t="shared" si="10"/>
        <v>520</v>
      </c>
      <c r="AK53" s="28" t="str">
        <f t="shared" si="10"/>
        <v>＋</v>
      </c>
      <c r="AL53" s="28">
        <f t="shared" si="10"/>
        <v>5</v>
      </c>
      <c r="AM53" s="28" t="str">
        <f t="shared" si="10"/>
        <v>＋</v>
      </c>
      <c r="AN53" s="28">
        <f t="shared" si="10"/>
        <v>350</v>
      </c>
      <c r="AO53" s="28" t="str">
        <f t="shared" si="10"/>
        <v>＋</v>
      </c>
      <c r="AP53" s="28">
        <f t="shared" si="10"/>
        <v>3</v>
      </c>
      <c r="AQ53" s="28" t="str">
        <f t="shared" si="10"/>
        <v>＋</v>
      </c>
      <c r="AR53" s="28">
        <f t="shared" si="10"/>
        <v>60</v>
      </c>
      <c r="AS53" s="28" t="str">
        <f t="shared" si="10"/>
        <v>＋</v>
      </c>
      <c r="AT53" s="28">
        <f t="shared" si="10"/>
        <v>1</v>
      </c>
      <c r="AU53" s="28" t="str">
        <f t="shared" si="10"/>
        <v>＋</v>
      </c>
      <c r="AV53" s="28">
        <f t="shared" si="10"/>
        <v>3660</v>
      </c>
      <c r="AW53" s="28"/>
      <c r="AX53" s="28"/>
      <c r="AY53" s="28" t="str">
        <f t="shared" si="10"/>
        <v>－</v>
      </c>
      <c r="AZ53" s="28">
        <f>AZ28</f>
        <v>20</v>
      </c>
      <c r="BA53" s="28">
        <f t="shared" si="10"/>
        <v>0</v>
      </c>
      <c r="BB53" s="228">
        <f>BB28</f>
        <v>0</v>
      </c>
      <c r="BC53" s="32"/>
    </row>
    <row r="54" spans="1:55" s="27" customFormat="1">
      <c r="A54" s="2211"/>
      <c r="B54" s="77">
        <v>151</v>
      </c>
      <c r="C54" s="28"/>
      <c r="D54" s="28" t="str">
        <f>D29</f>
        <v>４歳以上児</v>
      </c>
      <c r="E54" s="28">
        <f t="shared" ref="E54:BA54" si="11">E29</f>
        <v>0</v>
      </c>
      <c r="F54" s="28">
        <f t="shared" si="11"/>
        <v>26760</v>
      </c>
      <c r="G54" s="28">
        <f t="shared" si="11"/>
        <v>33830</v>
      </c>
      <c r="H54" s="28" t="str">
        <f t="shared" si="11"/>
        <v>＋</v>
      </c>
      <c r="I54" s="28">
        <f t="shared" si="11"/>
        <v>240</v>
      </c>
      <c r="J54" s="28">
        <f t="shared" si="11"/>
        <v>310</v>
      </c>
      <c r="K54" s="28" t="str">
        <f t="shared" si="11"/>
        <v>×加算率</v>
      </c>
      <c r="L54" s="28" t="str">
        <f t="shared" si="11"/>
        <v>＋</v>
      </c>
      <c r="M54" s="28">
        <f t="shared" si="11"/>
        <v>540</v>
      </c>
      <c r="N54" s="28" t="str">
        <f t="shared" si="11"/>
        <v>＋</v>
      </c>
      <c r="O54" s="28">
        <f t="shared" si="11"/>
        <v>5</v>
      </c>
      <c r="P54" s="28" t="str">
        <f t="shared" si="11"/>
        <v>＋</v>
      </c>
      <c r="Q54" s="28">
        <f t="shared" si="11"/>
        <v>7070</v>
      </c>
      <c r="R54" s="28">
        <f t="shared" si="11"/>
        <v>70</v>
      </c>
      <c r="S54" s="28"/>
      <c r="T54" s="28"/>
      <c r="U54" s="28"/>
      <c r="V54" s="28"/>
      <c r="W54" s="28">
        <f t="shared" si="11"/>
        <v>0</v>
      </c>
      <c r="X54" s="28" t="str">
        <f t="shared" si="11"/>
        <v/>
      </c>
      <c r="Y54" s="28">
        <f t="shared" si="11"/>
        <v>0</v>
      </c>
      <c r="Z54" s="28">
        <f t="shared" si="11"/>
        <v>0</v>
      </c>
      <c r="AA54" s="28" t="str">
        <f t="shared" si="11"/>
        <v>＋</v>
      </c>
      <c r="AB54" s="28">
        <f>AB29</f>
        <v>480</v>
      </c>
      <c r="AC54" s="28" t="str">
        <f>AC29</f>
        <v>＋</v>
      </c>
      <c r="AD54" s="28">
        <f>AD29</f>
        <v>4</v>
      </c>
      <c r="AE54" s="28" t="str">
        <f>AE29</f>
        <v>＋</v>
      </c>
      <c r="AF54" s="28">
        <f t="shared" si="11"/>
        <v>2350</v>
      </c>
      <c r="AG54" s="28" t="str">
        <f t="shared" si="11"/>
        <v>＋</v>
      </c>
      <c r="AH54" s="28">
        <f t="shared" si="11"/>
        <v>20</v>
      </c>
      <c r="AI54" s="28" t="str">
        <f t="shared" si="11"/>
        <v>＋</v>
      </c>
      <c r="AJ54" s="28">
        <f t="shared" si="11"/>
        <v>500</v>
      </c>
      <c r="AK54" s="28" t="str">
        <f t="shared" si="11"/>
        <v>＋</v>
      </c>
      <c r="AL54" s="28">
        <f t="shared" si="11"/>
        <v>5</v>
      </c>
      <c r="AM54" s="28" t="str">
        <f t="shared" si="11"/>
        <v>＋</v>
      </c>
      <c r="AN54" s="28">
        <f t="shared" si="11"/>
        <v>300</v>
      </c>
      <c r="AO54" s="28" t="str">
        <f t="shared" si="11"/>
        <v>＋</v>
      </c>
      <c r="AP54" s="28">
        <f t="shared" si="11"/>
        <v>3</v>
      </c>
      <c r="AQ54" s="28" t="str">
        <f t="shared" si="11"/>
        <v>＋</v>
      </c>
      <c r="AR54" s="28">
        <f t="shared" si="11"/>
        <v>50</v>
      </c>
      <c r="AS54" s="28" t="str">
        <f t="shared" si="11"/>
        <v>＋</v>
      </c>
      <c r="AT54" s="28">
        <f t="shared" si="11"/>
        <v>1</v>
      </c>
      <c r="AU54" s="28" t="str">
        <f t="shared" si="11"/>
        <v>＋</v>
      </c>
      <c r="AV54" s="28">
        <f t="shared" si="11"/>
        <v>3160</v>
      </c>
      <c r="AW54" s="28"/>
      <c r="AX54" s="28"/>
      <c r="AY54" s="28" t="str">
        <f t="shared" si="11"/>
        <v>－</v>
      </c>
      <c r="AZ54" s="28">
        <f>AZ30</f>
        <v>20</v>
      </c>
      <c r="BA54" s="28">
        <f t="shared" si="11"/>
        <v>0</v>
      </c>
      <c r="BB54" s="228">
        <f>BB30</f>
        <v>0</v>
      </c>
      <c r="BC54" s="32"/>
    </row>
    <row r="55" spans="1:55" s="27" customFormat="1">
      <c r="A55" s="2211"/>
      <c r="B55" s="77">
        <v>181</v>
      </c>
      <c r="C55" s="28"/>
      <c r="D55" s="28" t="str">
        <f>D31</f>
        <v>４歳以上児</v>
      </c>
      <c r="E55" s="28">
        <f t="shared" ref="E55:BA55" si="12">E31</f>
        <v>0</v>
      </c>
      <c r="F55" s="28">
        <f t="shared" si="12"/>
        <v>25590</v>
      </c>
      <c r="G55" s="28">
        <f t="shared" si="12"/>
        <v>32660</v>
      </c>
      <c r="H55" s="28" t="str">
        <f t="shared" si="12"/>
        <v>＋</v>
      </c>
      <c r="I55" s="28">
        <f t="shared" si="12"/>
        <v>230</v>
      </c>
      <c r="J55" s="28">
        <f t="shared" si="12"/>
        <v>300</v>
      </c>
      <c r="K55" s="28" t="str">
        <f t="shared" si="12"/>
        <v>×加算率</v>
      </c>
      <c r="L55" s="28" t="str">
        <f t="shared" si="12"/>
        <v>＋</v>
      </c>
      <c r="M55" s="28">
        <f t="shared" si="12"/>
        <v>460</v>
      </c>
      <c r="N55" s="28" t="str">
        <f t="shared" si="12"/>
        <v>＋</v>
      </c>
      <c r="O55" s="28">
        <f t="shared" si="12"/>
        <v>4</v>
      </c>
      <c r="P55" s="28" t="str">
        <f t="shared" si="12"/>
        <v>＋</v>
      </c>
      <c r="Q55" s="28">
        <f t="shared" si="12"/>
        <v>7070</v>
      </c>
      <c r="R55" s="28">
        <f t="shared" si="12"/>
        <v>70</v>
      </c>
      <c r="S55" s="28"/>
      <c r="T55" s="28"/>
      <c r="U55" s="28"/>
      <c r="V55" s="28"/>
      <c r="W55" s="28">
        <f t="shared" si="12"/>
        <v>0</v>
      </c>
      <c r="X55" s="28" t="str">
        <f t="shared" si="12"/>
        <v/>
      </c>
      <c r="Y55" s="28">
        <f t="shared" si="12"/>
        <v>0</v>
      </c>
      <c r="Z55" s="28">
        <f t="shared" si="12"/>
        <v>0</v>
      </c>
      <c r="AA55" s="28" t="str">
        <f t="shared" si="12"/>
        <v>＋</v>
      </c>
      <c r="AB55" s="28">
        <f>AB31</f>
        <v>410</v>
      </c>
      <c r="AC55" s="28" t="str">
        <f>AC31</f>
        <v>＋</v>
      </c>
      <c r="AD55" s="28">
        <f>AD31</f>
        <v>4</v>
      </c>
      <c r="AE55" s="28" t="str">
        <f>AE31</f>
        <v>＋</v>
      </c>
      <c r="AF55" s="28">
        <f t="shared" si="12"/>
        <v>2020</v>
      </c>
      <c r="AG55" s="28" t="str">
        <f t="shared" si="12"/>
        <v>＋</v>
      </c>
      <c r="AH55" s="28">
        <f t="shared" si="12"/>
        <v>20</v>
      </c>
      <c r="AI55" s="28" t="str">
        <f t="shared" si="12"/>
        <v>＋</v>
      </c>
      <c r="AJ55" s="28">
        <f t="shared" si="12"/>
        <v>500</v>
      </c>
      <c r="AK55" s="28" t="str">
        <f t="shared" si="12"/>
        <v>＋</v>
      </c>
      <c r="AL55" s="28">
        <f t="shared" si="12"/>
        <v>5</v>
      </c>
      <c r="AM55" s="28" t="str">
        <f t="shared" si="12"/>
        <v>＋</v>
      </c>
      <c r="AN55" s="28">
        <f t="shared" si="12"/>
        <v>270</v>
      </c>
      <c r="AO55" s="28" t="str">
        <f t="shared" si="12"/>
        <v>＋</v>
      </c>
      <c r="AP55" s="28">
        <f t="shared" si="12"/>
        <v>2</v>
      </c>
      <c r="AQ55" s="28" t="str">
        <f t="shared" si="12"/>
        <v>＋</v>
      </c>
      <c r="AR55" s="28">
        <f t="shared" si="12"/>
        <v>40</v>
      </c>
      <c r="AS55" s="28" t="str">
        <f t="shared" si="12"/>
        <v>＋</v>
      </c>
      <c r="AT55" s="28">
        <f t="shared" si="12"/>
        <v>1</v>
      </c>
      <c r="AU55" s="28" t="str">
        <f t="shared" si="12"/>
        <v>＋</v>
      </c>
      <c r="AV55" s="28">
        <f t="shared" si="12"/>
        <v>2810</v>
      </c>
      <c r="AW55" s="28"/>
      <c r="AX55" s="28"/>
      <c r="AY55" s="28" t="str">
        <f t="shared" si="12"/>
        <v>－</v>
      </c>
      <c r="AZ55" s="28">
        <f>AZ32</f>
        <v>20</v>
      </c>
      <c r="BA55" s="28">
        <f t="shared" si="12"/>
        <v>0</v>
      </c>
      <c r="BB55" s="228">
        <f>BB32</f>
        <v>0</v>
      </c>
      <c r="BC55" s="32"/>
    </row>
    <row r="56" spans="1:55" s="27" customFormat="1">
      <c r="A56" s="2211"/>
      <c r="B56" s="77">
        <v>211</v>
      </c>
      <c r="C56" s="28"/>
      <c r="D56" s="28" t="str">
        <f>D33</f>
        <v>４歳以上児</v>
      </c>
      <c r="E56" s="28">
        <f t="shared" ref="E56:BA56" si="13">E33</f>
        <v>0</v>
      </c>
      <c r="F56" s="28">
        <f t="shared" si="13"/>
        <v>24720</v>
      </c>
      <c r="G56" s="28">
        <f t="shared" si="13"/>
        <v>31790</v>
      </c>
      <c r="H56" s="28" t="str">
        <f t="shared" si="13"/>
        <v>＋</v>
      </c>
      <c r="I56" s="28">
        <f t="shared" si="13"/>
        <v>220</v>
      </c>
      <c r="J56" s="28">
        <f t="shared" si="13"/>
        <v>290</v>
      </c>
      <c r="K56" s="28" t="str">
        <f t="shared" si="13"/>
        <v>×加算率</v>
      </c>
      <c r="L56" s="28" t="str">
        <f t="shared" si="13"/>
        <v>＋</v>
      </c>
      <c r="M56" s="28">
        <f t="shared" si="13"/>
        <v>400</v>
      </c>
      <c r="N56" s="28" t="str">
        <f t="shared" si="13"/>
        <v>＋</v>
      </c>
      <c r="O56" s="28">
        <f t="shared" si="13"/>
        <v>4</v>
      </c>
      <c r="P56" s="28" t="str">
        <f t="shared" si="13"/>
        <v>＋</v>
      </c>
      <c r="Q56" s="28">
        <f t="shared" si="13"/>
        <v>7070</v>
      </c>
      <c r="R56" s="28">
        <f t="shared" si="13"/>
        <v>70</v>
      </c>
      <c r="S56" s="28"/>
      <c r="T56" s="28"/>
      <c r="U56" s="28"/>
      <c r="V56" s="28"/>
      <c r="W56" s="28">
        <f t="shared" si="13"/>
        <v>0</v>
      </c>
      <c r="X56" s="28" t="str">
        <f t="shared" si="13"/>
        <v/>
      </c>
      <c r="Y56" s="28">
        <f t="shared" si="13"/>
        <v>0</v>
      </c>
      <c r="Z56" s="28">
        <f t="shared" si="13"/>
        <v>0</v>
      </c>
      <c r="AA56" s="28" t="str">
        <f t="shared" si="13"/>
        <v>＋</v>
      </c>
      <c r="AB56" s="28">
        <f>AB33</f>
        <v>360</v>
      </c>
      <c r="AC56" s="28" t="str">
        <f>AC33</f>
        <v>＋</v>
      </c>
      <c r="AD56" s="28">
        <f>AD33</f>
        <v>3</v>
      </c>
      <c r="AE56" s="28" t="str">
        <f>AE33</f>
        <v>＋</v>
      </c>
      <c r="AF56" s="28">
        <f t="shared" si="13"/>
        <v>1760</v>
      </c>
      <c r="AG56" s="28" t="str">
        <f t="shared" si="13"/>
        <v>＋</v>
      </c>
      <c r="AH56" s="28">
        <f t="shared" si="13"/>
        <v>10</v>
      </c>
      <c r="AI56" s="28" t="str">
        <f t="shared" si="13"/>
        <v>＋</v>
      </c>
      <c r="AJ56" s="28">
        <f t="shared" si="13"/>
        <v>500</v>
      </c>
      <c r="AK56" s="28" t="str">
        <f t="shared" si="13"/>
        <v>＋</v>
      </c>
      <c r="AL56" s="28">
        <f t="shared" si="13"/>
        <v>5</v>
      </c>
      <c r="AM56" s="28" t="str">
        <f t="shared" si="13"/>
        <v>＋</v>
      </c>
      <c r="AN56" s="28">
        <f t="shared" si="13"/>
        <v>250</v>
      </c>
      <c r="AO56" s="28" t="str">
        <f t="shared" si="13"/>
        <v>＋</v>
      </c>
      <c r="AP56" s="28">
        <f t="shared" si="13"/>
        <v>2</v>
      </c>
      <c r="AQ56" s="28" t="str">
        <f t="shared" si="13"/>
        <v>＋</v>
      </c>
      <c r="AR56" s="28">
        <f t="shared" si="13"/>
        <v>40</v>
      </c>
      <c r="AS56" s="28" t="str">
        <f t="shared" si="13"/>
        <v>＋</v>
      </c>
      <c r="AT56" s="28">
        <f t="shared" si="13"/>
        <v>1</v>
      </c>
      <c r="AU56" s="28" t="str">
        <f t="shared" si="13"/>
        <v>＋</v>
      </c>
      <c r="AV56" s="28">
        <f t="shared" si="13"/>
        <v>2540</v>
      </c>
      <c r="AW56" s="28"/>
      <c r="AX56" s="28"/>
      <c r="AY56" s="28" t="str">
        <f t="shared" si="13"/>
        <v>－</v>
      </c>
      <c r="AZ56" s="28">
        <f>AZ34</f>
        <v>10</v>
      </c>
      <c r="BA56" s="28">
        <f t="shared" si="13"/>
        <v>0</v>
      </c>
      <c r="BB56" s="228">
        <f>BB34</f>
        <v>0</v>
      </c>
      <c r="BC56" s="32"/>
    </row>
    <row r="57" spans="1:55" s="27" customFormat="1">
      <c r="A57" s="2211"/>
      <c r="B57" s="77">
        <v>241</v>
      </c>
      <c r="C57" s="28"/>
      <c r="D57" s="28" t="str">
        <f>D35</f>
        <v>４歳以上児</v>
      </c>
      <c r="E57" s="28">
        <f t="shared" ref="E57:BA57" si="14">E35</f>
        <v>0</v>
      </c>
      <c r="F57" s="28">
        <f t="shared" si="14"/>
        <v>24050</v>
      </c>
      <c r="G57" s="28">
        <f t="shared" si="14"/>
        <v>31120</v>
      </c>
      <c r="H57" s="28" t="str">
        <f t="shared" si="14"/>
        <v>＋</v>
      </c>
      <c r="I57" s="28">
        <f t="shared" si="14"/>
        <v>220</v>
      </c>
      <c r="J57" s="28">
        <f t="shared" si="14"/>
        <v>290</v>
      </c>
      <c r="K57" s="28" t="str">
        <f t="shared" si="14"/>
        <v>×加算率</v>
      </c>
      <c r="L57" s="28" t="str">
        <f t="shared" si="14"/>
        <v>＋</v>
      </c>
      <c r="M57" s="28">
        <f t="shared" si="14"/>
        <v>360</v>
      </c>
      <c r="N57" s="28" t="str">
        <f t="shared" si="14"/>
        <v>＋</v>
      </c>
      <c r="O57" s="28">
        <f t="shared" si="14"/>
        <v>3</v>
      </c>
      <c r="P57" s="28" t="str">
        <f t="shared" si="14"/>
        <v>＋</v>
      </c>
      <c r="Q57" s="28">
        <f t="shared" si="14"/>
        <v>7070</v>
      </c>
      <c r="R57" s="28">
        <f t="shared" si="14"/>
        <v>70</v>
      </c>
      <c r="S57" s="28"/>
      <c r="T57" s="28"/>
      <c r="U57" s="28"/>
      <c r="V57" s="28"/>
      <c r="W57" s="28">
        <f t="shared" si="14"/>
        <v>0</v>
      </c>
      <c r="X57" s="28" t="str">
        <f t="shared" si="14"/>
        <v/>
      </c>
      <c r="Y57" s="28">
        <f t="shared" si="14"/>
        <v>0</v>
      </c>
      <c r="Z57" s="28">
        <f t="shared" si="14"/>
        <v>0</v>
      </c>
      <c r="AA57" s="28" t="str">
        <f t="shared" si="14"/>
        <v>＋</v>
      </c>
      <c r="AB57" s="28">
        <f>AB35</f>
        <v>320</v>
      </c>
      <c r="AC57" s="28" t="str">
        <f>AC35</f>
        <v>＋</v>
      </c>
      <c r="AD57" s="28">
        <f>AD35</f>
        <v>3</v>
      </c>
      <c r="AE57" s="28" t="str">
        <f>AE35</f>
        <v>＋</v>
      </c>
      <c r="AF57" s="28">
        <f t="shared" si="14"/>
        <v>1570</v>
      </c>
      <c r="AG57" s="28" t="str">
        <f t="shared" si="14"/>
        <v>＋</v>
      </c>
      <c r="AH57" s="28">
        <f t="shared" si="14"/>
        <v>10</v>
      </c>
      <c r="AI57" s="28" t="str">
        <f t="shared" si="14"/>
        <v>＋</v>
      </c>
      <c r="AJ57" s="28">
        <f t="shared" si="14"/>
        <v>500</v>
      </c>
      <c r="AK57" s="28" t="str">
        <f t="shared" si="14"/>
        <v>＋</v>
      </c>
      <c r="AL57" s="28">
        <f t="shared" si="14"/>
        <v>5</v>
      </c>
      <c r="AM57" s="28" t="str">
        <f t="shared" si="14"/>
        <v>＋</v>
      </c>
      <c r="AN57" s="28">
        <f t="shared" si="14"/>
        <v>220</v>
      </c>
      <c r="AO57" s="28" t="str">
        <f t="shared" si="14"/>
        <v>＋</v>
      </c>
      <c r="AP57" s="28">
        <f t="shared" si="14"/>
        <v>2</v>
      </c>
      <c r="AQ57" s="28" t="str">
        <f t="shared" si="14"/>
        <v>＋</v>
      </c>
      <c r="AR57" s="28">
        <f t="shared" si="14"/>
        <v>40</v>
      </c>
      <c r="AS57" s="28" t="str">
        <f t="shared" si="14"/>
        <v>＋</v>
      </c>
      <c r="AT57" s="28">
        <f t="shared" si="14"/>
        <v>1</v>
      </c>
      <c r="AU57" s="28" t="str">
        <f t="shared" si="14"/>
        <v>＋</v>
      </c>
      <c r="AV57" s="28">
        <f t="shared" si="14"/>
        <v>2440</v>
      </c>
      <c r="AW57" s="28"/>
      <c r="AX57" s="28"/>
      <c r="AY57" s="28" t="str">
        <f t="shared" si="14"/>
        <v>－</v>
      </c>
      <c r="AZ57" s="28">
        <f>AZ36</f>
        <v>10</v>
      </c>
      <c r="BA57" s="28">
        <f t="shared" si="14"/>
        <v>0</v>
      </c>
      <c r="BB57" s="228">
        <f>BB36</f>
        <v>0</v>
      </c>
      <c r="BC57" s="32"/>
    </row>
    <row r="58" spans="1:55" s="27" customFormat="1">
      <c r="A58" s="2211"/>
      <c r="B58" s="77">
        <v>271</v>
      </c>
      <c r="C58" s="28"/>
      <c r="D58" s="28" t="str">
        <f>D37</f>
        <v>４歳以上児</v>
      </c>
      <c r="E58" s="28">
        <f t="shared" ref="E58:BA58" si="15">E37</f>
        <v>0</v>
      </c>
      <c r="F58" s="28">
        <f t="shared" si="15"/>
        <v>23510</v>
      </c>
      <c r="G58" s="28">
        <f t="shared" si="15"/>
        <v>30580</v>
      </c>
      <c r="H58" s="28" t="str">
        <f t="shared" si="15"/>
        <v>＋</v>
      </c>
      <c r="I58" s="28">
        <f t="shared" si="15"/>
        <v>210</v>
      </c>
      <c r="J58" s="28">
        <f t="shared" si="15"/>
        <v>280</v>
      </c>
      <c r="K58" s="28" t="str">
        <f t="shared" si="15"/>
        <v>×加算率</v>
      </c>
      <c r="L58" s="28" t="str">
        <f t="shared" si="15"/>
        <v>＋</v>
      </c>
      <c r="M58" s="28">
        <f t="shared" si="15"/>
        <v>320</v>
      </c>
      <c r="N58" s="28" t="str">
        <f t="shared" si="15"/>
        <v>＋</v>
      </c>
      <c r="O58" s="28">
        <f t="shared" si="15"/>
        <v>3</v>
      </c>
      <c r="P58" s="28" t="str">
        <f t="shared" si="15"/>
        <v>＋</v>
      </c>
      <c r="Q58" s="28">
        <f t="shared" si="15"/>
        <v>7070</v>
      </c>
      <c r="R58" s="28">
        <f t="shared" si="15"/>
        <v>70</v>
      </c>
      <c r="S58" s="28"/>
      <c r="T58" s="28"/>
      <c r="U58" s="28"/>
      <c r="V58" s="28"/>
      <c r="W58" s="28">
        <f t="shared" si="15"/>
        <v>0</v>
      </c>
      <c r="X58" s="28" t="str">
        <f t="shared" si="15"/>
        <v/>
      </c>
      <c r="Y58" s="28">
        <f t="shared" si="15"/>
        <v>0</v>
      </c>
      <c r="Z58" s="28">
        <f t="shared" si="15"/>
        <v>0</v>
      </c>
      <c r="AA58" s="28" t="str">
        <f t="shared" si="15"/>
        <v>＋</v>
      </c>
      <c r="AB58" s="28">
        <f>AB37</f>
        <v>280</v>
      </c>
      <c r="AC58" s="28" t="str">
        <f>AC37</f>
        <v>＋</v>
      </c>
      <c r="AD58" s="28">
        <f>AD37</f>
        <v>2</v>
      </c>
      <c r="AE58" s="28" t="str">
        <f>AE37</f>
        <v>＋</v>
      </c>
      <c r="AF58" s="28">
        <f t="shared" si="15"/>
        <v>1410</v>
      </c>
      <c r="AG58" s="28" t="str">
        <f t="shared" si="15"/>
        <v>＋</v>
      </c>
      <c r="AH58" s="28">
        <f t="shared" si="15"/>
        <v>10</v>
      </c>
      <c r="AI58" s="28" t="str">
        <f t="shared" si="15"/>
        <v>＋</v>
      </c>
      <c r="AJ58" s="28">
        <f t="shared" si="15"/>
        <v>500</v>
      </c>
      <c r="AK58" s="28" t="str">
        <f t="shared" si="15"/>
        <v>＋</v>
      </c>
      <c r="AL58" s="28">
        <f t="shared" si="15"/>
        <v>5</v>
      </c>
      <c r="AM58" s="28" t="str">
        <f t="shared" si="15"/>
        <v>＋</v>
      </c>
      <c r="AN58" s="28">
        <f t="shared" si="15"/>
        <v>200</v>
      </c>
      <c r="AO58" s="28" t="str">
        <f t="shared" si="15"/>
        <v>＋</v>
      </c>
      <c r="AP58" s="28">
        <f t="shared" si="15"/>
        <v>2</v>
      </c>
      <c r="AQ58" s="28" t="str">
        <f t="shared" si="15"/>
        <v>＋</v>
      </c>
      <c r="AR58" s="28">
        <f t="shared" si="15"/>
        <v>30</v>
      </c>
      <c r="AS58" s="28" t="str">
        <f t="shared" si="15"/>
        <v>＋</v>
      </c>
      <c r="AT58" s="28">
        <f t="shared" si="15"/>
        <v>1</v>
      </c>
      <c r="AU58" s="28" t="str">
        <f t="shared" si="15"/>
        <v>＋</v>
      </c>
      <c r="AV58" s="28">
        <f t="shared" si="15"/>
        <v>2360</v>
      </c>
      <c r="AW58" s="28"/>
      <c r="AX58" s="28"/>
      <c r="AY58" s="28" t="str">
        <f t="shared" si="15"/>
        <v>－</v>
      </c>
      <c r="AZ58" s="28">
        <f>AZ38</f>
        <v>10</v>
      </c>
      <c r="BA58" s="28">
        <f t="shared" si="15"/>
        <v>0</v>
      </c>
      <c r="BB58" s="228">
        <f>BB38</f>
        <v>0</v>
      </c>
      <c r="BC58" s="32"/>
    </row>
    <row r="59" spans="1:55" s="27" customFormat="1">
      <c r="A59" s="2211"/>
      <c r="B59" s="77">
        <v>301</v>
      </c>
      <c r="C59" s="28"/>
      <c r="D59" s="28" t="str">
        <f>D39</f>
        <v>４歳以上児</v>
      </c>
      <c r="E59" s="28">
        <f t="shared" ref="E59:BA59" si="16">E39</f>
        <v>0</v>
      </c>
      <c r="F59" s="28">
        <f t="shared" si="16"/>
        <v>21790</v>
      </c>
      <c r="G59" s="28">
        <f t="shared" si="16"/>
        <v>28860</v>
      </c>
      <c r="H59" s="28" t="str">
        <f t="shared" si="16"/>
        <v>＋</v>
      </c>
      <c r="I59" s="28">
        <f t="shared" si="16"/>
        <v>190</v>
      </c>
      <c r="J59" s="28">
        <f t="shared" si="16"/>
        <v>260</v>
      </c>
      <c r="K59" s="28" t="str">
        <f t="shared" si="16"/>
        <v>×加算率</v>
      </c>
      <c r="L59" s="28" t="str">
        <f t="shared" si="16"/>
        <v>＋</v>
      </c>
      <c r="M59" s="28">
        <f t="shared" si="16"/>
        <v>290</v>
      </c>
      <c r="N59" s="28" t="str">
        <f t="shared" si="16"/>
        <v>＋</v>
      </c>
      <c r="O59" s="28">
        <f t="shared" si="16"/>
        <v>2</v>
      </c>
      <c r="P59" s="28" t="str">
        <f t="shared" si="16"/>
        <v>＋</v>
      </c>
      <c r="Q59" s="28">
        <f t="shared" si="16"/>
        <v>7070</v>
      </c>
      <c r="R59" s="28">
        <f t="shared" si="16"/>
        <v>70</v>
      </c>
      <c r="S59" s="28"/>
      <c r="T59" s="28"/>
      <c r="U59" s="28"/>
      <c r="V59" s="28"/>
      <c r="W59" s="28">
        <f t="shared" si="16"/>
        <v>0</v>
      </c>
      <c r="X59" s="28" t="str">
        <f t="shared" si="16"/>
        <v/>
      </c>
      <c r="Y59" s="28">
        <f t="shared" si="16"/>
        <v>0</v>
      </c>
      <c r="Z59" s="28">
        <f t="shared" si="16"/>
        <v>0</v>
      </c>
      <c r="AA59" s="28" t="str">
        <f t="shared" si="16"/>
        <v>＋</v>
      </c>
      <c r="AB59" s="28">
        <f>AB39</f>
        <v>260</v>
      </c>
      <c r="AC59" s="28" t="str">
        <f>AC39</f>
        <v>＋</v>
      </c>
      <c r="AD59" s="28">
        <f>AD39</f>
        <v>2</v>
      </c>
      <c r="AE59" s="28" t="str">
        <f>AE39</f>
        <v>＋</v>
      </c>
      <c r="AF59" s="28">
        <f t="shared" si="16"/>
        <v>1280</v>
      </c>
      <c r="AG59" s="28" t="str">
        <f t="shared" si="16"/>
        <v>＋</v>
      </c>
      <c r="AH59" s="28">
        <f t="shared" si="16"/>
        <v>10</v>
      </c>
      <c r="AI59" s="28" t="str">
        <f t="shared" si="16"/>
        <v>＋</v>
      </c>
      <c r="AJ59" s="28">
        <f t="shared" si="16"/>
        <v>500</v>
      </c>
      <c r="AK59" s="28" t="str">
        <f t="shared" si="16"/>
        <v>＋</v>
      </c>
      <c r="AL59" s="28">
        <f t="shared" si="16"/>
        <v>5</v>
      </c>
      <c r="AM59" s="28" t="str">
        <f t="shared" si="16"/>
        <v>＋</v>
      </c>
      <c r="AN59" s="28">
        <f t="shared" si="16"/>
        <v>180</v>
      </c>
      <c r="AO59" s="28" t="str">
        <f t="shared" si="16"/>
        <v>＋</v>
      </c>
      <c r="AP59" s="28">
        <f t="shared" si="16"/>
        <v>1</v>
      </c>
      <c r="AQ59" s="28" t="str">
        <f t="shared" si="16"/>
        <v>＋</v>
      </c>
      <c r="AR59" s="28">
        <f t="shared" si="16"/>
        <v>30</v>
      </c>
      <c r="AS59" s="28" t="str">
        <f t="shared" si="16"/>
        <v>＋</v>
      </c>
      <c r="AT59" s="28">
        <f t="shared" si="16"/>
        <v>1</v>
      </c>
      <c r="AU59" s="28" t="str">
        <f t="shared" si="16"/>
        <v>＋</v>
      </c>
      <c r="AV59" s="28">
        <f t="shared" si="16"/>
        <v>2150</v>
      </c>
      <c r="AW59" s="28"/>
      <c r="AX59" s="28"/>
      <c r="AY59" s="28" t="str">
        <f t="shared" si="16"/>
        <v>－</v>
      </c>
      <c r="AZ59" s="28">
        <f>AZ40</f>
        <v>10</v>
      </c>
      <c r="BA59" s="28">
        <f t="shared" si="16"/>
        <v>0</v>
      </c>
      <c r="BB59" s="228">
        <f>BB40</f>
        <v>0</v>
      </c>
      <c r="BC59" s="32"/>
    </row>
    <row r="60" spans="1:55" s="27" customFormat="1">
      <c r="A60" s="28"/>
      <c r="B60" s="77"/>
      <c r="C60" s="28"/>
      <c r="D60" s="28"/>
      <c r="E60" s="47"/>
      <c r="F60" s="29"/>
      <c r="G60" s="30"/>
      <c r="H60" s="23"/>
      <c r="I60" s="29"/>
      <c r="J60" s="30"/>
      <c r="K60" s="32"/>
      <c r="L60" s="32"/>
      <c r="M60" s="31"/>
      <c r="N60" s="23"/>
      <c r="O60" s="37"/>
      <c r="P60" s="23"/>
      <c r="Q60" s="29"/>
      <c r="R60" s="38"/>
      <c r="S60" s="32"/>
      <c r="T60" s="31"/>
      <c r="U60" s="23"/>
      <c r="V60" s="37"/>
      <c r="W60" s="32"/>
      <c r="X60" s="31"/>
      <c r="Y60" s="23"/>
      <c r="Z60" s="37"/>
      <c r="AA60" s="32"/>
      <c r="AB60" s="31"/>
      <c r="AC60" s="23"/>
      <c r="AD60" s="29"/>
      <c r="AE60" s="32"/>
      <c r="AF60" s="31"/>
      <c r="AG60" s="23"/>
      <c r="AH60" s="29"/>
      <c r="AI60" s="32"/>
      <c r="AJ60" s="31"/>
      <c r="AK60" s="23"/>
      <c r="AL60" s="29"/>
      <c r="AM60" s="29"/>
      <c r="AN60" s="31"/>
      <c r="AO60" s="23"/>
      <c r="AP60" s="29"/>
      <c r="AQ60" s="29"/>
      <c r="AR60" s="29"/>
      <c r="AS60" s="29"/>
      <c r="AT60" s="29"/>
      <c r="AU60" s="29"/>
      <c r="AV60" s="31"/>
      <c r="AW60" s="31"/>
      <c r="AX60" s="31"/>
      <c r="AY60" s="29"/>
      <c r="AZ60" s="29"/>
      <c r="BA60" s="32"/>
      <c r="BB60" s="32"/>
      <c r="BC60" s="32"/>
    </row>
    <row r="61" spans="1:55" s="27" customFormat="1">
      <c r="A61" s="2211" t="s">
        <v>188</v>
      </c>
      <c r="B61" s="77">
        <v>1</v>
      </c>
      <c r="C61" s="28"/>
      <c r="D61" s="28" t="str">
        <f>D8</f>
        <v>３歳児</v>
      </c>
      <c r="E61" s="28">
        <f>E8</f>
        <v>0</v>
      </c>
      <c r="F61" s="28">
        <f>F8</f>
        <v>108900</v>
      </c>
      <c r="G61" s="28">
        <f t="shared" ref="G61:BA61" si="17">G8</f>
        <v>0</v>
      </c>
      <c r="H61" s="28" t="str">
        <f t="shared" si="17"/>
        <v>＋</v>
      </c>
      <c r="I61" s="28">
        <f t="shared" si="17"/>
        <v>1070</v>
      </c>
      <c r="J61" s="28">
        <f t="shared" si="17"/>
        <v>0</v>
      </c>
      <c r="K61" s="28" t="str">
        <f t="shared" si="17"/>
        <v>×加算率</v>
      </c>
      <c r="L61" s="28">
        <f t="shared" si="17"/>
        <v>0</v>
      </c>
      <c r="M61" s="28"/>
      <c r="N61" s="28"/>
      <c r="O61" s="28"/>
      <c r="P61" s="28"/>
      <c r="Q61" s="28">
        <f t="shared" si="17"/>
        <v>7070</v>
      </c>
      <c r="R61" s="28">
        <f t="shared" si="17"/>
        <v>70</v>
      </c>
      <c r="S61" s="28" t="str">
        <f t="shared" si="17"/>
        <v>＋</v>
      </c>
      <c r="T61" s="28">
        <f t="shared" si="17"/>
        <v>49520</v>
      </c>
      <c r="U61" s="28" t="str">
        <f t="shared" si="17"/>
        <v>＋</v>
      </c>
      <c r="V61" s="28">
        <f t="shared" si="17"/>
        <v>490</v>
      </c>
      <c r="W61" s="28" t="str">
        <f t="shared" si="17"/>
        <v>＋</v>
      </c>
      <c r="X61" s="28">
        <f t="shared" si="17"/>
        <v>42450</v>
      </c>
      <c r="Y61" s="28" t="str">
        <f t="shared" si="17"/>
        <v>＋</v>
      </c>
      <c r="Z61" s="28">
        <f t="shared" si="17"/>
        <v>420</v>
      </c>
      <c r="AA61" s="28">
        <f t="shared" si="17"/>
        <v>0</v>
      </c>
      <c r="AB61" s="28">
        <f t="shared" si="17"/>
        <v>0</v>
      </c>
      <c r="AC61" s="28">
        <f t="shared" si="17"/>
        <v>0</v>
      </c>
      <c r="AD61" s="28">
        <f t="shared" si="17"/>
        <v>0</v>
      </c>
      <c r="AE61" s="28">
        <f t="shared" si="17"/>
        <v>0</v>
      </c>
      <c r="AF61" s="28">
        <f t="shared" si="17"/>
        <v>0</v>
      </c>
      <c r="AG61" s="28">
        <f t="shared" si="17"/>
        <v>0</v>
      </c>
      <c r="AH61" s="28">
        <f t="shared" si="17"/>
        <v>0</v>
      </c>
      <c r="AI61" s="28">
        <f t="shared" si="17"/>
        <v>0</v>
      </c>
      <c r="AJ61" s="28">
        <f t="shared" si="17"/>
        <v>0</v>
      </c>
      <c r="AK61" s="28">
        <f t="shared" si="17"/>
        <v>0</v>
      </c>
      <c r="AL61" s="28">
        <f t="shared" si="17"/>
        <v>0</v>
      </c>
      <c r="AM61" s="28">
        <f t="shared" si="17"/>
        <v>0</v>
      </c>
      <c r="AN61" s="28" t="str">
        <f t="shared" si="17"/>
        <v>×週当たり実施日数</v>
      </c>
      <c r="AO61" s="28">
        <f t="shared" si="17"/>
        <v>0</v>
      </c>
      <c r="AP61" s="28" t="str">
        <f t="shared" si="17"/>
        <v>×週当たり実施日数×加算率</v>
      </c>
      <c r="AQ61" s="28">
        <f t="shared" si="17"/>
        <v>0</v>
      </c>
      <c r="AR61" s="28"/>
      <c r="AS61" s="28"/>
      <c r="AT61" s="28"/>
      <c r="AU61" s="28"/>
      <c r="AV61" s="28">
        <f t="shared" si="17"/>
        <v>0</v>
      </c>
      <c r="AW61" s="28"/>
      <c r="AX61" s="28"/>
      <c r="AY61" s="28">
        <f t="shared" si="17"/>
        <v>0</v>
      </c>
      <c r="AZ61" s="29"/>
      <c r="BA61" s="28">
        <f t="shared" si="17"/>
        <v>0</v>
      </c>
      <c r="BB61" s="28"/>
      <c r="BC61" s="32"/>
    </row>
    <row r="62" spans="1:55" s="27" customFormat="1">
      <c r="A62" s="2211"/>
      <c r="B62" s="77">
        <v>16</v>
      </c>
      <c r="C62" s="28"/>
      <c r="D62" s="28" t="str">
        <f>D10</f>
        <v>３歳児</v>
      </c>
      <c r="E62" s="28">
        <f>E10</f>
        <v>0</v>
      </c>
      <c r="F62" s="28">
        <f>F10</f>
        <v>69960</v>
      </c>
      <c r="G62" s="28">
        <f t="shared" ref="G62:BA62" si="18">G10</f>
        <v>0</v>
      </c>
      <c r="H62" s="28" t="str">
        <f t="shared" si="18"/>
        <v>＋</v>
      </c>
      <c r="I62" s="28">
        <f t="shared" si="18"/>
        <v>680</v>
      </c>
      <c r="J62" s="28">
        <f t="shared" si="18"/>
        <v>0</v>
      </c>
      <c r="K62" s="28" t="str">
        <f t="shared" si="18"/>
        <v>×加算率</v>
      </c>
      <c r="L62" s="28">
        <f t="shared" si="18"/>
        <v>0</v>
      </c>
      <c r="M62" s="28"/>
      <c r="N62" s="28"/>
      <c r="O62" s="28"/>
      <c r="P62" s="28"/>
      <c r="Q62" s="28">
        <f t="shared" si="18"/>
        <v>7070</v>
      </c>
      <c r="R62" s="28">
        <f t="shared" si="18"/>
        <v>70</v>
      </c>
      <c r="S62" s="28" t="str">
        <f t="shared" si="18"/>
        <v>＋</v>
      </c>
      <c r="T62" s="28">
        <f t="shared" si="18"/>
        <v>49520</v>
      </c>
      <c r="U62" s="28" t="str">
        <f t="shared" si="18"/>
        <v>＋</v>
      </c>
      <c r="V62" s="28">
        <f t="shared" si="18"/>
        <v>490</v>
      </c>
      <c r="W62" s="28" t="str">
        <f t="shared" si="18"/>
        <v>＋</v>
      </c>
      <c r="X62" s="28">
        <f t="shared" si="18"/>
        <v>42450</v>
      </c>
      <c r="Y62" s="28" t="str">
        <f t="shared" si="18"/>
        <v>＋</v>
      </c>
      <c r="Z62" s="28">
        <f t="shared" si="18"/>
        <v>420</v>
      </c>
      <c r="AA62" s="28">
        <f t="shared" si="18"/>
        <v>0</v>
      </c>
      <c r="AB62" s="28">
        <f t="shared" si="18"/>
        <v>0</v>
      </c>
      <c r="AC62" s="28">
        <f t="shared" si="18"/>
        <v>0</v>
      </c>
      <c r="AD62" s="28">
        <f t="shared" si="18"/>
        <v>0</v>
      </c>
      <c r="AE62" s="28">
        <f t="shared" si="18"/>
        <v>0</v>
      </c>
      <c r="AF62" s="28">
        <f t="shared" si="18"/>
        <v>0</v>
      </c>
      <c r="AG62" s="28">
        <f t="shared" si="18"/>
        <v>0</v>
      </c>
      <c r="AH62" s="28">
        <f t="shared" si="18"/>
        <v>0</v>
      </c>
      <c r="AI62" s="28">
        <f t="shared" si="18"/>
        <v>0</v>
      </c>
      <c r="AJ62" s="28">
        <f t="shared" si="18"/>
        <v>0</v>
      </c>
      <c r="AK62" s="28">
        <f t="shared" si="18"/>
        <v>0</v>
      </c>
      <c r="AL62" s="28">
        <f t="shared" si="18"/>
        <v>0</v>
      </c>
      <c r="AM62" s="28">
        <f t="shared" si="18"/>
        <v>0</v>
      </c>
      <c r="AN62" s="28" t="str">
        <f t="shared" si="18"/>
        <v>×週当たり実施日数</v>
      </c>
      <c r="AO62" s="28">
        <f t="shared" si="18"/>
        <v>0</v>
      </c>
      <c r="AP62" s="28" t="str">
        <f t="shared" si="18"/>
        <v>×週当たり実施日数×加算率</v>
      </c>
      <c r="AQ62" s="28">
        <f t="shared" si="18"/>
        <v>0</v>
      </c>
      <c r="AR62" s="28"/>
      <c r="AS62" s="28"/>
      <c r="AT62" s="28"/>
      <c r="AU62" s="28"/>
      <c r="AV62" s="28">
        <f t="shared" si="18"/>
        <v>0</v>
      </c>
      <c r="AW62" s="28"/>
      <c r="AX62" s="28"/>
      <c r="AY62" s="28">
        <f t="shared" si="18"/>
        <v>0</v>
      </c>
      <c r="AZ62" s="29"/>
      <c r="BA62" s="28">
        <f t="shared" si="18"/>
        <v>0</v>
      </c>
      <c r="BB62" s="28"/>
      <c r="BC62" s="32"/>
    </row>
    <row r="63" spans="1:55" s="27" customFormat="1">
      <c r="A63" s="2211"/>
      <c r="B63" s="77">
        <v>26</v>
      </c>
      <c r="C63" s="28"/>
      <c r="D63" s="28" t="str">
        <f>D12</f>
        <v>３歳児</v>
      </c>
      <c r="E63" s="28">
        <f>E12</f>
        <v>0</v>
      </c>
      <c r="F63" s="28">
        <f>F12</f>
        <v>53270</v>
      </c>
      <c r="G63" s="28">
        <f t="shared" ref="G63:BA63" si="19">G12</f>
        <v>0</v>
      </c>
      <c r="H63" s="28" t="str">
        <f t="shared" si="19"/>
        <v>＋</v>
      </c>
      <c r="I63" s="28">
        <f t="shared" si="19"/>
        <v>510</v>
      </c>
      <c r="J63" s="28">
        <f t="shared" si="19"/>
        <v>0</v>
      </c>
      <c r="K63" s="28" t="str">
        <f t="shared" si="19"/>
        <v>×加算率</v>
      </c>
      <c r="L63" s="28">
        <f t="shared" si="19"/>
        <v>0</v>
      </c>
      <c r="M63" s="28"/>
      <c r="N63" s="28"/>
      <c r="O63" s="28"/>
      <c r="P63" s="28"/>
      <c r="Q63" s="28">
        <f t="shared" si="19"/>
        <v>7070</v>
      </c>
      <c r="R63" s="28">
        <f t="shared" si="19"/>
        <v>70</v>
      </c>
      <c r="S63" s="28" t="str">
        <f t="shared" si="19"/>
        <v>＋</v>
      </c>
      <c r="T63" s="28">
        <f t="shared" si="19"/>
        <v>49520</v>
      </c>
      <c r="U63" s="28" t="str">
        <f t="shared" si="19"/>
        <v>＋</v>
      </c>
      <c r="V63" s="28">
        <f t="shared" si="19"/>
        <v>490</v>
      </c>
      <c r="W63" s="28" t="str">
        <f t="shared" si="19"/>
        <v>＋</v>
      </c>
      <c r="X63" s="28">
        <f t="shared" si="19"/>
        <v>42450</v>
      </c>
      <c r="Y63" s="28" t="str">
        <f t="shared" si="19"/>
        <v>＋</v>
      </c>
      <c r="Z63" s="28">
        <f t="shared" si="19"/>
        <v>420</v>
      </c>
      <c r="AA63" s="28">
        <f t="shared" si="19"/>
        <v>0</v>
      </c>
      <c r="AB63" s="28">
        <f t="shared" si="19"/>
        <v>0</v>
      </c>
      <c r="AC63" s="28">
        <f t="shared" si="19"/>
        <v>0</v>
      </c>
      <c r="AD63" s="28">
        <f t="shared" si="19"/>
        <v>0</v>
      </c>
      <c r="AE63" s="28">
        <f t="shared" si="19"/>
        <v>0</v>
      </c>
      <c r="AF63" s="28">
        <f t="shared" si="19"/>
        <v>0</v>
      </c>
      <c r="AG63" s="28">
        <f t="shared" si="19"/>
        <v>0</v>
      </c>
      <c r="AH63" s="28">
        <f t="shared" si="19"/>
        <v>0</v>
      </c>
      <c r="AI63" s="28">
        <f t="shared" si="19"/>
        <v>0</v>
      </c>
      <c r="AJ63" s="28">
        <f t="shared" si="19"/>
        <v>0</v>
      </c>
      <c r="AK63" s="28">
        <f t="shared" si="19"/>
        <v>0</v>
      </c>
      <c r="AL63" s="28">
        <f t="shared" si="19"/>
        <v>0</v>
      </c>
      <c r="AM63" s="28">
        <f t="shared" si="19"/>
        <v>0</v>
      </c>
      <c r="AN63" s="28" t="str">
        <f t="shared" si="19"/>
        <v>×週当たり実施日数</v>
      </c>
      <c r="AO63" s="28">
        <f t="shared" si="19"/>
        <v>0</v>
      </c>
      <c r="AP63" s="28" t="str">
        <f t="shared" si="19"/>
        <v>×週当たり実施日数×加算率</v>
      </c>
      <c r="AQ63" s="28">
        <f t="shared" si="19"/>
        <v>0</v>
      </c>
      <c r="AR63" s="28"/>
      <c r="AS63" s="28"/>
      <c r="AT63" s="28"/>
      <c r="AU63" s="28"/>
      <c r="AV63" s="28">
        <f t="shared" si="19"/>
        <v>0</v>
      </c>
      <c r="AW63" s="28"/>
      <c r="AX63" s="28"/>
      <c r="AY63" s="28">
        <f t="shared" si="19"/>
        <v>0</v>
      </c>
      <c r="AZ63" s="29"/>
      <c r="BA63" s="28">
        <f t="shared" si="19"/>
        <v>0</v>
      </c>
      <c r="BB63" s="28"/>
      <c r="BC63" s="32"/>
    </row>
    <row r="64" spans="1:55" s="27" customFormat="1">
      <c r="A64" s="2211"/>
      <c r="B64" s="77">
        <v>36</v>
      </c>
      <c r="C64" s="28"/>
      <c r="D64" s="28" t="str">
        <f>D14</f>
        <v>３歳児</v>
      </c>
      <c r="E64" s="28">
        <f>E14</f>
        <v>0</v>
      </c>
      <c r="F64" s="28">
        <f>F14</f>
        <v>53490</v>
      </c>
      <c r="G64" s="28">
        <f t="shared" ref="G64:BA64" si="20">G14</f>
        <v>0</v>
      </c>
      <c r="H64" s="28" t="str">
        <f t="shared" si="20"/>
        <v>＋</v>
      </c>
      <c r="I64" s="28">
        <f t="shared" si="20"/>
        <v>510</v>
      </c>
      <c r="J64" s="28">
        <f t="shared" si="20"/>
        <v>0</v>
      </c>
      <c r="K64" s="28" t="str">
        <f t="shared" si="20"/>
        <v>×加算率</v>
      </c>
      <c r="L64" s="28">
        <f t="shared" si="20"/>
        <v>0</v>
      </c>
      <c r="M64" s="28"/>
      <c r="N64" s="28"/>
      <c r="O64" s="28"/>
      <c r="P64" s="28"/>
      <c r="Q64" s="28">
        <f t="shared" si="20"/>
        <v>7070</v>
      </c>
      <c r="R64" s="28">
        <f t="shared" si="20"/>
        <v>70</v>
      </c>
      <c r="S64" s="28" t="str">
        <f t="shared" si="20"/>
        <v>＋</v>
      </c>
      <c r="T64" s="28">
        <f t="shared" si="20"/>
        <v>49520</v>
      </c>
      <c r="U64" s="28" t="str">
        <f t="shared" si="20"/>
        <v>＋</v>
      </c>
      <c r="V64" s="28">
        <f t="shared" si="20"/>
        <v>490</v>
      </c>
      <c r="W64" s="28" t="str">
        <f t="shared" si="20"/>
        <v>＋</v>
      </c>
      <c r="X64" s="28">
        <f t="shared" si="20"/>
        <v>42450</v>
      </c>
      <c r="Y64" s="28" t="str">
        <f t="shared" si="20"/>
        <v>＋</v>
      </c>
      <c r="Z64" s="28">
        <f t="shared" si="20"/>
        <v>420</v>
      </c>
      <c r="AA64" s="28">
        <f t="shared" si="20"/>
        <v>0</v>
      </c>
      <c r="AB64" s="28">
        <f t="shared" si="20"/>
        <v>0</v>
      </c>
      <c r="AC64" s="28">
        <f t="shared" si="20"/>
        <v>0</v>
      </c>
      <c r="AD64" s="28">
        <f t="shared" si="20"/>
        <v>0</v>
      </c>
      <c r="AE64" s="28">
        <f t="shared" si="20"/>
        <v>0</v>
      </c>
      <c r="AF64" s="28">
        <f t="shared" si="20"/>
        <v>0</v>
      </c>
      <c r="AG64" s="28">
        <f t="shared" si="20"/>
        <v>0</v>
      </c>
      <c r="AH64" s="28">
        <f t="shared" si="20"/>
        <v>0</v>
      </c>
      <c r="AI64" s="28">
        <f t="shared" si="20"/>
        <v>0</v>
      </c>
      <c r="AJ64" s="28">
        <f t="shared" si="20"/>
        <v>0</v>
      </c>
      <c r="AK64" s="28">
        <f t="shared" si="20"/>
        <v>0</v>
      </c>
      <c r="AL64" s="28">
        <f t="shared" si="20"/>
        <v>0</v>
      </c>
      <c r="AM64" s="28">
        <f t="shared" si="20"/>
        <v>0</v>
      </c>
      <c r="AN64" s="28" t="str">
        <f t="shared" si="20"/>
        <v>×週当たり実施日数</v>
      </c>
      <c r="AO64" s="28">
        <f t="shared" si="20"/>
        <v>0</v>
      </c>
      <c r="AP64" s="28" t="str">
        <f t="shared" si="20"/>
        <v>×週当たり実施日数×加算率</v>
      </c>
      <c r="AQ64" s="28">
        <f t="shared" si="20"/>
        <v>0</v>
      </c>
      <c r="AR64" s="28"/>
      <c r="AS64" s="28"/>
      <c r="AT64" s="28"/>
      <c r="AU64" s="28"/>
      <c r="AV64" s="28">
        <f t="shared" si="20"/>
        <v>0</v>
      </c>
      <c r="AW64" s="28"/>
      <c r="AX64" s="28"/>
      <c r="AY64" s="28">
        <f t="shared" si="20"/>
        <v>0</v>
      </c>
      <c r="AZ64" s="29"/>
      <c r="BA64" s="28">
        <f t="shared" si="20"/>
        <v>0</v>
      </c>
      <c r="BB64" s="28"/>
      <c r="BC64" s="32"/>
    </row>
    <row r="65" spans="1:55" s="27" customFormat="1">
      <c r="A65" s="2211"/>
      <c r="B65" s="77">
        <v>46</v>
      </c>
      <c r="C65" s="28"/>
      <c r="D65" s="28" t="str">
        <f>D16</f>
        <v>３歳児</v>
      </c>
      <c r="E65" s="28">
        <f>E16</f>
        <v>0</v>
      </c>
      <c r="F65" s="28">
        <f>F16</f>
        <v>50040</v>
      </c>
      <c r="G65" s="28">
        <f t="shared" ref="G65:BA65" si="21">G16</f>
        <v>0</v>
      </c>
      <c r="H65" s="28" t="str">
        <f t="shared" si="21"/>
        <v>＋</v>
      </c>
      <c r="I65" s="28">
        <f t="shared" si="21"/>
        <v>480</v>
      </c>
      <c r="J65" s="28">
        <f t="shared" si="21"/>
        <v>0</v>
      </c>
      <c r="K65" s="28" t="str">
        <f t="shared" si="21"/>
        <v>×加算率</v>
      </c>
      <c r="L65" s="28">
        <f t="shared" si="21"/>
        <v>0</v>
      </c>
      <c r="M65" s="28"/>
      <c r="N65" s="28"/>
      <c r="O65" s="28"/>
      <c r="P65" s="28"/>
      <c r="Q65" s="28">
        <f t="shared" si="21"/>
        <v>7070</v>
      </c>
      <c r="R65" s="28">
        <f t="shared" si="21"/>
        <v>70</v>
      </c>
      <c r="S65" s="28" t="str">
        <f t="shared" si="21"/>
        <v>＋</v>
      </c>
      <c r="T65" s="28">
        <f t="shared" si="21"/>
        <v>49520</v>
      </c>
      <c r="U65" s="28" t="str">
        <f t="shared" si="21"/>
        <v>＋</v>
      </c>
      <c r="V65" s="28">
        <f t="shared" si="21"/>
        <v>490</v>
      </c>
      <c r="W65" s="28" t="str">
        <f t="shared" si="21"/>
        <v>＋</v>
      </c>
      <c r="X65" s="28">
        <f t="shared" si="21"/>
        <v>42450</v>
      </c>
      <c r="Y65" s="28" t="str">
        <f t="shared" si="21"/>
        <v>＋</v>
      </c>
      <c r="Z65" s="28">
        <f t="shared" si="21"/>
        <v>420</v>
      </c>
      <c r="AA65" s="28">
        <f t="shared" si="21"/>
        <v>0</v>
      </c>
      <c r="AB65" s="28">
        <f t="shared" si="21"/>
        <v>0</v>
      </c>
      <c r="AC65" s="28">
        <f t="shared" si="21"/>
        <v>0</v>
      </c>
      <c r="AD65" s="28">
        <f t="shared" si="21"/>
        <v>0</v>
      </c>
      <c r="AE65" s="28">
        <f t="shared" si="21"/>
        <v>0</v>
      </c>
      <c r="AF65" s="28">
        <f t="shared" si="21"/>
        <v>0</v>
      </c>
      <c r="AG65" s="28">
        <f t="shared" si="21"/>
        <v>0</v>
      </c>
      <c r="AH65" s="28">
        <f t="shared" si="21"/>
        <v>0</v>
      </c>
      <c r="AI65" s="28">
        <f t="shared" si="21"/>
        <v>0</v>
      </c>
      <c r="AJ65" s="28">
        <f t="shared" si="21"/>
        <v>0</v>
      </c>
      <c r="AK65" s="28">
        <f t="shared" si="21"/>
        <v>0</v>
      </c>
      <c r="AL65" s="28">
        <f t="shared" si="21"/>
        <v>0</v>
      </c>
      <c r="AM65" s="28">
        <f t="shared" si="21"/>
        <v>0</v>
      </c>
      <c r="AN65" s="28" t="str">
        <f t="shared" si="21"/>
        <v>×週当たり実施日数</v>
      </c>
      <c r="AO65" s="28">
        <f t="shared" si="21"/>
        <v>0</v>
      </c>
      <c r="AP65" s="28" t="str">
        <f t="shared" si="21"/>
        <v>×週当たり実施日数×加算率</v>
      </c>
      <c r="AQ65" s="28">
        <f t="shared" si="21"/>
        <v>0</v>
      </c>
      <c r="AR65" s="28"/>
      <c r="AS65" s="28"/>
      <c r="AT65" s="28"/>
      <c r="AU65" s="28"/>
      <c r="AV65" s="28">
        <f t="shared" si="21"/>
        <v>0</v>
      </c>
      <c r="AW65" s="28"/>
      <c r="AX65" s="28"/>
      <c r="AY65" s="28">
        <f t="shared" si="21"/>
        <v>0</v>
      </c>
      <c r="AZ65" s="29"/>
      <c r="BA65" s="28">
        <f t="shared" si="21"/>
        <v>0</v>
      </c>
      <c r="BB65" s="28"/>
      <c r="BC65" s="32"/>
    </row>
    <row r="66" spans="1:55" s="27" customFormat="1">
      <c r="A66" s="2211"/>
      <c r="B66" s="77">
        <v>61</v>
      </c>
      <c r="C66" s="28"/>
      <c r="D66" s="28" t="str">
        <f>D18</f>
        <v>３歳児</v>
      </c>
      <c r="E66" s="28">
        <f>E18</f>
        <v>0</v>
      </c>
      <c r="F66" s="28">
        <f>F18</f>
        <v>45200</v>
      </c>
      <c r="G66" s="28">
        <f t="shared" ref="G66:BA66" si="22">G18</f>
        <v>0</v>
      </c>
      <c r="H66" s="28" t="str">
        <f t="shared" si="22"/>
        <v>＋</v>
      </c>
      <c r="I66" s="28">
        <f t="shared" si="22"/>
        <v>430</v>
      </c>
      <c r="J66" s="28">
        <f t="shared" si="22"/>
        <v>0</v>
      </c>
      <c r="K66" s="28" t="str">
        <f t="shared" si="22"/>
        <v>×加算率</v>
      </c>
      <c r="L66" s="28">
        <f t="shared" si="22"/>
        <v>0</v>
      </c>
      <c r="M66" s="28"/>
      <c r="N66" s="28"/>
      <c r="O66" s="28"/>
      <c r="P66" s="28"/>
      <c r="Q66" s="28">
        <f t="shared" si="22"/>
        <v>7070</v>
      </c>
      <c r="R66" s="28">
        <f t="shared" si="22"/>
        <v>70</v>
      </c>
      <c r="S66" s="28" t="str">
        <f t="shared" si="22"/>
        <v>＋</v>
      </c>
      <c r="T66" s="28">
        <f t="shared" si="22"/>
        <v>49520</v>
      </c>
      <c r="U66" s="28" t="str">
        <f t="shared" si="22"/>
        <v>＋</v>
      </c>
      <c r="V66" s="28">
        <f t="shared" si="22"/>
        <v>490</v>
      </c>
      <c r="W66" s="28" t="str">
        <f t="shared" si="22"/>
        <v>＋</v>
      </c>
      <c r="X66" s="28">
        <f t="shared" si="22"/>
        <v>42450</v>
      </c>
      <c r="Y66" s="28" t="str">
        <f t="shared" si="22"/>
        <v>＋</v>
      </c>
      <c r="Z66" s="28">
        <f t="shared" si="22"/>
        <v>420</v>
      </c>
      <c r="AA66" s="28">
        <f t="shared" si="22"/>
        <v>0</v>
      </c>
      <c r="AB66" s="28">
        <f t="shared" si="22"/>
        <v>0</v>
      </c>
      <c r="AC66" s="28">
        <f t="shared" si="22"/>
        <v>0</v>
      </c>
      <c r="AD66" s="28">
        <f t="shared" si="22"/>
        <v>0</v>
      </c>
      <c r="AE66" s="28">
        <f t="shared" si="22"/>
        <v>0</v>
      </c>
      <c r="AF66" s="28">
        <f t="shared" si="22"/>
        <v>0</v>
      </c>
      <c r="AG66" s="28">
        <f t="shared" si="22"/>
        <v>0</v>
      </c>
      <c r="AH66" s="28">
        <f t="shared" si="22"/>
        <v>0</v>
      </c>
      <c r="AI66" s="28">
        <f t="shared" si="22"/>
        <v>0</v>
      </c>
      <c r="AJ66" s="28">
        <f t="shared" si="22"/>
        <v>0</v>
      </c>
      <c r="AK66" s="28">
        <f t="shared" si="22"/>
        <v>0</v>
      </c>
      <c r="AL66" s="28">
        <f t="shared" si="22"/>
        <v>0</v>
      </c>
      <c r="AM66" s="28">
        <f t="shared" si="22"/>
        <v>0</v>
      </c>
      <c r="AN66" s="28" t="str">
        <f t="shared" si="22"/>
        <v>×週当たり実施日数</v>
      </c>
      <c r="AO66" s="28">
        <f t="shared" si="22"/>
        <v>0</v>
      </c>
      <c r="AP66" s="28" t="str">
        <f t="shared" si="22"/>
        <v>×週当たり実施日数×加算率</v>
      </c>
      <c r="AQ66" s="28">
        <f t="shared" si="22"/>
        <v>0</v>
      </c>
      <c r="AR66" s="28"/>
      <c r="AS66" s="28"/>
      <c r="AT66" s="28"/>
      <c r="AU66" s="28"/>
      <c r="AV66" s="28">
        <f t="shared" si="22"/>
        <v>0</v>
      </c>
      <c r="AW66" s="28"/>
      <c r="AX66" s="28"/>
      <c r="AY66" s="28">
        <f t="shared" si="22"/>
        <v>0</v>
      </c>
      <c r="AZ66" s="29"/>
      <c r="BA66" s="28">
        <f t="shared" si="22"/>
        <v>0</v>
      </c>
      <c r="BB66" s="28"/>
      <c r="BC66" s="32"/>
    </row>
    <row r="67" spans="1:55" s="27" customFormat="1">
      <c r="A67" s="2211"/>
      <c r="B67" s="77">
        <v>76</v>
      </c>
      <c r="C67" s="28"/>
      <c r="D67" s="28" t="str">
        <f>D20</f>
        <v>３歳児</v>
      </c>
      <c r="E67" s="28">
        <f>E20</f>
        <v>0</v>
      </c>
      <c r="F67" s="28">
        <f>F20</f>
        <v>41940</v>
      </c>
      <c r="G67" s="28">
        <f t="shared" ref="G67:BA67" si="23">G20</f>
        <v>0</v>
      </c>
      <c r="H67" s="28" t="str">
        <f t="shared" si="23"/>
        <v>＋</v>
      </c>
      <c r="I67" s="28">
        <f t="shared" si="23"/>
        <v>400</v>
      </c>
      <c r="J67" s="28">
        <f t="shared" si="23"/>
        <v>0</v>
      </c>
      <c r="K67" s="28" t="str">
        <f t="shared" si="23"/>
        <v>×加算率</v>
      </c>
      <c r="L67" s="28">
        <f t="shared" si="23"/>
        <v>0</v>
      </c>
      <c r="M67" s="28"/>
      <c r="N67" s="28"/>
      <c r="O67" s="28"/>
      <c r="P67" s="28"/>
      <c r="Q67" s="28">
        <f t="shared" si="23"/>
        <v>7070</v>
      </c>
      <c r="R67" s="28">
        <f t="shared" si="23"/>
        <v>70</v>
      </c>
      <c r="S67" s="28" t="str">
        <f t="shared" si="23"/>
        <v>＋</v>
      </c>
      <c r="T67" s="28">
        <f t="shared" si="23"/>
        <v>49520</v>
      </c>
      <c r="U67" s="28" t="str">
        <f t="shared" si="23"/>
        <v>＋</v>
      </c>
      <c r="V67" s="28">
        <f t="shared" si="23"/>
        <v>490</v>
      </c>
      <c r="W67" s="28" t="str">
        <f t="shared" si="23"/>
        <v>＋</v>
      </c>
      <c r="X67" s="28">
        <f t="shared" si="23"/>
        <v>42450</v>
      </c>
      <c r="Y67" s="28" t="str">
        <f t="shared" si="23"/>
        <v>＋</v>
      </c>
      <c r="Z67" s="28">
        <f t="shared" si="23"/>
        <v>420</v>
      </c>
      <c r="AA67" s="28">
        <f t="shared" si="23"/>
        <v>0</v>
      </c>
      <c r="AB67" s="28">
        <f t="shared" si="23"/>
        <v>0</v>
      </c>
      <c r="AC67" s="28">
        <f t="shared" si="23"/>
        <v>0</v>
      </c>
      <c r="AD67" s="28">
        <f t="shared" si="23"/>
        <v>0</v>
      </c>
      <c r="AE67" s="28">
        <f t="shared" si="23"/>
        <v>0</v>
      </c>
      <c r="AF67" s="28">
        <f t="shared" si="23"/>
        <v>0</v>
      </c>
      <c r="AG67" s="28">
        <f t="shared" si="23"/>
        <v>0</v>
      </c>
      <c r="AH67" s="28">
        <f t="shared" si="23"/>
        <v>0</v>
      </c>
      <c r="AI67" s="28">
        <f t="shared" si="23"/>
        <v>0</v>
      </c>
      <c r="AJ67" s="28">
        <f t="shared" si="23"/>
        <v>0</v>
      </c>
      <c r="AK67" s="28">
        <f t="shared" si="23"/>
        <v>0</v>
      </c>
      <c r="AL67" s="28">
        <f t="shared" si="23"/>
        <v>0</v>
      </c>
      <c r="AM67" s="28">
        <f t="shared" si="23"/>
        <v>0</v>
      </c>
      <c r="AN67" s="28" t="str">
        <f t="shared" si="23"/>
        <v>×週当たり実施日数</v>
      </c>
      <c r="AO67" s="28">
        <f t="shared" si="23"/>
        <v>0</v>
      </c>
      <c r="AP67" s="28" t="str">
        <f t="shared" si="23"/>
        <v>×週当たり実施日数×加算率</v>
      </c>
      <c r="AQ67" s="28">
        <f t="shared" si="23"/>
        <v>0</v>
      </c>
      <c r="AR67" s="28"/>
      <c r="AS67" s="28"/>
      <c r="AT67" s="28"/>
      <c r="AU67" s="28"/>
      <c r="AV67" s="28">
        <f t="shared" si="23"/>
        <v>0</v>
      </c>
      <c r="AW67" s="28"/>
      <c r="AX67" s="28"/>
      <c r="AY67" s="28">
        <f t="shared" si="23"/>
        <v>0</v>
      </c>
      <c r="AZ67" s="29"/>
      <c r="BA67" s="28">
        <f t="shared" si="23"/>
        <v>0</v>
      </c>
      <c r="BB67" s="28"/>
      <c r="BC67" s="32"/>
    </row>
    <row r="68" spans="1:55" s="27" customFormat="1">
      <c r="A68" s="2211"/>
      <c r="B68" s="77">
        <v>91</v>
      </c>
      <c r="C68" s="28"/>
      <c r="D68" s="28" t="str">
        <f>D22</f>
        <v>３歳児</v>
      </c>
      <c r="E68" s="28">
        <f>E22</f>
        <v>0</v>
      </c>
      <c r="F68" s="28">
        <f>F22</f>
        <v>39610</v>
      </c>
      <c r="G68" s="28">
        <f t="shared" ref="G68:BA68" si="24">G22</f>
        <v>0</v>
      </c>
      <c r="H68" s="28" t="str">
        <f t="shared" si="24"/>
        <v>＋</v>
      </c>
      <c r="I68" s="28">
        <f t="shared" si="24"/>
        <v>370</v>
      </c>
      <c r="J68" s="28">
        <f t="shared" si="24"/>
        <v>0</v>
      </c>
      <c r="K68" s="28" t="str">
        <f t="shared" si="24"/>
        <v>×加算率</v>
      </c>
      <c r="L68" s="28">
        <f t="shared" si="24"/>
        <v>0</v>
      </c>
      <c r="M68" s="28"/>
      <c r="N68" s="28"/>
      <c r="O68" s="28"/>
      <c r="P68" s="28"/>
      <c r="Q68" s="28">
        <f t="shared" si="24"/>
        <v>7070</v>
      </c>
      <c r="R68" s="28">
        <f t="shared" si="24"/>
        <v>70</v>
      </c>
      <c r="S68" s="28" t="str">
        <f t="shared" si="24"/>
        <v>＋</v>
      </c>
      <c r="T68" s="28">
        <f t="shared" si="24"/>
        <v>49520</v>
      </c>
      <c r="U68" s="28" t="str">
        <f t="shared" si="24"/>
        <v>＋</v>
      </c>
      <c r="V68" s="28">
        <f t="shared" si="24"/>
        <v>490</v>
      </c>
      <c r="W68" s="28" t="str">
        <f t="shared" si="24"/>
        <v>＋</v>
      </c>
      <c r="X68" s="28">
        <f t="shared" si="24"/>
        <v>42450</v>
      </c>
      <c r="Y68" s="28" t="str">
        <f t="shared" si="24"/>
        <v>＋</v>
      </c>
      <c r="Z68" s="28">
        <f t="shared" si="24"/>
        <v>420</v>
      </c>
      <c r="AA68" s="28">
        <f t="shared" si="24"/>
        <v>0</v>
      </c>
      <c r="AB68" s="28">
        <f t="shared" si="24"/>
        <v>0</v>
      </c>
      <c r="AC68" s="28">
        <f t="shared" si="24"/>
        <v>0</v>
      </c>
      <c r="AD68" s="28">
        <f t="shared" si="24"/>
        <v>0</v>
      </c>
      <c r="AE68" s="28">
        <f t="shared" si="24"/>
        <v>0</v>
      </c>
      <c r="AF68" s="28">
        <f t="shared" si="24"/>
        <v>0</v>
      </c>
      <c r="AG68" s="28">
        <f t="shared" si="24"/>
        <v>0</v>
      </c>
      <c r="AH68" s="28">
        <f t="shared" si="24"/>
        <v>0</v>
      </c>
      <c r="AI68" s="28">
        <f t="shared" si="24"/>
        <v>0</v>
      </c>
      <c r="AJ68" s="28">
        <f t="shared" si="24"/>
        <v>0</v>
      </c>
      <c r="AK68" s="28">
        <f t="shared" si="24"/>
        <v>0</v>
      </c>
      <c r="AL68" s="28">
        <f t="shared" si="24"/>
        <v>0</v>
      </c>
      <c r="AM68" s="28">
        <f t="shared" si="24"/>
        <v>0</v>
      </c>
      <c r="AN68" s="28" t="str">
        <f t="shared" si="24"/>
        <v>×週当たり実施日数</v>
      </c>
      <c r="AO68" s="28">
        <f t="shared" si="24"/>
        <v>0</v>
      </c>
      <c r="AP68" s="28" t="str">
        <f t="shared" si="24"/>
        <v>×週当たり実施日数×加算率</v>
      </c>
      <c r="AQ68" s="28">
        <f t="shared" si="24"/>
        <v>0</v>
      </c>
      <c r="AR68" s="28"/>
      <c r="AS68" s="28"/>
      <c r="AT68" s="28"/>
      <c r="AU68" s="28"/>
      <c r="AV68" s="28">
        <f t="shared" si="24"/>
        <v>0</v>
      </c>
      <c r="AW68" s="28"/>
      <c r="AX68" s="28"/>
      <c r="AY68" s="28">
        <f t="shared" si="24"/>
        <v>0</v>
      </c>
      <c r="AZ68" s="29"/>
      <c r="BA68" s="28">
        <f t="shared" si="24"/>
        <v>0</v>
      </c>
      <c r="BB68" s="28"/>
      <c r="BC68" s="32"/>
    </row>
    <row r="69" spans="1:55" s="27" customFormat="1">
      <c r="A69" s="2211"/>
      <c r="B69" s="77">
        <v>106</v>
      </c>
      <c r="C69" s="28"/>
      <c r="D69" s="28" t="str">
        <f>D24</f>
        <v>３歳児</v>
      </c>
      <c r="E69" s="28">
        <f>E24</f>
        <v>0</v>
      </c>
      <c r="F69" s="28">
        <f>F24</f>
        <v>37890</v>
      </c>
      <c r="G69" s="28">
        <f t="shared" ref="G69:BA69" si="25">G24</f>
        <v>0</v>
      </c>
      <c r="H69" s="28" t="str">
        <f t="shared" si="25"/>
        <v>＋</v>
      </c>
      <c r="I69" s="28">
        <f t="shared" si="25"/>
        <v>360</v>
      </c>
      <c r="J69" s="28">
        <f t="shared" si="25"/>
        <v>0</v>
      </c>
      <c r="K69" s="28" t="str">
        <f t="shared" si="25"/>
        <v>×加算率</v>
      </c>
      <c r="L69" s="28">
        <f t="shared" si="25"/>
        <v>0</v>
      </c>
      <c r="M69" s="28"/>
      <c r="N69" s="28"/>
      <c r="O69" s="28"/>
      <c r="P69" s="28"/>
      <c r="Q69" s="28">
        <f t="shared" si="25"/>
        <v>7070</v>
      </c>
      <c r="R69" s="28">
        <f t="shared" si="25"/>
        <v>70</v>
      </c>
      <c r="S69" s="28" t="str">
        <f t="shared" si="25"/>
        <v>＋</v>
      </c>
      <c r="T69" s="28">
        <f t="shared" si="25"/>
        <v>49520</v>
      </c>
      <c r="U69" s="28" t="str">
        <f t="shared" si="25"/>
        <v>＋</v>
      </c>
      <c r="V69" s="28">
        <f t="shared" si="25"/>
        <v>490</v>
      </c>
      <c r="W69" s="28" t="str">
        <f t="shared" si="25"/>
        <v>＋</v>
      </c>
      <c r="X69" s="28">
        <f t="shared" si="25"/>
        <v>42450</v>
      </c>
      <c r="Y69" s="28" t="str">
        <f t="shared" si="25"/>
        <v>＋</v>
      </c>
      <c r="Z69" s="28">
        <f t="shared" si="25"/>
        <v>420</v>
      </c>
      <c r="AA69" s="28">
        <f t="shared" si="25"/>
        <v>0</v>
      </c>
      <c r="AB69" s="28">
        <f t="shared" si="25"/>
        <v>0</v>
      </c>
      <c r="AC69" s="28">
        <f t="shared" si="25"/>
        <v>0</v>
      </c>
      <c r="AD69" s="28">
        <f t="shared" si="25"/>
        <v>0</v>
      </c>
      <c r="AE69" s="28">
        <f t="shared" si="25"/>
        <v>0</v>
      </c>
      <c r="AF69" s="28">
        <f t="shared" si="25"/>
        <v>0</v>
      </c>
      <c r="AG69" s="28">
        <f t="shared" si="25"/>
        <v>0</v>
      </c>
      <c r="AH69" s="28">
        <f t="shared" si="25"/>
        <v>0</v>
      </c>
      <c r="AI69" s="28">
        <f t="shared" si="25"/>
        <v>0</v>
      </c>
      <c r="AJ69" s="28">
        <f t="shared" si="25"/>
        <v>0</v>
      </c>
      <c r="AK69" s="28">
        <f t="shared" si="25"/>
        <v>0</v>
      </c>
      <c r="AL69" s="28">
        <f t="shared" si="25"/>
        <v>0</v>
      </c>
      <c r="AM69" s="28">
        <f t="shared" si="25"/>
        <v>0</v>
      </c>
      <c r="AN69" s="28" t="str">
        <f t="shared" si="25"/>
        <v>×週当たり実施日数</v>
      </c>
      <c r="AO69" s="28">
        <f t="shared" si="25"/>
        <v>0</v>
      </c>
      <c r="AP69" s="28" t="str">
        <f t="shared" si="25"/>
        <v>×週当たり実施日数×加算率</v>
      </c>
      <c r="AQ69" s="28">
        <f t="shared" si="25"/>
        <v>0</v>
      </c>
      <c r="AR69" s="28"/>
      <c r="AS69" s="28"/>
      <c r="AT69" s="28"/>
      <c r="AU69" s="28"/>
      <c r="AV69" s="28">
        <f t="shared" si="25"/>
        <v>0</v>
      </c>
      <c r="AW69" s="28"/>
      <c r="AX69" s="28"/>
      <c r="AY69" s="28">
        <f t="shared" si="25"/>
        <v>0</v>
      </c>
      <c r="AZ69" s="29"/>
      <c r="BA69" s="28">
        <f t="shared" si="25"/>
        <v>0</v>
      </c>
      <c r="BB69" s="28"/>
      <c r="BC69" s="32"/>
    </row>
    <row r="70" spans="1:55" s="27" customFormat="1">
      <c r="A70" s="2211"/>
      <c r="B70" s="77">
        <v>121</v>
      </c>
      <c r="C70" s="28"/>
      <c r="D70" s="28" t="str">
        <f>D26</f>
        <v>３歳児</v>
      </c>
      <c r="E70" s="28">
        <f>E26</f>
        <v>0</v>
      </c>
      <c r="F70" s="28">
        <f>F26</f>
        <v>36520</v>
      </c>
      <c r="G70" s="28">
        <f t="shared" ref="G70:BA70" si="26">G26</f>
        <v>0</v>
      </c>
      <c r="H70" s="28" t="str">
        <f t="shared" si="26"/>
        <v>＋</v>
      </c>
      <c r="I70" s="28">
        <f t="shared" si="26"/>
        <v>340</v>
      </c>
      <c r="J70" s="28">
        <f t="shared" si="26"/>
        <v>0</v>
      </c>
      <c r="K70" s="28" t="str">
        <f t="shared" si="26"/>
        <v>×加算率</v>
      </c>
      <c r="L70" s="28">
        <f t="shared" si="26"/>
        <v>0</v>
      </c>
      <c r="M70" s="28"/>
      <c r="N70" s="28"/>
      <c r="O70" s="28"/>
      <c r="P70" s="28"/>
      <c r="Q70" s="28">
        <f t="shared" si="26"/>
        <v>7070</v>
      </c>
      <c r="R70" s="28">
        <f t="shared" si="26"/>
        <v>70</v>
      </c>
      <c r="S70" s="28" t="str">
        <f t="shared" si="26"/>
        <v>＋</v>
      </c>
      <c r="T70" s="28">
        <f t="shared" si="26"/>
        <v>49520</v>
      </c>
      <c r="U70" s="28" t="str">
        <f t="shared" si="26"/>
        <v>＋</v>
      </c>
      <c r="V70" s="28">
        <f t="shared" si="26"/>
        <v>490</v>
      </c>
      <c r="W70" s="28" t="str">
        <f t="shared" si="26"/>
        <v>＋</v>
      </c>
      <c r="X70" s="28">
        <f t="shared" si="26"/>
        <v>42450</v>
      </c>
      <c r="Y70" s="28" t="str">
        <f t="shared" si="26"/>
        <v>＋</v>
      </c>
      <c r="Z70" s="28">
        <f t="shared" si="26"/>
        <v>420</v>
      </c>
      <c r="AA70" s="28">
        <f t="shared" si="26"/>
        <v>0</v>
      </c>
      <c r="AB70" s="28">
        <f t="shared" si="26"/>
        <v>0</v>
      </c>
      <c r="AC70" s="28">
        <f t="shared" si="26"/>
        <v>0</v>
      </c>
      <c r="AD70" s="28">
        <f t="shared" si="26"/>
        <v>0</v>
      </c>
      <c r="AE70" s="28">
        <f t="shared" si="26"/>
        <v>0</v>
      </c>
      <c r="AF70" s="28">
        <f t="shared" si="26"/>
        <v>0</v>
      </c>
      <c r="AG70" s="28">
        <f t="shared" si="26"/>
        <v>0</v>
      </c>
      <c r="AH70" s="28">
        <f t="shared" si="26"/>
        <v>0</v>
      </c>
      <c r="AI70" s="28">
        <f t="shared" si="26"/>
        <v>0</v>
      </c>
      <c r="AJ70" s="28">
        <f t="shared" si="26"/>
        <v>0</v>
      </c>
      <c r="AK70" s="28">
        <f t="shared" si="26"/>
        <v>0</v>
      </c>
      <c r="AL70" s="28">
        <f t="shared" si="26"/>
        <v>0</v>
      </c>
      <c r="AM70" s="28">
        <f t="shared" si="26"/>
        <v>0</v>
      </c>
      <c r="AN70" s="28" t="str">
        <f t="shared" si="26"/>
        <v>×週当たり実施日数</v>
      </c>
      <c r="AO70" s="28">
        <f t="shared" si="26"/>
        <v>0</v>
      </c>
      <c r="AP70" s="28" t="str">
        <f t="shared" si="26"/>
        <v>×週当たり実施日数×加算率</v>
      </c>
      <c r="AQ70" s="28">
        <f t="shared" si="26"/>
        <v>0</v>
      </c>
      <c r="AR70" s="28"/>
      <c r="AS70" s="28"/>
      <c r="AT70" s="28"/>
      <c r="AU70" s="28"/>
      <c r="AV70" s="28">
        <f t="shared" si="26"/>
        <v>0</v>
      </c>
      <c r="AW70" s="28"/>
      <c r="AX70" s="28"/>
      <c r="AY70" s="28">
        <f t="shared" si="26"/>
        <v>0</v>
      </c>
      <c r="AZ70" s="29"/>
      <c r="BA70" s="28">
        <f t="shared" si="26"/>
        <v>0</v>
      </c>
      <c r="BB70" s="28"/>
      <c r="BC70" s="32"/>
    </row>
    <row r="71" spans="1:55" s="27" customFormat="1">
      <c r="A71" s="2211"/>
      <c r="B71" s="77">
        <v>136</v>
      </c>
      <c r="C71" s="28"/>
      <c r="D71" s="28" t="str">
        <f>D28</f>
        <v>３歳児</v>
      </c>
      <c r="E71" s="28">
        <f>E28</f>
        <v>0</v>
      </c>
      <c r="F71" s="28">
        <f>F28</f>
        <v>35450</v>
      </c>
      <c r="G71" s="28">
        <f t="shared" ref="G71:BA71" si="27">G28</f>
        <v>0</v>
      </c>
      <c r="H71" s="28" t="str">
        <f t="shared" si="27"/>
        <v>＋</v>
      </c>
      <c r="I71" s="28">
        <f t="shared" si="27"/>
        <v>330</v>
      </c>
      <c r="J71" s="28">
        <f t="shared" si="27"/>
        <v>0</v>
      </c>
      <c r="K71" s="28" t="str">
        <f t="shared" si="27"/>
        <v>×加算率</v>
      </c>
      <c r="L71" s="28">
        <f t="shared" si="27"/>
        <v>0</v>
      </c>
      <c r="M71" s="28"/>
      <c r="N71" s="28"/>
      <c r="O71" s="28"/>
      <c r="P71" s="28"/>
      <c r="Q71" s="28">
        <f t="shared" si="27"/>
        <v>7070</v>
      </c>
      <c r="R71" s="28">
        <f t="shared" si="27"/>
        <v>70</v>
      </c>
      <c r="S71" s="28" t="str">
        <f t="shared" si="27"/>
        <v>＋</v>
      </c>
      <c r="T71" s="28">
        <f t="shared" si="27"/>
        <v>49520</v>
      </c>
      <c r="U71" s="28" t="str">
        <f t="shared" si="27"/>
        <v>＋</v>
      </c>
      <c r="V71" s="28">
        <f t="shared" si="27"/>
        <v>490</v>
      </c>
      <c r="W71" s="28" t="str">
        <f t="shared" si="27"/>
        <v>＋</v>
      </c>
      <c r="X71" s="28">
        <f t="shared" si="27"/>
        <v>42450</v>
      </c>
      <c r="Y71" s="28" t="str">
        <f t="shared" si="27"/>
        <v>＋</v>
      </c>
      <c r="Z71" s="28">
        <f t="shared" si="27"/>
        <v>420</v>
      </c>
      <c r="AA71" s="28">
        <f t="shared" si="27"/>
        <v>0</v>
      </c>
      <c r="AB71" s="28">
        <f t="shared" si="27"/>
        <v>0</v>
      </c>
      <c r="AC71" s="28">
        <f t="shared" si="27"/>
        <v>0</v>
      </c>
      <c r="AD71" s="28">
        <f t="shared" si="27"/>
        <v>0</v>
      </c>
      <c r="AE71" s="28">
        <f t="shared" si="27"/>
        <v>0</v>
      </c>
      <c r="AF71" s="28">
        <f t="shared" si="27"/>
        <v>0</v>
      </c>
      <c r="AG71" s="28">
        <f t="shared" si="27"/>
        <v>0</v>
      </c>
      <c r="AH71" s="28">
        <f t="shared" si="27"/>
        <v>0</v>
      </c>
      <c r="AI71" s="28">
        <f t="shared" si="27"/>
        <v>0</v>
      </c>
      <c r="AJ71" s="28">
        <f t="shared" si="27"/>
        <v>0</v>
      </c>
      <c r="AK71" s="28">
        <f t="shared" si="27"/>
        <v>0</v>
      </c>
      <c r="AL71" s="28">
        <f t="shared" si="27"/>
        <v>0</v>
      </c>
      <c r="AM71" s="28">
        <f t="shared" si="27"/>
        <v>0</v>
      </c>
      <c r="AN71" s="28" t="str">
        <f t="shared" si="27"/>
        <v>×週当たり実施日数</v>
      </c>
      <c r="AO71" s="28">
        <f t="shared" si="27"/>
        <v>0</v>
      </c>
      <c r="AP71" s="28" t="str">
        <f t="shared" si="27"/>
        <v>×週当たり実施日数×加算率</v>
      </c>
      <c r="AQ71" s="28">
        <f t="shared" si="27"/>
        <v>0</v>
      </c>
      <c r="AR71" s="28"/>
      <c r="AS71" s="28"/>
      <c r="AT71" s="28"/>
      <c r="AU71" s="28"/>
      <c r="AV71" s="28">
        <f t="shared" si="27"/>
        <v>0</v>
      </c>
      <c r="AW71" s="28"/>
      <c r="AX71" s="28"/>
      <c r="AY71" s="28">
        <f t="shared" si="27"/>
        <v>0</v>
      </c>
      <c r="AZ71" s="29"/>
      <c r="BA71" s="28">
        <f t="shared" si="27"/>
        <v>0</v>
      </c>
      <c r="BB71" s="28"/>
      <c r="BC71" s="32"/>
    </row>
    <row r="72" spans="1:55" s="27" customFormat="1">
      <c r="A72" s="2211"/>
      <c r="B72" s="77">
        <v>151</v>
      </c>
      <c r="C72" s="28"/>
      <c r="D72" s="28" t="str">
        <f>D30</f>
        <v>３歳児</v>
      </c>
      <c r="E72" s="28">
        <f>E30</f>
        <v>0</v>
      </c>
      <c r="F72" s="28">
        <f>F30</f>
        <v>33830</v>
      </c>
      <c r="G72" s="28">
        <f t="shared" ref="G72:BA72" si="28">G30</f>
        <v>0</v>
      </c>
      <c r="H72" s="28" t="str">
        <f t="shared" si="28"/>
        <v>＋</v>
      </c>
      <c r="I72" s="28">
        <f t="shared" si="28"/>
        <v>310</v>
      </c>
      <c r="J72" s="28">
        <f t="shared" si="28"/>
        <v>0</v>
      </c>
      <c r="K72" s="28" t="str">
        <f t="shared" si="28"/>
        <v>×加算率</v>
      </c>
      <c r="L72" s="28">
        <f t="shared" si="28"/>
        <v>0</v>
      </c>
      <c r="M72" s="28"/>
      <c r="N72" s="28"/>
      <c r="O72" s="28"/>
      <c r="P72" s="28"/>
      <c r="Q72" s="28">
        <f t="shared" si="28"/>
        <v>7070</v>
      </c>
      <c r="R72" s="28">
        <f t="shared" si="28"/>
        <v>70</v>
      </c>
      <c r="S72" s="28" t="str">
        <f t="shared" si="28"/>
        <v>＋</v>
      </c>
      <c r="T72" s="28">
        <f t="shared" si="28"/>
        <v>49520</v>
      </c>
      <c r="U72" s="28" t="str">
        <f t="shared" si="28"/>
        <v>＋</v>
      </c>
      <c r="V72" s="28">
        <f t="shared" si="28"/>
        <v>490</v>
      </c>
      <c r="W72" s="28" t="str">
        <f t="shared" si="28"/>
        <v>＋</v>
      </c>
      <c r="X72" s="28">
        <f t="shared" si="28"/>
        <v>42450</v>
      </c>
      <c r="Y72" s="28" t="str">
        <f t="shared" si="28"/>
        <v>＋</v>
      </c>
      <c r="Z72" s="28">
        <f t="shared" si="28"/>
        <v>420</v>
      </c>
      <c r="AA72" s="28">
        <f t="shared" si="28"/>
        <v>0</v>
      </c>
      <c r="AB72" s="28">
        <f t="shared" si="28"/>
        <v>0</v>
      </c>
      <c r="AC72" s="28">
        <f t="shared" si="28"/>
        <v>0</v>
      </c>
      <c r="AD72" s="28">
        <f t="shared" si="28"/>
        <v>0</v>
      </c>
      <c r="AE72" s="28">
        <f t="shared" si="28"/>
        <v>0</v>
      </c>
      <c r="AF72" s="28">
        <f t="shared" si="28"/>
        <v>0</v>
      </c>
      <c r="AG72" s="28">
        <f t="shared" si="28"/>
        <v>0</v>
      </c>
      <c r="AH72" s="28">
        <f t="shared" si="28"/>
        <v>0</v>
      </c>
      <c r="AI72" s="28">
        <f t="shared" si="28"/>
        <v>0</v>
      </c>
      <c r="AJ72" s="28">
        <f t="shared" si="28"/>
        <v>0</v>
      </c>
      <c r="AK72" s="28">
        <f t="shared" si="28"/>
        <v>0</v>
      </c>
      <c r="AL72" s="28">
        <f t="shared" si="28"/>
        <v>0</v>
      </c>
      <c r="AM72" s="28">
        <f t="shared" si="28"/>
        <v>0</v>
      </c>
      <c r="AN72" s="28" t="str">
        <f t="shared" si="28"/>
        <v>×週当たり実施日数</v>
      </c>
      <c r="AO72" s="28">
        <f t="shared" si="28"/>
        <v>0</v>
      </c>
      <c r="AP72" s="28" t="str">
        <f t="shared" si="28"/>
        <v>×週当たり実施日数×加算率</v>
      </c>
      <c r="AQ72" s="28">
        <f t="shared" si="28"/>
        <v>0</v>
      </c>
      <c r="AR72" s="28"/>
      <c r="AS72" s="28"/>
      <c r="AT72" s="28"/>
      <c r="AU72" s="28"/>
      <c r="AV72" s="28">
        <f t="shared" si="28"/>
        <v>0</v>
      </c>
      <c r="AW72" s="28"/>
      <c r="AX72" s="28"/>
      <c r="AY72" s="28">
        <f t="shared" si="28"/>
        <v>0</v>
      </c>
      <c r="AZ72" s="29"/>
      <c r="BA72" s="28">
        <f t="shared" si="28"/>
        <v>0</v>
      </c>
      <c r="BB72" s="28"/>
      <c r="BC72" s="32"/>
    </row>
    <row r="73" spans="1:55" s="27" customFormat="1">
      <c r="A73" s="2211"/>
      <c r="B73" s="77">
        <v>181</v>
      </c>
      <c r="C73" s="28"/>
      <c r="D73" s="28" t="str">
        <f>D32</f>
        <v>３歳児</v>
      </c>
      <c r="E73" s="28">
        <f>E32</f>
        <v>0</v>
      </c>
      <c r="F73" s="28">
        <f>F32</f>
        <v>32660</v>
      </c>
      <c r="G73" s="28">
        <f t="shared" ref="G73:BA73" si="29">G32</f>
        <v>0</v>
      </c>
      <c r="H73" s="28" t="str">
        <f t="shared" si="29"/>
        <v>＋</v>
      </c>
      <c r="I73" s="28">
        <f t="shared" si="29"/>
        <v>300</v>
      </c>
      <c r="J73" s="28">
        <f t="shared" si="29"/>
        <v>0</v>
      </c>
      <c r="K73" s="28" t="str">
        <f t="shared" si="29"/>
        <v>×加算率</v>
      </c>
      <c r="L73" s="28">
        <f t="shared" si="29"/>
        <v>0</v>
      </c>
      <c r="M73" s="28"/>
      <c r="N73" s="28"/>
      <c r="O73" s="28"/>
      <c r="P73" s="28"/>
      <c r="Q73" s="28">
        <f t="shared" si="29"/>
        <v>7070</v>
      </c>
      <c r="R73" s="28">
        <f t="shared" si="29"/>
        <v>70</v>
      </c>
      <c r="S73" s="28" t="str">
        <f t="shared" si="29"/>
        <v>＋</v>
      </c>
      <c r="T73" s="28">
        <f t="shared" si="29"/>
        <v>49520</v>
      </c>
      <c r="U73" s="28" t="str">
        <f t="shared" si="29"/>
        <v>＋</v>
      </c>
      <c r="V73" s="28">
        <f t="shared" si="29"/>
        <v>490</v>
      </c>
      <c r="W73" s="28" t="str">
        <f t="shared" si="29"/>
        <v>＋</v>
      </c>
      <c r="X73" s="28">
        <f t="shared" si="29"/>
        <v>42450</v>
      </c>
      <c r="Y73" s="28" t="str">
        <f t="shared" si="29"/>
        <v>＋</v>
      </c>
      <c r="Z73" s="28">
        <f t="shared" si="29"/>
        <v>420</v>
      </c>
      <c r="AA73" s="28">
        <f t="shared" si="29"/>
        <v>0</v>
      </c>
      <c r="AB73" s="28">
        <f t="shared" si="29"/>
        <v>0</v>
      </c>
      <c r="AC73" s="28">
        <f t="shared" si="29"/>
        <v>0</v>
      </c>
      <c r="AD73" s="28">
        <f t="shared" si="29"/>
        <v>0</v>
      </c>
      <c r="AE73" s="28">
        <f t="shared" si="29"/>
        <v>0</v>
      </c>
      <c r="AF73" s="28">
        <f t="shared" si="29"/>
        <v>0</v>
      </c>
      <c r="AG73" s="28">
        <f t="shared" si="29"/>
        <v>0</v>
      </c>
      <c r="AH73" s="28">
        <f t="shared" si="29"/>
        <v>0</v>
      </c>
      <c r="AI73" s="28">
        <f t="shared" si="29"/>
        <v>0</v>
      </c>
      <c r="AJ73" s="28">
        <f t="shared" si="29"/>
        <v>0</v>
      </c>
      <c r="AK73" s="28">
        <f t="shared" si="29"/>
        <v>0</v>
      </c>
      <c r="AL73" s="28">
        <f t="shared" si="29"/>
        <v>0</v>
      </c>
      <c r="AM73" s="28">
        <f t="shared" si="29"/>
        <v>0</v>
      </c>
      <c r="AN73" s="28" t="str">
        <f t="shared" si="29"/>
        <v>×週当たり実施日数</v>
      </c>
      <c r="AO73" s="28">
        <f t="shared" si="29"/>
        <v>0</v>
      </c>
      <c r="AP73" s="28" t="str">
        <f t="shared" si="29"/>
        <v>×週当たり実施日数×加算率</v>
      </c>
      <c r="AQ73" s="28">
        <f t="shared" si="29"/>
        <v>0</v>
      </c>
      <c r="AR73" s="28"/>
      <c r="AS73" s="28"/>
      <c r="AT73" s="28"/>
      <c r="AU73" s="28"/>
      <c r="AV73" s="28">
        <f t="shared" si="29"/>
        <v>0</v>
      </c>
      <c r="AW73" s="28"/>
      <c r="AX73" s="28"/>
      <c r="AY73" s="28">
        <f t="shared" si="29"/>
        <v>0</v>
      </c>
      <c r="AZ73" s="29"/>
      <c r="BA73" s="28">
        <f t="shared" si="29"/>
        <v>0</v>
      </c>
      <c r="BB73" s="28"/>
      <c r="BC73" s="32"/>
    </row>
    <row r="74" spans="1:55" s="27" customFormat="1">
      <c r="A74" s="2211"/>
      <c r="B74" s="77">
        <v>211</v>
      </c>
      <c r="C74" s="28"/>
      <c r="D74" s="28" t="str">
        <f>D34</f>
        <v>３歳児</v>
      </c>
      <c r="E74" s="28">
        <f>E34</f>
        <v>0</v>
      </c>
      <c r="F74" s="28">
        <f>F34</f>
        <v>31790</v>
      </c>
      <c r="G74" s="28">
        <f t="shared" ref="G74:BA74" si="30">G34</f>
        <v>0</v>
      </c>
      <c r="H74" s="28" t="str">
        <f t="shared" si="30"/>
        <v>＋</v>
      </c>
      <c r="I74" s="28">
        <f t="shared" si="30"/>
        <v>290</v>
      </c>
      <c r="J74" s="28">
        <f t="shared" si="30"/>
        <v>0</v>
      </c>
      <c r="K74" s="28" t="str">
        <f t="shared" si="30"/>
        <v>×加算率</v>
      </c>
      <c r="L74" s="28">
        <f t="shared" si="30"/>
        <v>0</v>
      </c>
      <c r="M74" s="28"/>
      <c r="N74" s="28"/>
      <c r="O74" s="28"/>
      <c r="P74" s="28"/>
      <c r="Q74" s="28">
        <f t="shared" si="30"/>
        <v>7070</v>
      </c>
      <c r="R74" s="28">
        <f t="shared" si="30"/>
        <v>70</v>
      </c>
      <c r="S74" s="28" t="str">
        <f t="shared" si="30"/>
        <v>＋</v>
      </c>
      <c r="T74" s="28">
        <f t="shared" si="30"/>
        <v>49520</v>
      </c>
      <c r="U74" s="28" t="str">
        <f t="shared" si="30"/>
        <v>＋</v>
      </c>
      <c r="V74" s="28">
        <f t="shared" si="30"/>
        <v>490</v>
      </c>
      <c r="W74" s="28" t="str">
        <f t="shared" si="30"/>
        <v>＋</v>
      </c>
      <c r="X74" s="28">
        <f t="shared" si="30"/>
        <v>42450</v>
      </c>
      <c r="Y74" s="28" t="str">
        <f t="shared" si="30"/>
        <v>＋</v>
      </c>
      <c r="Z74" s="28">
        <f t="shared" si="30"/>
        <v>420</v>
      </c>
      <c r="AA74" s="28">
        <f t="shared" si="30"/>
        <v>0</v>
      </c>
      <c r="AB74" s="28">
        <f t="shared" si="30"/>
        <v>0</v>
      </c>
      <c r="AC74" s="28">
        <f t="shared" si="30"/>
        <v>0</v>
      </c>
      <c r="AD74" s="28">
        <f t="shared" si="30"/>
        <v>0</v>
      </c>
      <c r="AE74" s="28">
        <f t="shared" si="30"/>
        <v>0</v>
      </c>
      <c r="AF74" s="28">
        <f t="shared" si="30"/>
        <v>0</v>
      </c>
      <c r="AG74" s="28">
        <f t="shared" si="30"/>
        <v>0</v>
      </c>
      <c r="AH74" s="28">
        <f t="shared" si="30"/>
        <v>0</v>
      </c>
      <c r="AI74" s="28">
        <f t="shared" si="30"/>
        <v>0</v>
      </c>
      <c r="AJ74" s="28">
        <f t="shared" si="30"/>
        <v>0</v>
      </c>
      <c r="AK74" s="28">
        <f t="shared" si="30"/>
        <v>0</v>
      </c>
      <c r="AL74" s="28">
        <f t="shared" si="30"/>
        <v>0</v>
      </c>
      <c r="AM74" s="28">
        <f t="shared" si="30"/>
        <v>0</v>
      </c>
      <c r="AN74" s="28" t="str">
        <f t="shared" si="30"/>
        <v>×週当たり実施日数</v>
      </c>
      <c r="AO74" s="28">
        <f t="shared" si="30"/>
        <v>0</v>
      </c>
      <c r="AP74" s="28" t="str">
        <f t="shared" si="30"/>
        <v>×週当たり実施日数×加算率</v>
      </c>
      <c r="AQ74" s="28">
        <f t="shared" si="30"/>
        <v>0</v>
      </c>
      <c r="AR74" s="28"/>
      <c r="AS74" s="28"/>
      <c r="AT74" s="28"/>
      <c r="AU74" s="28"/>
      <c r="AV74" s="28">
        <f t="shared" si="30"/>
        <v>0</v>
      </c>
      <c r="AW74" s="28"/>
      <c r="AX74" s="28"/>
      <c r="AY74" s="28">
        <f t="shared" si="30"/>
        <v>0</v>
      </c>
      <c r="AZ74" s="29"/>
      <c r="BA74" s="28">
        <f t="shared" si="30"/>
        <v>0</v>
      </c>
      <c r="BB74" s="28"/>
      <c r="BC74" s="32"/>
    </row>
    <row r="75" spans="1:55" s="27" customFormat="1">
      <c r="A75" s="2211"/>
      <c r="B75" s="77">
        <v>241</v>
      </c>
      <c r="C75" s="28"/>
      <c r="D75" s="28" t="str">
        <f>D36</f>
        <v>３歳児</v>
      </c>
      <c r="E75" s="28">
        <f>E36</f>
        <v>0</v>
      </c>
      <c r="F75" s="28">
        <f>F36</f>
        <v>31120</v>
      </c>
      <c r="G75" s="28">
        <f t="shared" ref="G75:BA75" si="31">G36</f>
        <v>0</v>
      </c>
      <c r="H75" s="28" t="str">
        <f t="shared" si="31"/>
        <v>＋</v>
      </c>
      <c r="I75" s="28">
        <f t="shared" si="31"/>
        <v>290</v>
      </c>
      <c r="J75" s="28">
        <f t="shared" si="31"/>
        <v>0</v>
      </c>
      <c r="K75" s="28" t="str">
        <f t="shared" si="31"/>
        <v>×加算率</v>
      </c>
      <c r="L75" s="28">
        <f t="shared" si="31"/>
        <v>0</v>
      </c>
      <c r="M75" s="28"/>
      <c r="N75" s="28"/>
      <c r="O75" s="28"/>
      <c r="P75" s="28"/>
      <c r="Q75" s="28">
        <f t="shared" si="31"/>
        <v>7070</v>
      </c>
      <c r="R75" s="28">
        <f t="shared" si="31"/>
        <v>70</v>
      </c>
      <c r="S75" s="28" t="str">
        <f t="shared" si="31"/>
        <v>＋</v>
      </c>
      <c r="T75" s="28">
        <f t="shared" si="31"/>
        <v>49520</v>
      </c>
      <c r="U75" s="28" t="str">
        <f t="shared" si="31"/>
        <v>＋</v>
      </c>
      <c r="V75" s="28">
        <f t="shared" si="31"/>
        <v>490</v>
      </c>
      <c r="W75" s="28" t="str">
        <f t="shared" si="31"/>
        <v>＋</v>
      </c>
      <c r="X75" s="28">
        <f t="shared" si="31"/>
        <v>42450</v>
      </c>
      <c r="Y75" s="28" t="str">
        <f t="shared" si="31"/>
        <v>＋</v>
      </c>
      <c r="Z75" s="28">
        <f t="shared" si="31"/>
        <v>420</v>
      </c>
      <c r="AA75" s="28">
        <f t="shared" si="31"/>
        <v>0</v>
      </c>
      <c r="AB75" s="28">
        <f t="shared" si="31"/>
        <v>0</v>
      </c>
      <c r="AC75" s="28">
        <f t="shared" si="31"/>
        <v>0</v>
      </c>
      <c r="AD75" s="28">
        <f t="shared" si="31"/>
        <v>0</v>
      </c>
      <c r="AE75" s="28">
        <f t="shared" si="31"/>
        <v>0</v>
      </c>
      <c r="AF75" s="28">
        <f t="shared" si="31"/>
        <v>0</v>
      </c>
      <c r="AG75" s="28">
        <f t="shared" si="31"/>
        <v>0</v>
      </c>
      <c r="AH75" s="28">
        <f t="shared" si="31"/>
        <v>0</v>
      </c>
      <c r="AI75" s="28">
        <f t="shared" si="31"/>
        <v>0</v>
      </c>
      <c r="AJ75" s="28">
        <f t="shared" si="31"/>
        <v>0</v>
      </c>
      <c r="AK75" s="28">
        <f t="shared" si="31"/>
        <v>0</v>
      </c>
      <c r="AL75" s="28">
        <f t="shared" si="31"/>
        <v>0</v>
      </c>
      <c r="AM75" s="28">
        <f t="shared" si="31"/>
        <v>0</v>
      </c>
      <c r="AN75" s="28" t="str">
        <f t="shared" si="31"/>
        <v>×週当たり実施日数</v>
      </c>
      <c r="AO75" s="28">
        <f t="shared" si="31"/>
        <v>0</v>
      </c>
      <c r="AP75" s="28" t="str">
        <f t="shared" si="31"/>
        <v>×週当たり実施日数×加算率</v>
      </c>
      <c r="AQ75" s="28">
        <f t="shared" si="31"/>
        <v>0</v>
      </c>
      <c r="AR75" s="28"/>
      <c r="AS75" s="28"/>
      <c r="AT75" s="28"/>
      <c r="AU75" s="28"/>
      <c r="AV75" s="28">
        <f t="shared" si="31"/>
        <v>0</v>
      </c>
      <c r="AW75" s="28"/>
      <c r="AX75" s="28"/>
      <c r="AY75" s="28">
        <f t="shared" si="31"/>
        <v>0</v>
      </c>
      <c r="AZ75" s="29"/>
      <c r="BA75" s="28">
        <f t="shared" si="31"/>
        <v>0</v>
      </c>
      <c r="BB75" s="28"/>
      <c r="BC75" s="32"/>
    </row>
    <row r="76" spans="1:55" s="27" customFormat="1">
      <c r="A76" s="2211"/>
      <c r="B76" s="77">
        <v>271</v>
      </c>
      <c r="C76" s="28"/>
      <c r="D76" s="28" t="str">
        <f>D38</f>
        <v>３歳児</v>
      </c>
      <c r="E76" s="28">
        <f>E38</f>
        <v>0</v>
      </c>
      <c r="F76" s="28">
        <f>F38</f>
        <v>30580</v>
      </c>
      <c r="G76" s="28">
        <f t="shared" ref="G76:BA76" si="32">G38</f>
        <v>0</v>
      </c>
      <c r="H76" s="28" t="str">
        <f t="shared" si="32"/>
        <v>＋</v>
      </c>
      <c r="I76" s="28">
        <f t="shared" si="32"/>
        <v>280</v>
      </c>
      <c r="J76" s="28">
        <f t="shared" si="32"/>
        <v>0</v>
      </c>
      <c r="K76" s="28" t="str">
        <f t="shared" si="32"/>
        <v>×加算率</v>
      </c>
      <c r="L76" s="28">
        <f t="shared" si="32"/>
        <v>0</v>
      </c>
      <c r="M76" s="28"/>
      <c r="N76" s="28"/>
      <c r="O76" s="28"/>
      <c r="P76" s="28"/>
      <c r="Q76" s="28">
        <f t="shared" si="32"/>
        <v>7070</v>
      </c>
      <c r="R76" s="28">
        <f t="shared" si="32"/>
        <v>70</v>
      </c>
      <c r="S76" s="28" t="str">
        <f t="shared" si="32"/>
        <v>＋</v>
      </c>
      <c r="T76" s="28">
        <f t="shared" si="32"/>
        <v>49520</v>
      </c>
      <c r="U76" s="28" t="str">
        <f t="shared" si="32"/>
        <v>＋</v>
      </c>
      <c r="V76" s="28">
        <f t="shared" si="32"/>
        <v>490</v>
      </c>
      <c r="W76" s="28" t="str">
        <f t="shared" si="32"/>
        <v>＋</v>
      </c>
      <c r="X76" s="28">
        <f t="shared" si="32"/>
        <v>42450</v>
      </c>
      <c r="Y76" s="28" t="str">
        <f t="shared" si="32"/>
        <v>＋</v>
      </c>
      <c r="Z76" s="28">
        <f t="shared" si="32"/>
        <v>420</v>
      </c>
      <c r="AA76" s="28">
        <f t="shared" si="32"/>
        <v>0</v>
      </c>
      <c r="AB76" s="28">
        <f t="shared" si="32"/>
        <v>0</v>
      </c>
      <c r="AC76" s="28">
        <f t="shared" si="32"/>
        <v>0</v>
      </c>
      <c r="AD76" s="28">
        <f t="shared" si="32"/>
        <v>0</v>
      </c>
      <c r="AE76" s="28">
        <f t="shared" si="32"/>
        <v>0</v>
      </c>
      <c r="AF76" s="28">
        <f t="shared" si="32"/>
        <v>0</v>
      </c>
      <c r="AG76" s="28">
        <f t="shared" si="32"/>
        <v>0</v>
      </c>
      <c r="AH76" s="28">
        <f t="shared" si="32"/>
        <v>0</v>
      </c>
      <c r="AI76" s="28">
        <f t="shared" si="32"/>
        <v>0</v>
      </c>
      <c r="AJ76" s="28">
        <f t="shared" si="32"/>
        <v>0</v>
      </c>
      <c r="AK76" s="28">
        <f t="shared" si="32"/>
        <v>0</v>
      </c>
      <c r="AL76" s="28">
        <f t="shared" si="32"/>
        <v>0</v>
      </c>
      <c r="AM76" s="28">
        <f t="shared" si="32"/>
        <v>0</v>
      </c>
      <c r="AN76" s="28" t="str">
        <f t="shared" si="32"/>
        <v>×週当たり実施日数</v>
      </c>
      <c r="AO76" s="28">
        <f t="shared" si="32"/>
        <v>0</v>
      </c>
      <c r="AP76" s="28" t="str">
        <f t="shared" si="32"/>
        <v>×週当たり実施日数×加算率</v>
      </c>
      <c r="AQ76" s="28">
        <f t="shared" si="32"/>
        <v>0</v>
      </c>
      <c r="AR76" s="28"/>
      <c r="AS76" s="28"/>
      <c r="AT76" s="28"/>
      <c r="AU76" s="28"/>
      <c r="AV76" s="28">
        <f t="shared" si="32"/>
        <v>0</v>
      </c>
      <c r="AW76" s="28"/>
      <c r="AX76" s="28"/>
      <c r="AY76" s="28">
        <f t="shared" si="32"/>
        <v>0</v>
      </c>
      <c r="AZ76" s="29"/>
      <c r="BA76" s="28">
        <f t="shared" si="32"/>
        <v>0</v>
      </c>
      <c r="BB76" s="28"/>
      <c r="BC76" s="32"/>
    </row>
    <row r="77" spans="1:55" s="27" customFormat="1">
      <c r="A77" s="2211"/>
      <c r="B77" s="77">
        <v>301</v>
      </c>
      <c r="C77" s="28"/>
      <c r="D77" s="28" t="str">
        <f>D40</f>
        <v>３歳児</v>
      </c>
      <c r="E77" s="28">
        <f>E40</f>
        <v>0</v>
      </c>
      <c r="F77" s="28">
        <f>F40</f>
        <v>28860</v>
      </c>
      <c r="G77" s="28">
        <f t="shared" ref="G77:BA77" si="33">G40</f>
        <v>0</v>
      </c>
      <c r="H77" s="28" t="str">
        <f t="shared" si="33"/>
        <v>＋</v>
      </c>
      <c r="I77" s="28">
        <f t="shared" si="33"/>
        <v>260</v>
      </c>
      <c r="J77" s="28">
        <f t="shared" si="33"/>
        <v>0</v>
      </c>
      <c r="K77" s="28" t="str">
        <f t="shared" si="33"/>
        <v>×加算率</v>
      </c>
      <c r="L77" s="28">
        <f t="shared" si="33"/>
        <v>0</v>
      </c>
      <c r="M77" s="28"/>
      <c r="N77" s="28"/>
      <c r="O77" s="28"/>
      <c r="P77" s="28"/>
      <c r="Q77" s="28">
        <f t="shared" si="33"/>
        <v>7070</v>
      </c>
      <c r="R77" s="28">
        <f t="shared" si="33"/>
        <v>70</v>
      </c>
      <c r="S77" s="28" t="str">
        <f t="shared" si="33"/>
        <v>＋</v>
      </c>
      <c r="T77" s="28">
        <f t="shared" si="33"/>
        <v>49520</v>
      </c>
      <c r="U77" s="28" t="str">
        <f t="shared" si="33"/>
        <v>＋</v>
      </c>
      <c r="V77" s="28">
        <f t="shared" si="33"/>
        <v>490</v>
      </c>
      <c r="W77" s="28" t="str">
        <f t="shared" si="33"/>
        <v>＋</v>
      </c>
      <c r="X77" s="28">
        <f t="shared" si="33"/>
        <v>42450</v>
      </c>
      <c r="Y77" s="28" t="str">
        <f t="shared" si="33"/>
        <v>＋</v>
      </c>
      <c r="Z77" s="28">
        <f t="shared" si="33"/>
        <v>420</v>
      </c>
      <c r="AA77" s="28">
        <f t="shared" si="33"/>
        <v>0</v>
      </c>
      <c r="AB77" s="28">
        <f t="shared" si="33"/>
        <v>0</v>
      </c>
      <c r="AC77" s="28">
        <f t="shared" si="33"/>
        <v>0</v>
      </c>
      <c r="AD77" s="28">
        <f t="shared" si="33"/>
        <v>0</v>
      </c>
      <c r="AE77" s="28">
        <f t="shared" si="33"/>
        <v>0</v>
      </c>
      <c r="AF77" s="28">
        <f t="shared" si="33"/>
        <v>0</v>
      </c>
      <c r="AG77" s="28">
        <f t="shared" si="33"/>
        <v>0</v>
      </c>
      <c r="AH77" s="28">
        <f t="shared" si="33"/>
        <v>0</v>
      </c>
      <c r="AI77" s="28">
        <f t="shared" si="33"/>
        <v>0</v>
      </c>
      <c r="AJ77" s="28">
        <f t="shared" si="33"/>
        <v>0</v>
      </c>
      <c r="AK77" s="28">
        <f t="shared" si="33"/>
        <v>0</v>
      </c>
      <c r="AL77" s="28">
        <f t="shared" si="33"/>
        <v>0</v>
      </c>
      <c r="AM77" s="28">
        <f t="shared" si="33"/>
        <v>0</v>
      </c>
      <c r="AN77" s="28" t="str">
        <f t="shared" si="33"/>
        <v>×週当たり実施日数</v>
      </c>
      <c r="AO77" s="28">
        <f t="shared" si="33"/>
        <v>0</v>
      </c>
      <c r="AP77" s="28" t="str">
        <f t="shared" si="33"/>
        <v>×週当たり実施日数×加算率</v>
      </c>
      <c r="AQ77" s="28">
        <f t="shared" si="33"/>
        <v>0</v>
      </c>
      <c r="AR77" s="28"/>
      <c r="AS77" s="28"/>
      <c r="AT77" s="28"/>
      <c r="AU77" s="28"/>
      <c r="AV77" s="28">
        <f t="shared" si="33"/>
        <v>0</v>
      </c>
      <c r="AW77" s="28"/>
      <c r="AX77" s="28"/>
      <c r="AY77" s="28">
        <f t="shared" si="33"/>
        <v>0</v>
      </c>
      <c r="AZ77" s="29"/>
      <c r="BA77" s="28">
        <f t="shared" si="33"/>
        <v>0</v>
      </c>
      <c r="BB77" s="28"/>
      <c r="BC77" s="32"/>
    </row>
  </sheetData>
  <sheetProtection algorithmName="SHA-512" hashValue="hDm/Y+aTSs7xexed6cUsUDzasO4uweYNWPG4VWYfwN/HxhllWbsPrnw53uGTg8Wcm/MqcYRAIwrQ+xZZtQieTQ==" saltValue="kZ8bpL182GbVGJI2ODIoMw==" spinCount="100000" sheet="1" objects="1" scenarios="1"/>
  <customSheetViews>
    <customSheetView guid="{2E52E5FF-9846-4DC5-A671-268FE925398C}" scale="85" showPageBreaks="1" printArea="1" state="hidden" view="pageBreakPreview" topLeftCell="AA1">
      <selection activeCell="AY23" sqref="AY23"/>
      <pageMargins left="0.7" right="0.7" top="0.75" bottom="0.75" header="0.3" footer="0.3"/>
      <pageSetup paperSize="9" orientation="portrait" r:id="rId1"/>
    </customSheetView>
    <customSheetView guid="{BADA99B3-B36A-4925-87A7-F72FC97D3DBA}" scale="85" showPageBreaks="1" printArea="1" state="hidden" view="pageBreakPreview" topLeftCell="AA1">
      <selection activeCell="AY23" sqref="AY23"/>
      <pageMargins left="0.7" right="0.7" top="0.75" bottom="0.75" header="0.3" footer="0.3"/>
      <pageSetup paperSize="9" orientation="portrait" r:id="rId2"/>
    </customSheetView>
  </customSheetViews>
  <mergeCells count="484">
    <mergeCell ref="AV25:AV26"/>
    <mergeCell ref="AV27:AV28"/>
    <mergeCell ref="AV29:AV30"/>
    <mergeCell ref="AO35:AO36"/>
    <mergeCell ref="AQ35:AQ36"/>
    <mergeCell ref="AV7:AV8"/>
    <mergeCell ref="AV9:AV10"/>
    <mergeCell ref="AV11:AV12"/>
    <mergeCell ref="AV13:AV14"/>
    <mergeCell ref="AV15:AV16"/>
    <mergeCell ref="AV17:AV18"/>
    <mergeCell ref="AV19:AV20"/>
    <mergeCell ref="AV21:AV22"/>
    <mergeCell ref="AV23:AV24"/>
    <mergeCell ref="AV31:AV32"/>
    <mergeCell ref="AV33:AV34"/>
    <mergeCell ref="AV35:AV36"/>
    <mergeCell ref="AO31:AO32"/>
    <mergeCell ref="AQ31:AQ32"/>
    <mergeCell ref="AS31:AS32"/>
    <mergeCell ref="AU31:AU32"/>
    <mergeCell ref="AO33:AO34"/>
    <mergeCell ref="AQ33:AQ34"/>
    <mergeCell ref="AS33:AS34"/>
    <mergeCell ref="AU29:AU30"/>
    <mergeCell ref="AV37:AV38"/>
    <mergeCell ref="AV39:AV40"/>
    <mergeCell ref="AO39:AO40"/>
    <mergeCell ref="AQ39:AQ40"/>
    <mergeCell ref="AS39:AS40"/>
    <mergeCell ref="AU39:AU40"/>
    <mergeCell ref="AS35:AS36"/>
    <mergeCell ref="AU35:AU36"/>
    <mergeCell ref="AO37:AO38"/>
    <mergeCell ref="AQ37:AQ38"/>
    <mergeCell ref="AS37:AS38"/>
    <mergeCell ref="AU37:AU38"/>
    <mergeCell ref="AU7:AU8"/>
    <mergeCell ref="AO9:AO10"/>
    <mergeCell ref="AQ9:AQ10"/>
    <mergeCell ref="AS9:AS10"/>
    <mergeCell ref="AU9:AU10"/>
    <mergeCell ref="AO19:AO20"/>
    <mergeCell ref="AQ19:AQ20"/>
    <mergeCell ref="AS19:AS20"/>
    <mergeCell ref="AU19:AU20"/>
    <mergeCell ref="AO15:AO16"/>
    <mergeCell ref="AQ15:AQ16"/>
    <mergeCell ref="AS15:AS16"/>
    <mergeCell ref="AU15:AU16"/>
    <mergeCell ref="AO11:AO12"/>
    <mergeCell ref="AQ11:AQ12"/>
    <mergeCell ref="AS11:AS12"/>
    <mergeCell ref="AU11:AU12"/>
    <mergeCell ref="AI13:AI14"/>
    <mergeCell ref="AO23:AO24"/>
    <mergeCell ref="AQ23:AQ24"/>
    <mergeCell ref="AS23:AS24"/>
    <mergeCell ref="AU23:AU24"/>
    <mergeCell ref="AO25:AO26"/>
    <mergeCell ref="AQ25:AQ26"/>
    <mergeCell ref="AS25:AS26"/>
    <mergeCell ref="AU25:AU26"/>
    <mergeCell ref="AO13:AO14"/>
    <mergeCell ref="AQ13:AQ14"/>
    <mergeCell ref="AS13:AS14"/>
    <mergeCell ref="AU13:AU14"/>
    <mergeCell ref="AO21:AO22"/>
    <mergeCell ref="AQ21:AQ22"/>
    <mergeCell ref="AS21:AS22"/>
    <mergeCell ref="AU21:AU22"/>
    <mergeCell ref="AI25:AI26"/>
    <mergeCell ref="AO17:AO18"/>
    <mergeCell ref="AQ17:AQ18"/>
    <mergeCell ref="AS17:AS18"/>
    <mergeCell ref="AU17:AU18"/>
    <mergeCell ref="AJ25:AJ26"/>
    <mergeCell ref="AK25:AK26"/>
    <mergeCell ref="AL25:AL26"/>
    <mergeCell ref="AI21:AI22"/>
    <mergeCell ref="AJ21:AJ22"/>
    <mergeCell ref="AK21:AK22"/>
    <mergeCell ref="AL21:AL22"/>
    <mergeCell ref="AI35:AI36"/>
    <mergeCell ref="AJ35:AJ36"/>
    <mergeCell ref="AK35:AK36"/>
    <mergeCell ref="AL35:AL36"/>
    <mergeCell ref="AK23:AK24"/>
    <mergeCell ref="AL23:AL24"/>
    <mergeCell ref="AI27:AI28"/>
    <mergeCell ref="AJ27:AJ28"/>
    <mergeCell ref="AK27:AK28"/>
    <mergeCell ref="AL27:AL28"/>
    <mergeCell ref="AI29:AI30"/>
    <mergeCell ref="AJ29:AJ30"/>
    <mergeCell ref="AK29:AK30"/>
    <mergeCell ref="AL29:AL30"/>
    <mergeCell ref="AJ31:AJ32"/>
    <mergeCell ref="AK31:AK32"/>
    <mergeCell ref="AL31:AL32"/>
    <mergeCell ref="AI37:AI38"/>
    <mergeCell ref="AJ37:AJ38"/>
    <mergeCell ref="AK37:AK38"/>
    <mergeCell ref="AL37:AL38"/>
    <mergeCell ref="AG39:AG40"/>
    <mergeCell ref="AH39:AH40"/>
    <mergeCell ref="AI39:AI40"/>
    <mergeCell ref="AJ39:AJ40"/>
    <mergeCell ref="AK39:AK40"/>
    <mergeCell ref="AL39:AL40"/>
    <mergeCell ref="AG37:AG38"/>
    <mergeCell ref="AH37:AH38"/>
    <mergeCell ref="AL17:AL18"/>
    <mergeCell ref="AB19:AB20"/>
    <mergeCell ref="AC19:AC20"/>
    <mergeCell ref="AD19:AD20"/>
    <mergeCell ref="AG19:AG20"/>
    <mergeCell ref="AH19:AH20"/>
    <mergeCell ref="AI19:AI20"/>
    <mergeCell ref="AJ19:AJ20"/>
    <mergeCell ref="AK19:AK20"/>
    <mergeCell ref="AL19:AL20"/>
    <mergeCell ref="AB17:AB18"/>
    <mergeCell ref="AC17:AC18"/>
    <mergeCell ref="AD17:AD18"/>
    <mergeCell ref="AG17:AG18"/>
    <mergeCell ref="AH17:AH18"/>
    <mergeCell ref="AB35:AB36"/>
    <mergeCell ref="AC35:AC36"/>
    <mergeCell ref="AD35:AD36"/>
    <mergeCell ref="AG35:AG36"/>
    <mergeCell ref="AH35:AH36"/>
    <mergeCell ref="AB13:AB14"/>
    <mergeCell ref="AC13:AC14"/>
    <mergeCell ref="AD13:AD14"/>
    <mergeCell ref="AG13:AG14"/>
    <mergeCell ref="AH13:AH14"/>
    <mergeCell ref="AB21:AB22"/>
    <mergeCell ref="AC21:AC22"/>
    <mergeCell ref="AD21:AD22"/>
    <mergeCell ref="AG21:AG22"/>
    <mergeCell ref="AH21:AH22"/>
    <mergeCell ref="AB29:AB30"/>
    <mergeCell ref="AC29:AC30"/>
    <mergeCell ref="AD29:AD30"/>
    <mergeCell ref="AG29:AG30"/>
    <mergeCell ref="AH29:AH30"/>
    <mergeCell ref="AB31:AB32"/>
    <mergeCell ref="AC31:AC32"/>
    <mergeCell ref="AD31:AD32"/>
    <mergeCell ref="AG31:AG32"/>
    <mergeCell ref="O37:O38"/>
    <mergeCell ref="B39:B40"/>
    <mergeCell ref="C39:C40"/>
    <mergeCell ref="L39:L40"/>
    <mergeCell ref="M39:M40"/>
    <mergeCell ref="N39:N40"/>
    <mergeCell ref="O39:O40"/>
    <mergeCell ref="B37:B38"/>
    <mergeCell ref="C37:C38"/>
    <mergeCell ref="L37:L38"/>
    <mergeCell ref="M37:M38"/>
    <mergeCell ref="N37:N38"/>
    <mergeCell ref="O33:O34"/>
    <mergeCell ref="B35:B36"/>
    <mergeCell ref="C35:C36"/>
    <mergeCell ref="L35:L36"/>
    <mergeCell ref="M35:M36"/>
    <mergeCell ref="N35:N36"/>
    <mergeCell ref="O35:O36"/>
    <mergeCell ref="B33:B34"/>
    <mergeCell ref="C33:C34"/>
    <mergeCell ref="L33:L34"/>
    <mergeCell ref="M33:M34"/>
    <mergeCell ref="N33:N34"/>
    <mergeCell ref="O29:O30"/>
    <mergeCell ref="B31:B32"/>
    <mergeCell ref="C31:C32"/>
    <mergeCell ref="L31:L32"/>
    <mergeCell ref="M31:M32"/>
    <mergeCell ref="N31:N32"/>
    <mergeCell ref="O31:O32"/>
    <mergeCell ref="B29:B30"/>
    <mergeCell ref="C29:C30"/>
    <mergeCell ref="L29:L30"/>
    <mergeCell ref="M29:M30"/>
    <mergeCell ref="N29:N30"/>
    <mergeCell ref="O25:O26"/>
    <mergeCell ref="B27:B28"/>
    <mergeCell ref="C27:C28"/>
    <mergeCell ref="L27:L28"/>
    <mergeCell ref="M27:M28"/>
    <mergeCell ref="N27:N28"/>
    <mergeCell ref="O27:O28"/>
    <mergeCell ref="B25:B26"/>
    <mergeCell ref="C25:C26"/>
    <mergeCell ref="L25:L26"/>
    <mergeCell ref="M25:M26"/>
    <mergeCell ref="N25:N26"/>
    <mergeCell ref="O21:O22"/>
    <mergeCell ref="B23:B24"/>
    <mergeCell ref="C23:C24"/>
    <mergeCell ref="L23:L24"/>
    <mergeCell ref="M23:M24"/>
    <mergeCell ref="N23:N24"/>
    <mergeCell ref="O23:O24"/>
    <mergeCell ref="B21:B22"/>
    <mergeCell ref="C21:C22"/>
    <mergeCell ref="L21:L22"/>
    <mergeCell ref="M21:M22"/>
    <mergeCell ref="N21:N22"/>
    <mergeCell ref="L17:L18"/>
    <mergeCell ref="M17:M18"/>
    <mergeCell ref="N17:N18"/>
    <mergeCell ref="O17:O18"/>
    <mergeCell ref="B19:B20"/>
    <mergeCell ref="C19:C20"/>
    <mergeCell ref="L19:L20"/>
    <mergeCell ref="M19:M20"/>
    <mergeCell ref="N19:N20"/>
    <mergeCell ref="O19:O20"/>
    <mergeCell ref="L13:L14"/>
    <mergeCell ref="M13:M14"/>
    <mergeCell ref="N13:N14"/>
    <mergeCell ref="O13:O14"/>
    <mergeCell ref="B15:B16"/>
    <mergeCell ref="C15:C16"/>
    <mergeCell ref="L15:L16"/>
    <mergeCell ref="M15:M16"/>
    <mergeCell ref="N15:N16"/>
    <mergeCell ref="O15:O16"/>
    <mergeCell ref="L9:L10"/>
    <mergeCell ref="M9:M10"/>
    <mergeCell ref="N9:N10"/>
    <mergeCell ref="O9:O10"/>
    <mergeCell ref="B11:B12"/>
    <mergeCell ref="C11:C12"/>
    <mergeCell ref="L11:L12"/>
    <mergeCell ref="M11:M12"/>
    <mergeCell ref="N11:N12"/>
    <mergeCell ref="O11:O12"/>
    <mergeCell ref="AJ5:AL5"/>
    <mergeCell ref="AN5:AP5"/>
    <mergeCell ref="AR5:AT5"/>
    <mergeCell ref="B7:B8"/>
    <mergeCell ref="C7:C8"/>
    <mergeCell ref="L7:L8"/>
    <mergeCell ref="M7:M8"/>
    <mergeCell ref="N7:N8"/>
    <mergeCell ref="O7:O8"/>
    <mergeCell ref="M5:O5"/>
    <mergeCell ref="Q5:R5"/>
    <mergeCell ref="T5:V5"/>
    <mergeCell ref="AB5:AD5"/>
    <mergeCell ref="AF5:AH5"/>
    <mergeCell ref="X5:Z5"/>
    <mergeCell ref="AB7:AB8"/>
    <mergeCell ref="AC7:AC8"/>
    <mergeCell ref="AD7:AD8"/>
    <mergeCell ref="AG7:AG8"/>
    <mergeCell ref="AH7:AH8"/>
    <mergeCell ref="AI7:AI8"/>
    <mergeCell ref="AJ7:AJ8"/>
    <mergeCell ref="AK7:AK8"/>
    <mergeCell ref="AL7:AL8"/>
    <mergeCell ref="BB1:BB2"/>
    <mergeCell ref="O3:O4"/>
    <mergeCell ref="R3:R4"/>
    <mergeCell ref="V3:V4"/>
    <mergeCell ref="Z3:Z4"/>
    <mergeCell ref="AD3:AD4"/>
    <mergeCell ref="AH3:AH4"/>
    <mergeCell ref="AL3:AL4"/>
    <mergeCell ref="AP3:AP4"/>
    <mergeCell ref="AT3:AT4"/>
    <mergeCell ref="AJ1:AL2"/>
    <mergeCell ref="AN1:AP2"/>
    <mergeCell ref="AR1:AT2"/>
    <mergeCell ref="AV1:AV2"/>
    <mergeCell ref="AX1:AX4"/>
    <mergeCell ref="AZ1:AZ2"/>
    <mergeCell ref="M1:O2"/>
    <mergeCell ref="Q1:R2"/>
    <mergeCell ref="T1:V2"/>
    <mergeCell ref="X1:Z2"/>
    <mergeCell ref="AB1:AD2"/>
    <mergeCell ref="AF1:AH2"/>
    <mergeCell ref="I1:K2"/>
    <mergeCell ref="A43:A59"/>
    <mergeCell ref="A61:A77"/>
    <mergeCell ref="A1:A4"/>
    <mergeCell ref="B1:B4"/>
    <mergeCell ref="C1:C4"/>
    <mergeCell ref="D1:D4"/>
    <mergeCell ref="F1:G3"/>
    <mergeCell ref="F5:G5"/>
    <mergeCell ref="I5:K5"/>
    <mergeCell ref="B9:B10"/>
    <mergeCell ref="C9:C10"/>
    <mergeCell ref="B13:B14"/>
    <mergeCell ref="C13:C14"/>
    <mergeCell ref="B17:B18"/>
    <mergeCell ref="C17:C18"/>
    <mergeCell ref="A7:A40"/>
    <mergeCell ref="AA7:AA8"/>
    <mergeCell ref="AE7:AE8"/>
    <mergeCell ref="AF7:AF8"/>
    <mergeCell ref="AM7:AM8"/>
    <mergeCell ref="AW7:AW8"/>
    <mergeCell ref="AY7:AY8"/>
    <mergeCell ref="AA9:AA10"/>
    <mergeCell ref="AE9:AE10"/>
    <mergeCell ref="AF9:AF10"/>
    <mergeCell ref="AM9:AM10"/>
    <mergeCell ref="AW9:AW10"/>
    <mergeCell ref="AY9:AY10"/>
    <mergeCell ref="AJ9:AJ10"/>
    <mergeCell ref="AK9:AK10"/>
    <mergeCell ref="AL9:AL10"/>
    <mergeCell ref="AB9:AB10"/>
    <mergeCell ref="AC9:AC10"/>
    <mergeCell ref="AD9:AD10"/>
    <mergeCell ref="AG9:AG10"/>
    <mergeCell ref="AH9:AH10"/>
    <mergeCell ref="AI9:AI10"/>
    <mergeCell ref="AO7:AO8"/>
    <mergeCell ref="AQ7:AQ8"/>
    <mergeCell ref="AS7:AS8"/>
    <mergeCell ref="AA11:AA12"/>
    <mergeCell ref="AE11:AE12"/>
    <mergeCell ref="AF11:AF12"/>
    <mergeCell ref="AM11:AM12"/>
    <mergeCell ref="AW11:AW12"/>
    <mergeCell ref="AY11:AY12"/>
    <mergeCell ref="AA13:AA14"/>
    <mergeCell ref="AE13:AE14"/>
    <mergeCell ref="AF13:AF14"/>
    <mergeCell ref="AM13:AM14"/>
    <mergeCell ref="AW13:AW14"/>
    <mergeCell ref="AY13:AY14"/>
    <mergeCell ref="AB11:AB12"/>
    <mergeCell ref="AC11:AC12"/>
    <mergeCell ref="AD11:AD12"/>
    <mergeCell ref="AG11:AG12"/>
    <mergeCell ref="AH11:AH12"/>
    <mergeCell ref="AI11:AI12"/>
    <mergeCell ref="AJ11:AJ12"/>
    <mergeCell ref="AK11:AK12"/>
    <mergeCell ref="AL11:AL12"/>
    <mergeCell ref="AJ13:AJ14"/>
    <mergeCell ref="AK13:AK14"/>
    <mergeCell ref="AL13:AL14"/>
    <mergeCell ref="AA15:AA16"/>
    <mergeCell ref="AE15:AE16"/>
    <mergeCell ref="AF15:AF16"/>
    <mergeCell ref="AM15:AM16"/>
    <mergeCell ref="AW15:AW16"/>
    <mergeCell ref="AY15:AY16"/>
    <mergeCell ref="AA17:AA18"/>
    <mergeCell ref="AE17:AE18"/>
    <mergeCell ref="AF17:AF18"/>
    <mergeCell ref="AM17:AM18"/>
    <mergeCell ref="AW17:AW18"/>
    <mergeCell ref="AY17:AY18"/>
    <mergeCell ref="AB15:AB16"/>
    <mergeCell ref="AC15:AC16"/>
    <mergeCell ref="AD15:AD16"/>
    <mergeCell ref="AG15:AG16"/>
    <mergeCell ref="AH15:AH16"/>
    <mergeCell ref="AI15:AI16"/>
    <mergeCell ref="AJ15:AJ16"/>
    <mergeCell ref="AK15:AK16"/>
    <mergeCell ref="AL15:AL16"/>
    <mergeCell ref="AI17:AI18"/>
    <mergeCell ref="AJ17:AJ18"/>
    <mergeCell ref="AK17:AK18"/>
    <mergeCell ref="AA19:AA20"/>
    <mergeCell ref="AE19:AE20"/>
    <mergeCell ref="AF19:AF20"/>
    <mergeCell ref="AM19:AM20"/>
    <mergeCell ref="AW19:AW20"/>
    <mergeCell ref="AY19:AY20"/>
    <mergeCell ref="AA21:AA22"/>
    <mergeCell ref="AE21:AE22"/>
    <mergeCell ref="AF21:AF22"/>
    <mergeCell ref="AM21:AM22"/>
    <mergeCell ref="AW21:AW22"/>
    <mergeCell ref="AY21:AY22"/>
    <mergeCell ref="AA23:AA24"/>
    <mergeCell ref="AE23:AE24"/>
    <mergeCell ref="AF23:AF24"/>
    <mergeCell ref="AM23:AM24"/>
    <mergeCell ref="AW23:AW24"/>
    <mergeCell ref="AY23:AY24"/>
    <mergeCell ref="AA25:AA26"/>
    <mergeCell ref="AE25:AE26"/>
    <mergeCell ref="AF25:AF26"/>
    <mergeCell ref="AM25:AM26"/>
    <mergeCell ref="AW25:AW26"/>
    <mergeCell ref="AY25:AY26"/>
    <mergeCell ref="AB25:AB26"/>
    <mergeCell ref="AC25:AC26"/>
    <mergeCell ref="AD25:AD26"/>
    <mergeCell ref="AG25:AG26"/>
    <mergeCell ref="AH25:AH26"/>
    <mergeCell ref="AB23:AB24"/>
    <mergeCell ref="AC23:AC24"/>
    <mergeCell ref="AD23:AD24"/>
    <mergeCell ref="AG23:AG24"/>
    <mergeCell ref="AH23:AH24"/>
    <mergeCell ref="AI23:AI24"/>
    <mergeCell ref="AJ23:AJ24"/>
    <mergeCell ref="AA27:AA28"/>
    <mergeCell ref="AE27:AE28"/>
    <mergeCell ref="AF27:AF28"/>
    <mergeCell ref="AM27:AM28"/>
    <mergeCell ref="AW27:AW28"/>
    <mergeCell ref="AY27:AY28"/>
    <mergeCell ref="AA29:AA30"/>
    <mergeCell ref="AE29:AE30"/>
    <mergeCell ref="AF29:AF30"/>
    <mergeCell ref="AM29:AM30"/>
    <mergeCell ref="AW29:AW30"/>
    <mergeCell ref="AY29:AY30"/>
    <mergeCell ref="AB27:AB28"/>
    <mergeCell ref="AC27:AC28"/>
    <mergeCell ref="AD27:AD28"/>
    <mergeCell ref="AG27:AG28"/>
    <mergeCell ref="AH27:AH28"/>
    <mergeCell ref="AO27:AO28"/>
    <mergeCell ref="AQ27:AQ28"/>
    <mergeCell ref="AS27:AS28"/>
    <mergeCell ref="AU27:AU28"/>
    <mergeCell ref="AO29:AO30"/>
    <mergeCell ref="AQ29:AQ30"/>
    <mergeCell ref="AS29:AS30"/>
    <mergeCell ref="AA31:AA32"/>
    <mergeCell ref="AE31:AE32"/>
    <mergeCell ref="AF31:AF32"/>
    <mergeCell ref="AM31:AM32"/>
    <mergeCell ref="AW31:AW32"/>
    <mergeCell ref="AY31:AY32"/>
    <mergeCell ref="AA33:AA34"/>
    <mergeCell ref="AE33:AE34"/>
    <mergeCell ref="AF33:AF34"/>
    <mergeCell ref="AM33:AM34"/>
    <mergeCell ref="AW33:AW34"/>
    <mergeCell ref="AY33:AY34"/>
    <mergeCell ref="AI33:AI34"/>
    <mergeCell ref="AJ33:AJ34"/>
    <mergeCell ref="AK33:AK34"/>
    <mergeCell ref="AL33:AL34"/>
    <mergeCell ref="AU33:AU34"/>
    <mergeCell ref="AB33:AB34"/>
    <mergeCell ref="AC33:AC34"/>
    <mergeCell ref="AD33:AD34"/>
    <mergeCell ref="AG33:AG34"/>
    <mergeCell ref="AH33:AH34"/>
    <mergeCell ref="AH31:AH32"/>
    <mergeCell ref="AI31:AI32"/>
    <mergeCell ref="AA39:AA40"/>
    <mergeCell ref="AE39:AE40"/>
    <mergeCell ref="AF39:AF40"/>
    <mergeCell ref="AM39:AM40"/>
    <mergeCell ref="AW39:AW40"/>
    <mergeCell ref="AY39:AY40"/>
    <mergeCell ref="AA35:AA36"/>
    <mergeCell ref="AE35:AE36"/>
    <mergeCell ref="AF35:AF36"/>
    <mergeCell ref="AM35:AM36"/>
    <mergeCell ref="AW35:AW36"/>
    <mergeCell ref="AY35:AY36"/>
    <mergeCell ref="AA37:AA38"/>
    <mergeCell ref="AE37:AE38"/>
    <mergeCell ref="AF37:AF38"/>
    <mergeCell ref="AM37:AM38"/>
    <mergeCell ref="AW37:AW38"/>
    <mergeCell ref="AY37:AY38"/>
    <mergeCell ref="AB39:AB40"/>
    <mergeCell ref="AC39:AC40"/>
    <mergeCell ref="AD39:AD40"/>
    <mergeCell ref="AB37:AB38"/>
    <mergeCell ref="AC37:AC38"/>
    <mergeCell ref="AD37:AD38"/>
  </mergeCells>
  <phoneticPr fontId="7"/>
  <pageMargins left="0.7" right="0.7" top="0.75" bottom="0.75" header="0.3" footer="0.3"/>
  <pageSetup paperSize="9" orientation="portrait"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tabColor rgb="FFFFFF00"/>
  </sheetPr>
  <dimension ref="A1:W72"/>
  <sheetViews>
    <sheetView view="pageBreakPreview" zoomScaleNormal="100" zoomScaleSheetLayoutView="100" workbookViewId="0">
      <selection activeCell="AA52" sqref="Y6:AB78"/>
    </sheetView>
  </sheetViews>
  <sheetFormatPr defaultColWidth="2.5" defaultRowHeight="25.5" customHeight="1"/>
  <cols>
    <col min="1" max="1" width="23" style="52" customWidth="1"/>
    <col min="2" max="2" width="2.5" style="52" customWidth="1"/>
    <col min="3" max="21" width="2.625" style="52" customWidth="1"/>
    <col min="22" max="22" width="2.75" style="52" customWidth="1"/>
    <col min="23" max="23" width="57.375" style="58" customWidth="1"/>
    <col min="24" max="16384" width="2.5" style="52"/>
  </cols>
  <sheetData>
    <row r="1" spans="1:23" ht="25.5" customHeight="1">
      <c r="A1" s="123" t="s">
        <v>165</v>
      </c>
      <c r="B1" s="124"/>
      <c r="C1" s="124"/>
      <c r="D1" s="124"/>
      <c r="E1" s="124"/>
      <c r="F1" s="124"/>
      <c r="G1" s="124"/>
      <c r="H1" s="124"/>
      <c r="I1" s="124"/>
      <c r="J1" s="124"/>
      <c r="K1" s="124"/>
      <c r="L1" s="124"/>
      <c r="M1" s="124"/>
      <c r="N1" s="124"/>
      <c r="O1" s="124"/>
      <c r="P1" s="124"/>
      <c r="Q1" s="124"/>
      <c r="R1" s="124"/>
      <c r="S1" s="124"/>
      <c r="T1" s="124"/>
      <c r="U1" s="124"/>
      <c r="V1" s="124"/>
      <c r="W1" s="124"/>
    </row>
    <row r="2" spans="1:23" ht="25.5" customHeight="1">
      <c r="A2" s="125"/>
      <c r="B2" s="125"/>
      <c r="C2" s="125"/>
      <c r="D2" s="125"/>
      <c r="E2" s="125"/>
      <c r="F2" s="125"/>
      <c r="G2" s="125"/>
      <c r="H2" s="125"/>
      <c r="I2" s="125"/>
      <c r="J2" s="125"/>
      <c r="K2" s="125"/>
      <c r="L2" s="125"/>
      <c r="M2" s="125"/>
      <c r="N2" s="125"/>
      <c r="O2" s="125"/>
      <c r="P2" s="125"/>
      <c r="Q2" s="125"/>
      <c r="R2" s="125"/>
      <c r="S2" s="125"/>
      <c r="T2" s="125"/>
      <c r="U2" s="125"/>
      <c r="V2" s="125"/>
      <c r="W2" s="126"/>
    </row>
    <row r="3" spans="1:23" ht="20.25" customHeight="1">
      <c r="A3" s="2287" t="s">
        <v>47</v>
      </c>
      <c r="B3" s="2290" t="s">
        <v>77</v>
      </c>
      <c r="C3" s="2284"/>
      <c r="D3" s="1254"/>
      <c r="E3" s="2069" t="s">
        <v>268</v>
      </c>
      <c r="F3" s="2069"/>
      <c r="G3" s="2069"/>
      <c r="H3" s="2069"/>
      <c r="I3" s="2069"/>
      <c r="J3" s="1255"/>
      <c r="K3" s="2079" t="s">
        <v>269</v>
      </c>
      <c r="L3" s="2079"/>
      <c r="M3" s="2079"/>
      <c r="N3" s="2079"/>
      <c r="O3" s="2079"/>
      <c r="P3" s="2079"/>
      <c r="Q3" s="2079"/>
      <c r="R3" s="2079"/>
      <c r="S3" s="1255"/>
      <c r="T3" s="1255"/>
      <c r="U3" s="1255"/>
      <c r="V3" s="1256"/>
      <c r="W3" s="2281" t="s">
        <v>81</v>
      </c>
    </row>
    <row r="4" spans="1:23" ht="25.5" customHeight="1">
      <c r="A4" s="2288"/>
      <c r="B4" s="2291"/>
      <c r="C4" s="2285"/>
      <c r="D4" s="1257" t="s">
        <v>271</v>
      </c>
      <c r="E4" s="2258">
        <v>108530</v>
      </c>
      <c r="F4" s="2258"/>
      <c r="G4" s="2258"/>
      <c r="H4" s="2258"/>
      <c r="I4" s="2258"/>
      <c r="J4" s="1258" t="s">
        <v>272</v>
      </c>
      <c r="K4" s="2075">
        <v>1080</v>
      </c>
      <c r="L4" s="2075"/>
      <c r="M4" s="2075"/>
      <c r="N4" s="2075"/>
      <c r="O4" s="2075"/>
      <c r="P4" s="2075"/>
      <c r="Q4" s="2075"/>
      <c r="R4" s="2075"/>
      <c r="S4" s="1224" t="s">
        <v>273</v>
      </c>
      <c r="T4" s="1258"/>
      <c r="U4" s="1258"/>
      <c r="V4" s="1259"/>
      <c r="W4" s="2282"/>
    </row>
    <row r="5" spans="1:23" ht="20.25" customHeight="1">
      <c r="A5" s="2289"/>
      <c r="B5" s="2292"/>
      <c r="C5" s="2286"/>
      <c r="D5" s="1260"/>
      <c r="E5" s="1260"/>
      <c r="F5" s="1260"/>
      <c r="G5" s="1261"/>
      <c r="H5" s="1261"/>
      <c r="I5" s="1261"/>
      <c r="J5" s="1261"/>
      <c r="K5" s="1261"/>
      <c r="L5" s="1261"/>
      <c r="M5" s="2236" t="s">
        <v>274</v>
      </c>
      <c r="N5" s="2236"/>
      <c r="O5" s="2236"/>
      <c r="P5" s="2236"/>
      <c r="Q5" s="2236"/>
      <c r="R5" s="2236"/>
      <c r="S5" s="2236"/>
      <c r="T5" s="2236"/>
      <c r="U5" s="2236"/>
      <c r="V5" s="2237"/>
      <c r="W5" s="2283"/>
    </row>
    <row r="6" spans="1:23" ht="25.5" customHeight="1">
      <c r="A6" s="1128"/>
      <c r="B6" s="1128"/>
      <c r="C6" s="1262"/>
      <c r="D6" s="1263"/>
      <c r="E6" s="1263"/>
      <c r="F6" s="1263"/>
      <c r="G6" s="1263"/>
      <c r="H6" s="1264"/>
      <c r="I6" s="1264"/>
      <c r="J6" s="1264"/>
      <c r="K6" s="1264"/>
      <c r="L6" s="1262"/>
      <c r="M6" s="1264"/>
      <c r="N6" s="1264"/>
      <c r="O6" s="1264"/>
      <c r="P6" s="1264"/>
      <c r="Q6" s="1258"/>
      <c r="R6" s="1258"/>
      <c r="S6" s="1258"/>
      <c r="T6" s="1258"/>
      <c r="U6" s="1258"/>
      <c r="V6" s="1258"/>
      <c r="W6" s="1265"/>
    </row>
    <row r="7" spans="1:23" ht="20.25" customHeight="1">
      <c r="A7" s="2287" t="s">
        <v>1076</v>
      </c>
      <c r="B7" s="2290" t="s">
        <v>305</v>
      </c>
      <c r="C7" s="2284"/>
      <c r="D7" s="1254"/>
      <c r="E7" s="2069" t="s">
        <v>268</v>
      </c>
      <c r="F7" s="2069"/>
      <c r="G7" s="2069"/>
      <c r="H7" s="2069"/>
      <c r="I7" s="2069"/>
      <c r="J7" s="1255"/>
      <c r="K7" s="2079" t="s">
        <v>269</v>
      </c>
      <c r="L7" s="2079"/>
      <c r="M7" s="2079"/>
      <c r="N7" s="2079"/>
      <c r="O7" s="2079"/>
      <c r="P7" s="2079"/>
      <c r="Q7" s="2079"/>
      <c r="R7" s="2079"/>
      <c r="S7" s="1255"/>
      <c r="T7" s="1255"/>
      <c r="U7" s="1255"/>
      <c r="V7" s="1256"/>
      <c r="W7" s="2281" t="s">
        <v>81</v>
      </c>
    </row>
    <row r="8" spans="1:23" ht="25.5" customHeight="1">
      <c r="A8" s="2288"/>
      <c r="B8" s="2291"/>
      <c r="C8" s="2285"/>
      <c r="D8" s="1257" t="s">
        <v>271</v>
      </c>
      <c r="E8" s="2258">
        <v>4050</v>
      </c>
      <c r="F8" s="2258"/>
      <c r="G8" s="2258"/>
      <c r="H8" s="2258"/>
      <c r="I8" s="2258"/>
      <c r="J8" s="1258" t="s">
        <v>272</v>
      </c>
      <c r="K8" s="2075">
        <v>40</v>
      </c>
      <c r="L8" s="2075"/>
      <c r="M8" s="2075"/>
      <c r="N8" s="2075"/>
      <c r="O8" s="2075"/>
      <c r="P8" s="2075"/>
      <c r="Q8" s="2075"/>
      <c r="R8" s="2075"/>
      <c r="S8" s="1224" t="s">
        <v>273</v>
      </c>
      <c r="T8" s="1258"/>
      <c r="U8" s="1258"/>
      <c r="V8" s="1259"/>
      <c r="W8" s="2282"/>
    </row>
    <row r="9" spans="1:23" ht="20.25" customHeight="1">
      <c r="A9" s="2289"/>
      <c r="B9" s="2292"/>
      <c r="C9" s="2286"/>
      <c r="D9" s="1260"/>
      <c r="E9" s="1260"/>
      <c r="F9" s="1260"/>
      <c r="G9" s="1261"/>
      <c r="H9" s="1261"/>
      <c r="I9" s="1261"/>
      <c r="J9" s="1261"/>
      <c r="K9" s="1261"/>
      <c r="L9" s="1261"/>
      <c r="M9" s="2236" t="s">
        <v>274</v>
      </c>
      <c r="N9" s="2236"/>
      <c r="O9" s="2236"/>
      <c r="P9" s="2236"/>
      <c r="Q9" s="2236"/>
      <c r="R9" s="2236"/>
      <c r="S9" s="2236"/>
      <c r="T9" s="2236"/>
      <c r="U9" s="2236"/>
      <c r="V9" s="2237"/>
      <c r="W9" s="2283"/>
    </row>
    <row r="10" spans="1:23" ht="25.5" customHeight="1">
      <c r="A10" s="1128"/>
      <c r="B10" s="1128"/>
      <c r="C10" s="1262"/>
      <c r="D10" s="1263"/>
      <c r="E10" s="1263"/>
      <c r="F10" s="1263"/>
      <c r="G10" s="1263"/>
      <c r="H10" s="1264"/>
      <c r="I10" s="1264"/>
      <c r="J10" s="1264"/>
      <c r="K10" s="1264"/>
      <c r="L10" s="1262"/>
      <c r="M10" s="1264"/>
      <c r="N10" s="1264"/>
      <c r="O10" s="1264"/>
      <c r="P10" s="1264"/>
      <c r="Q10" s="1258"/>
      <c r="R10" s="1258"/>
      <c r="S10" s="1258"/>
      <c r="T10" s="1258"/>
      <c r="U10" s="1258"/>
      <c r="V10" s="1258"/>
      <c r="W10" s="1265"/>
    </row>
    <row r="11" spans="1:23" ht="20.25" customHeight="1">
      <c r="A11" s="2276" t="s">
        <v>17</v>
      </c>
      <c r="B11" s="2142" t="s">
        <v>1059</v>
      </c>
      <c r="C11" s="2301" t="s">
        <v>795</v>
      </c>
      <c r="D11" s="1254"/>
      <c r="E11" s="2069" t="s">
        <v>268</v>
      </c>
      <c r="F11" s="2069"/>
      <c r="G11" s="2069"/>
      <c r="H11" s="2069"/>
      <c r="I11" s="2069"/>
      <c r="J11" s="1255"/>
      <c r="K11" s="2079" t="s">
        <v>269</v>
      </c>
      <c r="L11" s="2079"/>
      <c r="M11" s="2079"/>
      <c r="N11" s="2079"/>
      <c r="O11" s="2079"/>
      <c r="P11" s="2079"/>
      <c r="Q11" s="2079"/>
      <c r="R11" s="2079"/>
      <c r="S11" s="1255"/>
      <c r="T11" s="1255"/>
      <c r="U11" s="1255"/>
      <c r="V11" s="1256"/>
      <c r="W11" s="2273" t="s">
        <v>1110</v>
      </c>
    </row>
    <row r="12" spans="1:23" ht="25.5" customHeight="1">
      <c r="A12" s="2277"/>
      <c r="B12" s="2143"/>
      <c r="C12" s="2302"/>
      <c r="D12" s="1257" t="s">
        <v>271</v>
      </c>
      <c r="E12" s="2258">
        <v>36570</v>
      </c>
      <c r="F12" s="2258"/>
      <c r="G12" s="2258"/>
      <c r="H12" s="2258"/>
      <c r="I12" s="2258"/>
      <c r="J12" s="1258" t="s">
        <v>272</v>
      </c>
      <c r="K12" s="2075">
        <v>360</v>
      </c>
      <c r="L12" s="2075"/>
      <c r="M12" s="2075"/>
      <c r="N12" s="2075"/>
      <c r="O12" s="2075"/>
      <c r="P12" s="2075"/>
      <c r="Q12" s="2075"/>
      <c r="R12" s="2075"/>
      <c r="S12" s="1224" t="s">
        <v>273</v>
      </c>
      <c r="T12" s="1258"/>
      <c r="U12" s="1258"/>
      <c r="V12" s="1259"/>
      <c r="W12" s="2273"/>
    </row>
    <row r="13" spans="1:23" ht="20.25" customHeight="1">
      <c r="A13" s="2277"/>
      <c r="B13" s="2143"/>
      <c r="C13" s="2303"/>
      <c r="D13" s="1260"/>
      <c r="E13" s="1260"/>
      <c r="F13" s="1260"/>
      <c r="G13" s="1261"/>
      <c r="H13" s="1261"/>
      <c r="I13" s="1261"/>
      <c r="J13" s="1261"/>
      <c r="K13" s="1261"/>
      <c r="L13" s="1261"/>
      <c r="M13" s="2236" t="s">
        <v>274</v>
      </c>
      <c r="N13" s="2236"/>
      <c r="O13" s="2236"/>
      <c r="P13" s="2236"/>
      <c r="Q13" s="2236"/>
      <c r="R13" s="2236"/>
      <c r="S13" s="2236"/>
      <c r="T13" s="2236"/>
      <c r="U13" s="2236"/>
      <c r="V13" s="2237"/>
      <c r="W13" s="2273"/>
    </row>
    <row r="14" spans="1:23" ht="20.25" customHeight="1">
      <c r="A14" s="2277"/>
      <c r="B14" s="2143"/>
      <c r="C14" s="2301" t="s">
        <v>796</v>
      </c>
      <c r="D14" s="1254"/>
      <c r="E14" s="2069" t="s">
        <v>268</v>
      </c>
      <c r="F14" s="2069"/>
      <c r="G14" s="2069"/>
      <c r="H14" s="2069"/>
      <c r="I14" s="2069"/>
      <c r="J14" s="1255"/>
      <c r="K14" s="2079" t="s">
        <v>269</v>
      </c>
      <c r="L14" s="2079"/>
      <c r="M14" s="2079"/>
      <c r="N14" s="2079"/>
      <c r="O14" s="2079"/>
      <c r="P14" s="2079"/>
      <c r="Q14" s="2079"/>
      <c r="R14" s="2079"/>
      <c r="S14" s="1255"/>
      <c r="T14" s="1255"/>
      <c r="U14" s="1255"/>
      <c r="V14" s="1256"/>
      <c r="W14" s="2273"/>
    </row>
    <row r="15" spans="1:23" ht="25.5" customHeight="1">
      <c r="A15" s="2277"/>
      <c r="B15" s="2143"/>
      <c r="C15" s="2302"/>
      <c r="D15" s="1257" t="s">
        <v>271</v>
      </c>
      <c r="E15" s="2258">
        <v>24380</v>
      </c>
      <c r="F15" s="2258"/>
      <c r="G15" s="2258"/>
      <c r="H15" s="2258"/>
      <c r="I15" s="2258"/>
      <c r="J15" s="1258" t="s">
        <v>272</v>
      </c>
      <c r="K15" s="2075">
        <v>240</v>
      </c>
      <c r="L15" s="2075"/>
      <c r="M15" s="2075"/>
      <c r="N15" s="2075"/>
      <c r="O15" s="2075"/>
      <c r="P15" s="2075"/>
      <c r="Q15" s="2075"/>
      <c r="R15" s="2075"/>
      <c r="S15" s="1224" t="s">
        <v>273</v>
      </c>
      <c r="T15" s="1258"/>
      <c r="U15" s="1258"/>
      <c r="V15" s="1259"/>
      <c r="W15" s="2273"/>
    </row>
    <row r="16" spans="1:23" ht="20.25" customHeight="1">
      <c r="A16" s="2278"/>
      <c r="B16" s="2144"/>
      <c r="C16" s="2303"/>
      <c r="D16" s="1260"/>
      <c r="E16" s="1260"/>
      <c r="F16" s="1260"/>
      <c r="G16" s="1261"/>
      <c r="H16" s="1261"/>
      <c r="I16" s="1261"/>
      <c r="J16" s="1261"/>
      <c r="K16" s="1261"/>
      <c r="L16" s="1261"/>
      <c r="M16" s="2299" t="s">
        <v>274</v>
      </c>
      <c r="N16" s="2299"/>
      <c r="O16" s="2299"/>
      <c r="P16" s="2299"/>
      <c r="Q16" s="2299"/>
      <c r="R16" s="2299"/>
      <c r="S16" s="2299"/>
      <c r="T16" s="2299"/>
      <c r="U16" s="2299"/>
      <c r="V16" s="2300"/>
      <c r="W16" s="2273"/>
    </row>
    <row r="17" spans="1:23" ht="25.5" customHeight="1">
      <c r="A17" s="1128"/>
      <c r="B17" s="1128"/>
      <c r="C17" s="1262"/>
      <c r="D17" s="1263"/>
      <c r="E17" s="1263"/>
      <c r="F17" s="1263"/>
      <c r="G17" s="1263"/>
      <c r="H17" s="1264"/>
      <c r="I17" s="1264"/>
      <c r="J17" s="1264"/>
      <c r="K17" s="1264"/>
      <c r="L17" s="1262"/>
      <c r="M17" s="1264"/>
      <c r="N17" s="1264"/>
      <c r="O17" s="1264"/>
      <c r="P17" s="1264"/>
      <c r="Q17" s="1258"/>
      <c r="R17" s="1258"/>
      <c r="S17" s="1258"/>
      <c r="T17" s="1258"/>
      <c r="U17" s="1258"/>
      <c r="V17" s="1258"/>
      <c r="W17" s="1265"/>
    </row>
    <row r="18" spans="1:23" ht="30" customHeight="1">
      <c r="A18" s="2287" t="s">
        <v>1077</v>
      </c>
      <c r="B18" s="2142" t="s">
        <v>470</v>
      </c>
      <c r="C18" s="2284"/>
      <c r="D18" s="1254"/>
      <c r="E18" s="2069" t="s">
        <v>268</v>
      </c>
      <c r="F18" s="2069"/>
      <c r="G18" s="2069"/>
      <c r="H18" s="2069"/>
      <c r="I18" s="2069"/>
      <c r="J18" s="1255"/>
      <c r="K18" s="2079" t="s">
        <v>405</v>
      </c>
      <c r="L18" s="2079"/>
      <c r="M18" s="2079"/>
      <c r="N18" s="2079"/>
      <c r="O18" s="2079"/>
      <c r="P18" s="2079"/>
      <c r="Q18" s="2079"/>
      <c r="R18" s="2079"/>
      <c r="S18" s="1255"/>
      <c r="T18" s="1255"/>
      <c r="U18" s="1255"/>
      <c r="V18" s="1256"/>
      <c r="W18" s="2296" t="s">
        <v>1226</v>
      </c>
    </row>
    <row r="19" spans="1:23" ht="30" customHeight="1">
      <c r="A19" s="2288"/>
      <c r="B19" s="2143"/>
      <c r="C19" s="2285"/>
      <c r="D19" s="1257" t="s">
        <v>271</v>
      </c>
      <c r="E19" s="2258">
        <v>78020</v>
      </c>
      <c r="F19" s="2258"/>
      <c r="G19" s="2258"/>
      <c r="H19" s="2258"/>
      <c r="I19" s="2258"/>
      <c r="J19" s="1258" t="s">
        <v>272</v>
      </c>
      <c r="K19" s="2075">
        <v>780</v>
      </c>
      <c r="L19" s="2075"/>
      <c r="M19" s="2075"/>
      <c r="N19" s="2075"/>
      <c r="O19" s="2075"/>
      <c r="P19" s="2075"/>
      <c r="Q19" s="2075"/>
      <c r="R19" s="2075"/>
      <c r="S19" s="1224" t="s">
        <v>273</v>
      </c>
      <c r="T19" s="1258"/>
      <c r="U19" s="1258"/>
      <c r="V19" s="1259"/>
      <c r="W19" s="2297"/>
    </row>
    <row r="20" spans="1:23" ht="30" customHeight="1">
      <c r="A20" s="2289"/>
      <c r="B20" s="2144"/>
      <c r="C20" s="2286"/>
      <c r="D20" s="1260"/>
      <c r="E20" s="1260"/>
      <c r="F20" s="1260"/>
      <c r="G20" s="1261"/>
      <c r="H20" s="1261"/>
      <c r="I20" s="1261"/>
      <c r="J20" s="1261"/>
      <c r="K20" s="1261"/>
      <c r="L20" s="1261"/>
      <c r="M20" s="2236" t="s">
        <v>274</v>
      </c>
      <c r="N20" s="2236"/>
      <c r="O20" s="2236"/>
      <c r="P20" s="2236"/>
      <c r="Q20" s="2236"/>
      <c r="R20" s="2236"/>
      <c r="S20" s="2236"/>
      <c r="T20" s="2236"/>
      <c r="U20" s="2236"/>
      <c r="V20" s="2237"/>
      <c r="W20" s="2298"/>
    </row>
    <row r="21" spans="1:23" ht="30" customHeight="1">
      <c r="A21" s="1128"/>
      <c r="B21" s="1128"/>
      <c r="C21" s="1262"/>
      <c r="D21" s="1263"/>
      <c r="E21" s="1263"/>
      <c r="F21" s="1263"/>
      <c r="G21" s="1263"/>
      <c r="H21" s="1264"/>
      <c r="I21" s="1264"/>
      <c r="J21" s="1264"/>
      <c r="K21" s="1264"/>
      <c r="L21" s="1262"/>
      <c r="M21" s="1264"/>
      <c r="N21" s="1264"/>
      <c r="O21" s="1264"/>
      <c r="P21" s="1264"/>
      <c r="Q21" s="1258"/>
      <c r="R21" s="1258"/>
      <c r="S21" s="1258"/>
      <c r="T21" s="1258"/>
      <c r="U21" s="1258"/>
      <c r="V21" s="1258"/>
      <c r="W21" s="1265"/>
    </row>
    <row r="22" spans="1:23" ht="30" customHeight="1">
      <c r="A22" s="2295" t="s">
        <v>1078</v>
      </c>
      <c r="B22" s="2290" t="s">
        <v>478</v>
      </c>
      <c r="C22" s="2284"/>
      <c r="D22" s="1254"/>
      <c r="E22" s="2069" t="s">
        <v>268</v>
      </c>
      <c r="F22" s="2069"/>
      <c r="G22" s="2069"/>
      <c r="H22" s="2069"/>
      <c r="I22" s="2069"/>
      <c r="J22" s="1255"/>
      <c r="K22" s="2079" t="s">
        <v>269</v>
      </c>
      <c r="L22" s="2079"/>
      <c r="M22" s="2079"/>
      <c r="N22" s="2079"/>
      <c r="O22" s="2079"/>
      <c r="P22" s="2079"/>
      <c r="Q22" s="2079"/>
      <c r="R22" s="2079"/>
      <c r="S22" s="1255"/>
      <c r="T22" s="1255"/>
      <c r="U22" s="1255"/>
      <c r="V22" s="1256"/>
      <c r="W22" s="2281" t="s">
        <v>81</v>
      </c>
    </row>
    <row r="23" spans="1:23" ht="30" customHeight="1">
      <c r="A23" s="2288"/>
      <c r="B23" s="2291"/>
      <c r="C23" s="2285"/>
      <c r="D23" s="1257" t="s">
        <v>271</v>
      </c>
      <c r="E23" s="2258">
        <v>82880</v>
      </c>
      <c r="F23" s="2258"/>
      <c r="G23" s="2258"/>
      <c r="H23" s="2258"/>
      <c r="I23" s="2258"/>
      <c r="J23" s="1258" t="s">
        <v>272</v>
      </c>
      <c r="K23" s="2075">
        <v>820</v>
      </c>
      <c r="L23" s="2075"/>
      <c r="M23" s="2075"/>
      <c r="N23" s="2075"/>
      <c r="O23" s="2075"/>
      <c r="P23" s="2075"/>
      <c r="Q23" s="2075"/>
      <c r="R23" s="2075"/>
      <c r="S23" s="1224" t="s">
        <v>273</v>
      </c>
      <c r="T23" s="1258"/>
      <c r="U23" s="1258"/>
      <c r="V23" s="1259"/>
      <c r="W23" s="2282"/>
    </row>
    <row r="24" spans="1:23" ht="30" customHeight="1">
      <c r="A24" s="2289"/>
      <c r="B24" s="2292"/>
      <c r="C24" s="2286"/>
      <c r="D24" s="1260"/>
      <c r="E24" s="1260"/>
      <c r="F24" s="1260"/>
      <c r="G24" s="1261"/>
      <c r="H24" s="1261"/>
      <c r="I24" s="1261"/>
      <c r="J24" s="1261"/>
      <c r="K24" s="1261"/>
      <c r="L24" s="1261"/>
      <c r="M24" s="2236" t="s">
        <v>274</v>
      </c>
      <c r="N24" s="2236"/>
      <c r="O24" s="2236"/>
      <c r="P24" s="2236"/>
      <c r="Q24" s="2236"/>
      <c r="R24" s="2236"/>
      <c r="S24" s="2236"/>
      <c r="T24" s="2236"/>
      <c r="U24" s="2236"/>
      <c r="V24" s="2237"/>
      <c r="W24" s="2283"/>
    </row>
    <row r="25" spans="1:23" ht="30" customHeight="1">
      <c r="A25" s="1128"/>
      <c r="B25" s="1128"/>
      <c r="C25" s="1262"/>
      <c r="D25" s="1263"/>
      <c r="E25" s="1263"/>
      <c r="F25" s="1263"/>
      <c r="G25" s="1263"/>
      <c r="H25" s="1264"/>
      <c r="I25" s="1264"/>
      <c r="J25" s="1264"/>
      <c r="K25" s="1264"/>
      <c r="L25" s="1262"/>
      <c r="M25" s="1264"/>
      <c r="N25" s="1264"/>
      <c r="O25" s="1264"/>
      <c r="P25" s="1264"/>
      <c r="Q25" s="1258"/>
      <c r="R25" s="1258"/>
      <c r="S25" s="1258"/>
      <c r="T25" s="1258"/>
      <c r="U25" s="1258"/>
      <c r="V25" s="1258"/>
      <c r="W25" s="1265"/>
    </row>
    <row r="26" spans="1:23" ht="30" customHeight="1">
      <c r="A26" s="2295" t="s">
        <v>1079</v>
      </c>
      <c r="B26" s="2083" t="s">
        <v>1080</v>
      </c>
      <c r="C26" s="2284"/>
      <c r="D26" s="1254"/>
      <c r="E26" s="2069" t="s">
        <v>268</v>
      </c>
      <c r="F26" s="2069"/>
      <c r="G26" s="2069"/>
      <c r="H26" s="2069"/>
      <c r="I26" s="2069"/>
      <c r="J26" s="1255"/>
      <c r="K26" s="2079" t="s">
        <v>269</v>
      </c>
      <c r="L26" s="2079"/>
      <c r="M26" s="2079"/>
      <c r="N26" s="2079"/>
      <c r="O26" s="2079"/>
      <c r="P26" s="2079"/>
      <c r="Q26" s="2079"/>
      <c r="R26" s="2079"/>
      <c r="S26" s="1255"/>
      <c r="T26" s="1255"/>
      <c r="U26" s="1255"/>
      <c r="V26" s="1256"/>
      <c r="W26" s="2281" t="s">
        <v>81</v>
      </c>
    </row>
    <row r="27" spans="1:23" ht="30" customHeight="1">
      <c r="A27" s="2288"/>
      <c r="B27" s="2304"/>
      <c r="C27" s="2285"/>
      <c r="D27" s="1257" t="s">
        <v>271</v>
      </c>
      <c r="E27" s="2258">
        <v>69060</v>
      </c>
      <c r="F27" s="2258"/>
      <c r="G27" s="2258"/>
      <c r="H27" s="2258"/>
      <c r="I27" s="2258"/>
      <c r="J27" s="1258" t="s">
        <v>272</v>
      </c>
      <c r="K27" s="2075">
        <v>690</v>
      </c>
      <c r="L27" s="2075"/>
      <c r="M27" s="2075"/>
      <c r="N27" s="2075"/>
      <c r="O27" s="2075"/>
      <c r="P27" s="2075"/>
      <c r="Q27" s="2075"/>
      <c r="R27" s="2075"/>
      <c r="S27" s="1224" t="s">
        <v>273</v>
      </c>
      <c r="T27" s="1258"/>
      <c r="U27" s="1258"/>
      <c r="V27" s="1259"/>
      <c r="W27" s="2282"/>
    </row>
    <row r="28" spans="1:23" ht="30" customHeight="1">
      <c r="A28" s="2289"/>
      <c r="B28" s="2305"/>
      <c r="C28" s="2286"/>
      <c r="D28" s="1260"/>
      <c r="E28" s="1260"/>
      <c r="F28" s="1260"/>
      <c r="G28" s="1261"/>
      <c r="H28" s="1261"/>
      <c r="I28" s="1261"/>
      <c r="J28" s="1261"/>
      <c r="K28" s="1261"/>
      <c r="L28" s="1261"/>
      <c r="M28" s="2236" t="s">
        <v>274</v>
      </c>
      <c r="N28" s="2236"/>
      <c r="O28" s="2236"/>
      <c r="P28" s="2236"/>
      <c r="Q28" s="2236"/>
      <c r="R28" s="2236"/>
      <c r="S28" s="2236"/>
      <c r="T28" s="2236"/>
      <c r="U28" s="2236"/>
      <c r="V28" s="2237"/>
      <c r="W28" s="2283"/>
    </row>
    <row r="29" spans="1:23" ht="25.5" customHeight="1">
      <c r="A29" s="1129"/>
      <c r="B29" s="1129"/>
      <c r="C29" s="1266"/>
      <c r="D29" s="1267"/>
      <c r="E29" s="1267"/>
      <c r="F29" s="1267"/>
      <c r="G29" s="1267"/>
      <c r="H29" s="1268"/>
      <c r="I29" s="1268"/>
      <c r="J29" s="1268"/>
      <c r="K29" s="1268"/>
      <c r="L29" s="1266"/>
      <c r="M29" s="1268"/>
      <c r="N29" s="1268"/>
      <c r="O29" s="1268"/>
      <c r="P29" s="1268"/>
      <c r="Q29" s="1269"/>
      <c r="R29" s="1269"/>
      <c r="S29" s="1269"/>
      <c r="T29" s="1269"/>
      <c r="U29" s="1269"/>
      <c r="V29" s="1269"/>
      <c r="W29" s="1270"/>
    </row>
    <row r="30" spans="1:23" ht="30" customHeight="1">
      <c r="A30" s="2080" t="s">
        <v>462</v>
      </c>
      <c r="B30" s="2142" t="s">
        <v>483</v>
      </c>
      <c r="C30" s="2116" t="s">
        <v>463</v>
      </c>
      <c r="D30" s="2279"/>
      <c r="E30" s="2279"/>
      <c r="F30" s="2279"/>
      <c r="G30" s="2279"/>
      <c r="H30" s="2279"/>
      <c r="I30" s="2279"/>
      <c r="J30" s="2279"/>
      <c r="K30" s="2279"/>
      <c r="L30" s="2279"/>
      <c r="M30" s="2279"/>
      <c r="N30" s="2279"/>
      <c r="O30" s="2279"/>
      <c r="P30" s="2279"/>
      <c r="Q30" s="2279"/>
      <c r="R30" s="2279"/>
      <c r="S30" s="2279"/>
      <c r="T30" s="2279"/>
      <c r="U30" s="2279"/>
      <c r="V30" s="2280"/>
      <c r="W30" s="2266" t="s">
        <v>1114</v>
      </c>
    </row>
    <row r="31" spans="1:23" ht="25.5" customHeight="1">
      <c r="A31" s="2261"/>
      <c r="B31" s="2143"/>
      <c r="C31" s="2119" t="s">
        <v>465</v>
      </c>
      <c r="D31" s="2120"/>
      <c r="E31" s="2120"/>
      <c r="F31" s="2120"/>
      <c r="G31" s="2120"/>
      <c r="H31" s="2120"/>
      <c r="I31" s="2120"/>
      <c r="J31" s="2120"/>
      <c r="K31" s="2120"/>
      <c r="L31" s="2120"/>
      <c r="M31" s="2258">
        <v>51380</v>
      </c>
      <c r="N31" s="2258"/>
      <c r="O31" s="2258"/>
      <c r="P31" s="2258"/>
      <c r="Q31" s="2258"/>
      <c r="R31" s="1271"/>
      <c r="S31" s="1258" t="s">
        <v>244</v>
      </c>
      <c r="T31" s="2269" t="s">
        <v>1081</v>
      </c>
      <c r="U31" s="2269"/>
      <c r="V31" s="2270"/>
      <c r="W31" s="2267"/>
    </row>
    <row r="32" spans="1:23" ht="30" customHeight="1">
      <c r="A32" s="2262"/>
      <c r="B32" s="2144"/>
      <c r="C32" s="2111" t="s">
        <v>467</v>
      </c>
      <c r="D32" s="2112"/>
      <c r="E32" s="2112"/>
      <c r="F32" s="2112"/>
      <c r="G32" s="2112"/>
      <c r="H32" s="2112"/>
      <c r="I32" s="2112"/>
      <c r="J32" s="2112"/>
      <c r="K32" s="2112"/>
      <c r="L32" s="2112"/>
      <c r="M32" s="2234">
        <v>6420</v>
      </c>
      <c r="N32" s="2234"/>
      <c r="O32" s="2234"/>
      <c r="P32" s="2234"/>
      <c r="Q32" s="2234"/>
      <c r="R32" s="1272"/>
      <c r="S32" s="1273" t="s">
        <v>244</v>
      </c>
      <c r="T32" s="2236" t="s">
        <v>1082</v>
      </c>
      <c r="U32" s="2236"/>
      <c r="V32" s="2237"/>
      <c r="W32" s="2268"/>
    </row>
    <row r="33" spans="1:23" ht="25.5" customHeight="1">
      <c r="A33" s="1128"/>
      <c r="B33" s="1128"/>
      <c r="C33" s="1211"/>
      <c r="D33" s="1212"/>
      <c r="E33" s="1212"/>
      <c r="F33" s="1212"/>
      <c r="G33" s="1212"/>
      <c r="H33" s="1213"/>
      <c r="I33" s="1213"/>
      <c r="J33" s="1213"/>
      <c r="K33" s="1213"/>
      <c r="L33" s="1211"/>
      <c r="M33" s="1213"/>
      <c r="N33" s="1213"/>
      <c r="O33" s="1213"/>
      <c r="P33" s="1213"/>
      <c r="Q33" s="1208"/>
      <c r="R33" s="1208"/>
      <c r="S33" s="1208"/>
      <c r="T33" s="1208"/>
      <c r="U33" s="1208"/>
      <c r="V33" s="1208"/>
      <c r="W33" s="1274"/>
    </row>
    <row r="34" spans="1:23" ht="25.5" customHeight="1">
      <c r="A34" s="2116" t="s">
        <v>1183</v>
      </c>
      <c r="B34" s="2135" t="s">
        <v>485</v>
      </c>
      <c r="C34" s="2106"/>
      <c r="D34" s="2137">
        <v>11560</v>
      </c>
      <c r="E34" s="2138"/>
      <c r="F34" s="2138"/>
      <c r="G34" s="2138"/>
      <c r="H34" s="2138"/>
      <c r="I34" s="2138"/>
      <c r="J34" s="1202" t="s">
        <v>1184</v>
      </c>
      <c r="K34" s="2139" t="s">
        <v>1185</v>
      </c>
      <c r="L34" s="2139"/>
      <c r="M34" s="2139"/>
      <c r="N34" s="2139"/>
      <c r="O34" s="2139"/>
      <c r="P34" s="2139"/>
      <c r="Q34" s="2139"/>
      <c r="R34" s="2139"/>
      <c r="S34" s="2139"/>
      <c r="T34" s="2139"/>
      <c r="U34" s="2139"/>
      <c r="V34" s="2140"/>
      <c r="W34" s="2133" t="s">
        <v>1186</v>
      </c>
    </row>
    <row r="35" spans="1:23" ht="25.5" customHeight="1">
      <c r="A35" s="2293"/>
      <c r="B35" s="2294"/>
      <c r="C35" s="2108"/>
      <c r="D35" s="1203"/>
      <c r="E35" s="1203"/>
      <c r="F35" s="1203"/>
      <c r="G35" s="1204"/>
      <c r="H35" s="1204"/>
      <c r="I35" s="1204"/>
      <c r="J35" s="1204"/>
      <c r="K35" s="1204"/>
      <c r="L35" s="1204"/>
      <c r="M35" s="2112" t="s">
        <v>274</v>
      </c>
      <c r="N35" s="2112"/>
      <c r="O35" s="2112"/>
      <c r="P35" s="2112"/>
      <c r="Q35" s="2112"/>
      <c r="R35" s="2112"/>
      <c r="S35" s="2112"/>
      <c r="T35" s="2112"/>
      <c r="U35" s="2112"/>
      <c r="V35" s="2115"/>
      <c r="W35" s="2133"/>
    </row>
    <row r="36" spans="1:23" ht="25.5" customHeight="1">
      <c r="A36" s="1128"/>
      <c r="B36" s="1128"/>
      <c r="C36" s="1211"/>
      <c r="D36" s="1212"/>
      <c r="E36" s="1212"/>
      <c r="F36" s="1212"/>
      <c r="G36" s="1212"/>
      <c r="H36" s="1213"/>
      <c r="I36" s="1213"/>
      <c r="J36" s="1213"/>
      <c r="K36" s="1213"/>
      <c r="L36" s="1211"/>
      <c r="M36" s="1213"/>
      <c r="N36" s="1213"/>
      <c r="O36" s="1213"/>
      <c r="P36" s="1213"/>
      <c r="Q36" s="1208"/>
      <c r="R36" s="1208"/>
      <c r="S36" s="1208"/>
      <c r="T36" s="1208"/>
      <c r="U36" s="1208"/>
      <c r="V36" s="1208"/>
      <c r="W36" s="1274"/>
    </row>
    <row r="37" spans="1:23" ht="30" customHeight="1">
      <c r="A37" s="2276" t="s">
        <v>469</v>
      </c>
      <c r="B37" s="2142" t="s">
        <v>1061</v>
      </c>
      <c r="C37" s="2274" t="s">
        <v>471</v>
      </c>
      <c r="D37" s="2275"/>
      <c r="E37" s="2275"/>
      <c r="F37" s="2275"/>
      <c r="G37" s="2275"/>
      <c r="H37" s="2271">
        <v>1840</v>
      </c>
      <c r="I37" s="2271"/>
      <c r="J37" s="2271"/>
      <c r="K37" s="2271"/>
      <c r="L37" s="2272"/>
      <c r="M37" s="2274" t="s">
        <v>472</v>
      </c>
      <c r="N37" s="2275"/>
      <c r="O37" s="2275"/>
      <c r="P37" s="2275"/>
      <c r="Q37" s="2275"/>
      <c r="R37" s="2271">
        <v>1270</v>
      </c>
      <c r="S37" s="2271"/>
      <c r="T37" s="2271"/>
      <c r="U37" s="2271"/>
      <c r="V37" s="2272"/>
      <c r="W37" s="2273" t="s">
        <v>473</v>
      </c>
    </row>
    <row r="38" spans="1:23" ht="25.5" customHeight="1">
      <c r="A38" s="2277"/>
      <c r="B38" s="2143"/>
      <c r="C38" s="2274" t="s">
        <v>474</v>
      </c>
      <c r="D38" s="2275"/>
      <c r="E38" s="2275"/>
      <c r="F38" s="2275"/>
      <c r="G38" s="2275"/>
      <c r="H38" s="2271">
        <v>1630</v>
      </c>
      <c r="I38" s="2271"/>
      <c r="J38" s="2271"/>
      <c r="K38" s="2271"/>
      <c r="L38" s="2272"/>
      <c r="M38" s="2274" t="s">
        <v>475</v>
      </c>
      <c r="N38" s="2275"/>
      <c r="O38" s="2275"/>
      <c r="P38" s="2275"/>
      <c r="Q38" s="2275"/>
      <c r="R38" s="2271">
        <v>110</v>
      </c>
      <c r="S38" s="2271"/>
      <c r="T38" s="2271"/>
      <c r="U38" s="2271"/>
      <c r="V38" s="2272"/>
      <c r="W38" s="2273"/>
    </row>
    <row r="39" spans="1:23" ht="30" customHeight="1">
      <c r="A39" s="2278"/>
      <c r="B39" s="2144"/>
      <c r="C39" s="2274" t="s">
        <v>476</v>
      </c>
      <c r="D39" s="2275"/>
      <c r="E39" s="2275"/>
      <c r="F39" s="2275"/>
      <c r="G39" s="2275"/>
      <c r="H39" s="2271">
        <v>1610</v>
      </c>
      <c r="I39" s="2271"/>
      <c r="J39" s="2271"/>
      <c r="K39" s="2271"/>
      <c r="L39" s="2272"/>
      <c r="M39" s="2263"/>
      <c r="N39" s="2264"/>
      <c r="O39" s="2264"/>
      <c r="P39" s="2264"/>
      <c r="Q39" s="2264"/>
      <c r="R39" s="2264"/>
      <c r="S39" s="2264"/>
      <c r="T39" s="2264"/>
      <c r="U39" s="2264"/>
      <c r="V39" s="2265"/>
      <c r="W39" s="2273"/>
    </row>
    <row r="40" spans="1:23" ht="25.5" customHeight="1">
      <c r="A40" s="1128"/>
      <c r="B40" s="1128"/>
      <c r="C40" s="1262"/>
      <c r="D40" s="1263"/>
      <c r="E40" s="1263"/>
      <c r="F40" s="1263"/>
      <c r="G40" s="1263"/>
      <c r="H40" s="1264"/>
      <c r="I40" s="1264"/>
      <c r="J40" s="1264"/>
      <c r="K40" s="1264"/>
      <c r="L40" s="1262"/>
      <c r="M40" s="1264"/>
      <c r="N40" s="1264"/>
      <c r="O40" s="1264"/>
      <c r="P40" s="1264"/>
      <c r="Q40" s="1258"/>
      <c r="R40" s="1258"/>
      <c r="S40" s="1258"/>
      <c r="T40" s="1258"/>
      <c r="U40" s="1258"/>
      <c r="V40" s="1258"/>
      <c r="W40" s="1265"/>
    </row>
    <row r="41" spans="1:23" ht="30" customHeight="1">
      <c r="A41" s="2238" t="s">
        <v>307</v>
      </c>
      <c r="B41" s="2241" t="s">
        <v>384</v>
      </c>
      <c r="C41" s="2244" t="s">
        <v>385</v>
      </c>
      <c r="D41" s="2246">
        <v>306010</v>
      </c>
      <c r="E41" s="2247"/>
      <c r="F41" s="2247"/>
      <c r="G41" s="2247"/>
      <c r="H41" s="2247"/>
      <c r="I41" s="2247"/>
      <c r="J41" s="2247"/>
      <c r="K41" s="2247"/>
      <c r="L41" s="2247"/>
      <c r="M41" s="2247"/>
      <c r="N41" s="2247"/>
      <c r="O41" s="2247"/>
      <c r="P41" s="2247"/>
      <c r="Q41" s="2247"/>
      <c r="R41" s="2247"/>
      <c r="S41" s="2247"/>
      <c r="T41" s="2247"/>
      <c r="U41" s="2247"/>
      <c r="V41" s="2248"/>
      <c r="W41" s="2252" t="s">
        <v>386</v>
      </c>
    </row>
    <row r="42" spans="1:23" ht="30" customHeight="1">
      <c r="A42" s="2239"/>
      <c r="B42" s="2242"/>
      <c r="C42" s="2245"/>
      <c r="D42" s="2249"/>
      <c r="E42" s="2250"/>
      <c r="F42" s="2250"/>
      <c r="G42" s="2250"/>
      <c r="H42" s="2250"/>
      <c r="I42" s="2250"/>
      <c r="J42" s="2250"/>
      <c r="K42" s="2250"/>
      <c r="L42" s="2250"/>
      <c r="M42" s="2250"/>
      <c r="N42" s="2250"/>
      <c r="O42" s="2250"/>
      <c r="P42" s="2250"/>
      <c r="Q42" s="2250"/>
      <c r="R42" s="2250"/>
      <c r="S42" s="2250"/>
      <c r="T42" s="2250"/>
      <c r="U42" s="2250"/>
      <c r="V42" s="2251"/>
      <c r="W42" s="2253"/>
    </row>
    <row r="43" spans="1:23" ht="30" customHeight="1">
      <c r="A43" s="2239"/>
      <c r="B43" s="2242"/>
      <c r="C43" s="2244" t="s">
        <v>387</v>
      </c>
      <c r="D43" s="2246">
        <v>60520</v>
      </c>
      <c r="E43" s="2247"/>
      <c r="F43" s="2247"/>
      <c r="G43" s="2247"/>
      <c r="H43" s="2247"/>
      <c r="I43" s="2247"/>
      <c r="J43" s="2247"/>
      <c r="K43" s="2247"/>
      <c r="L43" s="2247"/>
      <c r="M43" s="2247"/>
      <c r="N43" s="2247"/>
      <c r="O43" s="2247"/>
      <c r="P43" s="2247"/>
      <c r="Q43" s="2247"/>
      <c r="R43" s="2247"/>
      <c r="S43" s="2247"/>
      <c r="T43" s="2247"/>
      <c r="U43" s="2247"/>
      <c r="V43" s="2248"/>
      <c r="W43" s="2253"/>
    </row>
    <row r="44" spans="1:23" ht="30" customHeight="1">
      <c r="A44" s="2240"/>
      <c r="B44" s="2243"/>
      <c r="C44" s="2245"/>
      <c r="D44" s="2249"/>
      <c r="E44" s="2250"/>
      <c r="F44" s="2250"/>
      <c r="G44" s="2250"/>
      <c r="H44" s="2250"/>
      <c r="I44" s="2250"/>
      <c r="J44" s="2250"/>
      <c r="K44" s="2250"/>
      <c r="L44" s="2250"/>
      <c r="M44" s="2250"/>
      <c r="N44" s="2250"/>
      <c r="O44" s="2250"/>
      <c r="P44" s="2250"/>
      <c r="Q44" s="2250"/>
      <c r="R44" s="2250"/>
      <c r="S44" s="2250"/>
      <c r="T44" s="2250"/>
      <c r="U44" s="2250"/>
      <c r="V44" s="2251"/>
      <c r="W44" s="2254"/>
    </row>
    <row r="45" spans="1:23" ht="25.5" customHeight="1">
      <c r="A45" s="1128"/>
      <c r="B45" s="1128"/>
      <c r="C45" s="1262"/>
      <c r="D45" s="1263"/>
      <c r="E45" s="1263"/>
      <c r="F45" s="1263"/>
      <c r="G45" s="1263"/>
      <c r="H45" s="1264"/>
      <c r="I45" s="1264"/>
      <c r="J45" s="1264"/>
      <c r="K45" s="1264"/>
      <c r="L45" s="1262"/>
      <c r="M45" s="1264"/>
      <c r="N45" s="1264"/>
      <c r="O45" s="1264"/>
      <c r="P45" s="1264"/>
      <c r="Q45" s="1258"/>
      <c r="R45" s="1258"/>
      <c r="S45" s="1258"/>
      <c r="T45" s="1258"/>
      <c r="U45" s="1258"/>
      <c r="V45" s="1258"/>
      <c r="W45" s="1265"/>
    </row>
    <row r="46" spans="1:23" ht="30" customHeight="1">
      <c r="A46" s="1130" t="s">
        <v>477</v>
      </c>
      <c r="B46" s="1131" t="s">
        <v>1083</v>
      </c>
      <c r="C46" s="2259">
        <v>6180</v>
      </c>
      <c r="D46" s="2259"/>
      <c r="E46" s="2259"/>
      <c r="F46" s="2259"/>
      <c r="G46" s="2259"/>
      <c r="H46" s="2259"/>
      <c r="I46" s="2259"/>
      <c r="J46" s="2259"/>
      <c r="K46" s="2259"/>
      <c r="L46" s="2259"/>
      <c r="M46" s="2259"/>
      <c r="N46" s="2259"/>
      <c r="O46" s="2259"/>
      <c r="P46" s="2259"/>
      <c r="Q46" s="2259"/>
      <c r="R46" s="2259"/>
      <c r="S46" s="2259"/>
      <c r="T46" s="2259"/>
      <c r="U46" s="2259"/>
      <c r="V46" s="2260"/>
      <c r="W46" s="1275" t="s">
        <v>479</v>
      </c>
    </row>
    <row r="47" spans="1:23" ht="25.5" customHeight="1">
      <c r="A47" s="1128"/>
      <c r="B47" s="1128"/>
      <c r="C47" s="1262"/>
      <c r="D47" s="1263"/>
      <c r="E47" s="1263"/>
      <c r="F47" s="1263"/>
      <c r="G47" s="1263"/>
      <c r="H47" s="1264"/>
      <c r="I47" s="1264"/>
      <c r="J47" s="1264"/>
      <c r="K47" s="1264"/>
      <c r="L47" s="1262"/>
      <c r="M47" s="1264"/>
      <c r="N47" s="1264"/>
      <c r="O47" s="1264"/>
      <c r="P47" s="1264"/>
      <c r="Q47" s="1258"/>
      <c r="R47" s="1258"/>
      <c r="S47" s="1258"/>
      <c r="T47" s="1258"/>
      <c r="U47" s="1258"/>
      <c r="V47" s="1258"/>
      <c r="W47" s="1276"/>
    </row>
    <row r="48" spans="1:23" ht="30" customHeight="1">
      <c r="A48" s="1130" t="s">
        <v>480</v>
      </c>
      <c r="B48" s="1131" t="s">
        <v>1068</v>
      </c>
      <c r="C48" s="2255">
        <v>155870</v>
      </c>
      <c r="D48" s="2255"/>
      <c r="E48" s="2255"/>
      <c r="F48" s="2255"/>
      <c r="G48" s="2255"/>
      <c r="H48" s="2255"/>
      <c r="I48" s="2255"/>
      <c r="J48" s="2255"/>
      <c r="K48" s="2255"/>
      <c r="L48" s="2255"/>
      <c r="M48" s="2255"/>
      <c r="N48" s="2255"/>
      <c r="O48" s="2255"/>
      <c r="P48" s="2255"/>
      <c r="Q48" s="2255"/>
      <c r="R48" s="2255"/>
      <c r="S48" s="2255"/>
      <c r="T48" s="2255"/>
      <c r="U48" s="2255"/>
      <c r="V48" s="2256"/>
      <c r="W48" s="1275" t="s">
        <v>479</v>
      </c>
    </row>
    <row r="49" spans="1:23" ht="25.5" customHeight="1">
      <c r="A49" s="1128"/>
      <c r="B49" s="1108"/>
      <c r="C49" s="1262"/>
      <c r="D49" s="1263"/>
      <c r="E49" s="1263"/>
      <c r="F49" s="1263"/>
      <c r="G49" s="1263"/>
      <c r="H49" s="1264"/>
      <c r="I49" s="1264"/>
      <c r="J49" s="1264"/>
      <c r="K49" s="1264"/>
      <c r="L49" s="1262"/>
      <c r="M49" s="1264"/>
      <c r="N49" s="1264"/>
      <c r="O49" s="1264"/>
      <c r="P49" s="1264"/>
      <c r="Q49" s="1258"/>
      <c r="R49" s="1258"/>
      <c r="S49" s="1258"/>
      <c r="T49" s="1258"/>
      <c r="U49" s="1258"/>
      <c r="V49" s="1258"/>
      <c r="W49" s="1276"/>
    </row>
    <row r="50" spans="1:23" ht="25.5" hidden="1" customHeight="1">
      <c r="A50" s="2276" t="s">
        <v>1084</v>
      </c>
      <c r="B50" s="1108"/>
      <c r="C50" s="2312" t="s">
        <v>1062</v>
      </c>
      <c r="D50" s="2313"/>
      <c r="E50" s="2313"/>
      <c r="F50" s="2313"/>
      <c r="G50" s="2313"/>
      <c r="H50" s="2313"/>
      <c r="I50" s="2313"/>
      <c r="J50" s="2313"/>
      <c r="K50" s="2313"/>
      <c r="L50" s="2309">
        <v>456000</v>
      </c>
      <c r="M50" s="2309"/>
      <c r="N50" s="2309"/>
      <c r="O50" s="2309"/>
      <c r="P50" s="1277"/>
      <c r="Q50" s="1277"/>
      <c r="R50" s="1277"/>
      <c r="S50" s="1277"/>
      <c r="T50" s="1277"/>
      <c r="U50" s="1277"/>
      <c r="V50" s="1278"/>
      <c r="W50" s="2273" t="s">
        <v>1106</v>
      </c>
    </row>
    <row r="51" spans="1:23" ht="25.5" hidden="1" customHeight="1">
      <c r="A51" s="2277"/>
      <c r="B51" s="1108"/>
      <c r="C51" s="2314"/>
      <c r="D51" s="2315"/>
      <c r="E51" s="2315"/>
      <c r="F51" s="2315"/>
      <c r="G51" s="2315"/>
      <c r="H51" s="2315"/>
      <c r="I51" s="2315"/>
      <c r="J51" s="2315"/>
      <c r="K51" s="2315"/>
      <c r="L51" s="2310" t="s">
        <v>1063</v>
      </c>
      <c r="M51" s="2310"/>
      <c r="N51" s="2310"/>
      <c r="O51" s="2310"/>
      <c r="P51" s="2310"/>
      <c r="Q51" s="2310"/>
      <c r="R51" s="2310"/>
      <c r="S51" s="2310"/>
      <c r="T51" s="2310"/>
      <c r="U51" s="2310"/>
      <c r="V51" s="2311"/>
      <c r="W51" s="2273"/>
    </row>
    <row r="52" spans="1:23" ht="25.5" hidden="1" customHeight="1">
      <c r="A52" s="2277"/>
      <c r="B52" s="1108"/>
      <c r="C52" s="2312" t="s">
        <v>1064</v>
      </c>
      <c r="D52" s="2313"/>
      <c r="E52" s="2313"/>
      <c r="F52" s="2313"/>
      <c r="G52" s="2313"/>
      <c r="H52" s="2313"/>
      <c r="I52" s="2313"/>
      <c r="J52" s="2313"/>
      <c r="K52" s="2313"/>
      <c r="L52" s="2309">
        <v>760000</v>
      </c>
      <c r="M52" s="2309"/>
      <c r="N52" s="2309"/>
      <c r="O52" s="2309"/>
      <c r="P52" s="1277"/>
      <c r="Q52" s="1277"/>
      <c r="R52" s="1277"/>
      <c r="S52" s="1277"/>
      <c r="T52" s="1277"/>
      <c r="U52" s="1277"/>
      <c r="V52" s="1278"/>
      <c r="W52" s="2273"/>
    </row>
    <row r="53" spans="1:23" ht="25.5" hidden="1" customHeight="1">
      <c r="A53" s="2277"/>
      <c r="B53" s="1109"/>
      <c r="C53" s="2314"/>
      <c r="D53" s="2315"/>
      <c r="E53" s="2315"/>
      <c r="F53" s="2315"/>
      <c r="G53" s="2315"/>
      <c r="H53" s="2315"/>
      <c r="I53" s="2315"/>
      <c r="J53" s="2315"/>
      <c r="K53" s="2315"/>
      <c r="L53" s="2310" t="s">
        <v>1063</v>
      </c>
      <c r="M53" s="2310"/>
      <c r="N53" s="2310"/>
      <c r="O53" s="2310"/>
      <c r="P53" s="2310"/>
      <c r="Q53" s="2310"/>
      <c r="R53" s="2310"/>
      <c r="S53" s="2310"/>
      <c r="T53" s="2310"/>
      <c r="U53" s="2310"/>
      <c r="V53" s="2311"/>
      <c r="W53" s="2273"/>
    </row>
    <row r="54" spans="1:23" ht="25.5" hidden="1" customHeight="1">
      <c r="A54" s="2277"/>
      <c r="B54" s="1128"/>
      <c r="C54" s="2312" t="s">
        <v>1065</v>
      </c>
      <c r="D54" s="2313"/>
      <c r="E54" s="2313"/>
      <c r="F54" s="2313"/>
      <c r="G54" s="2313"/>
      <c r="H54" s="2313"/>
      <c r="I54" s="2313"/>
      <c r="J54" s="2313"/>
      <c r="K54" s="2313"/>
      <c r="L54" s="2309">
        <v>1065000</v>
      </c>
      <c r="M54" s="2309"/>
      <c r="N54" s="2309"/>
      <c r="O54" s="2309"/>
      <c r="P54" s="1277"/>
      <c r="Q54" s="1277"/>
      <c r="R54" s="1277"/>
      <c r="S54" s="1277"/>
      <c r="T54" s="1277"/>
      <c r="U54" s="1277"/>
      <c r="V54" s="1278"/>
      <c r="W54" s="2273"/>
    </row>
    <row r="55" spans="1:23" ht="25.5" hidden="1" customHeight="1">
      <c r="A55" s="2278"/>
      <c r="B55" s="1131" t="s">
        <v>384</v>
      </c>
      <c r="C55" s="2314"/>
      <c r="D55" s="2315"/>
      <c r="E55" s="2315"/>
      <c r="F55" s="2315"/>
      <c r="G55" s="2315"/>
      <c r="H55" s="2315"/>
      <c r="I55" s="2315"/>
      <c r="J55" s="2315"/>
      <c r="K55" s="2315"/>
      <c r="L55" s="2310" t="s">
        <v>1063</v>
      </c>
      <c r="M55" s="2310"/>
      <c r="N55" s="2310"/>
      <c r="O55" s="2310"/>
      <c r="P55" s="2310"/>
      <c r="Q55" s="2310"/>
      <c r="R55" s="2310"/>
      <c r="S55" s="2310"/>
      <c r="T55" s="2310"/>
      <c r="U55" s="2310"/>
      <c r="V55" s="2311"/>
      <c r="W55" s="2273"/>
    </row>
    <row r="56" spans="1:23" ht="25.5" hidden="1" customHeight="1">
      <c r="A56" s="1128"/>
      <c r="B56" s="1128"/>
      <c r="C56" s="1262"/>
      <c r="D56" s="1263"/>
      <c r="E56" s="1263"/>
      <c r="F56" s="1263"/>
      <c r="G56" s="1263"/>
      <c r="H56" s="1264"/>
      <c r="I56" s="1264"/>
      <c r="J56" s="1264"/>
      <c r="K56" s="1264"/>
      <c r="L56" s="1262"/>
      <c r="M56" s="1258"/>
      <c r="N56" s="1264"/>
      <c r="O56" s="1264"/>
      <c r="P56" s="1264"/>
      <c r="Q56" s="1258"/>
      <c r="R56" s="1258"/>
      <c r="S56" s="1258"/>
      <c r="T56" s="1258"/>
      <c r="U56" s="1258"/>
      <c r="V56" s="1258"/>
      <c r="W56" s="1276"/>
    </row>
    <row r="57" spans="1:23" ht="25.5" customHeight="1">
      <c r="A57" s="1130" t="s">
        <v>482</v>
      </c>
      <c r="B57" s="1131" t="s">
        <v>1069</v>
      </c>
      <c r="C57" s="2307">
        <v>160000</v>
      </c>
      <c r="D57" s="2307"/>
      <c r="E57" s="2307"/>
      <c r="F57" s="2307"/>
      <c r="G57" s="2307"/>
      <c r="H57" s="2307"/>
      <c r="I57" s="2307"/>
      <c r="J57" s="2307"/>
      <c r="K57" s="2307"/>
      <c r="L57" s="2307"/>
      <c r="M57" s="2307"/>
      <c r="N57" s="2307"/>
      <c r="O57" s="2307"/>
      <c r="P57" s="2307"/>
      <c r="Q57" s="2307"/>
      <c r="R57" s="2307"/>
      <c r="S57" s="2307"/>
      <c r="T57" s="2307"/>
      <c r="U57" s="2307"/>
      <c r="V57" s="2308"/>
      <c r="W57" s="1275" t="s">
        <v>479</v>
      </c>
    </row>
    <row r="58" spans="1:23" ht="25.5" customHeight="1">
      <c r="A58" s="1128"/>
      <c r="B58" s="1128"/>
      <c r="C58" s="1262"/>
      <c r="D58" s="1263"/>
      <c r="E58" s="1263"/>
      <c r="F58" s="1263"/>
      <c r="G58" s="1263"/>
      <c r="H58" s="1264"/>
      <c r="I58" s="1264"/>
      <c r="J58" s="1264"/>
      <c r="K58" s="1264"/>
      <c r="L58" s="1262"/>
      <c r="M58" s="1258"/>
      <c r="N58" s="1264"/>
      <c r="O58" s="1264"/>
      <c r="P58" s="1264"/>
      <c r="Q58" s="1258"/>
      <c r="R58" s="1258"/>
      <c r="S58" s="1258"/>
      <c r="T58" s="1258"/>
      <c r="U58" s="1258"/>
      <c r="V58" s="1258"/>
      <c r="W58" s="1265"/>
    </row>
    <row r="59" spans="1:23" ht="25.5" customHeight="1">
      <c r="A59" s="1130" t="s">
        <v>1085</v>
      </c>
      <c r="B59" s="1131" t="s">
        <v>1086</v>
      </c>
      <c r="C59" s="2255">
        <v>96840</v>
      </c>
      <c r="D59" s="2255"/>
      <c r="E59" s="2255"/>
      <c r="F59" s="2255"/>
      <c r="G59" s="2255"/>
      <c r="H59" s="2255"/>
      <c r="I59" s="2255"/>
      <c r="J59" s="2255"/>
      <c r="K59" s="2255"/>
      <c r="L59" s="2255"/>
      <c r="M59" s="2255"/>
      <c r="N59" s="2255"/>
      <c r="O59" s="2255"/>
      <c r="P59" s="2255"/>
      <c r="Q59" s="2255"/>
      <c r="R59" s="2255"/>
      <c r="S59" s="2255"/>
      <c r="T59" s="2255"/>
      <c r="U59" s="2255"/>
      <c r="V59" s="2256"/>
      <c r="W59" s="1275" t="s">
        <v>479</v>
      </c>
    </row>
    <row r="60" spans="1:23" ht="25.5" customHeight="1">
      <c r="A60" s="1128"/>
      <c r="B60" s="1128"/>
      <c r="C60" s="1262"/>
      <c r="D60" s="1263"/>
      <c r="E60" s="1263"/>
      <c r="F60" s="1263"/>
      <c r="G60" s="1263"/>
      <c r="H60" s="1264"/>
      <c r="I60" s="1264"/>
      <c r="J60" s="1264"/>
      <c r="K60" s="1264"/>
      <c r="L60" s="1262"/>
      <c r="M60" s="1258"/>
      <c r="N60" s="1264"/>
      <c r="O60" s="1264"/>
      <c r="P60" s="1264"/>
      <c r="Q60" s="1258"/>
      <c r="R60" s="1258"/>
      <c r="S60" s="1258"/>
      <c r="T60" s="1258"/>
      <c r="U60" s="1258"/>
      <c r="V60" s="1258"/>
      <c r="W60" s="1265" t="s">
        <v>484</v>
      </c>
    </row>
    <row r="61" spans="1:23" ht="25.5" customHeight="1">
      <c r="A61" s="2316" t="s">
        <v>266</v>
      </c>
      <c r="B61" s="2317" t="s">
        <v>392</v>
      </c>
      <c r="C61" s="2257" t="s">
        <v>309</v>
      </c>
      <c r="D61" s="1254"/>
      <c r="E61" s="2069" t="s">
        <v>268</v>
      </c>
      <c r="F61" s="2069"/>
      <c r="G61" s="2069"/>
      <c r="H61" s="2069"/>
      <c r="I61" s="2069"/>
      <c r="J61" s="1255"/>
      <c r="K61" s="2079" t="s">
        <v>269</v>
      </c>
      <c r="L61" s="2079"/>
      <c r="M61" s="2079"/>
      <c r="N61" s="2079"/>
      <c r="O61" s="2079"/>
      <c r="P61" s="2079"/>
      <c r="Q61" s="2079"/>
      <c r="R61" s="2079"/>
      <c r="S61" s="1255"/>
      <c r="T61" s="1255"/>
      <c r="U61" s="1255"/>
      <c r="V61" s="1256"/>
      <c r="W61" s="1279"/>
    </row>
    <row r="62" spans="1:23" ht="25.5" customHeight="1">
      <c r="A62" s="2316"/>
      <c r="B62" s="2317"/>
      <c r="C62" s="2257"/>
      <c r="D62" s="1257" t="s">
        <v>271</v>
      </c>
      <c r="E62" s="2258">
        <v>65120</v>
      </c>
      <c r="F62" s="2258"/>
      <c r="G62" s="2258"/>
      <c r="H62" s="2258"/>
      <c r="I62" s="2258"/>
      <c r="J62" s="1258" t="s">
        <v>272</v>
      </c>
      <c r="K62" s="2075">
        <v>650</v>
      </c>
      <c r="L62" s="2075"/>
      <c r="M62" s="2075"/>
      <c r="N62" s="2075"/>
      <c r="O62" s="2075"/>
      <c r="P62" s="2075"/>
      <c r="Q62" s="2075"/>
      <c r="R62" s="2075"/>
      <c r="S62" s="1224" t="s">
        <v>273</v>
      </c>
      <c r="T62" s="1258"/>
      <c r="U62" s="1258"/>
      <c r="V62" s="1259"/>
      <c r="W62" s="1280" t="s">
        <v>388</v>
      </c>
    </row>
    <row r="63" spans="1:23" ht="25.5" customHeight="1">
      <c r="A63" s="2316"/>
      <c r="B63" s="2317"/>
      <c r="C63" s="2257"/>
      <c r="D63" s="1260"/>
      <c r="E63" s="1260"/>
      <c r="F63" s="1260"/>
      <c r="G63" s="1261"/>
      <c r="H63" s="1261"/>
      <c r="I63" s="1261"/>
      <c r="J63" s="1261"/>
      <c r="K63" s="1261"/>
      <c r="L63" s="1261"/>
      <c r="M63" s="2236" t="s">
        <v>274</v>
      </c>
      <c r="N63" s="2236"/>
      <c r="O63" s="2236"/>
      <c r="P63" s="2236"/>
      <c r="Q63" s="2236"/>
      <c r="R63" s="2236"/>
      <c r="S63" s="2236"/>
      <c r="T63" s="2236"/>
      <c r="U63" s="2236"/>
      <c r="V63" s="2237"/>
      <c r="W63" s="1281" t="s">
        <v>389</v>
      </c>
    </row>
    <row r="64" spans="1:23" ht="25.5" customHeight="1">
      <c r="A64" s="2316"/>
      <c r="B64" s="2317"/>
      <c r="C64" s="2255" t="s">
        <v>311</v>
      </c>
      <c r="D64" s="1254"/>
      <c r="E64" s="2069" t="s">
        <v>268</v>
      </c>
      <c r="F64" s="2069"/>
      <c r="G64" s="2069"/>
      <c r="H64" s="2069"/>
      <c r="I64" s="2069"/>
      <c r="J64" s="1255"/>
      <c r="K64" s="2079" t="s">
        <v>269</v>
      </c>
      <c r="L64" s="2079"/>
      <c r="M64" s="2079"/>
      <c r="N64" s="2079"/>
      <c r="O64" s="2079"/>
      <c r="P64" s="2079"/>
      <c r="Q64" s="2079"/>
      <c r="R64" s="2079"/>
      <c r="S64" s="1255"/>
      <c r="T64" s="1255"/>
      <c r="U64" s="1255"/>
      <c r="V64" s="1256"/>
      <c r="W64" s="2235" t="s">
        <v>390</v>
      </c>
    </row>
    <row r="65" spans="1:23" ht="25.5" customHeight="1">
      <c r="A65" s="2316"/>
      <c r="B65" s="2317"/>
      <c r="C65" s="2255"/>
      <c r="D65" s="1257" t="s">
        <v>271</v>
      </c>
      <c r="E65" s="2258">
        <v>50000</v>
      </c>
      <c r="F65" s="2258"/>
      <c r="G65" s="2258"/>
      <c r="H65" s="2258"/>
      <c r="I65" s="2258"/>
      <c r="J65" s="1258" t="s">
        <v>272</v>
      </c>
      <c r="K65" s="2075">
        <v>500</v>
      </c>
      <c r="L65" s="2075"/>
      <c r="M65" s="2075"/>
      <c r="N65" s="2075"/>
      <c r="O65" s="2075"/>
      <c r="P65" s="2075"/>
      <c r="Q65" s="2075"/>
      <c r="R65" s="2075"/>
      <c r="S65" s="1224" t="s">
        <v>273</v>
      </c>
      <c r="T65" s="1258"/>
      <c r="U65" s="1258"/>
      <c r="V65" s="1259"/>
      <c r="W65" s="2235"/>
    </row>
    <row r="66" spans="1:23" ht="25.5" customHeight="1">
      <c r="A66" s="2316"/>
      <c r="B66" s="2317"/>
      <c r="C66" s="2255"/>
      <c r="D66" s="1260"/>
      <c r="E66" s="1260"/>
      <c r="F66" s="1260"/>
      <c r="G66" s="1261"/>
      <c r="H66" s="1261"/>
      <c r="I66" s="1261"/>
      <c r="J66" s="1261"/>
      <c r="K66" s="1261"/>
      <c r="L66" s="1261"/>
      <c r="M66" s="2236" t="s">
        <v>274</v>
      </c>
      <c r="N66" s="2236"/>
      <c r="O66" s="2236"/>
      <c r="P66" s="2236"/>
      <c r="Q66" s="2236"/>
      <c r="R66" s="2236"/>
      <c r="S66" s="2236"/>
      <c r="T66" s="2236"/>
      <c r="U66" s="2236"/>
      <c r="V66" s="2237"/>
      <c r="W66" s="1281" t="s">
        <v>391</v>
      </c>
    </row>
    <row r="67" spans="1:23" ht="25.5" customHeight="1">
      <c r="A67" s="2316"/>
      <c r="B67" s="2317"/>
      <c r="C67" s="2255" t="s">
        <v>1087</v>
      </c>
      <c r="D67" s="1282"/>
      <c r="E67" s="2069" t="s">
        <v>268</v>
      </c>
      <c r="F67" s="2069"/>
      <c r="G67" s="2069"/>
      <c r="H67" s="2069"/>
      <c r="I67" s="2069"/>
      <c r="J67" s="1255"/>
      <c r="K67" s="2079"/>
      <c r="L67" s="2079"/>
      <c r="M67" s="2079"/>
      <c r="N67" s="2079"/>
      <c r="O67" s="2079"/>
      <c r="P67" s="2079"/>
      <c r="Q67" s="2079"/>
      <c r="R67" s="2079"/>
      <c r="S67" s="1255"/>
      <c r="T67" s="1255"/>
      <c r="U67" s="1255"/>
      <c r="V67" s="1256"/>
      <c r="W67" s="1283"/>
    </row>
    <row r="68" spans="1:23" ht="25.5" customHeight="1">
      <c r="A68" s="2316"/>
      <c r="B68" s="2317"/>
      <c r="C68" s="2255"/>
      <c r="D68" s="1284"/>
      <c r="E68" s="2234">
        <v>10000</v>
      </c>
      <c r="F68" s="2234"/>
      <c r="G68" s="2234"/>
      <c r="H68" s="2234"/>
      <c r="I68" s="2234"/>
      <c r="J68" s="1285" t="s">
        <v>393</v>
      </c>
      <c r="K68" s="1285"/>
      <c r="L68" s="1285"/>
      <c r="M68" s="1285"/>
      <c r="N68" s="1285"/>
      <c r="O68" s="1285"/>
      <c r="P68" s="1285"/>
      <c r="Q68" s="1285"/>
      <c r="R68" s="1285"/>
      <c r="S68" s="1286"/>
      <c r="T68" s="1273"/>
      <c r="U68" s="1273"/>
      <c r="V68" s="1287"/>
      <c r="W68" s="1288"/>
    </row>
    <row r="69" spans="1:23" ht="25.5" customHeight="1">
      <c r="A69" s="1128"/>
      <c r="B69" s="1128"/>
      <c r="C69" s="1262"/>
      <c r="D69" s="1263"/>
      <c r="E69" s="1263"/>
      <c r="F69" s="1263"/>
      <c r="G69" s="1263"/>
      <c r="H69" s="1264"/>
      <c r="I69" s="1264"/>
      <c r="J69" s="1264"/>
      <c r="K69" s="1264"/>
      <c r="L69" s="1262"/>
      <c r="M69" s="1258"/>
      <c r="N69" s="1264"/>
      <c r="O69" s="1264"/>
      <c r="P69" s="1264"/>
      <c r="Q69" s="1258"/>
      <c r="R69" s="1258"/>
      <c r="S69" s="1258"/>
      <c r="T69" s="1258"/>
      <c r="U69" s="1258"/>
      <c r="V69" s="1258"/>
      <c r="W69" s="1265" t="s">
        <v>484</v>
      </c>
    </row>
    <row r="70" spans="1:23" ht="25.5" customHeight="1">
      <c r="A70" s="1130" t="s">
        <v>486</v>
      </c>
      <c r="B70" s="1131" t="s">
        <v>362</v>
      </c>
      <c r="C70" s="2255">
        <v>150000</v>
      </c>
      <c r="D70" s="2255"/>
      <c r="E70" s="2255"/>
      <c r="F70" s="2255"/>
      <c r="G70" s="2255"/>
      <c r="H70" s="2255"/>
      <c r="I70" s="2255"/>
      <c r="J70" s="2255"/>
      <c r="K70" s="2255"/>
      <c r="L70" s="2255"/>
      <c r="M70" s="2255"/>
      <c r="N70" s="2255"/>
      <c r="O70" s="2255"/>
      <c r="P70" s="2255"/>
      <c r="Q70" s="2255"/>
      <c r="R70" s="2255"/>
      <c r="S70" s="2255"/>
      <c r="T70" s="2255"/>
      <c r="U70" s="2255"/>
      <c r="V70" s="2256"/>
      <c r="W70" s="1275" t="s">
        <v>479</v>
      </c>
    </row>
    <row r="71" spans="1:23" ht="25.5" customHeight="1">
      <c r="A71" s="2306"/>
      <c r="B71" s="2306"/>
      <c r="C71" s="2306"/>
      <c r="D71" s="2306"/>
      <c r="E71" s="2306"/>
      <c r="F71" s="2306"/>
      <c r="G71" s="2306"/>
      <c r="H71" s="2306"/>
      <c r="I71" s="2306"/>
      <c r="J71" s="2306"/>
      <c r="K71" s="2306"/>
      <c r="L71" s="2306"/>
      <c r="M71" s="2306"/>
      <c r="N71" s="2306"/>
      <c r="O71" s="2306"/>
      <c r="P71" s="2306"/>
      <c r="Q71" s="2306"/>
      <c r="R71" s="2306"/>
      <c r="S71" s="2306"/>
      <c r="T71" s="2306"/>
      <c r="U71" s="2306"/>
      <c r="V71" s="2306"/>
      <c r="W71" s="2306"/>
    </row>
    <row r="72" spans="1:23" ht="25.5" customHeight="1">
      <c r="A72" s="2306" t="s">
        <v>170</v>
      </c>
      <c r="B72" s="2306"/>
      <c r="C72" s="2306"/>
      <c r="D72" s="2306"/>
      <c r="E72" s="2306"/>
      <c r="F72" s="2306"/>
      <c r="G72" s="2306"/>
      <c r="H72" s="2306"/>
      <c r="I72" s="2306"/>
      <c r="J72" s="2306"/>
      <c r="K72" s="2306"/>
      <c r="L72" s="2306"/>
      <c r="M72" s="2306"/>
      <c r="N72" s="2306"/>
      <c r="O72" s="2306"/>
      <c r="P72" s="2306"/>
      <c r="Q72" s="2306"/>
      <c r="R72" s="2306"/>
      <c r="S72" s="2306"/>
      <c r="T72" s="2306"/>
      <c r="U72" s="2306"/>
      <c r="V72" s="2306"/>
      <c r="W72" s="2306"/>
    </row>
  </sheetData>
  <sheetProtection algorithmName="SHA-512" hashValue="decD7u0BKOVS++v88nh7M7WzHpM1VL79dSTnGSIZ+rXwareoquZU9fi5cEVzVVchC+/vVGWWxwMT3YiZvbuefg==" saltValue="2MQhGE8lnHlIPMStRviUKw==" spinCount="100000" sheet="1" objects="1" scenarios="1" selectLockedCells="1"/>
  <customSheetViews>
    <customSheetView guid="{2E52E5FF-9846-4DC5-A671-268FE925398C}" scale="85" showPageBreaks="1" printArea="1" hiddenRows="1" state="hidden" view="pageBreakPreview" topLeftCell="A40">
      <selection activeCell="K63" sqref="K63:K64"/>
      <pageMargins left="0.39370078740157483" right="0.39370078740157483" top="0.39370078740157483" bottom="0.39370078740157483" header="0.31496062992125984" footer="0.15748031496062992"/>
      <printOptions horizontalCentered="1"/>
      <pageSetup paperSize="9" scale="70" orientation="portrait" r:id="rId1"/>
      <headerFooter alignWithMargins="0"/>
    </customSheetView>
    <customSheetView guid="{BADA99B3-B36A-4925-87A7-F72FC97D3DBA}" scale="85" showPageBreaks="1" printArea="1" hiddenRows="1" state="hidden" view="pageBreakPreview" topLeftCell="A40">
      <selection activeCell="K63" sqref="K63:K64"/>
      <pageMargins left="0.39370078740157483" right="0.39370078740157483" top="0.39370078740157483" bottom="0.39370078740157483" header="0.31496062992125984" footer="0.15748031496062992"/>
      <printOptions horizontalCentered="1"/>
      <pageSetup paperSize="9" scale="70" orientation="portrait" r:id="rId2"/>
      <headerFooter alignWithMargins="0"/>
    </customSheetView>
  </customSheetViews>
  <mergeCells count="135">
    <mergeCell ref="A72:W72"/>
    <mergeCell ref="C57:V57"/>
    <mergeCell ref="C59:V59"/>
    <mergeCell ref="C70:V70"/>
    <mergeCell ref="A71:W71"/>
    <mergeCell ref="L50:O50"/>
    <mergeCell ref="W50:W55"/>
    <mergeCell ref="L51:V51"/>
    <mergeCell ref="C52:K53"/>
    <mergeCell ref="L52:O52"/>
    <mergeCell ref="L53:V53"/>
    <mergeCell ref="C54:K55"/>
    <mergeCell ref="L54:O54"/>
    <mergeCell ref="L55:V55"/>
    <mergeCell ref="A50:A55"/>
    <mergeCell ref="C50:K51"/>
    <mergeCell ref="K67:R67"/>
    <mergeCell ref="A61:A68"/>
    <mergeCell ref="B61:B68"/>
    <mergeCell ref="E61:I61"/>
    <mergeCell ref="K61:R61"/>
    <mergeCell ref="E67:I67"/>
    <mergeCell ref="M63:V63"/>
    <mergeCell ref="C67:C68"/>
    <mergeCell ref="M16:V16"/>
    <mergeCell ref="C14:C16"/>
    <mergeCell ref="A11:A16"/>
    <mergeCell ref="B11:B16"/>
    <mergeCell ref="C11:C13"/>
    <mergeCell ref="E11:I11"/>
    <mergeCell ref="E14:I14"/>
    <mergeCell ref="E15:I15"/>
    <mergeCell ref="M28:V28"/>
    <mergeCell ref="A26:A28"/>
    <mergeCell ref="B26:B28"/>
    <mergeCell ref="C26:C28"/>
    <mergeCell ref="E26:I26"/>
    <mergeCell ref="K26:R26"/>
    <mergeCell ref="E19:I19"/>
    <mergeCell ref="K19:R19"/>
    <mergeCell ref="W11:W16"/>
    <mergeCell ref="A34:A35"/>
    <mergeCell ref="B34:B35"/>
    <mergeCell ref="C34:C35"/>
    <mergeCell ref="D34:I34"/>
    <mergeCell ref="K34:V34"/>
    <mergeCell ref="W34:W35"/>
    <mergeCell ref="M35:V35"/>
    <mergeCell ref="A18:A20"/>
    <mergeCell ref="B18:B20"/>
    <mergeCell ref="A22:A24"/>
    <mergeCell ref="B22:B24"/>
    <mergeCell ref="E12:I12"/>
    <mergeCell ref="K12:R12"/>
    <mergeCell ref="M13:V13"/>
    <mergeCell ref="K11:R11"/>
    <mergeCell ref="K14:R14"/>
    <mergeCell ref="W26:W28"/>
    <mergeCell ref="W18:W20"/>
    <mergeCell ref="M20:V20"/>
    <mergeCell ref="C18:C20"/>
    <mergeCell ref="E18:I18"/>
    <mergeCell ref="K18:R18"/>
    <mergeCell ref="K15:R15"/>
    <mergeCell ref="W3:W5"/>
    <mergeCell ref="E4:I4"/>
    <mergeCell ref="K4:R4"/>
    <mergeCell ref="M5:V5"/>
    <mergeCell ref="E3:I3"/>
    <mergeCell ref="K3:R3"/>
    <mergeCell ref="A7:A9"/>
    <mergeCell ref="B7:B9"/>
    <mergeCell ref="C7:C9"/>
    <mergeCell ref="A3:A5"/>
    <mergeCell ref="B3:B5"/>
    <mergeCell ref="C3:C5"/>
    <mergeCell ref="E7:I7"/>
    <mergeCell ref="K7:R7"/>
    <mergeCell ref="W7:W9"/>
    <mergeCell ref="E8:I8"/>
    <mergeCell ref="K8:R8"/>
    <mergeCell ref="M9:V9"/>
    <mergeCell ref="W22:W24"/>
    <mergeCell ref="M24:V24"/>
    <mergeCell ref="C22:C24"/>
    <mergeCell ref="E22:I22"/>
    <mergeCell ref="K22:R22"/>
    <mergeCell ref="E23:I23"/>
    <mergeCell ref="K23:R23"/>
    <mergeCell ref="E27:I27"/>
    <mergeCell ref="K27:R27"/>
    <mergeCell ref="A30:A32"/>
    <mergeCell ref="M39:V39"/>
    <mergeCell ref="B30:B32"/>
    <mergeCell ref="W30:W32"/>
    <mergeCell ref="C31:L31"/>
    <mergeCell ref="M31:Q31"/>
    <mergeCell ref="T31:V31"/>
    <mergeCell ref="C32:L32"/>
    <mergeCell ref="M32:Q32"/>
    <mergeCell ref="T32:V32"/>
    <mergeCell ref="R37:V37"/>
    <mergeCell ref="W37:W39"/>
    <mergeCell ref="C38:G38"/>
    <mergeCell ref="H38:L38"/>
    <mergeCell ref="M38:Q38"/>
    <mergeCell ref="R38:V38"/>
    <mergeCell ref="C39:G39"/>
    <mergeCell ref="H39:L39"/>
    <mergeCell ref="A37:A39"/>
    <mergeCell ref="B37:B39"/>
    <mergeCell ref="C37:G37"/>
    <mergeCell ref="H37:L37"/>
    <mergeCell ref="M37:Q37"/>
    <mergeCell ref="C30:V30"/>
    <mergeCell ref="E68:I68"/>
    <mergeCell ref="K64:R64"/>
    <mergeCell ref="W64:W65"/>
    <mergeCell ref="M66:V66"/>
    <mergeCell ref="A41:A44"/>
    <mergeCell ref="B41:B44"/>
    <mergeCell ref="C41:C42"/>
    <mergeCell ref="D41:V42"/>
    <mergeCell ref="W41:W44"/>
    <mergeCell ref="C43:C44"/>
    <mergeCell ref="D43:V44"/>
    <mergeCell ref="C48:V48"/>
    <mergeCell ref="E64:I64"/>
    <mergeCell ref="C61:C63"/>
    <mergeCell ref="E62:I62"/>
    <mergeCell ref="K62:R62"/>
    <mergeCell ref="C64:C66"/>
    <mergeCell ref="E65:I65"/>
    <mergeCell ref="K65:R65"/>
    <mergeCell ref="C46:V46"/>
  </mergeCells>
  <phoneticPr fontId="4"/>
  <conditionalFormatting sqref="W41:W44">
    <cfRule type="expression" dxfId="314" priority="11">
      <formula>W41&lt;W41</formula>
    </cfRule>
    <cfRule type="expression" dxfId="313" priority="12">
      <formula>W41&gt;W41</formula>
    </cfRule>
  </conditionalFormatting>
  <conditionalFormatting sqref="W66:W68 W61:W64">
    <cfRule type="expression" dxfId="312" priority="9">
      <formula>W61&lt;#REF!</formula>
    </cfRule>
    <cfRule type="expression" dxfId="311" priority="10">
      <formula>W61&gt;#REF!</formula>
    </cfRule>
  </conditionalFormatting>
  <conditionalFormatting sqref="A42:B44 A41:D41 C43:D43">
    <cfRule type="expression" dxfId="310" priority="5">
      <formula>A41&lt;A41</formula>
    </cfRule>
    <cfRule type="expression" dxfId="309" priority="6">
      <formula>A41&gt;A41</formula>
    </cfRule>
  </conditionalFormatting>
  <conditionalFormatting sqref="A3:V40 A45:V68">
    <cfRule type="expression" dxfId="308" priority="1">
      <formula>A3&lt;#REF!</formula>
    </cfRule>
    <cfRule type="expression" dxfId="307" priority="2">
      <formula>A3&gt;#REF!</formula>
    </cfRule>
  </conditionalFormatting>
  <conditionalFormatting sqref="A69:V70">
    <cfRule type="expression" dxfId="306" priority="3">
      <formula>A69&lt;#REF!</formula>
    </cfRule>
    <cfRule type="expression" dxfId="305" priority="4">
      <formula>A69&gt;#REF!</formula>
    </cfRule>
  </conditionalFormatting>
  <printOptions horizontalCentered="1"/>
  <pageMargins left="0.39370078740157483" right="0.39370078740157483" top="0.39370078740157483" bottom="0.39370078740157483" header="0.31496062992125984" footer="0.15748031496062992"/>
  <pageSetup paperSize="9" scale="70" orientation="portrait"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4EF70-84E4-4FB3-9EFC-9FC46FAF1289}">
  <sheetPr>
    <tabColor rgb="FFFFFF00"/>
  </sheetPr>
  <dimension ref="A1:U279"/>
  <sheetViews>
    <sheetView view="pageBreakPreview" zoomScale="55" zoomScaleNormal="100" zoomScaleSheetLayoutView="55" workbookViewId="0">
      <selection activeCell="AA52" sqref="Y6:AB78"/>
    </sheetView>
  </sheetViews>
  <sheetFormatPr defaultRowHeight="13.5"/>
  <cols>
    <col min="1" max="1" width="5.625" style="1231" customWidth="1"/>
    <col min="2" max="2" width="8.375" style="1231" customWidth="1"/>
    <col min="3" max="3" width="4.5" style="1231" bestFit="1" customWidth="1"/>
    <col min="4" max="4" width="8.375" style="1231" customWidth="1"/>
    <col min="5" max="21" width="6.75" style="32" bestFit="1" customWidth="1"/>
    <col min="22" max="22" width="0.875" style="1289" customWidth="1"/>
    <col min="23" max="16384" width="9" style="1289"/>
  </cols>
  <sheetData>
    <row r="1" spans="1:21" ht="18.75">
      <c r="A1" s="1230" t="s">
        <v>1227</v>
      </c>
    </row>
    <row r="3" spans="1:21" s="1290" customFormat="1" ht="14.25">
      <c r="A3" s="2156" t="s">
        <v>1188</v>
      </c>
      <c r="B3" s="2156" t="s">
        <v>1189</v>
      </c>
      <c r="C3" s="2156" t="s">
        <v>1190</v>
      </c>
      <c r="D3" s="2156" t="s">
        <v>1191</v>
      </c>
      <c r="E3" s="2324" t="s">
        <v>1192</v>
      </c>
      <c r="F3" s="2325"/>
      <c r="G3" s="2325"/>
      <c r="H3" s="2325"/>
      <c r="I3" s="2325"/>
      <c r="J3" s="2325"/>
      <c r="K3" s="2325"/>
      <c r="L3" s="2325"/>
      <c r="M3" s="2325"/>
      <c r="N3" s="2325"/>
      <c r="O3" s="2325"/>
      <c r="P3" s="2325"/>
      <c r="Q3" s="2325"/>
      <c r="R3" s="2325"/>
      <c r="S3" s="2325"/>
      <c r="T3" s="2325"/>
      <c r="U3" s="2326"/>
    </row>
    <row r="4" spans="1:21" ht="15" customHeight="1">
      <c r="A4" s="2156"/>
      <c r="B4" s="2156"/>
      <c r="C4" s="2156"/>
      <c r="D4" s="2156"/>
      <c r="E4" s="1960" t="s">
        <v>1228</v>
      </c>
      <c r="F4" s="2321" t="s">
        <v>1229</v>
      </c>
      <c r="G4" s="2321" t="s">
        <v>1230</v>
      </c>
      <c r="H4" s="2321" t="s">
        <v>1231</v>
      </c>
      <c r="I4" s="2321" t="s">
        <v>1232</v>
      </c>
      <c r="J4" s="2321" t="s">
        <v>1233</v>
      </c>
      <c r="K4" s="2321" t="s">
        <v>1234</v>
      </c>
      <c r="L4" s="2321" t="s">
        <v>1235</v>
      </c>
      <c r="M4" s="2321" t="s">
        <v>1236</v>
      </c>
      <c r="N4" s="2321" t="s">
        <v>1237</v>
      </c>
      <c r="O4" s="2321" t="s">
        <v>1238</v>
      </c>
      <c r="P4" s="2321" t="s">
        <v>1239</v>
      </c>
      <c r="Q4" s="2321" t="s">
        <v>1240</v>
      </c>
      <c r="R4" s="2321" t="s">
        <v>1241</v>
      </c>
      <c r="S4" s="2321" t="s">
        <v>1242</v>
      </c>
      <c r="T4" s="2321" t="s">
        <v>1243</v>
      </c>
      <c r="U4" s="2318" t="s">
        <v>1244</v>
      </c>
    </row>
    <row r="5" spans="1:21" ht="15" customHeight="1">
      <c r="A5" s="2156"/>
      <c r="B5" s="2156"/>
      <c r="C5" s="2156"/>
      <c r="D5" s="2156"/>
      <c r="E5" s="1961"/>
      <c r="F5" s="2322"/>
      <c r="G5" s="2322"/>
      <c r="H5" s="2322"/>
      <c r="I5" s="2322"/>
      <c r="J5" s="2322"/>
      <c r="K5" s="2322"/>
      <c r="L5" s="2322"/>
      <c r="M5" s="2322"/>
      <c r="N5" s="2322"/>
      <c r="O5" s="2322"/>
      <c r="P5" s="2322"/>
      <c r="Q5" s="2322"/>
      <c r="R5" s="2322"/>
      <c r="S5" s="2322"/>
      <c r="T5" s="2322"/>
      <c r="U5" s="2319"/>
    </row>
    <row r="6" spans="1:21" ht="15" customHeight="1">
      <c r="A6" s="2157"/>
      <c r="B6" s="2157"/>
      <c r="C6" s="2157"/>
      <c r="D6" s="2157"/>
      <c r="E6" s="1962"/>
      <c r="F6" s="2323"/>
      <c r="G6" s="2323"/>
      <c r="H6" s="2323"/>
      <c r="I6" s="2323"/>
      <c r="J6" s="2323"/>
      <c r="K6" s="2323"/>
      <c r="L6" s="2323"/>
      <c r="M6" s="2323"/>
      <c r="N6" s="2323"/>
      <c r="O6" s="2323"/>
      <c r="P6" s="2323"/>
      <c r="Q6" s="2323"/>
      <c r="R6" s="2323"/>
      <c r="S6" s="2323"/>
      <c r="T6" s="2323"/>
      <c r="U6" s="2320"/>
    </row>
    <row r="7" spans="1:21" ht="3.75" customHeight="1">
      <c r="A7" s="6"/>
      <c r="B7" s="1233"/>
      <c r="C7" s="1233"/>
      <c r="D7" s="1233"/>
    </row>
    <row r="8" spans="1:21" ht="24" customHeight="1">
      <c r="A8" s="2156" t="s">
        <v>1210</v>
      </c>
      <c r="B8" s="2157" t="s">
        <v>1245</v>
      </c>
      <c r="C8" s="2168" t="s">
        <v>1246</v>
      </c>
      <c r="D8" s="1235" t="s">
        <v>1213</v>
      </c>
      <c r="E8" s="2328"/>
      <c r="F8" s="2327">
        <v>0.63</v>
      </c>
      <c r="G8" s="2327">
        <v>0.47250000000000003</v>
      </c>
      <c r="H8" s="2327">
        <v>0.44887500000000002</v>
      </c>
      <c r="I8" s="2327">
        <v>0.44438625000000004</v>
      </c>
      <c r="J8" s="2327">
        <v>0.39105990000000002</v>
      </c>
      <c r="K8" s="2327">
        <v>0.35586450900000005</v>
      </c>
      <c r="L8" s="2327">
        <v>0.33095399337000009</v>
      </c>
      <c r="M8" s="2327">
        <v>0.31109675376780005</v>
      </c>
      <c r="N8" s="2327">
        <v>0.29554191607941005</v>
      </c>
      <c r="O8" s="2327">
        <v>0.28372023943623365</v>
      </c>
      <c r="P8" s="2327">
        <v>0.27804583464750898</v>
      </c>
      <c r="Q8" s="2327">
        <v>0.26414354291513353</v>
      </c>
      <c r="R8" s="2327">
        <v>0.25357780119852819</v>
      </c>
      <c r="S8" s="2327">
        <v>0.24850624517455761</v>
      </c>
      <c r="T8" s="2327">
        <v>0.24602118272281204</v>
      </c>
      <c r="U8" s="2331">
        <v>0.24110075906835579</v>
      </c>
    </row>
    <row r="9" spans="1:21" ht="24" customHeight="1">
      <c r="A9" s="2156"/>
      <c r="B9" s="2165"/>
      <c r="C9" s="2169"/>
      <c r="D9" s="1237" t="s">
        <v>1214</v>
      </c>
      <c r="E9" s="2328"/>
      <c r="F9" s="2327"/>
      <c r="G9" s="2327"/>
      <c r="H9" s="2327"/>
      <c r="I9" s="2327"/>
      <c r="J9" s="2327"/>
      <c r="K9" s="2327"/>
      <c r="L9" s="2327"/>
      <c r="M9" s="2327"/>
      <c r="N9" s="2327"/>
      <c r="O9" s="2327"/>
      <c r="P9" s="2327"/>
      <c r="Q9" s="2327"/>
      <c r="R9" s="2327"/>
      <c r="S9" s="2327"/>
      <c r="T9" s="2327"/>
      <c r="U9" s="2331"/>
    </row>
    <row r="10" spans="1:21" ht="24" customHeight="1">
      <c r="A10" s="2156"/>
      <c r="B10" s="2157" t="s">
        <v>1247</v>
      </c>
      <c r="C10" s="2168" t="s">
        <v>1246</v>
      </c>
      <c r="D10" s="1235" t="s">
        <v>1213</v>
      </c>
      <c r="E10" s="2329"/>
      <c r="F10" s="2330"/>
      <c r="G10" s="2327">
        <v>0.75</v>
      </c>
      <c r="H10" s="2327">
        <v>0.71249999999999991</v>
      </c>
      <c r="I10" s="2327">
        <v>0.70537499999999986</v>
      </c>
      <c r="J10" s="2327">
        <v>0.62072999999999989</v>
      </c>
      <c r="K10" s="2327">
        <v>0.56486429999999987</v>
      </c>
      <c r="L10" s="2327">
        <v>0.52532379899999992</v>
      </c>
      <c r="M10" s="2327">
        <v>0.49380437105999991</v>
      </c>
      <c r="N10" s="2327">
        <v>0.46911415250699989</v>
      </c>
      <c r="O10" s="2327">
        <v>0.4503495864067199</v>
      </c>
      <c r="P10" s="2327">
        <v>0.4413425946785855</v>
      </c>
      <c r="Q10" s="2327">
        <v>0.41927546494465623</v>
      </c>
      <c r="R10" s="2327">
        <v>0.40250444634686994</v>
      </c>
      <c r="S10" s="2327">
        <v>0.39445435741993251</v>
      </c>
      <c r="T10" s="2327">
        <v>0.39050981384573319</v>
      </c>
      <c r="U10" s="2331">
        <v>0.38269961756881854</v>
      </c>
    </row>
    <row r="11" spans="1:21" ht="24" customHeight="1">
      <c r="A11" s="2156"/>
      <c r="B11" s="2165"/>
      <c r="C11" s="2169"/>
      <c r="D11" s="1237" t="s">
        <v>1214</v>
      </c>
      <c r="E11" s="2329"/>
      <c r="F11" s="2330"/>
      <c r="G11" s="2327"/>
      <c r="H11" s="2327"/>
      <c r="I11" s="2327"/>
      <c r="J11" s="2327"/>
      <c r="K11" s="2327"/>
      <c r="L11" s="2327"/>
      <c r="M11" s="2327"/>
      <c r="N11" s="2327"/>
      <c r="O11" s="2327"/>
      <c r="P11" s="2327"/>
      <c r="Q11" s="2327"/>
      <c r="R11" s="2327"/>
      <c r="S11" s="2327"/>
      <c r="T11" s="2327"/>
      <c r="U11" s="2331"/>
    </row>
    <row r="12" spans="1:21" ht="24" customHeight="1">
      <c r="A12" s="2156"/>
      <c r="B12" s="2157" t="s">
        <v>1248</v>
      </c>
      <c r="C12" s="2168" t="s">
        <v>1246</v>
      </c>
      <c r="D12" s="1235" t="s">
        <v>1213</v>
      </c>
      <c r="E12" s="2329"/>
      <c r="F12" s="2330"/>
      <c r="G12" s="2330"/>
      <c r="H12" s="2327">
        <v>0.95</v>
      </c>
      <c r="I12" s="2327">
        <v>0.9405</v>
      </c>
      <c r="J12" s="2327">
        <v>0.82764000000000004</v>
      </c>
      <c r="K12" s="2327">
        <v>0.75315240000000006</v>
      </c>
      <c r="L12" s="2327">
        <v>0.70043173200000008</v>
      </c>
      <c r="M12" s="2327">
        <v>0.65840582808000003</v>
      </c>
      <c r="N12" s="2327">
        <v>0.62548553667600004</v>
      </c>
      <c r="O12" s="2327">
        <v>0.60046611520895998</v>
      </c>
      <c r="P12" s="2327">
        <v>0.58845679290478081</v>
      </c>
      <c r="Q12" s="2327">
        <v>0.55903395325954175</v>
      </c>
      <c r="R12" s="2327">
        <v>0.5366725951291601</v>
      </c>
      <c r="S12" s="2327">
        <v>0.52593914322657687</v>
      </c>
      <c r="T12" s="2327">
        <v>0.52067975179431114</v>
      </c>
      <c r="U12" s="2331">
        <v>0.5102661567584249</v>
      </c>
    </row>
    <row r="13" spans="1:21" ht="24" customHeight="1">
      <c r="A13" s="2156"/>
      <c r="B13" s="2165"/>
      <c r="C13" s="2169"/>
      <c r="D13" s="1237" t="s">
        <v>1214</v>
      </c>
      <c r="E13" s="2329"/>
      <c r="F13" s="2330"/>
      <c r="G13" s="2330"/>
      <c r="H13" s="2327"/>
      <c r="I13" s="2327"/>
      <c r="J13" s="2327"/>
      <c r="K13" s="2327"/>
      <c r="L13" s="2327"/>
      <c r="M13" s="2327"/>
      <c r="N13" s="2327"/>
      <c r="O13" s="2327"/>
      <c r="P13" s="2327"/>
      <c r="Q13" s="2327"/>
      <c r="R13" s="2327"/>
      <c r="S13" s="2327"/>
      <c r="T13" s="2327"/>
      <c r="U13" s="2331"/>
    </row>
    <row r="14" spans="1:21" ht="24" customHeight="1">
      <c r="A14" s="2156"/>
      <c r="B14" s="2157" t="s">
        <v>1249</v>
      </c>
      <c r="C14" s="2168" t="s">
        <v>1246</v>
      </c>
      <c r="D14" s="1235" t="s">
        <v>1213</v>
      </c>
      <c r="E14" s="2329"/>
      <c r="F14" s="2330"/>
      <c r="G14" s="2330"/>
      <c r="H14" s="2330"/>
      <c r="I14" s="2327">
        <v>0.99</v>
      </c>
      <c r="J14" s="2327">
        <v>0.87119999999999997</v>
      </c>
      <c r="K14" s="2327">
        <v>0.79279200000000005</v>
      </c>
      <c r="L14" s="2327">
        <v>0.7372965600000001</v>
      </c>
      <c r="M14" s="2327">
        <v>0.69305876640000008</v>
      </c>
      <c r="N14" s="2327">
        <v>0.65840582808000003</v>
      </c>
      <c r="O14" s="2327">
        <v>0.63206959495680004</v>
      </c>
      <c r="P14" s="2327">
        <v>0.619428203057664</v>
      </c>
      <c r="Q14" s="2327">
        <v>0.58845679290478081</v>
      </c>
      <c r="R14" s="2327">
        <v>0.56491852118858954</v>
      </c>
      <c r="S14" s="2327">
        <v>0.55362015076481774</v>
      </c>
      <c r="T14" s="2327">
        <v>0.54808394925716952</v>
      </c>
      <c r="U14" s="2331">
        <v>0.53712227027202608</v>
      </c>
    </row>
    <row r="15" spans="1:21" ht="24" customHeight="1">
      <c r="A15" s="2156"/>
      <c r="B15" s="2165"/>
      <c r="C15" s="2169"/>
      <c r="D15" s="1237" t="s">
        <v>1214</v>
      </c>
      <c r="E15" s="2329"/>
      <c r="F15" s="2330"/>
      <c r="G15" s="2330"/>
      <c r="H15" s="2330"/>
      <c r="I15" s="2327"/>
      <c r="J15" s="2327"/>
      <c r="K15" s="2327"/>
      <c r="L15" s="2327"/>
      <c r="M15" s="2327"/>
      <c r="N15" s="2327"/>
      <c r="O15" s="2327"/>
      <c r="P15" s="2327"/>
      <c r="Q15" s="2327"/>
      <c r="R15" s="2327"/>
      <c r="S15" s="2327"/>
      <c r="T15" s="2327"/>
      <c r="U15" s="2331"/>
    </row>
    <row r="16" spans="1:21" ht="24" customHeight="1">
      <c r="A16" s="2156"/>
      <c r="B16" s="2157" t="s">
        <v>1250</v>
      </c>
      <c r="C16" s="2168" t="s">
        <v>1246</v>
      </c>
      <c r="D16" s="1235" t="s">
        <v>1213</v>
      </c>
      <c r="E16" s="2329"/>
      <c r="F16" s="2330"/>
      <c r="G16" s="2330"/>
      <c r="H16" s="2330"/>
      <c r="I16" s="2330"/>
      <c r="J16" s="2327">
        <v>0.88</v>
      </c>
      <c r="K16" s="2327">
        <v>0.80080000000000007</v>
      </c>
      <c r="L16" s="2327">
        <v>0.74474400000000007</v>
      </c>
      <c r="M16" s="2327">
        <v>0.70005936000000002</v>
      </c>
      <c r="N16" s="2327">
        <v>0.665056392</v>
      </c>
      <c r="O16" s="2327">
        <v>0.63845413631999992</v>
      </c>
      <c r="P16" s="2327">
        <v>0.62568505359359994</v>
      </c>
      <c r="Q16" s="2327">
        <v>0.59440080091391989</v>
      </c>
      <c r="R16" s="2327">
        <v>0.57062476887736302</v>
      </c>
      <c r="S16" s="2327">
        <v>0.55921227349981573</v>
      </c>
      <c r="T16" s="2327">
        <v>0.55362015076481752</v>
      </c>
      <c r="U16" s="2331">
        <v>0.54254774774952119</v>
      </c>
    </row>
    <row r="17" spans="1:21" ht="24" customHeight="1">
      <c r="A17" s="2156"/>
      <c r="B17" s="2165"/>
      <c r="C17" s="2169"/>
      <c r="D17" s="1237" t="s">
        <v>1214</v>
      </c>
      <c r="E17" s="2329"/>
      <c r="F17" s="2330"/>
      <c r="G17" s="2330"/>
      <c r="H17" s="2330"/>
      <c r="I17" s="2330"/>
      <c r="J17" s="2327"/>
      <c r="K17" s="2327"/>
      <c r="L17" s="2327"/>
      <c r="M17" s="2327"/>
      <c r="N17" s="2327"/>
      <c r="O17" s="2327"/>
      <c r="P17" s="2327"/>
      <c r="Q17" s="2327"/>
      <c r="R17" s="2327"/>
      <c r="S17" s="2327"/>
      <c r="T17" s="2327"/>
      <c r="U17" s="2331"/>
    </row>
    <row r="18" spans="1:21" ht="24" customHeight="1">
      <c r="A18" s="2156"/>
      <c r="B18" s="2157" t="s">
        <v>1251</v>
      </c>
      <c r="C18" s="2168" t="s">
        <v>1246</v>
      </c>
      <c r="D18" s="1235" t="s">
        <v>1213</v>
      </c>
      <c r="E18" s="2329"/>
      <c r="F18" s="2330"/>
      <c r="G18" s="2330"/>
      <c r="H18" s="2330"/>
      <c r="I18" s="2330"/>
      <c r="J18" s="2330"/>
      <c r="K18" s="2327">
        <v>0.91</v>
      </c>
      <c r="L18" s="2327">
        <v>0.84630000000000005</v>
      </c>
      <c r="M18" s="2327">
        <v>0.79552199999999995</v>
      </c>
      <c r="N18" s="2327">
        <v>0.75574589999999997</v>
      </c>
      <c r="O18" s="2327">
        <v>0.72551606399999991</v>
      </c>
      <c r="P18" s="2327">
        <v>0.71100574271999994</v>
      </c>
      <c r="Q18" s="2327">
        <v>0.67545545558399989</v>
      </c>
      <c r="R18" s="2327">
        <v>0.64843723736063985</v>
      </c>
      <c r="S18" s="2327">
        <v>0.63546849261342708</v>
      </c>
      <c r="T18" s="2327">
        <v>0.62911380768729286</v>
      </c>
      <c r="U18" s="2331">
        <v>0.61653153153354701</v>
      </c>
    </row>
    <row r="19" spans="1:21" ht="24" customHeight="1">
      <c r="A19" s="2156"/>
      <c r="B19" s="2165"/>
      <c r="C19" s="2169"/>
      <c r="D19" s="1237" t="s">
        <v>1214</v>
      </c>
      <c r="E19" s="2329"/>
      <c r="F19" s="2330"/>
      <c r="G19" s="2330"/>
      <c r="H19" s="2330"/>
      <c r="I19" s="2330"/>
      <c r="J19" s="2330"/>
      <c r="K19" s="2327"/>
      <c r="L19" s="2327"/>
      <c r="M19" s="2327"/>
      <c r="N19" s="2327"/>
      <c r="O19" s="2327"/>
      <c r="P19" s="2327"/>
      <c r="Q19" s="2327"/>
      <c r="R19" s="2327"/>
      <c r="S19" s="2327"/>
      <c r="T19" s="2327"/>
      <c r="U19" s="2331"/>
    </row>
    <row r="20" spans="1:21" ht="24" customHeight="1">
      <c r="A20" s="2156"/>
      <c r="B20" s="2157" t="s">
        <v>1252</v>
      </c>
      <c r="C20" s="2168" t="s">
        <v>1246</v>
      </c>
      <c r="D20" s="1235" t="s">
        <v>1213</v>
      </c>
      <c r="E20" s="2329"/>
      <c r="F20" s="2330"/>
      <c r="G20" s="2330"/>
      <c r="H20" s="2330"/>
      <c r="I20" s="2330"/>
      <c r="J20" s="2330"/>
      <c r="K20" s="2330"/>
      <c r="L20" s="2327">
        <v>0.93</v>
      </c>
      <c r="M20" s="2327">
        <v>0.87419999999999998</v>
      </c>
      <c r="N20" s="2327">
        <v>0.83048999999999995</v>
      </c>
      <c r="O20" s="2327">
        <v>0.79727039999999993</v>
      </c>
      <c r="P20" s="2327">
        <v>0.78132499199999994</v>
      </c>
      <c r="Q20" s="2327">
        <v>0.74225874239999989</v>
      </c>
      <c r="R20" s="2327">
        <v>0.71256839270399985</v>
      </c>
      <c r="S20" s="2327">
        <v>0.69831702484991987</v>
      </c>
      <c r="T20" s="2327">
        <v>0.69133385460142061</v>
      </c>
      <c r="U20" s="2331">
        <v>0.67750717750939216</v>
      </c>
    </row>
    <row r="21" spans="1:21" ht="24" customHeight="1">
      <c r="A21" s="2156"/>
      <c r="B21" s="2165"/>
      <c r="C21" s="2169"/>
      <c r="D21" s="1237" t="s">
        <v>1214</v>
      </c>
      <c r="E21" s="2329"/>
      <c r="F21" s="2330"/>
      <c r="G21" s="2330"/>
      <c r="H21" s="2330"/>
      <c r="I21" s="2330"/>
      <c r="J21" s="2330"/>
      <c r="K21" s="2330"/>
      <c r="L21" s="2327"/>
      <c r="M21" s="2327"/>
      <c r="N21" s="2327"/>
      <c r="O21" s="2327"/>
      <c r="P21" s="2327"/>
      <c r="Q21" s="2327"/>
      <c r="R21" s="2327"/>
      <c r="S21" s="2327"/>
      <c r="T21" s="2327"/>
      <c r="U21" s="2331"/>
    </row>
    <row r="22" spans="1:21" ht="24" customHeight="1">
      <c r="A22" s="2156"/>
      <c r="B22" s="2157" t="s">
        <v>1253</v>
      </c>
      <c r="C22" s="2168" t="s">
        <v>1246</v>
      </c>
      <c r="D22" s="1235" t="s">
        <v>1213</v>
      </c>
      <c r="E22" s="2329"/>
      <c r="F22" s="2330"/>
      <c r="G22" s="2330"/>
      <c r="H22" s="2330"/>
      <c r="I22" s="2330"/>
      <c r="J22" s="2330"/>
      <c r="K22" s="2330"/>
      <c r="L22" s="2330"/>
      <c r="M22" s="2327">
        <v>0.94</v>
      </c>
      <c r="N22" s="2327">
        <v>0.8929999999999999</v>
      </c>
      <c r="O22" s="2327">
        <v>0.85727999999999993</v>
      </c>
      <c r="P22" s="2327">
        <v>0.84013439999999995</v>
      </c>
      <c r="Q22" s="2327">
        <v>0.79812767999999989</v>
      </c>
      <c r="R22" s="2327">
        <v>0.76620257279999993</v>
      </c>
      <c r="S22" s="2327">
        <v>0.75087852134399991</v>
      </c>
      <c r="T22" s="2327">
        <v>0.7433697361305599</v>
      </c>
      <c r="U22" s="2331">
        <v>0.72850234140794867</v>
      </c>
    </row>
    <row r="23" spans="1:21" ht="24" customHeight="1">
      <c r="A23" s="2156"/>
      <c r="B23" s="2165"/>
      <c r="C23" s="2169"/>
      <c r="D23" s="1237" t="s">
        <v>1214</v>
      </c>
      <c r="E23" s="2329"/>
      <c r="F23" s="2330"/>
      <c r="G23" s="2330"/>
      <c r="H23" s="2330"/>
      <c r="I23" s="2330"/>
      <c r="J23" s="2330"/>
      <c r="K23" s="2330"/>
      <c r="L23" s="2330"/>
      <c r="M23" s="2327"/>
      <c r="N23" s="2327"/>
      <c r="O23" s="2327"/>
      <c r="P23" s="2327"/>
      <c r="Q23" s="2327"/>
      <c r="R23" s="2327"/>
      <c r="S23" s="2327"/>
      <c r="T23" s="2327"/>
      <c r="U23" s="2331"/>
    </row>
    <row r="24" spans="1:21" ht="24" customHeight="1">
      <c r="A24" s="2156"/>
      <c r="B24" s="2157" t="s">
        <v>1254</v>
      </c>
      <c r="C24" s="2168" t="s">
        <v>1246</v>
      </c>
      <c r="D24" s="1235" t="s">
        <v>1213</v>
      </c>
      <c r="E24" s="2329"/>
      <c r="F24" s="2330"/>
      <c r="G24" s="2330"/>
      <c r="H24" s="2330"/>
      <c r="I24" s="2330"/>
      <c r="J24" s="2330"/>
      <c r="K24" s="2330"/>
      <c r="L24" s="2330"/>
      <c r="M24" s="2330"/>
      <c r="N24" s="2327">
        <v>0.95</v>
      </c>
      <c r="O24" s="2327">
        <v>0.91199999999999992</v>
      </c>
      <c r="P24" s="2327">
        <v>0.89375999999999989</v>
      </c>
      <c r="Q24" s="2327">
        <v>0.84907199999999983</v>
      </c>
      <c r="R24" s="2327">
        <v>0.8151091199999998</v>
      </c>
      <c r="S24" s="2327">
        <v>0.79880693759999977</v>
      </c>
      <c r="T24" s="2327">
        <v>0.79081886822399972</v>
      </c>
      <c r="U24" s="2331">
        <v>0.77500249085951967</v>
      </c>
    </row>
    <row r="25" spans="1:21" ht="24" customHeight="1">
      <c r="A25" s="2156"/>
      <c r="B25" s="2165"/>
      <c r="C25" s="2169"/>
      <c r="D25" s="1237" t="s">
        <v>1214</v>
      </c>
      <c r="E25" s="2329"/>
      <c r="F25" s="2330"/>
      <c r="G25" s="2330"/>
      <c r="H25" s="2330"/>
      <c r="I25" s="2330"/>
      <c r="J25" s="2330"/>
      <c r="K25" s="2330"/>
      <c r="L25" s="2330"/>
      <c r="M25" s="2330"/>
      <c r="N25" s="2327"/>
      <c r="O25" s="2327"/>
      <c r="P25" s="2327"/>
      <c r="Q25" s="2327"/>
      <c r="R25" s="2327"/>
      <c r="S25" s="2327"/>
      <c r="T25" s="2327"/>
      <c r="U25" s="2331"/>
    </row>
    <row r="26" spans="1:21" ht="24" customHeight="1">
      <c r="A26" s="2156"/>
      <c r="B26" s="2157" t="s">
        <v>1255</v>
      </c>
      <c r="C26" s="2168" t="s">
        <v>1246</v>
      </c>
      <c r="D26" s="1235" t="s">
        <v>1213</v>
      </c>
      <c r="E26" s="2329"/>
      <c r="F26" s="2330"/>
      <c r="G26" s="2330"/>
      <c r="H26" s="2330"/>
      <c r="I26" s="2330"/>
      <c r="J26" s="2330"/>
      <c r="K26" s="2330"/>
      <c r="L26" s="2330"/>
      <c r="M26" s="2330"/>
      <c r="N26" s="2330"/>
      <c r="O26" s="2327">
        <v>0.96</v>
      </c>
      <c r="P26" s="2327">
        <v>0.94079999999999997</v>
      </c>
      <c r="Q26" s="2327">
        <v>0.89375999999999989</v>
      </c>
      <c r="R26" s="2327">
        <v>0.85800959999999982</v>
      </c>
      <c r="S26" s="2327">
        <v>0.84084940799999985</v>
      </c>
      <c r="T26" s="2327">
        <v>0.83244091391999986</v>
      </c>
      <c r="U26" s="2331">
        <v>0.81579209564159982</v>
      </c>
    </row>
    <row r="27" spans="1:21" ht="24" customHeight="1">
      <c r="A27" s="2156"/>
      <c r="B27" s="2165"/>
      <c r="C27" s="2169"/>
      <c r="D27" s="1237" t="s">
        <v>1214</v>
      </c>
      <c r="E27" s="2329"/>
      <c r="F27" s="2330"/>
      <c r="G27" s="2330"/>
      <c r="H27" s="2330"/>
      <c r="I27" s="2330"/>
      <c r="J27" s="2330"/>
      <c r="K27" s="2330"/>
      <c r="L27" s="2330"/>
      <c r="M27" s="2330"/>
      <c r="N27" s="2330"/>
      <c r="O27" s="2327"/>
      <c r="P27" s="2327"/>
      <c r="Q27" s="2327"/>
      <c r="R27" s="2327"/>
      <c r="S27" s="2327"/>
      <c r="T27" s="2327"/>
      <c r="U27" s="2331"/>
    </row>
    <row r="28" spans="1:21" ht="24" customHeight="1">
      <c r="A28" s="2156"/>
      <c r="B28" s="2157" t="s">
        <v>1256</v>
      </c>
      <c r="C28" s="2168" t="s">
        <v>1246</v>
      </c>
      <c r="D28" s="1235" t="s">
        <v>1213</v>
      </c>
      <c r="E28" s="2329"/>
      <c r="F28" s="2330"/>
      <c r="G28" s="2330"/>
      <c r="H28" s="2330"/>
      <c r="I28" s="2330"/>
      <c r="J28" s="2330"/>
      <c r="K28" s="2330"/>
      <c r="L28" s="2330"/>
      <c r="M28" s="2330"/>
      <c r="N28" s="2330"/>
      <c r="O28" s="2330"/>
      <c r="P28" s="2327">
        <v>0.98</v>
      </c>
      <c r="Q28" s="2327">
        <v>0.93099999999999994</v>
      </c>
      <c r="R28" s="2327">
        <v>0.89375999999999989</v>
      </c>
      <c r="S28" s="2327">
        <v>0.87588479999999991</v>
      </c>
      <c r="T28" s="2327">
        <v>0.86712595199999987</v>
      </c>
      <c r="U28" s="2331">
        <v>0.84978343295999981</v>
      </c>
    </row>
    <row r="29" spans="1:21" ht="24" customHeight="1">
      <c r="A29" s="2156"/>
      <c r="B29" s="2165"/>
      <c r="C29" s="2169"/>
      <c r="D29" s="1237" t="s">
        <v>1214</v>
      </c>
      <c r="E29" s="2329"/>
      <c r="F29" s="2330"/>
      <c r="G29" s="2330"/>
      <c r="H29" s="2330"/>
      <c r="I29" s="2330"/>
      <c r="J29" s="2330"/>
      <c r="K29" s="2330"/>
      <c r="L29" s="2330"/>
      <c r="M29" s="2330"/>
      <c r="N29" s="2330"/>
      <c r="O29" s="2330"/>
      <c r="P29" s="2327"/>
      <c r="Q29" s="2327"/>
      <c r="R29" s="2327"/>
      <c r="S29" s="2327"/>
      <c r="T29" s="2327"/>
      <c r="U29" s="2331"/>
    </row>
    <row r="30" spans="1:21" ht="24" customHeight="1">
      <c r="A30" s="2156"/>
      <c r="B30" s="2157" t="s">
        <v>1257</v>
      </c>
      <c r="C30" s="2168" t="s">
        <v>1246</v>
      </c>
      <c r="D30" s="1235" t="s">
        <v>1213</v>
      </c>
      <c r="E30" s="2329"/>
      <c r="F30" s="2330"/>
      <c r="G30" s="2330"/>
      <c r="H30" s="2330"/>
      <c r="I30" s="2330"/>
      <c r="J30" s="2330"/>
      <c r="K30" s="2330"/>
      <c r="L30" s="2330"/>
      <c r="M30" s="2330"/>
      <c r="N30" s="2330"/>
      <c r="O30" s="2330"/>
      <c r="P30" s="2330"/>
      <c r="Q30" s="2327">
        <v>0.95</v>
      </c>
      <c r="R30" s="2327">
        <v>0.91199999999999992</v>
      </c>
      <c r="S30" s="2327">
        <v>0.89375999999999989</v>
      </c>
      <c r="T30" s="2327">
        <v>0.8848223999999999</v>
      </c>
      <c r="U30" s="2331">
        <v>0.86712595199999987</v>
      </c>
    </row>
    <row r="31" spans="1:21" ht="24" customHeight="1">
      <c r="A31" s="2156"/>
      <c r="B31" s="2165"/>
      <c r="C31" s="2169"/>
      <c r="D31" s="1237" t="s">
        <v>1214</v>
      </c>
      <c r="E31" s="2329"/>
      <c r="F31" s="2330"/>
      <c r="G31" s="2330"/>
      <c r="H31" s="2330"/>
      <c r="I31" s="2330"/>
      <c r="J31" s="2330"/>
      <c r="K31" s="2330"/>
      <c r="L31" s="2330"/>
      <c r="M31" s="2330"/>
      <c r="N31" s="2330"/>
      <c r="O31" s="2330"/>
      <c r="P31" s="2330"/>
      <c r="Q31" s="2327"/>
      <c r="R31" s="2327"/>
      <c r="S31" s="2327"/>
      <c r="T31" s="2327"/>
      <c r="U31" s="2331"/>
    </row>
    <row r="32" spans="1:21" ht="24" customHeight="1">
      <c r="A32" s="2156"/>
      <c r="B32" s="2157" t="s">
        <v>1258</v>
      </c>
      <c r="C32" s="2168" t="s">
        <v>1246</v>
      </c>
      <c r="D32" s="1235" t="s">
        <v>1213</v>
      </c>
      <c r="E32" s="2329"/>
      <c r="F32" s="2330"/>
      <c r="G32" s="2330"/>
      <c r="H32" s="2330"/>
      <c r="I32" s="2330"/>
      <c r="J32" s="2330"/>
      <c r="K32" s="2330"/>
      <c r="L32" s="2330"/>
      <c r="M32" s="2330"/>
      <c r="N32" s="2330"/>
      <c r="O32" s="2330"/>
      <c r="P32" s="2330"/>
      <c r="Q32" s="2330"/>
      <c r="R32" s="2327">
        <v>0.96</v>
      </c>
      <c r="S32" s="2327">
        <v>0.94079999999999997</v>
      </c>
      <c r="T32" s="2327">
        <v>0.931392</v>
      </c>
      <c r="U32" s="2331">
        <v>0.91276415999999994</v>
      </c>
    </row>
    <row r="33" spans="1:21" ht="24" customHeight="1">
      <c r="A33" s="2156"/>
      <c r="B33" s="2165"/>
      <c r="C33" s="2169"/>
      <c r="D33" s="1237" t="s">
        <v>1214</v>
      </c>
      <c r="E33" s="2329"/>
      <c r="F33" s="2330"/>
      <c r="G33" s="2330"/>
      <c r="H33" s="2330"/>
      <c r="I33" s="2330"/>
      <c r="J33" s="2330"/>
      <c r="K33" s="2330"/>
      <c r="L33" s="2330"/>
      <c r="M33" s="2330"/>
      <c r="N33" s="2330"/>
      <c r="O33" s="2330"/>
      <c r="P33" s="2330"/>
      <c r="Q33" s="2330"/>
      <c r="R33" s="2327"/>
      <c r="S33" s="2327"/>
      <c r="T33" s="2327"/>
      <c r="U33" s="2331"/>
    </row>
    <row r="34" spans="1:21" ht="24" customHeight="1">
      <c r="A34" s="2156"/>
      <c r="B34" s="2157" t="s">
        <v>1259</v>
      </c>
      <c r="C34" s="2168" t="s">
        <v>1246</v>
      </c>
      <c r="D34" s="1235" t="s">
        <v>1213</v>
      </c>
      <c r="E34" s="2329"/>
      <c r="F34" s="2330"/>
      <c r="G34" s="2330"/>
      <c r="H34" s="2330"/>
      <c r="I34" s="2330"/>
      <c r="J34" s="2330"/>
      <c r="K34" s="2330"/>
      <c r="L34" s="2330"/>
      <c r="M34" s="2330"/>
      <c r="N34" s="2330"/>
      <c r="O34" s="2330"/>
      <c r="P34" s="2330"/>
      <c r="Q34" s="2330"/>
      <c r="R34" s="2330"/>
      <c r="S34" s="2327">
        <v>0.98</v>
      </c>
      <c r="T34" s="2327">
        <v>0.97019999999999995</v>
      </c>
      <c r="U34" s="2331">
        <v>0.95079599999999997</v>
      </c>
    </row>
    <row r="35" spans="1:21" ht="24" customHeight="1">
      <c r="A35" s="2156"/>
      <c r="B35" s="2165"/>
      <c r="C35" s="2169"/>
      <c r="D35" s="1237" t="s">
        <v>1214</v>
      </c>
      <c r="E35" s="2329"/>
      <c r="F35" s="2330"/>
      <c r="G35" s="2330"/>
      <c r="H35" s="2330"/>
      <c r="I35" s="2330"/>
      <c r="J35" s="2330"/>
      <c r="K35" s="2330"/>
      <c r="L35" s="2330"/>
      <c r="M35" s="2330"/>
      <c r="N35" s="2330"/>
      <c r="O35" s="2330"/>
      <c r="P35" s="2330"/>
      <c r="Q35" s="2330"/>
      <c r="R35" s="2330"/>
      <c r="S35" s="2327"/>
      <c r="T35" s="2327"/>
      <c r="U35" s="2331"/>
    </row>
    <row r="36" spans="1:21" ht="24" customHeight="1">
      <c r="A36" s="2156"/>
      <c r="B36" s="2157" t="s">
        <v>1260</v>
      </c>
      <c r="C36" s="2168" t="s">
        <v>1246</v>
      </c>
      <c r="D36" s="1235" t="s">
        <v>1213</v>
      </c>
      <c r="E36" s="2329"/>
      <c r="F36" s="2330"/>
      <c r="G36" s="2330"/>
      <c r="H36" s="2330"/>
      <c r="I36" s="2330"/>
      <c r="J36" s="2330"/>
      <c r="K36" s="2330"/>
      <c r="L36" s="2330"/>
      <c r="M36" s="2330"/>
      <c r="N36" s="2330"/>
      <c r="O36" s="2330"/>
      <c r="P36" s="2330"/>
      <c r="Q36" s="2330"/>
      <c r="R36" s="2330"/>
      <c r="S36" s="2330"/>
      <c r="T36" s="2327">
        <v>0.99</v>
      </c>
      <c r="U36" s="2331">
        <v>0.97019999999999995</v>
      </c>
    </row>
    <row r="37" spans="1:21" ht="24" customHeight="1">
      <c r="A37" s="2156"/>
      <c r="B37" s="2165"/>
      <c r="C37" s="2169"/>
      <c r="D37" s="1237" t="s">
        <v>1214</v>
      </c>
      <c r="E37" s="2329"/>
      <c r="F37" s="2330"/>
      <c r="G37" s="2330"/>
      <c r="H37" s="2330"/>
      <c r="I37" s="2330"/>
      <c r="J37" s="2330"/>
      <c r="K37" s="2330"/>
      <c r="L37" s="2330"/>
      <c r="M37" s="2330"/>
      <c r="N37" s="2330"/>
      <c r="O37" s="2330"/>
      <c r="P37" s="2330"/>
      <c r="Q37" s="2330"/>
      <c r="R37" s="2330"/>
      <c r="S37" s="2330"/>
      <c r="T37" s="2327"/>
      <c r="U37" s="2331"/>
    </row>
    <row r="38" spans="1:21" ht="24" customHeight="1">
      <c r="A38" s="2156"/>
      <c r="B38" s="2157" t="s">
        <v>1261</v>
      </c>
      <c r="C38" s="2168" t="s">
        <v>1246</v>
      </c>
      <c r="D38" s="1235" t="s">
        <v>1213</v>
      </c>
      <c r="E38" s="2329"/>
      <c r="F38" s="2330"/>
      <c r="G38" s="2330"/>
      <c r="H38" s="2330"/>
      <c r="I38" s="2330"/>
      <c r="J38" s="2330"/>
      <c r="K38" s="2330"/>
      <c r="L38" s="2330"/>
      <c r="M38" s="2330"/>
      <c r="N38" s="2330"/>
      <c r="O38" s="2330"/>
      <c r="P38" s="2330"/>
      <c r="Q38" s="2330"/>
      <c r="R38" s="2330"/>
      <c r="S38" s="2330"/>
      <c r="T38" s="2330"/>
      <c r="U38" s="2331">
        <v>0.98</v>
      </c>
    </row>
    <row r="39" spans="1:21" ht="24" customHeight="1">
      <c r="A39" s="2156"/>
      <c r="B39" s="2165"/>
      <c r="C39" s="2169"/>
      <c r="D39" s="1237" t="s">
        <v>1214</v>
      </c>
      <c r="E39" s="2329"/>
      <c r="F39" s="2330"/>
      <c r="G39" s="2330"/>
      <c r="H39" s="2330"/>
      <c r="I39" s="2330"/>
      <c r="J39" s="2330"/>
      <c r="K39" s="2330"/>
      <c r="L39" s="2330"/>
      <c r="M39" s="2330"/>
      <c r="N39" s="2330"/>
      <c r="O39" s="2330"/>
      <c r="P39" s="2330"/>
      <c r="Q39" s="2330"/>
      <c r="R39" s="2330"/>
      <c r="S39" s="2330"/>
      <c r="T39" s="2330"/>
      <c r="U39" s="2331"/>
    </row>
    <row r="40" spans="1:21" ht="24" customHeight="1">
      <c r="A40" s="2156"/>
      <c r="B40" s="2157" t="s">
        <v>1262</v>
      </c>
      <c r="C40" s="2168" t="s">
        <v>1246</v>
      </c>
      <c r="D40" s="1235" t="s">
        <v>1213</v>
      </c>
      <c r="E40" s="2329"/>
      <c r="F40" s="2330"/>
      <c r="G40" s="2330"/>
      <c r="H40" s="2330"/>
      <c r="I40" s="2330"/>
      <c r="J40" s="2330"/>
      <c r="K40" s="2330"/>
      <c r="L40" s="2330"/>
      <c r="M40" s="2330"/>
      <c r="N40" s="2330"/>
      <c r="O40" s="2330"/>
      <c r="P40" s="2330"/>
      <c r="Q40" s="2330"/>
      <c r="R40" s="2330"/>
      <c r="S40" s="2330"/>
      <c r="T40" s="2330"/>
      <c r="U40" s="2333"/>
    </row>
    <row r="41" spans="1:21" ht="24" customHeight="1">
      <c r="A41" s="2156"/>
      <c r="B41" s="2165"/>
      <c r="C41" s="2332"/>
      <c r="D41" s="1237" t="s">
        <v>1214</v>
      </c>
      <c r="E41" s="2329"/>
      <c r="F41" s="2330"/>
      <c r="G41" s="2330"/>
      <c r="H41" s="2330"/>
      <c r="I41" s="2330"/>
      <c r="J41" s="2330"/>
      <c r="K41" s="2330"/>
      <c r="L41" s="2330"/>
      <c r="M41" s="2330"/>
      <c r="N41" s="2330"/>
      <c r="O41" s="2330"/>
      <c r="P41" s="2330"/>
      <c r="Q41" s="2330"/>
      <c r="R41" s="2330"/>
      <c r="S41" s="2330"/>
      <c r="T41" s="2330"/>
      <c r="U41" s="2333"/>
    </row>
    <row r="42" spans="1:21" ht="24" customHeight="1">
      <c r="A42" s="2156" t="s">
        <v>1218</v>
      </c>
      <c r="B42" s="2157" t="s">
        <v>1245</v>
      </c>
      <c r="C42" s="2168" t="s">
        <v>1246</v>
      </c>
      <c r="D42" s="1235" t="s">
        <v>1213</v>
      </c>
      <c r="E42" s="2328"/>
      <c r="F42" s="2327">
        <v>0.63</v>
      </c>
      <c r="G42" s="2327">
        <v>0.47250000000000003</v>
      </c>
      <c r="H42" s="2327">
        <v>0.44887500000000002</v>
      </c>
      <c r="I42" s="2327">
        <v>0.44438625000000004</v>
      </c>
      <c r="J42" s="2327">
        <v>0.39105990000000002</v>
      </c>
      <c r="K42" s="2327">
        <v>0.35586450900000005</v>
      </c>
      <c r="L42" s="2327">
        <v>0.33095399337000009</v>
      </c>
      <c r="M42" s="2327">
        <v>0.31109675376780005</v>
      </c>
      <c r="N42" s="2327">
        <v>0.29554191607941005</v>
      </c>
      <c r="O42" s="2327">
        <v>0.28372023943623365</v>
      </c>
      <c r="P42" s="2327">
        <v>0.27804583464750898</v>
      </c>
      <c r="Q42" s="2327">
        <v>0.26414354291513353</v>
      </c>
      <c r="R42" s="2327">
        <v>0.25357780119852819</v>
      </c>
      <c r="S42" s="2327">
        <v>0.24850624517455761</v>
      </c>
      <c r="T42" s="2327">
        <v>0.24602118272281204</v>
      </c>
      <c r="U42" s="2331">
        <v>0.24110075906835579</v>
      </c>
    </row>
    <row r="43" spans="1:21" ht="24" customHeight="1">
      <c r="A43" s="2156"/>
      <c r="B43" s="2165"/>
      <c r="C43" s="2169"/>
      <c r="D43" s="1237" t="s">
        <v>1214</v>
      </c>
      <c r="E43" s="2328"/>
      <c r="F43" s="2327"/>
      <c r="G43" s="2327"/>
      <c r="H43" s="2327"/>
      <c r="I43" s="2327"/>
      <c r="J43" s="2327"/>
      <c r="K43" s="2327"/>
      <c r="L43" s="2327"/>
      <c r="M43" s="2327"/>
      <c r="N43" s="2327"/>
      <c r="O43" s="2327"/>
      <c r="P43" s="2327"/>
      <c r="Q43" s="2327"/>
      <c r="R43" s="2327"/>
      <c r="S43" s="2327"/>
      <c r="T43" s="2327"/>
      <c r="U43" s="2331"/>
    </row>
    <row r="44" spans="1:21" ht="24" customHeight="1">
      <c r="A44" s="2156"/>
      <c r="B44" s="2157" t="s">
        <v>1247</v>
      </c>
      <c r="C44" s="2168" t="s">
        <v>1246</v>
      </c>
      <c r="D44" s="1235" t="s">
        <v>1213</v>
      </c>
      <c r="E44" s="2329"/>
      <c r="F44" s="2330"/>
      <c r="G44" s="2327">
        <v>0.75</v>
      </c>
      <c r="H44" s="2327">
        <v>0.71249999999999991</v>
      </c>
      <c r="I44" s="2327">
        <v>0.70537499999999986</v>
      </c>
      <c r="J44" s="2327">
        <v>0.62072999999999989</v>
      </c>
      <c r="K44" s="2327">
        <v>0.56486429999999987</v>
      </c>
      <c r="L44" s="2327">
        <v>0.52532379899999992</v>
      </c>
      <c r="M44" s="2327">
        <v>0.49380437105999991</v>
      </c>
      <c r="N44" s="2327">
        <v>0.46911415250699989</v>
      </c>
      <c r="O44" s="2327">
        <v>0.4503495864067199</v>
      </c>
      <c r="P44" s="2327">
        <v>0.4413425946785855</v>
      </c>
      <c r="Q44" s="2327">
        <v>0.41927546494465623</v>
      </c>
      <c r="R44" s="2327">
        <v>0.40250444634686994</v>
      </c>
      <c r="S44" s="2327">
        <v>0.39445435741993251</v>
      </c>
      <c r="T44" s="2327">
        <v>0.39050981384573319</v>
      </c>
      <c r="U44" s="2331">
        <v>0.38269961756881854</v>
      </c>
    </row>
    <row r="45" spans="1:21" ht="24" customHeight="1">
      <c r="A45" s="2156"/>
      <c r="B45" s="2165"/>
      <c r="C45" s="2169"/>
      <c r="D45" s="1237" t="s">
        <v>1214</v>
      </c>
      <c r="E45" s="2329"/>
      <c r="F45" s="2330"/>
      <c r="G45" s="2327"/>
      <c r="H45" s="2327"/>
      <c r="I45" s="2327"/>
      <c r="J45" s="2327"/>
      <c r="K45" s="2327"/>
      <c r="L45" s="2327"/>
      <c r="M45" s="2327"/>
      <c r="N45" s="2327"/>
      <c r="O45" s="2327"/>
      <c r="P45" s="2327"/>
      <c r="Q45" s="2327"/>
      <c r="R45" s="2327"/>
      <c r="S45" s="2327"/>
      <c r="T45" s="2327"/>
      <c r="U45" s="2331"/>
    </row>
    <row r="46" spans="1:21" ht="24" customHeight="1">
      <c r="A46" s="2156"/>
      <c r="B46" s="2157" t="s">
        <v>1248</v>
      </c>
      <c r="C46" s="2168" t="s">
        <v>1246</v>
      </c>
      <c r="D46" s="1235" t="s">
        <v>1213</v>
      </c>
      <c r="E46" s="2329"/>
      <c r="F46" s="2330"/>
      <c r="G46" s="2330"/>
      <c r="H46" s="2327">
        <v>0.95</v>
      </c>
      <c r="I46" s="2327">
        <v>0.9405</v>
      </c>
      <c r="J46" s="2327">
        <v>0.82764000000000004</v>
      </c>
      <c r="K46" s="2327">
        <v>0.75315240000000006</v>
      </c>
      <c r="L46" s="2327">
        <v>0.70043173200000008</v>
      </c>
      <c r="M46" s="2327">
        <v>0.65840582808000003</v>
      </c>
      <c r="N46" s="2327">
        <v>0.62548553667600004</v>
      </c>
      <c r="O46" s="2327">
        <v>0.60046611520895998</v>
      </c>
      <c r="P46" s="2327">
        <v>0.58845679290478081</v>
      </c>
      <c r="Q46" s="2327">
        <v>0.55903395325954175</v>
      </c>
      <c r="R46" s="2327">
        <v>0.5366725951291601</v>
      </c>
      <c r="S46" s="2327">
        <v>0.52593914322657687</v>
      </c>
      <c r="T46" s="2327">
        <v>0.52067975179431114</v>
      </c>
      <c r="U46" s="2331">
        <v>0.5102661567584249</v>
      </c>
    </row>
    <row r="47" spans="1:21" ht="24" customHeight="1">
      <c r="A47" s="2156"/>
      <c r="B47" s="2165"/>
      <c r="C47" s="2169"/>
      <c r="D47" s="1237" t="s">
        <v>1214</v>
      </c>
      <c r="E47" s="2329"/>
      <c r="F47" s="2330"/>
      <c r="G47" s="2330"/>
      <c r="H47" s="2327"/>
      <c r="I47" s="2327"/>
      <c r="J47" s="2327"/>
      <c r="K47" s="2327"/>
      <c r="L47" s="2327"/>
      <c r="M47" s="2327"/>
      <c r="N47" s="2327"/>
      <c r="O47" s="2327"/>
      <c r="P47" s="2327"/>
      <c r="Q47" s="2327"/>
      <c r="R47" s="2327"/>
      <c r="S47" s="2327"/>
      <c r="T47" s="2327"/>
      <c r="U47" s="2331"/>
    </row>
    <row r="48" spans="1:21" ht="24" customHeight="1">
      <c r="A48" s="2156"/>
      <c r="B48" s="2157" t="s">
        <v>1249</v>
      </c>
      <c r="C48" s="2168" t="s">
        <v>1246</v>
      </c>
      <c r="D48" s="1235" t="s">
        <v>1213</v>
      </c>
      <c r="E48" s="2329"/>
      <c r="F48" s="2330"/>
      <c r="G48" s="2330"/>
      <c r="H48" s="2330"/>
      <c r="I48" s="2327">
        <v>0.99</v>
      </c>
      <c r="J48" s="2327">
        <v>0.87119999999999997</v>
      </c>
      <c r="K48" s="2327">
        <v>0.79279200000000005</v>
      </c>
      <c r="L48" s="2327">
        <v>0.7372965600000001</v>
      </c>
      <c r="M48" s="2327">
        <v>0.69305876640000008</v>
      </c>
      <c r="N48" s="2327">
        <v>0.65840582808000003</v>
      </c>
      <c r="O48" s="2327">
        <v>0.63206959495680004</v>
      </c>
      <c r="P48" s="2327">
        <v>0.619428203057664</v>
      </c>
      <c r="Q48" s="2327">
        <v>0.58845679290478081</v>
      </c>
      <c r="R48" s="2327">
        <v>0.56491852118858954</v>
      </c>
      <c r="S48" s="2327">
        <v>0.55362015076481774</v>
      </c>
      <c r="T48" s="2327">
        <v>0.54808394925716952</v>
      </c>
      <c r="U48" s="2331">
        <v>0.53712227027202608</v>
      </c>
    </row>
    <row r="49" spans="1:21" ht="24" customHeight="1">
      <c r="A49" s="2156"/>
      <c r="B49" s="2165"/>
      <c r="C49" s="2169"/>
      <c r="D49" s="1237" t="s">
        <v>1214</v>
      </c>
      <c r="E49" s="2329"/>
      <c r="F49" s="2330"/>
      <c r="G49" s="2330"/>
      <c r="H49" s="2330"/>
      <c r="I49" s="2327"/>
      <c r="J49" s="2327"/>
      <c r="K49" s="2327"/>
      <c r="L49" s="2327"/>
      <c r="M49" s="2327"/>
      <c r="N49" s="2327"/>
      <c r="O49" s="2327"/>
      <c r="P49" s="2327"/>
      <c r="Q49" s="2327"/>
      <c r="R49" s="2327"/>
      <c r="S49" s="2327"/>
      <c r="T49" s="2327"/>
      <c r="U49" s="2331"/>
    </row>
    <row r="50" spans="1:21" ht="24" customHeight="1">
      <c r="A50" s="2156"/>
      <c r="B50" s="2157" t="s">
        <v>1250</v>
      </c>
      <c r="C50" s="2168" t="s">
        <v>1246</v>
      </c>
      <c r="D50" s="1235" t="s">
        <v>1213</v>
      </c>
      <c r="E50" s="2329"/>
      <c r="F50" s="2330"/>
      <c r="G50" s="2330"/>
      <c r="H50" s="2330"/>
      <c r="I50" s="2330"/>
      <c r="J50" s="2327">
        <v>0.88</v>
      </c>
      <c r="K50" s="2327">
        <v>0.80080000000000007</v>
      </c>
      <c r="L50" s="2327">
        <v>0.74474400000000007</v>
      </c>
      <c r="M50" s="2327">
        <v>0.70005936000000002</v>
      </c>
      <c r="N50" s="2327">
        <v>0.665056392</v>
      </c>
      <c r="O50" s="2327">
        <v>0.63845413631999992</v>
      </c>
      <c r="P50" s="2327">
        <v>0.62568505359359994</v>
      </c>
      <c r="Q50" s="2327">
        <v>0.59440080091391989</v>
      </c>
      <c r="R50" s="2327">
        <v>0.57062476887736302</v>
      </c>
      <c r="S50" s="2327">
        <v>0.55921227349981573</v>
      </c>
      <c r="T50" s="2327">
        <v>0.55362015076481752</v>
      </c>
      <c r="U50" s="2331">
        <v>0.54254774774952119</v>
      </c>
    </row>
    <row r="51" spans="1:21" ht="24" customHeight="1">
      <c r="A51" s="2156"/>
      <c r="B51" s="2165"/>
      <c r="C51" s="2169"/>
      <c r="D51" s="1237" t="s">
        <v>1214</v>
      </c>
      <c r="E51" s="2329"/>
      <c r="F51" s="2330"/>
      <c r="G51" s="2330"/>
      <c r="H51" s="2330"/>
      <c r="I51" s="2330"/>
      <c r="J51" s="2327"/>
      <c r="K51" s="2327"/>
      <c r="L51" s="2327"/>
      <c r="M51" s="2327"/>
      <c r="N51" s="2327"/>
      <c r="O51" s="2327"/>
      <c r="P51" s="2327"/>
      <c r="Q51" s="2327"/>
      <c r="R51" s="2327"/>
      <c r="S51" s="2327"/>
      <c r="T51" s="2327"/>
      <c r="U51" s="2331"/>
    </row>
    <row r="52" spans="1:21" ht="24" customHeight="1">
      <c r="A52" s="2156"/>
      <c r="B52" s="2157" t="s">
        <v>1251</v>
      </c>
      <c r="C52" s="2168" t="s">
        <v>1246</v>
      </c>
      <c r="D52" s="1235" t="s">
        <v>1213</v>
      </c>
      <c r="E52" s="2329"/>
      <c r="F52" s="2330"/>
      <c r="G52" s="2330"/>
      <c r="H52" s="2330"/>
      <c r="I52" s="2330"/>
      <c r="J52" s="2330"/>
      <c r="K52" s="2327">
        <v>0.91</v>
      </c>
      <c r="L52" s="2327">
        <v>0.84630000000000005</v>
      </c>
      <c r="M52" s="2327">
        <v>0.79552199999999995</v>
      </c>
      <c r="N52" s="2327">
        <v>0.75574589999999997</v>
      </c>
      <c r="O52" s="2327">
        <v>0.72551606399999991</v>
      </c>
      <c r="P52" s="2327">
        <v>0.71100574271999994</v>
      </c>
      <c r="Q52" s="2327">
        <v>0.67545545558399989</v>
      </c>
      <c r="R52" s="2327">
        <v>0.64843723736063985</v>
      </c>
      <c r="S52" s="2327">
        <v>0.63546849261342708</v>
      </c>
      <c r="T52" s="2327">
        <v>0.62911380768729286</v>
      </c>
      <c r="U52" s="2331">
        <v>0.61653153153354701</v>
      </c>
    </row>
    <row r="53" spans="1:21" ht="24" customHeight="1">
      <c r="A53" s="2156"/>
      <c r="B53" s="2165"/>
      <c r="C53" s="2169"/>
      <c r="D53" s="1237" t="s">
        <v>1214</v>
      </c>
      <c r="E53" s="2329"/>
      <c r="F53" s="2330"/>
      <c r="G53" s="2330"/>
      <c r="H53" s="2330"/>
      <c r="I53" s="2330"/>
      <c r="J53" s="2330"/>
      <c r="K53" s="2327"/>
      <c r="L53" s="2327"/>
      <c r="M53" s="2327"/>
      <c r="N53" s="2327"/>
      <c r="O53" s="2327"/>
      <c r="P53" s="2327"/>
      <c r="Q53" s="2327"/>
      <c r="R53" s="2327"/>
      <c r="S53" s="2327"/>
      <c r="T53" s="2327"/>
      <c r="U53" s="2331"/>
    </row>
    <row r="54" spans="1:21" ht="24" customHeight="1">
      <c r="A54" s="2156"/>
      <c r="B54" s="2157" t="s">
        <v>1252</v>
      </c>
      <c r="C54" s="2168" t="s">
        <v>1246</v>
      </c>
      <c r="D54" s="1235" t="s">
        <v>1213</v>
      </c>
      <c r="E54" s="2329"/>
      <c r="F54" s="2330"/>
      <c r="G54" s="2330"/>
      <c r="H54" s="2330"/>
      <c r="I54" s="2330"/>
      <c r="J54" s="2330"/>
      <c r="K54" s="2330"/>
      <c r="L54" s="2327">
        <v>0.93</v>
      </c>
      <c r="M54" s="2327">
        <v>0.87419999999999998</v>
      </c>
      <c r="N54" s="2327">
        <v>0.83048999999999995</v>
      </c>
      <c r="O54" s="2327">
        <v>0.79727039999999993</v>
      </c>
      <c r="P54" s="2327">
        <v>0.78132499199999994</v>
      </c>
      <c r="Q54" s="2327">
        <v>0.74225874239999989</v>
      </c>
      <c r="R54" s="2327">
        <v>0.71256839270399985</v>
      </c>
      <c r="S54" s="2327">
        <v>0.69831702484991987</v>
      </c>
      <c r="T54" s="2327">
        <v>0.69133385460142061</v>
      </c>
      <c r="U54" s="2331">
        <v>0.67750717750939216</v>
      </c>
    </row>
    <row r="55" spans="1:21" ht="24" customHeight="1">
      <c r="A55" s="2156"/>
      <c r="B55" s="2165"/>
      <c r="C55" s="2169"/>
      <c r="D55" s="1237" t="s">
        <v>1214</v>
      </c>
      <c r="E55" s="2329"/>
      <c r="F55" s="2330"/>
      <c r="G55" s="2330"/>
      <c r="H55" s="2330"/>
      <c r="I55" s="2330"/>
      <c r="J55" s="2330"/>
      <c r="K55" s="2330"/>
      <c r="L55" s="2327"/>
      <c r="M55" s="2327"/>
      <c r="N55" s="2327"/>
      <c r="O55" s="2327"/>
      <c r="P55" s="2327"/>
      <c r="Q55" s="2327"/>
      <c r="R55" s="2327"/>
      <c r="S55" s="2327"/>
      <c r="T55" s="2327"/>
      <c r="U55" s="2331"/>
    </row>
    <row r="56" spans="1:21" ht="24" customHeight="1">
      <c r="A56" s="2156"/>
      <c r="B56" s="2157" t="s">
        <v>1253</v>
      </c>
      <c r="C56" s="2168" t="s">
        <v>1246</v>
      </c>
      <c r="D56" s="1235" t="s">
        <v>1213</v>
      </c>
      <c r="E56" s="2329"/>
      <c r="F56" s="2330"/>
      <c r="G56" s="2330"/>
      <c r="H56" s="2330"/>
      <c r="I56" s="2330"/>
      <c r="J56" s="2330"/>
      <c r="K56" s="2330"/>
      <c r="L56" s="2330"/>
      <c r="M56" s="2327">
        <v>0.94</v>
      </c>
      <c r="N56" s="2327">
        <v>0.8929999999999999</v>
      </c>
      <c r="O56" s="2327">
        <v>0.85727999999999993</v>
      </c>
      <c r="P56" s="2327">
        <v>0.84013439999999995</v>
      </c>
      <c r="Q56" s="2327">
        <v>0.79812767999999989</v>
      </c>
      <c r="R56" s="2327">
        <v>0.76620257279999993</v>
      </c>
      <c r="S56" s="2327">
        <v>0.75087852134399991</v>
      </c>
      <c r="T56" s="2327">
        <v>0.7433697361305599</v>
      </c>
      <c r="U56" s="2331">
        <v>0.72850234140794867</v>
      </c>
    </row>
    <row r="57" spans="1:21" ht="24" customHeight="1">
      <c r="A57" s="2156"/>
      <c r="B57" s="2165"/>
      <c r="C57" s="2169"/>
      <c r="D57" s="1237" t="s">
        <v>1214</v>
      </c>
      <c r="E57" s="2329"/>
      <c r="F57" s="2330"/>
      <c r="G57" s="2330"/>
      <c r="H57" s="2330"/>
      <c r="I57" s="2330"/>
      <c r="J57" s="2330"/>
      <c r="K57" s="2330"/>
      <c r="L57" s="2330"/>
      <c r="M57" s="2327"/>
      <c r="N57" s="2327"/>
      <c r="O57" s="2327"/>
      <c r="P57" s="2327"/>
      <c r="Q57" s="2327"/>
      <c r="R57" s="2327"/>
      <c r="S57" s="2327"/>
      <c r="T57" s="2327"/>
      <c r="U57" s="2331"/>
    </row>
    <row r="58" spans="1:21" ht="24" customHeight="1">
      <c r="A58" s="2156"/>
      <c r="B58" s="2157" t="s">
        <v>1254</v>
      </c>
      <c r="C58" s="2168" t="s">
        <v>1246</v>
      </c>
      <c r="D58" s="1235" t="s">
        <v>1213</v>
      </c>
      <c r="E58" s="2329"/>
      <c r="F58" s="2330"/>
      <c r="G58" s="2330"/>
      <c r="H58" s="2330"/>
      <c r="I58" s="2330"/>
      <c r="J58" s="2330"/>
      <c r="K58" s="2330"/>
      <c r="L58" s="2330"/>
      <c r="M58" s="2330"/>
      <c r="N58" s="2327">
        <v>0.95</v>
      </c>
      <c r="O58" s="2327">
        <v>0.91199999999999992</v>
      </c>
      <c r="P58" s="2327">
        <v>0.89375999999999989</v>
      </c>
      <c r="Q58" s="2327">
        <v>0.84907199999999983</v>
      </c>
      <c r="R58" s="2327">
        <v>0.8151091199999998</v>
      </c>
      <c r="S58" s="2327">
        <v>0.79880693759999977</v>
      </c>
      <c r="T58" s="2327">
        <v>0.79081886822399972</v>
      </c>
      <c r="U58" s="2331">
        <v>0.77500249085951967</v>
      </c>
    </row>
    <row r="59" spans="1:21" ht="24" customHeight="1">
      <c r="A59" s="2156"/>
      <c r="B59" s="2165"/>
      <c r="C59" s="2169"/>
      <c r="D59" s="1237" t="s">
        <v>1214</v>
      </c>
      <c r="E59" s="2329"/>
      <c r="F59" s="2330"/>
      <c r="G59" s="2330"/>
      <c r="H59" s="2330"/>
      <c r="I59" s="2330"/>
      <c r="J59" s="2330"/>
      <c r="K59" s="2330"/>
      <c r="L59" s="2330"/>
      <c r="M59" s="2330"/>
      <c r="N59" s="2327"/>
      <c r="O59" s="2327"/>
      <c r="P59" s="2327"/>
      <c r="Q59" s="2327"/>
      <c r="R59" s="2327"/>
      <c r="S59" s="2327"/>
      <c r="T59" s="2327"/>
      <c r="U59" s="2331"/>
    </row>
    <row r="60" spans="1:21" ht="24" customHeight="1">
      <c r="A60" s="2156"/>
      <c r="B60" s="2157" t="s">
        <v>1255</v>
      </c>
      <c r="C60" s="2168" t="s">
        <v>1246</v>
      </c>
      <c r="D60" s="1235" t="s">
        <v>1213</v>
      </c>
      <c r="E60" s="2329"/>
      <c r="F60" s="2330"/>
      <c r="G60" s="2330"/>
      <c r="H60" s="2330"/>
      <c r="I60" s="2330"/>
      <c r="J60" s="2330"/>
      <c r="K60" s="2330"/>
      <c r="L60" s="2330"/>
      <c r="M60" s="2330"/>
      <c r="N60" s="2330"/>
      <c r="O60" s="2327">
        <v>0.96</v>
      </c>
      <c r="P60" s="2327">
        <v>0.94079999999999997</v>
      </c>
      <c r="Q60" s="2327">
        <v>0.89375999999999989</v>
      </c>
      <c r="R60" s="2327">
        <v>0.85800959999999982</v>
      </c>
      <c r="S60" s="2327">
        <v>0.84084940799999985</v>
      </c>
      <c r="T60" s="2327">
        <v>0.83244091391999986</v>
      </c>
      <c r="U60" s="2331">
        <v>0.81579209564159982</v>
      </c>
    </row>
    <row r="61" spans="1:21" ht="24" customHeight="1">
      <c r="A61" s="2156"/>
      <c r="B61" s="2165"/>
      <c r="C61" s="2169"/>
      <c r="D61" s="1237" t="s">
        <v>1214</v>
      </c>
      <c r="E61" s="2329"/>
      <c r="F61" s="2330"/>
      <c r="G61" s="2330"/>
      <c r="H61" s="2330"/>
      <c r="I61" s="2330"/>
      <c r="J61" s="2330"/>
      <c r="K61" s="2330"/>
      <c r="L61" s="2330"/>
      <c r="M61" s="2330"/>
      <c r="N61" s="2330"/>
      <c r="O61" s="2327"/>
      <c r="P61" s="2327"/>
      <c r="Q61" s="2327"/>
      <c r="R61" s="2327"/>
      <c r="S61" s="2327"/>
      <c r="T61" s="2327"/>
      <c r="U61" s="2331"/>
    </row>
    <row r="62" spans="1:21" ht="24" customHeight="1">
      <c r="A62" s="2156"/>
      <c r="B62" s="2157" t="s">
        <v>1256</v>
      </c>
      <c r="C62" s="2168" t="s">
        <v>1246</v>
      </c>
      <c r="D62" s="1235" t="s">
        <v>1213</v>
      </c>
      <c r="E62" s="2329"/>
      <c r="F62" s="2330"/>
      <c r="G62" s="2330"/>
      <c r="H62" s="2330"/>
      <c r="I62" s="2330"/>
      <c r="J62" s="2330"/>
      <c r="K62" s="2330"/>
      <c r="L62" s="2330"/>
      <c r="M62" s="2330"/>
      <c r="N62" s="2330"/>
      <c r="O62" s="2330"/>
      <c r="P62" s="2327">
        <v>0.98</v>
      </c>
      <c r="Q62" s="2327">
        <v>0.93099999999999994</v>
      </c>
      <c r="R62" s="2327">
        <v>0.89375999999999989</v>
      </c>
      <c r="S62" s="2327">
        <v>0.87588479999999991</v>
      </c>
      <c r="T62" s="2327">
        <v>0.86712595199999987</v>
      </c>
      <c r="U62" s="2331">
        <v>0.84978343295999981</v>
      </c>
    </row>
    <row r="63" spans="1:21" ht="24" customHeight="1">
      <c r="A63" s="2156"/>
      <c r="B63" s="2165"/>
      <c r="C63" s="2169"/>
      <c r="D63" s="1237" t="s">
        <v>1214</v>
      </c>
      <c r="E63" s="2329"/>
      <c r="F63" s="2330"/>
      <c r="G63" s="2330"/>
      <c r="H63" s="2330"/>
      <c r="I63" s="2330"/>
      <c r="J63" s="2330"/>
      <c r="K63" s="2330"/>
      <c r="L63" s="2330"/>
      <c r="M63" s="2330"/>
      <c r="N63" s="2330"/>
      <c r="O63" s="2330"/>
      <c r="P63" s="2327"/>
      <c r="Q63" s="2327"/>
      <c r="R63" s="2327"/>
      <c r="S63" s="2327"/>
      <c r="T63" s="2327"/>
      <c r="U63" s="2331"/>
    </row>
    <row r="64" spans="1:21" ht="24" customHeight="1">
      <c r="A64" s="2156"/>
      <c r="B64" s="2157" t="s">
        <v>1257</v>
      </c>
      <c r="C64" s="2168" t="s">
        <v>1246</v>
      </c>
      <c r="D64" s="1235" t="s">
        <v>1213</v>
      </c>
      <c r="E64" s="2329"/>
      <c r="F64" s="2330"/>
      <c r="G64" s="2330"/>
      <c r="H64" s="2330"/>
      <c r="I64" s="2330"/>
      <c r="J64" s="2330"/>
      <c r="K64" s="2330"/>
      <c r="L64" s="2330"/>
      <c r="M64" s="2330"/>
      <c r="N64" s="2330"/>
      <c r="O64" s="2330"/>
      <c r="P64" s="2330"/>
      <c r="Q64" s="2327">
        <v>0.95</v>
      </c>
      <c r="R64" s="2327">
        <v>0.91199999999999992</v>
      </c>
      <c r="S64" s="2327">
        <v>0.89375999999999989</v>
      </c>
      <c r="T64" s="2327">
        <v>0.8848223999999999</v>
      </c>
      <c r="U64" s="2331">
        <v>0.86712595199999987</v>
      </c>
    </row>
    <row r="65" spans="1:21" ht="24" customHeight="1">
      <c r="A65" s="2156"/>
      <c r="B65" s="2165"/>
      <c r="C65" s="2169"/>
      <c r="D65" s="1237" t="s">
        <v>1214</v>
      </c>
      <c r="E65" s="2329"/>
      <c r="F65" s="2330"/>
      <c r="G65" s="2330"/>
      <c r="H65" s="2330"/>
      <c r="I65" s="2330"/>
      <c r="J65" s="2330"/>
      <c r="K65" s="2330"/>
      <c r="L65" s="2330"/>
      <c r="M65" s="2330"/>
      <c r="N65" s="2330"/>
      <c r="O65" s="2330"/>
      <c r="P65" s="2330"/>
      <c r="Q65" s="2327"/>
      <c r="R65" s="2327"/>
      <c r="S65" s="2327"/>
      <c r="T65" s="2327"/>
      <c r="U65" s="2331"/>
    </row>
    <row r="66" spans="1:21" ht="24" customHeight="1">
      <c r="A66" s="2156"/>
      <c r="B66" s="2157" t="s">
        <v>1258</v>
      </c>
      <c r="C66" s="2168" t="s">
        <v>1246</v>
      </c>
      <c r="D66" s="1235" t="s">
        <v>1213</v>
      </c>
      <c r="E66" s="2329"/>
      <c r="F66" s="2330"/>
      <c r="G66" s="2330"/>
      <c r="H66" s="2330"/>
      <c r="I66" s="2330"/>
      <c r="J66" s="2330"/>
      <c r="K66" s="2330"/>
      <c r="L66" s="2330"/>
      <c r="M66" s="2330"/>
      <c r="N66" s="2330"/>
      <c r="O66" s="2330"/>
      <c r="P66" s="2330"/>
      <c r="Q66" s="2330"/>
      <c r="R66" s="2327">
        <v>0.96</v>
      </c>
      <c r="S66" s="2327">
        <v>0.94079999999999997</v>
      </c>
      <c r="T66" s="2327">
        <v>0.931392</v>
      </c>
      <c r="U66" s="2331">
        <v>0.91276415999999994</v>
      </c>
    </row>
    <row r="67" spans="1:21" ht="24" customHeight="1">
      <c r="A67" s="2156"/>
      <c r="B67" s="2165"/>
      <c r="C67" s="2169"/>
      <c r="D67" s="1237" t="s">
        <v>1214</v>
      </c>
      <c r="E67" s="2329"/>
      <c r="F67" s="2330"/>
      <c r="G67" s="2330"/>
      <c r="H67" s="2330"/>
      <c r="I67" s="2330"/>
      <c r="J67" s="2330"/>
      <c r="K67" s="2330"/>
      <c r="L67" s="2330"/>
      <c r="M67" s="2330"/>
      <c r="N67" s="2330"/>
      <c r="O67" s="2330"/>
      <c r="P67" s="2330"/>
      <c r="Q67" s="2330"/>
      <c r="R67" s="2327"/>
      <c r="S67" s="2327"/>
      <c r="T67" s="2327"/>
      <c r="U67" s="2331"/>
    </row>
    <row r="68" spans="1:21" ht="24" customHeight="1">
      <c r="A68" s="2156"/>
      <c r="B68" s="2157" t="s">
        <v>1259</v>
      </c>
      <c r="C68" s="2168" t="s">
        <v>1246</v>
      </c>
      <c r="D68" s="1235" t="s">
        <v>1213</v>
      </c>
      <c r="E68" s="2329"/>
      <c r="F68" s="2330"/>
      <c r="G68" s="2330"/>
      <c r="H68" s="2330"/>
      <c r="I68" s="2330"/>
      <c r="J68" s="2330"/>
      <c r="K68" s="2330"/>
      <c r="L68" s="2330"/>
      <c r="M68" s="2330"/>
      <c r="N68" s="2330"/>
      <c r="O68" s="2330"/>
      <c r="P68" s="2330"/>
      <c r="Q68" s="2330"/>
      <c r="R68" s="2330"/>
      <c r="S68" s="2327">
        <v>0.98</v>
      </c>
      <c r="T68" s="2327">
        <v>0.97019999999999995</v>
      </c>
      <c r="U68" s="2331">
        <v>0.95079599999999997</v>
      </c>
    </row>
    <row r="69" spans="1:21" ht="24" customHeight="1">
      <c r="A69" s="2156"/>
      <c r="B69" s="2165"/>
      <c r="C69" s="2169"/>
      <c r="D69" s="1237" t="s">
        <v>1214</v>
      </c>
      <c r="E69" s="2329"/>
      <c r="F69" s="2330"/>
      <c r="G69" s="2330"/>
      <c r="H69" s="2330"/>
      <c r="I69" s="2330"/>
      <c r="J69" s="2330"/>
      <c r="K69" s="2330"/>
      <c r="L69" s="2330"/>
      <c r="M69" s="2330"/>
      <c r="N69" s="2330"/>
      <c r="O69" s="2330"/>
      <c r="P69" s="2330"/>
      <c r="Q69" s="2330"/>
      <c r="R69" s="2330"/>
      <c r="S69" s="2327"/>
      <c r="T69" s="2327"/>
      <c r="U69" s="2331"/>
    </row>
    <row r="70" spans="1:21" ht="24" customHeight="1">
      <c r="A70" s="2156"/>
      <c r="B70" s="2157" t="s">
        <v>1260</v>
      </c>
      <c r="C70" s="2168" t="s">
        <v>1246</v>
      </c>
      <c r="D70" s="1235" t="s">
        <v>1213</v>
      </c>
      <c r="E70" s="2329"/>
      <c r="F70" s="2330"/>
      <c r="G70" s="2330"/>
      <c r="H70" s="2330"/>
      <c r="I70" s="2330"/>
      <c r="J70" s="2330"/>
      <c r="K70" s="2330"/>
      <c r="L70" s="2330"/>
      <c r="M70" s="2330"/>
      <c r="N70" s="2330"/>
      <c r="O70" s="2330"/>
      <c r="P70" s="2330"/>
      <c r="Q70" s="2330"/>
      <c r="R70" s="2330"/>
      <c r="S70" s="2330"/>
      <c r="T70" s="2327">
        <v>0.99</v>
      </c>
      <c r="U70" s="2331">
        <v>0.97019999999999995</v>
      </c>
    </row>
    <row r="71" spans="1:21" ht="24" customHeight="1">
      <c r="A71" s="2156"/>
      <c r="B71" s="2165"/>
      <c r="C71" s="2169"/>
      <c r="D71" s="1237" t="s">
        <v>1214</v>
      </c>
      <c r="E71" s="2329"/>
      <c r="F71" s="2330"/>
      <c r="G71" s="2330"/>
      <c r="H71" s="2330"/>
      <c r="I71" s="2330"/>
      <c r="J71" s="2330"/>
      <c r="K71" s="2330"/>
      <c r="L71" s="2330"/>
      <c r="M71" s="2330"/>
      <c r="N71" s="2330"/>
      <c r="O71" s="2330"/>
      <c r="P71" s="2330"/>
      <c r="Q71" s="2330"/>
      <c r="R71" s="2330"/>
      <c r="S71" s="2330"/>
      <c r="T71" s="2327"/>
      <c r="U71" s="2331"/>
    </row>
    <row r="72" spans="1:21" ht="24" customHeight="1">
      <c r="A72" s="2156"/>
      <c r="B72" s="2157" t="s">
        <v>1261</v>
      </c>
      <c r="C72" s="2168" t="s">
        <v>1246</v>
      </c>
      <c r="D72" s="1235" t="s">
        <v>1213</v>
      </c>
      <c r="E72" s="2329"/>
      <c r="F72" s="2330"/>
      <c r="G72" s="2330"/>
      <c r="H72" s="2330"/>
      <c r="I72" s="2330"/>
      <c r="J72" s="2330"/>
      <c r="K72" s="2330"/>
      <c r="L72" s="2330"/>
      <c r="M72" s="2330"/>
      <c r="N72" s="2330"/>
      <c r="O72" s="2330"/>
      <c r="P72" s="2330"/>
      <c r="Q72" s="2330"/>
      <c r="R72" s="2330"/>
      <c r="S72" s="2330"/>
      <c r="T72" s="2330"/>
      <c r="U72" s="2331">
        <v>0.98</v>
      </c>
    </row>
    <row r="73" spans="1:21" ht="24" customHeight="1">
      <c r="A73" s="2156"/>
      <c r="B73" s="2165"/>
      <c r="C73" s="2169"/>
      <c r="D73" s="1237" t="s">
        <v>1214</v>
      </c>
      <c r="E73" s="2329"/>
      <c r="F73" s="2330"/>
      <c r="G73" s="2330"/>
      <c r="H73" s="2330"/>
      <c r="I73" s="2330"/>
      <c r="J73" s="2330"/>
      <c r="K73" s="2330"/>
      <c r="L73" s="2330"/>
      <c r="M73" s="2330"/>
      <c r="N73" s="2330"/>
      <c r="O73" s="2330"/>
      <c r="P73" s="2330"/>
      <c r="Q73" s="2330"/>
      <c r="R73" s="2330"/>
      <c r="S73" s="2330"/>
      <c r="T73" s="2330"/>
      <c r="U73" s="2331"/>
    </row>
    <row r="74" spans="1:21" ht="24" customHeight="1">
      <c r="A74" s="2156"/>
      <c r="B74" s="2157" t="s">
        <v>1262</v>
      </c>
      <c r="C74" s="2168" t="s">
        <v>1246</v>
      </c>
      <c r="D74" s="1235" t="s">
        <v>1213</v>
      </c>
      <c r="E74" s="2329"/>
      <c r="F74" s="2330"/>
      <c r="G74" s="2330"/>
      <c r="H74" s="2330"/>
      <c r="I74" s="2330"/>
      <c r="J74" s="2330"/>
      <c r="K74" s="2330"/>
      <c r="L74" s="2330"/>
      <c r="M74" s="2330"/>
      <c r="N74" s="2330"/>
      <c r="O74" s="2330"/>
      <c r="P74" s="2330"/>
      <c r="Q74" s="2330"/>
      <c r="R74" s="2330"/>
      <c r="S74" s="2330"/>
      <c r="T74" s="2330"/>
      <c r="U74" s="2333"/>
    </row>
    <row r="75" spans="1:21" ht="24" customHeight="1">
      <c r="A75" s="2156"/>
      <c r="B75" s="2165"/>
      <c r="C75" s="2332"/>
      <c r="D75" s="1237" t="s">
        <v>1214</v>
      </c>
      <c r="E75" s="2329"/>
      <c r="F75" s="2330"/>
      <c r="G75" s="2330"/>
      <c r="H75" s="2330"/>
      <c r="I75" s="2330"/>
      <c r="J75" s="2330"/>
      <c r="K75" s="2330"/>
      <c r="L75" s="2330"/>
      <c r="M75" s="2330"/>
      <c r="N75" s="2330"/>
      <c r="O75" s="2330"/>
      <c r="P75" s="2330"/>
      <c r="Q75" s="2330"/>
      <c r="R75" s="2330"/>
      <c r="S75" s="2330"/>
      <c r="T75" s="2330"/>
      <c r="U75" s="2333"/>
    </row>
    <row r="76" spans="1:21" ht="24" customHeight="1">
      <c r="A76" s="2156" t="s">
        <v>1219</v>
      </c>
      <c r="B76" s="2157" t="s">
        <v>1245</v>
      </c>
      <c r="C76" s="2168" t="s">
        <v>1246</v>
      </c>
      <c r="D76" s="1235" t="s">
        <v>1213</v>
      </c>
      <c r="E76" s="2328"/>
      <c r="F76" s="2327">
        <v>0.63</v>
      </c>
      <c r="G76" s="2327">
        <v>0.47250000000000003</v>
      </c>
      <c r="H76" s="2327">
        <v>0.44887500000000002</v>
      </c>
      <c r="I76" s="2327">
        <v>0.44438625000000004</v>
      </c>
      <c r="J76" s="2327">
        <v>0.39105990000000002</v>
      </c>
      <c r="K76" s="2327">
        <v>0.35586450900000005</v>
      </c>
      <c r="L76" s="2327">
        <v>0.33095399337000009</v>
      </c>
      <c r="M76" s="2327">
        <v>0.31109675376780005</v>
      </c>
      <c r="N76" s="2327">
        <v>0.29554191607941005</v>
      </c>
      <c r="O76" s="2327">
        <v>0.28372023943623365</v>
      </c>
      <c r="P76" s="2327">
        <v>0.27804583464750898</v>
      </c>
      <c r="Q76" s="2327">
        <v>0.26414354291513353</v>
      </c>
      <c r="R76" s="2327">
        <v>0.25357780119852819</v>
      </c>
      <c r="S76" s="2327">
        <v>0.2510420231865429</v>
      </c>
      <c r="T76" s="2327">
        <v>0.24853160295467747</v>
      </c>
      <c r="U76" s="2331">
        <v>0.2435609708955839</v>
      </c>
    </row>
    <row r="77" spans="1:21" ht="24" customHeight="1">
      <c r="A77" s="2156"/>
      <c r="B77" s="2165"/>
      <c r="C77" s="2169"/>
      <c r="D77" s="1237" t="s">
        <v>1214</v>
      </c>
      <c r="E77" s="2328"/>
      <c r="F77" s="2327"/>
      <c r="G77" s="2327"/>
      <c r="H77" s="2327"/>
      <c r="I77" s="2327"/>
      <c r="J77" s="2327"/>
      <c r="K77" s="2327"/>
      <c r="L77" s="2327"/>
      <c r="M77" s="2327"/>
      <c r="N77" s="2327"/>
      <c r="O77" s="2327"/>
      <c r="P77" s="2327"/>
      <c r="Q77" s="2327"/>
      <c r="R77" s="2327"/>
      <c r="S77" s="2327"/>
      <c r="T77" s="2327"/>
      <c r="U77" s="2331"/>
    </row>
    <row r="78" spans="1:21" ht="24" customHeight="1">
      <c r="A78" s="2156"/>
      <c r="B78" s="2157" t="s">
        <v>1247</v>
      </c>
      <c r="C78" s="2168" t="s">
        <v>1246</v>
      </c>
      <c r="D78" s="1235" t="s">
        <v>1213</v>
      </c>
      <c r="E78" s="2329"/>
      <c r="F78" s="2330"/>
      <c r="G78" s="2327">
        <v>0.75</v>
      </c>
      <c r="H78" s="2327">
        <v>0.71249999999999991</v>
      </c>
      <c r="I78" s="2327">
        <v>0.70537499999999986</v>
      </c>
      <c r="J78" s="2327">
        <v>0.62072999999999989</v>
      </c>
      <c r="K78" s="2327">
        <v>0.56486429999999987</v>
      </c>
      <c r="L78" s="2327">
        <v>0.52532379899999992</v>
      </c>
      <c r="M78" s="2327">
        <v>0.49380437105999991</v>
      </c>
      <c r="N78" s="2327">
        <v>0.46911415250699989</v>
      </c>
      <c r="O78" s="2327">
        <v>0.4503495864067199</v>
      </c>
      <c r="P78" s="2327">
        <v>0.4413425946785855</v>
      </c>
      <c r="Q78" s="2327">
        <v>0.41927546494465623</v>
      </c>
      <c r="R78" s="2327">
        <v>0.40250444634686994</v>
      </c>
      <c r="S78" s="2327">
        <v>0.39847940188340125</v>
      </c>
      <c r="T78" s="2327">
        <v>0.39449460786456725</v>
      </c>
      <c r="U78" s="2331">
        <v>0.38660471570727589</v>
      </c>
    </row>
    <row r="79" spans="1:21" ht="24" customHeight="1">
      <c r="A79" s="2156"/>
      <c r="B79" s="2165"/>
      <c r="C79" s="2169"/>
      <c r="D79" s="1237" t="s">
        <v>1214</v>
      </c>
      <c r="E79" s="2329"/>
      <c r="F79" s="2330"/>
      <c r="G79" s="2327"/>
      <c r="H79" s="2327"/>
      <c r="I79" s="2327"/>
      <c r="J79" s="2327"/>
      <c r="K79" s="2327"/>
      <c r="L79" s="2327"/>
      <c r="M79" s="2327"/>
      <c r="N79" s="2327"/>
      <c r="O79" s="2327"/>
      <c r="P79" s="2327"/>
      <c r="Q79" s="2327"/>
      <c r="R79" s="2327"/>
      <c r="S79" s="2327"/>
      <c r="T79" s="2327"/>
      <c r="U79" s="2331"/>
    </row>
    <row r="80" spans="1:21" ht="24" customHeight="1">
      <c r="A80" s="2156"/>
      <c r="B80" s="2157" t="s">
        <v>1248</v>
      </c>
      <c r="C80" s="2168" t="s">
        <v>1246</v>
      </c>
      <c r="D80" s="1235" t="s">
        <v>1213</v>
      </c>
      <c r="E80" s="2329"/>
      <c r="F80" s="2330"/>
      <c r="G80" s="2330"/>
      <c r="H80" s="2327">
        <v>0.95</v>
      </c>
      <c r="I80" s="2327">
        <v>0.9405</v>
      </c>
      <c r="J80" s="2327">
        <v>0.82764000000000004</v>
      </c>
      <c r="K80" s="2327">
        <v>0.75315240000000006</v>
      </c>
      <c r="L80" s="2327">
        <v>0.70043173200000008</v>
      </c>
      <c r="M80" s="2327">
        <v>0.65840582808000003</v>
      </c>
      <c r="N80" s="2327">
        <v>0.62548553667600004</v>
      </c>
      <c r="O80" s="2327">
        <v>0.60046611520895998</v>
      </c>
      <c r="P80" s="2327">
        <v>0.58845679290478081</v>
      </c>
      <c r="Q80" s="2327">
        <v>0.55903395325954175</v>
      </c>
      <c r="R80" s="2327">
        <v>0.5366725951291601</v>
      </c>
      <c r="S80" s="2327">
        <v>0.53130586917786848</v>
      </c>
      <c r="T80" s="2327">
        <v>0.52599281048608981</v>
      </c>
      <c r="U80" s="2331">
        <v>0.51547295427636797</v>
      </c>
    </row>
    <row r="81" spans="1:21" ht="24" customHeight="1">
      <c r="A81" s="2156"/>
      <c r="B81" s="2165"/>
      <c r="C81" s="2169"/>
      <c r="D81" s="1237" t="s">
        <v>1214</v>
      </c>
      <c r="E81" s="2329"/>
      <c r="F81" s="2330"/>
      <c r="G81" s="2330"/>
      <c r="H81" s="2327"/>
      <c r="I81" s="2327"/>
      <c r="J81" s="2327"/>
      <c r="K81" s="2327"/>
      <c r="L81" s="2327"/>
      <c r="M81" s="2327"/>
      <c r="N81" s="2327"/>
      <c r="O81" s="2327"/>
      <c r="P81" s="2327"/>
      <c r="Q81" s="2327"/>
      <c r="R81" s="2327"/>
      <c r="S81" s="2327"/>
      <c r="T81" s="2327"/>
      <c r="U81" s="2331"/>
    </row>
    <row r="82" spans="1:21" ht="24" customHeight="1">
      <c r="A82" s="2156"/>
      <c r="B82" s="2157" t="s">
        <v>1249</v>
      </c>
      <c r="C82" s="2168" t="s">
        <v>1246</v>
      </c>
      <c r="D82" s="1235" t="s">
        <v>1213</v>
      </c>
      <c r="E82" s="2329"/>
      <c r="F82" s="2330"/>
      <c r="G82" s="2330"/>
      <c r="H82" s="2330"/>
      <c r="I82" s="2327">
        <v>0.99</v>
      </c>
      <c r="J82" s="2327">
        <v>0.87119999999999997</v>
      </c>
      <c r="K82" s="2327">
        <v>0.79279200000000005</v>
      </c>
      <c r="L82" s="2327">
        <v>0.7372965600000001</v>
      </c>
      <c r="M82" s="2327">
        <v>0.69305876640000008</v>
      </c>
      <c r="N82" s="2327">
        <v>0.65840582808000003</v>
      </c>
      <c r="O82" s="2327">
        <v>0.63206959495680004</v>
      </c>
      <c r="P82" s="2327">
        <v>0.619428203057664</v>
      </c>
      <c r="Q82" s="2327">
        <v>0.58845679290478081</v>
      </c>
      <c r="R82" s="2327">
        <v>0.56491852118858954</v>
      </c>
      <c r="S82" s="2327">
        <v>0.55926933597670359</v>
      </c>
      <c r="T82" s="2327">
        <v>0.5536766426169365</v>
      </c>
      <c r="U82" s="2331">
        <v>0.5426031097645978</v>
      </c>
    </row>
    <row r="83" spans="1:21" ht="24" customHeight="1">
      <c r="A83" s="2156"/>
      <c r="B83" s="2165"/>
      <c r="C83" s="2169"/>
      <c r="D83" s="1237" t="s">
        <v>1214</v>
      </c>
      <c r="E83" s="2329"/>
      <c r="F83" s="2330"/>
      <c r="G83" s="2330"/>
      <c r="H83" s="2330"/>
      <c r="I83" s="2327"/>
      <c r="J83" s="2327"/>
      <c r="K83" s="2327"/>
      <c r="L83" s="2327"/>
      <c r="M83" s="2327"/>
      <c r="N83" s="2327"/>
      <c r="O83" s="2327"/>
      <c r="P83" s="2327"/>
      <c r="Q83" s="2327"/>
      <c r="R83" s="2327"/>
      <c r="S83" s="2327"/>
      <c r="T83" s="2327"/>
      <c r="U83" s="2331"/>
    </row>
    <row r="84" spans="1:21" ht="24" customHeight="1">
      <c r="A84" s="2156"/>
      <c r="B84" s="2157" t="s">
        <v>1250</v>
      </c>
      <c r="C84" s="2168" t="s">
        <v>1246</v>
      </c>
      <c r="D84" s="1235" t="s">
        <v>1213</v>
      </c>
      <c r="E84" s="2329"/>
      <c r="F84" s="2330"/>
      <c r="G84" s="2330"/>
      <c r="H84" s="2330"/>
      <c r="I84" s="2330"/>
      <c r="J84" s="2327">
        <v>0.88</v>
      </c>
      <c r="K84" s="2327">
        <v>0.80080000000000007</v>
      </c>
      <c r="L84" s="2327">
        <v>0.74474400000000007</v>
      </c>
      <c r="M84" s="2327">
        <v>0.70005936000000002</v>
      </c>
      <c r="N84" s="2327">
        <v>0.665056392</v>
      </c>
      <c r="O84" s="2327">
        <v>0.63845413631999992</v>
      </c>
      <c r="P84" s="2327">
        <v>0.62568505359359994</v>
      </c>
      <c r="Q84" s="2327">
        <v>0.59440080091391989</v>
      </c>
      <c r="R84" s="2327">
        <v>0.57062476887736302</v>
      </c>
      <c r="S84" s="2327">
        <v>0.56491852118858943</v>
      </c>
      <c r="T84" s="2327">
        <v>0.55926933597670347</v>
      </c>
      <c r="U84" s="2331">
        <v>0.54808394925716941</v>
      </c>
    </row>
    <row r="85" spans="1:21" ht="24" customHeight="1">
      <c r="A85" s="2156"/>
      <c r="B85" s="2165"/>
      <c r="C85" s="2169"/>
      <c r="D85" s="1237" t="s">
        <v>1214</v>
      </c>
      <c r="E85" s="2329"/>
      <c r="F85" s="2330"/>
      <c r="G85" s="2330"/>
      <c r="H85" s="2330"/>
      <c r="I85" s="2330"/>
      <c r="J85" s="2327"/>
      <c r="K85" s="2327"/>
      <c r="L85" s="2327"/>
      <c r="M85" s="2327"/>
      <c r="N85" s="2327"/>
      <c r="O85" s="2327"/>
      <c r="P85" s="2327"/>
      <c r="Q85" s="2327"/>
      <c r="R85" s="2327"/>
      <c r="S85" s="2327"/>
      <c r="T85" s="2327"/>
      <c r="U85" s="2331"/>
    </row>
    <row r="86" spans="1:21" ht="24" customHeight="1">
      <c r="A86" s="2156"/>
      <c r="B86" s="2157" t="s">
        <v>1251</v>
      </c>
      <c r="C86" s="2168" t="s">
        <v>1246</v>
      </c>
      <c r="D86" s="1235" t="s">
        <v>1213</v>
      </c>
      <c r="E86" s="2329"/>
      <c r="F86" s="2330"/>
      <c r="G86" s="2330"/>
      <c r="H86" s="2330"/>
      <c r="I86" s="2330"/>
      <c r="J86" s="2330"/>
      <c r="K86" s="2327">
        <v>0.91</v>
      </c>
      <c r="L86" s="2327">
        <v>0.84630000000000005</v>
      </c>
      <c r="M86" s="2327">
        <v>0.79552199999999995</v>
      </c>
      <c r="N86" s="2327">
        <v>0.75574589999999997</v>
      </c>
      <c r="O86" s="2327">
        <v>0.72551606399999991</v>
      </c>
      <c r="P86" s="2327">
        <v>0.71100574271999994</v>
      </c>
      <c r="Q86" s="2327">
        <v>0.67545545558399989</v>
      </c>
      <c r="R86" s="2327">
        <v>0.64843723736063985</v>
      </c>
      <c r="S86" s="2327">
        <v>0.64195286498703341</v>
      </c>
      <c r="T86" s="2327">
        <v>0.63553333633716302</v>
      </c>
      <c r="U86" s="2331">
        <v>0.62282266961041977</v>
      </c>
    </row>
    <row r="87" spans="1:21" ht="24" customHeight="1">
      <c r="A87" s="2156"/>
      <c r="B87" s="2165"/>
      <c r="C87" s="2169"/>
      <c r="D87" s="1237" t="s">
        <v>1214</v>
      </c>
      <c r="E87" s="2329"/>
      <c r="F87" s="2330"/>
      <c r="G87" s="2330"/>
      <c r="H87" s="2330"/>
      <c r="I87" s="2330"/>
      <c r="J87" s="2330"/>
      <c r="K87" s="2327"/>
      <c r="L87" s="2327"/>
      <c r="M87" s="2327"/>
      <c r="N87" s="2327"/>
      <c r="O87" s="2327"/>
      <c r="P87" s="2327"/>
      <c r="Q87" s="2327"/>
      <c r="R87" s="2327"/>
      <c r="S87" s="2327"/>
      <c r="T87" s="2327"/>
      <c r="U87" s="2331"/>
    </row>
    <row r="88" spans="1:21" ht="24" customHeight="1">
      <c r="A88" s="2156"/>
      <c r="B88" s="2157" t="s">
        <v>1252</v>
      </c>
      <c r="C88" s="2168" t="s">
        <v>1246</v>
      </c>
      <c r="D88" s="1235" t="s">
        <v>1213</v>
      </c>
      <c r="E88" s="2329"/>
      <c r="F88" s="2330"/>
      <c r="G88" s="2330"/>
      <c r="H88" s="2330"/>
      <c r="I88" s="2330"/>
      <c r="J88" s="2330"/>
      <c r="K88" s="2330"/>
      <c r="L88" s="2327">
        <v>0.93</v>
      </c>
      <c r="M88" s="2327">
        <v>0.87419999999999998</v>
      </c>
      <c r="N88" s="2327">
        <v>0.83048999999999995</v>
      </c>
      <c r="O88" s="2327">
        <v>0.79727039999999993</v>
      </c>
      <c r="P88" s="2327">
        <v>0.78132499199999994</v>
      </c>
      <c r="Q88" s="2327">
        <v>0.74225874239999989</v>
      </c>
      <c r="R88" s="2327">
        <v>0.71256839270399985</v>
      </c>
      <c r="S88" s="2327">
        <v>0.7054427087769598</v>
      </c>
      <c r="T88" s="2327">
        <v>0.6983882816891902</v>
      </c>
      <c r="U88" s="2331">
        <v>0.68442051605540644</v>
      </c>
    </row>
    <row r="89" spans="1:21" ht="24" customHeight="1">
      <c r="A89" s="2156"/>
      <c r="B89" s="2165"/>
      <c r="C89" s="2169"/>
      <c r="D89" s="1237" t="s">
        <v>1214</v>
      </c>
      <c r="E89" s="2329"/>
      <c r="F89" s="2330"/>
      <c r="G89" s="2330"/>
      <c r="H89" s="2330"/>
      <c r="I89" s="2330"/>
      <c r="J89" s="2330"/>
      <c r="K89" s="2330"/>
      <c r="L89" s="2327"/>
      <c r="M89" s="2327"/>
      <c r="N89" s="2327"/>
      <c r="O89" s="2327"/>
      <c r="P89" s="2327"/>
      <c r="Q89" s="2327"/>
      <c r="R89" s="2327"/>
      <c r="S89" s="2327"/>
      <c r="T89" s="2327"/>
      <c r="U89" s="2331"/>
    </row>
    <row r="90" spans="1:21" ht="24" customHeight="1">
      <c r="A90" s="2156"/>
      <c r="B90" s="2157" t="s">
        <v>1253</v>
      </c>
      <c r="C90" s="2168" t="s">
        <v>1246</v>
      </c>
      <c r="D90" s="1235" t="s">
        <v>1213</v>
      </c>
      <c r="E90" s="2329"/>
      <c r="F90" s="2330"/>
      <c r="G90" s="2330"/>
      <c r="H90" s="2330"/>
      <c r="I90" s="2330"/>
      <c r="J90" s="2330"/>
      <c r="K90" s="2330"/>
      <c r="L90" s="2330"/>
      <c r="M90" s="2327">
        <v>0.94</v>
      </c>
      <c r="N90" s="2327">
        <v>0.8929999999999999</v>
      </c>
      <c r="O90" s="2327">
        <v>0.85727999999999993</v>
      </c>
      <c r="P90" s="2327">
        <v>0.84013439999999995</v>
      </c>
      <c r="Q90" s="2327">
        <v>0.79812767999999989</v>
      </c>
      <c r="R90" s="2327">
        <v>0.76620257279999993</v>
      </c>
      <c r="S90" s="2327">
        <v>0.75854054707199992</v>
      </c>
      <c r="T90" s="2327">
        <v>0.75095514160127996</v>
      </c>
      <c r="U90" s="2331">
        <v>0.7359360387692544</v>
      </c>
    </row>
    <row r="91" spans="1:21" ht="24" customHeight="1">
      <c r="A91" s="2156"/>
      <c r="B91" s="2165"/>
      <c r="C91" s="2169"/>
      <c r="D91" s="1237" t="s">
        <v>1214</v>
      </c>
      <c r="E91" s="2329"/>
      <c r="F91" s="2330"/>
      <c r="G91" s="2330"/>
      <c r="H91" s="2330"/>
      <c r="I91" s="2330"/>
      <c r="J91" s="2330"/>
      <c r="K91" s="2330"/>
      <c r="L91" s="2330"/>
      <c r="M91" s="2327"/>
      <c r="N91" s="2327"/>
      <c r="O91" s="2327"/>
      <c r="P91" s="2327"/>
      <c r="Q91" s="2327"/>
      <c r="R91" s="2327"/>
      <c r="S91" s="2327"/>
      <c r="T91" s="2327"/>
      <c r="U91" s="2331"/>
    </row>
    <row r="92" spans="1:21" ht="24" customHeight="1">
      <c r="A92" s="2156"/>
      <c r="B92" s="2157" t="s">
        <v>1254</v>
      </c>
      <c r="C92" s="2168" t="s">
        <v>1246</v>
      </c>
      <c r="D92" s="1235" t="s">
        <v>1213</v>
      </c>
      <c r="E92" s="2329"/>
      <c r="F92" s="2330"/>
      <c r="G92" s="2330"/>
      <c r="H92" s="2330"/>
      <c r="I92" s="2330"/>
      <c r="J92" s="2330"/>
      <c r="K92" s="2330"/>
      <c r="L92" s="2330"/>
      <c r="M92" s="2330"/>
      <c r="N92" s="2327">
        <v>0.95</v>
      </c>
      <c r="O92" s="2327">
        <v>0.91199999999999992</v>
      </c>
      <c r="P92" s="2327">
        <v>0.89375999999999989</v>
      </c>
      <c r="Q92" s="2327">
        <v>0.84907199999999983</v>
      </c>
      <c r="R92" s="2327">
        <v>0.8151091199999998</v>
      </c>
      <c r="S92" s="2327">
        <v>0.80695802879999978</v>
      </c>
      <c r="T92" s="2327">
        <v>0.7988884485119998</v>
      </c>
      <c r="U92" s="2331">
        <v>0.78291067954175975</v>
      </c>
    </row>
    <row r="93" spans="1:21" ht="24" customHeight="1">
      <c r="A93" s="2156"/>
      <c r="B93" s="2165"/>
      <c r="C93" s="2169"/>
      <c r="D93" s="1237" t="s">
        <v>1214</v>
      </c>
      <c r="E93" s="2329"/>
      <c r="F93" s="2330"/>
      <c r="G93" s="2330"/>
      <c r="H93" s="2330"/>
      <c r="I93" s="2330"/>
      <c r="J93" s="2330"/>
      <c r="K93" s="2330"/>
      <c r="L93" s="2330"/>
      <c r="M93" s="2330"/>
      <c r="N93" s="2327"/>
      <c r="O93" s="2327"/>
      <c r="P93" s="2327"/>
      <c r="Q93" s="2327"/>
      <c r="R93" s="2327"/>
      <c r="S93" s="2327"/>
      <c r="T93" s="2327"/>
      <c r="U93" s="2331"/>
    </row>
    <row r="94" spans="1:21" ht="24" customHeight="1">
      <c r="A94" s="2156"/>
      <c r="B94" s="2157" t="s">
        <v>1255</v>
      </c>
      <c r="C94" s="2168" t="s">
        <v>1246</v>
      </c>
      <c r="D94" s="1235" t="s">
        <v>1213</v>
      </c>
      <c r="E94" s="2329"/>
      <c r="F94" s="2330"/>
      <c r="G94" s="2330"/>
      <c r="H94" s="2330"/>
      <c r="I94" s="2330"/>
      <c r="J94" s="2330"/>
      <c r="K94" s="2330"/>
      <c r="L94" s="2330"/>
      <c r="M94" s="2330"/>
      <c r="N94" s="2330"/>
      <c r="O94" s="2327">
        <v>0.96</v>
      </c>
      <c r="P94" s="2327">
        <v>0.94079999999999997</v>
      </c>
      <c r="Q94" s="2327">
        <v>0.89375999999999989</v>
      </c>
      <c r="R94" s="2327">
        <v>0.85800959999999982</v>
      </c>
      <c r="S94" s="2327">
        <v>0.84942950399999984</v>
      </c>
      <c r="T94" s="2327">
        <v>0.84093520895999985</v>
      </c>
      <c r="U94" s="2331">
        <v>0.82411650478079979</v>
      </c>
    </row>
    <row r="95" spans="1:21" ht="24" customHeight="1">
      <c r="A95" s="2156"/>
      <c r="B95" s="2165"/>
      <c r="C95" s="2169"/>
      <c r="D95" s="1237" t="s">
        <v>1214</v>
      </c>
      <c r="E95" s="2329"/>
      <c r="F95" s="2330"/>
      <c r="G95" s="2330"/>
      <c r="H95" s="2330"/>
      <c r="I95" s="2330"/>
      <c r="J95" s="2330"/>
      <c r="K95" s="2330"/>
      <c r="L95" s="2330"/>
      <c r="M95" s="2330"/>
      <c r="N95" s="2330"/>
      <c r="O95" s="2327"/>
      <c r="P95" s="2327"/>
      <c r="Q95" s="2327"/>
      <c r="R95" s="2327"/>
      <c r="S95" s="2327"/>
      <c r="T95" s="2327"/>
      <c r="U95" s="2331"/>
    </row>
    <row r="96" spans="1:21" ht="24" customHeight="1">
      <c r="A96" s="2156"/>
      <c r="B96" s="2157" t="s">
        <v>1256</v>
      </c>
      <c r="C96" s="2168" t="s">
        <v>1246</v>
      </c>
      <c r="D96" s="1235" t="s">
        <v>1213</v>
      </c>
      <c r="E96" s="2329"/>
      <c r="F96" s="2330"/>
      <c r="G96" s="2330"/>
      <c r="H96" s="2330"/>
      <c r="I96" s="2330"/>
      <c r="J96" s="2330"/>
      <c r="K96" s="2330"/>
      <c r="L96" s="2330"/>
      <c r="M96" s="2330"/>
      <c r="N96" s="2330"/>
      <c r="O96" s="2330"/>
      <c r="P96" s="2327">
        <v>0.98</v>
      </c>
      <c r="Q96" s="2327">
        <v>0.93099999999999994</v>
      </c>
      <c r="R96" s="2327">
        <v>0.89375999999999989</v>
      </c>
      <c r="S96" s="2327">
        <v>0.8848223999999999</v>
      </c>
      <c r="T96" s="2327">
        <v>0.87597417599999994</v>
      </c>
      <c r="U96" s="2331">
        <v>0.85845469247999995</v>
      </c>
    </row>
    <row r="97" spans="1:21" ht="24" customHeight="1">
      <c r="A97" s="2156"/>
      <c r="B97" s="2165"/>
      <c r="C97" s="2169"/>
      <c r="D97" s="1237" t="s">
        <v>1214</v>
      </c>
      <c r="E97" s="2329"/>
      <c r="F97" s="2330"/>
      <c r="G97" s="2330"/>
      <c r="H97" s="2330"/>
      <c r="I97" s="2330"/>
      <c r="J97" s="2330"/>
      <c r="K97" s="2330"/>
      <c r="L97" s="2330"/>
      <c r="M97" s="2330"/>
      <c r="N97" s="2330"/>
      <c r="O97" s="2330"/>
      <c r="P97" s="2327"/>
      <c r="Q97" s="2327"/>
      <c r="R97" s="2327"/>
      <c r="S97" s="2327"/>
      <c r="T97" s="2327"/>
      <c r="U97" s="2331"/>
    </row>
    <row r="98" spans="1:21" ht="24" customHeight="1">
      <c r="A98" s="2156"/>
      <c r="B98" s="2157" t="s">
        <v>1257</v>
      </c>
      <c r="C98" s="2168" t="s">
        <v>1246</v>
      </c>
      <c r="D98" s="1235" t="s">
        <v>1213</v>
      </c>
      <c r="E98" s="2329"/>
      <c r="F98" s="2330"/>
      <c r="G98" s="2330"/>
      <c r="H98" s="2330"/>
      <c r="I98" s="2330"/>
      <c r="J98" s="2330"/>
      <c r="K98" s="2330"/>
      <c r="L98" s="2330"/>
      <c r="M98" s="2330"/>
      <c r="N98" s="2330"/>
      <c r="O98" s="2330"/>
      <c r="P98" s="2330"/>
      <c r="Q98" s="2327">
        <v>0.95</v>
      </c>
      <c r="R98" s="2327">
        <v>0.91199999999999992</v>
      </c>
      <c r="S98" s="2327">
        <v>0.9028799999999999</v>
      </c>
      <c r="T98" s="2327">
        <v>0.89385119999999985</v>
      </c>
      <c r="U98" s="2331">
        <v>0.87597417599999983</v>
      </c>
    </row>
    <row r="99" spans="1:21" ht="24" customHeight="1">
      <c r="A99" s="2156"/>
      <c r="B99" s="2165"/>
      <c r="C99" s="2169"/>
      <c r="D99" s="1237" t="s">
        <v>1214</v>
      </c>
      <c r="E99" s="2329"/>
      <c r="F99" s="2330"/>
      <c r="G99" s="2330"/>
      <c r="H99" s="2330"/>
      <c r="I99" s="2330"/>
      <c r="J99" s="2330"/>
      <c r="K99" s="2330"/>
      <c r="L99" s="2330"/>
      <c r="M99" s="2330"/>
      <c r="N99" s="2330"/>
      <c r="O99" s="2330"/>
      <c r="P99" s="2330"/>
      <c r="Q99" s="2327"/>
      <c r="R99" s="2327"/>
      <c r="S99" s="2327"/>
      <c r="T99" s="2327"/>
      <c r="U99" s="2331"/>
    </row>
    <row r="100" spans="1:21" ht="24" customHeight="1">
      <c r="A100" s="2156"/>
      <c r="B100" s="2157" t="s">
        <v>1258</v>
      </c>
      <c r="C100" s="2168" t="s">
        <v>1246</v>
      </c>
      <c r="D100" s="1235" t="s">
        <v>1213</v>
      </c>
      <c r="E100" s="2329"/>
      <c r="F100" s="2330"/>
      <c r="G100" s="2330"/>
      <c r="H100" s="2330"/>
      <c r="I100" s="2330"/>
      <c r="J100" s="2330"/>
      <c r="K100" s="2330"/>
      <c r="L100" s="2330"/>
      <c r="M100" s="2330"/>
      <c r="N100" s="2330"/>
      <c r="O100" s="2330"/>
      <c r="P100" s="2330"/>
      <c r="Q100" s="2330"/>
      <c r="R100" s="2327">
        <v>0.96</v>
      </c>
      <c r="S100" s="2327">
        <v>0.95039999999999991</v>
      </c>
      <c r="T100" s="2327">
        <v>0.94089599999999995</v>
      </c>
      <c r="U100" s="2331">
        <v>0.92207807999999991</v>
      </c>
    </row>
    <row r="101" spans="1:21" ht="24" customHeight="1">
      <c r="A101" s="2156"/>
      <c r="B101" s="2165"/>
      <c r="C101" s="2169"/>
      <c r="D101" s="1237" t="s">
        <v>1214</v>
      </c>
      <c r="E101" s="2329"/>
      <c r="F101" s="2330"/>
      <c r="G101" s="2330"/>
      <c r="H101" s="2330"/>
      <c r="I101" s="2330"/>
      <c r="J101" s="2330"/>
      <c r="K101" s="2330"/>
      <c r="L101" s="2330"/>
      <c r="M101" s="2330"/>
      <c r="N101" s="2330"/>
      <c r="O101" s="2330"/>
      <c r="P101" s="2330"/>
      <c r="Q101" s="2330"/>
      <c r="R101" s="2327"/>
      <c r="S101" s="2327"/>
      <c r="T101" s="2327"/>
      <c r="U101" s="2331"/>
    </row>
    <row r="102" spans="1:21" ht="24" customHeight="1">
      <c r="A102" s="2156"/>
      <c r="B102" s="2157" t="s">
        <v>1259</v>
      </c>
      <c r="C102" s="2168" t="s">
        <v>1246</v>
      </c>
      <c r="D102" s="1235" t="s">
        <v>1213</v>
      </c>
      <c r="E102" s="2329"/>
      <c r="F102" s="2330"/>
      <c r="G102" s="2330"/>
      <c r="H102" s="2330"/>
      <c r="I102" s="2330"/>
      <c r="J102" s="2330"/>
      <c r="K102" s="2330"/>
      <c r="L102" s="2330"/>
      <c r="M102" s="2330"/>
      <c r="N102" s="2330"/>
      <c r="O102" s="2330"/>
      <c r="P102" s="2330"/>
      <c r="Q102" s="2330"/>
      <c r="R102" s="2330"/>
      <c r="S102" s="2327">
        <v>0.99</v>
      </c>
      <c r="T102" s="2327">
        <v>0.98009999999999997</v>
      </c>
      <c r="U102" s="2331">
        <v>0.96049799999999996</v>
      </c>
    </row>
    <row r="103" spans="1:21" ht="24" customHeight="1">
      <c r="A103" s="2156"/>
      <c r="B103" s="2165"/>
      <c r="C103" s="2169"/>
      <c r="D103" s="1237" t="s">
        <v>1214</v>
      </c>
      <c r="E103" s="2329"/>
      <c r="F103" s="2330"/>
      <c r="G103" s="2330"/>
      <c r="H103" s="2330"/>
      <c r="I103" s="2330"/>
      <c r="J103" s="2330"/>
      <c r="K103" s="2330"/>
      <c r="L103" s="2330"/>
      <c r="M103" s="2330"/>
      <c r="N103" s="2330"/>
      <c r="O103" s="2330"/>
      <c r="P103" s="2330"/>
      <c r="Q103" s="2330"/>
      <c r="R103" s="2330"/>
      <c r="S103" s="2327"/>
      <c r="T103" s="2327"/>
      <c r="U103" s="2331"/>
    </row>
    <row r="104" spans="1:21" ht="24" customHeight="1">
      <c r="A104" s="2156"/>
      <c r="B104" s="2157" t="s">
        <v>1260</v>
      </c>
      <c r="C104" s="2168" t="s">
        <v>1246</v>
      </c>
      <c r="D104" s="1235" t="s">
        <v>1213</v>
      </c>
      <c r="E104" s="2329"/>
      <c r="F104" s="2330"/>
      <c r="G104" s="2330"/>
      <c r="H104" s="2330"/>
      <c r="I104" s="2330"/>
      <c r="J104" s="2330"/>
      <c r="K104" s="2330"/>
      <c r="L104" s="2330"/>
      <c r="M104" s="2330"/>
      <c r="N104" s="2330"/>
      <c r="O104" s="2330"/>
      <c r="P104" s="2330"/>
      <c r="Q104" s="2330"/>
      <c r="R104" s="2330"/>
      <c r="S104" s="2330"/>
      <c r="T104" s="2327">
        <v>0.99</v>
      </c>
      <c r="U104" s="2331">
        <v>0.97019999999999995</v>
      </c>
    </row>
    <row r="105" spans="1:21" ht="24" customHeight="1">
      <c r="A105" s="2156"/>
      <c r="B105" s="2165"/>
      <c r="C105" s="2169"/>
      <c r="D105" s="1237" t="s">
        <v>1214</v>
      </c>
      <c r="E105" s="2329"/>
      <c r="F105" s="2330"/>
      <c r="G105" s="2330"/>
      <c r="H105" s="2330"/>
      <c r="I105" s="2330"/>
      <c r="J105" s="2330"/>
      <c r="K105" s="2330"/>
      <c r="L105" s="2330"/>
      <c r="M105" s="2330"/>
      <c r="N105" s="2330"/>
      <c r="O105" s="2330"/>
      <c r="P105" s="2330"/>
      <c r="Q105" s="2330"/>
      <c r="R105" s="2330"/>
      <c r="S105" s="2330"/>
      <c r="T105" s="2327"/>
      <c r="U105" s="2331"/>
    </row>
    <row r="106" spans="1:21" ht="24" customHeight="1">
      <c r="A106" s="2156"/>
      <c r="B106" s="2157" t="s">
        <v>1261</v>
      </c>
      <c r="C106" s="2168" t="s">
        <v>1246</v>
      </c>
      <c r="D106" s="1235" t="s">
        <v>1213</v>
      </c>
      <c r="E106" s="2329"/>
      <c r="F106" s="2330"/>
      <c r="G106" s="2330"/>
      <c r="H106" s="2330"/>
      <c r="I106" s="2330"/>
      <c r="J106" s="2330"/>
      <c r="K106" s="2330"/>
      <c r="L106" s="2330"/>
      <c r="M106" s="2330"/>
      <c r="N106" s="2330"/>
      <c r="O106" s="2330"/>
      <c r="P106" s="2330"/>
      <c r="Q106" s="2330"/>
      <c r="R106" s="2330"/>
      <c r="S106" s="2330"/>
      <c r="T106" s="2330"/>
      <c r="U106" s="2331">
        <v>0.98</v>
      </c>
    </row>
    <row r="107" spans="1:21" ht="24" customHeight="1">
      <c r="A107" s="2156"/>
      <c r="B107" s="2165"/>
      <c r="C107" s="2169"/>
      <c r="D107" s="1237" t="s">
        <v>1214</v>
      </c>
      <c r="E107" s="2329"/>
      <c r="F107" s="2330"/>
      <c r="G107" s="2330"/>
      <c r="H107" s="2330"/>
      <c r="I107" s="2330"/>
      <c r="J107" s="2330"/>
      <c r="K107" s="2330"/>
      <c r="L107" s="2330"/>
      <c r="M107" s="2330"/>
      <c r="N107" s="2330"/>
      <c r="O107" s="2330"/>
      <c r="P107" s="2330"/>
      <c r="Q107" s="2330"/>
      <c r="R107" s="2330"/>
      <c r="S107" s="2330"/>
      <c r="T107" s="2330"/>
      <c r="U107" s="2331"/>
    </row>
    <row r="108" spans="1:21" ht="24" customHeight="1">
      <c r="A108" s="2156"/>
      <c r="B108" s="2157" t="s">
        <v>1262</v>
      </c>
      <c r="C108" s="2168" t="s">
        <v>1246</v>
      </c>
      <c r="D108" s="1235" t="s">
        <v>1213</v>
      </c>
      <c r="E108" s="2329"/>
      <c r="F108" s="2330"/>
      <c r="G108" s="2330"/>
      <c r="H108" s="2330"/>
      <c r="I108" s="2330"/>
      <c r="J108" s="2330"/>
      <c r="K108" s="2330"/>
      <c r="L108" s="2330"/>
      <c r="M108" s="2330"/>
      <c r="N108" s="2330"/>
      <c r="O108" s="2330"/>
      <c r="P108" s="2330"/>
      <c r="Q108" s="2330"/>
      <c r="R108" s="2330"/>
      <c r="S108" s="2330"/>
      <c r="T108" s="2330"/>
      <c r="U108" s="2333"/>
    </row>
    <row r="109" spans="1:21" ht="24" customHeight="1">
      <c r="A109" s="2156"/>
      <c r="B109" s="2165"/>
      <c r="C109" s="2332"/>
      <c r="D109" s="1237" t="s">
        <v>1214</v>
      </c>
      <c r="E109" s="2329"/>
      <c r="F109" s="2330"/>
      <c r="G109" s="2330"/>
      <c r="H109" s="2330"/>
      <c r="I109" s="2330"/>
      <c r="J109" s="2330"/>
      <c r="K109" s="2330"/>
      <c r="L109" s="2330"/>
      <c r="M109" s="2330"/>
      <c r="N109" s="2330"/>
      <c r="O109" s="2330"/>
      <c r="P109" s="2330"/>
      <c r="Q109" s="2330"/>
      <c r="R109" s="2330"/>
      <c r="S109" s="2330"/>
      <c r="T109" s="2330"/>
      <c r="U109" s="2333"/>
    </row>
    <row r="110" spans="1:21" ht="24" customHeight="1">
      <c r="A110" s="2156" t="s">
        <v>1220</v>
      </c>
      <c r="B110" s="2157" t="s">
        <v>1245</v>
      </c>
      <c r="C110" s="2168" t="s">
        <v>1246</v>
      </c>
      <c r="D110" s="1235" t="s">
        <v>1213</v>
      </c>
      <c r="E110" s="2328"/>
      <c r="F110" s="2327">
        <v>0.63</v>
      </c>
      <c r="G110" s="2327">
        <v>0.47250000000000003</v>
      </c>
      <c r="H110" s="2327">
        <v>0.44887500000000002</v>
      </c>
      <c r="I110" s="2327">
        <v>0.44438625000000004</v>
      </c>
      <c r="J110" s="2327">
        <v>0.39105990000000002</v>
      </c>
      <c r="K110" s="2327">
        <v>0.35586450900000005</v>
      </c>
      <c r="L110" s="2327">
        <v>0.33095399337000009</v>
      </c>
      <c r="M110" s="2327">
        <v>0.31109675376780005</v>
      </c>
      <c r="N110" s="2327">
        <v>0.29554191607941005</v>
      </c>
      <c r="O110" s="2327">
        <v>0.28372023943623365</v>
      </c>
      <c r="P110" s="2327">
        <v>0.27804583464750898</v>
      </c>
      <c r="Q110" s="2327">
        <v>0.26414354291513353</v>
      </c>
      <c r="R110" s="2327">
        <v>0.25357780119852819</v>
      </c>
      <c r="S110" s="2327">
        <v>0.24850624517455761</v>
      </c>
      <c r="T110" s="2327">
        <v>0.24602118272281204</v>
      </c>
      <c r="U110" s="2331">
        <v>0.24110075906835579</v>
      </c>
    </row>
    <row r="111" spans="1:21" ht="24" customHeight="1">
      <c r="A111" s="2156"/>
      <c r="B111" s="2165"/>
      <c r="C111" s="2169"/>
      <c r="D111" s="1237" t="s">
        <v>1214</v>
      </c>
      <c r="E111" s="2328"/>
      <c r="F111" s="2327"/>
      <c r="G111" s="2327"/>
      <c r="H111" s="2327"/>
      <c r="I111" s="2327"/>
      <c r="J111" s="2327"/>
      <c r="K111" s="2327"/>
      <c r="L111" s="2327"/>
      <c r="M111" s="2327"/>
      <c r="N111" s="2327"/>
      <c r="O111" s="2327"/>
      <c r="P111" s="2327"/>
      <c r="Q111" s="2327"/>
      <c r="R111" s="2327"/>
      <c r="S111" s="2327"/>
      <c r="T111" s="2327"/>
      <c r="U111" s="2331"/>
    </row>
    <row r="112" spans="1:21" ht="24" customHeight="1">
      <c r="A112" s="2156"/>
      <c r="B112" s="2157" t="s">
        <v>1247</v>
      </c>
      <c r="C112" s="2168" t="s">
        <v>1246</v>
      </c>
      <c r="D112" s="1235" t="s">
        <v>1213</v>
      </c>
      <c r="E112" s="2329"/>
      <c r="F112" s="2330"/>
      <c r="G112" s="2327">
        <v>0.75</v>
      </c>
      <c r="H112" s="2327">
        <v>0.71249999999999991</v>
      </c>
      <c r="I112" s="2327">
        <v>0.70537499999999986</v>
      </c>
      <c r="J112" s="2327">
        <v>0.62072999999999989</v>
      </c>
      <c r="K112" s="2327">
        <v>0.56486429999999987</v>
      </c>
      <c r="L112" s="2327">
        <v>0.52532379899999992</v>
      </c>
      <c r="M112" s="2327">
        <v>0.49380437105999991</v>
      </c>
      <c r="N112" s="2327">
        <v>0.46911415250699989</v>
      </c>
      <c r="O112" s="2327">
        <v>0.4503495864067199</v>
      </c>
      <c r="P112" s="2327">
        <v>0.4413425946785855</v>
      </c>
      <c r="Q112" s="2327">
        <v>0.41927546494465623</v>
      </c>
      <c r="R112" s="2327">
        <v>0.40250444634686994</v>
      </c>
      <c r="S112" s="2327">
        <v>0.39445435741993251</v>
      </c>
      <c r="T112" s="2327">
        <v>0.39050981384573319</v>
      </c>
      <c r="U112" s="2331">
        <v>0.38269961756881854</v>
      </c>
    </row>
    <row r="113" spans="1:21" ht="24" customHeight="1">
      <c r="A113" s="2156"/>
      <c r="B113" s="2165"/>
      <c r="C113" s="2169"/>
      <c r="D113" s="1237" t="s">
        <v>1214</v>
      </c>
      <c r="E113" s="2329"/>
      <c r="F113" s="2330"/>
      <c r="G113" s="2327"/>
      <c r="H113" s="2327"/>
      <c r="I113" s="2327"/>
      <c r="J113" s="2327"/>
      <c r="K113" s="2327"/>
      <c r="L113" s="2327"/>
      <c r="M113" s="2327"/>
      <c r="N113" s="2327"/>
      <c r="O113" s="2327"/>
      <c r="P113" s="2327"/>
      <c r="Q113" s="2327"/>
      <c r="R113" s="2327"/>
      <c r="S113" s="2327"/>
      <c r="T113" s="2327"/>
      <c r="U113" s="2331"/>
    </row>
    <row r="114" spans="1:21" ht="24" customHeight="1">
      <c r="A114" s="2156"/>
      <c r="B114" s="2157" t="s">
        <v>1248</v>
      </c>
      <c r="C114" s="2168" t="s">
        <v>1246</v>
      </c>
      <c r="D114" s="1235" t="s">
        <v>1213</v>
      </c>
      <c r="E114" s="2329"/>
      <c r="F114" s="2330"/>
      <c r="G114" s="2330"/>
      <c r="H114" s="2327">
        <v>0.95</v>
      </c>
      <c r="I114" s="2327">
        <v>0.9405</v>
      </c>
      <c r="J114" s="2327">
        <v>0.82764000000000004</v>
      </c>
      <c r="K114" s="2327">
        <v>0.75315240000000006</v>
      </c>
      <c r="L114" s="2327">
        <v>0.70043173200000008</v>
      </c>
      <c r="M114" s="2327">
        <v>0.65840582808000003</v>
      </c>
      <c r="N114" s="2327">
        <v>0.62548553667600004</v>
      </c>
      <c r="O114" s="2327">
        <v>0.60046611520895998</v>
      </c>
      <c r="P114" s="2327">
        <v>0.58845679290478081</v>
      </c>
      <c r="Q114" s="2327">
        <v>0.55903395325954175</v>
      </c>
      <c r="R114" s="2327">
        <v>0.5366725951291601</v>
      </c>
      <c r="S114" s="2327">
        <v>0.52593914322657687</v>
      </c>
      <c r="T114" s="2327">
        <v>0.52067975179431114</v>
      </c>
      <c r="U114" s="2331">
        <v>0.5102661567584249</v>
      </c>
    </row>
    <row r="115" spans="1:21" ht="24" customHeight="1">
      <c r="A115" s="2156"/>
      <c r="B115" s="2165"/>
      <c r="C115" s="2169"/>
      <c r="D115" s="1237" t="s">
        <v>1214</v>
      </c>
      <c r="E115" s="2329"/>
      <c r="F115" s="2330"/>
      <c r="G115" s="2330"/>
      <c r="H115" s="2327"/>
      <c r="I115" s="2327"/>
      <c r="J115" s="2327"/>
      <c r="K115" s="2327"/>
      <c r="L115" s="2327"/>
      <c r="M115" s="2327"/>
      <c r="N115" s="2327"/>
      <c r="O115" s="2327"/>
      <c r="P115" s="2327"/>
      <c r="Q115" s="2327"/>
      <c r="R115" s="2327"/>
      <c r="S115" s="2327"/>
      <c r="T115" s="2327"/>
      <c r="U115" s="2331"/>
    </row>
    <row r="116" spans="1:21" ht="24" customHeight="1">
      <c r="A116" s="2156"/>
      <c r="B116" s="2157" t="s">
        <v>1249</v>
      </c>
      <c r="C116" s="2168" t="s">
        <v>1246</v>
      </c>
      <c r="D116" s="1235" t="s">
        <v>1213</v>
      </c>
      <c r="E116" s="2329"/>
      <c r="F116" s="2330"/>
      <c r="G116" s="2330"/>
      <c r="H116" s="2330"/>
      <c r="I116" s="2327">
        <v>0.99</v>
      </c>
      <c r="J116" s="2327">
        <v>0.87119999999999997</v>
      </c>
      <c r="K116" s="2327">
        <v>0.79279200000000005</v>
      </c>
      <c r="L116" s="2327">
        <v>0.7372965600000001</v>
      </c>
      <c r="M116" s="2327">
        <v>0.69305876640000008</v>
      </c>
      <c r="N116" s="2327">
        <v>0.65840582808000003</v>
      </c>
      <c r="O116" s="2327">
        <v>0.63206959495680004</v>
      </c>
      <c r="P116" s="2327">
        <v>0.619428203057664</v>
      </c>
      <c r="Q116" s="2327">
        <v>0.58845679290478081</v>
      </c>
      <c r="R116" s="2327">
        <v>0.56491852118858954</v>
      </c>
      <c r="S116" s="2327">
        <v>0.55362015076481774</v>
      </c>
      <c r="T116" s="2327">
        <v>0.54808394925716952</v>
      </c>
      <c r="U116" s="2331">
        <v>0.53712227027202608</v>
      </c>
    </row>
    <row r="117" spans="1:21" ht="24" customHeight="1">
      <c r="A117" s="2156"/>
      <c r="B117" s="2165"/>
      <c r="C117" s="2169"/>
      <c r="D117" s="1237" t="s">
        <v>1214</v>
      </c>
      <c r="E117" s="2329"/>
      <c r="F117" s="2330"/>
      <c r="G117" s="2330"/>
      <c r="H117" s="2330"/>
      <c r="I117" s="2327"/>
      <c r="J117" s="2327"/>
      <c r="K117" s="2327"/>
      <c r="L117" s="2327"/>
      <c r="M117" s="2327"/>
      <c r="N117" s="2327"/>
      <c r="O117" s="2327"/>
      <c r="P117" s="2327"/>
      <c r="Q117" s="2327"/>
      <c r="R117" s="2327"/>
      <c r="S117" s="2327"/>
      <c r="T117" s="2327"/>
      <c r="U117" s="2331"/>
    </row>
    <row r="118" spans="1:21" ht="24" customHeight="1">
      <c r="A118" s="2156"/>
      <c r="B118" s="2157" t="s">
        <v>1250</v>
      </c>
      <c r="C118" s="2168" t="s">
        <v>1246</v>
      </c>
      <c r="D118" s="1235" t="s">
        <v>1213</v>
      </c>
      <c r="E118" s="2329"/>
      <c r="F118" s="2330"/>
      <c r="G118" s="2330"/>
      <c r="H118" s="2330"/>
      <c r="I118" s="2330"/>
      <c r="J118" s="2327">
        <v>0.88</v>
      </c>
      <c r="K118" s="2327">
        <v>0.80080000000000007</v>
      </c>
      <c r="L118" s="2327">
        <v>0.74474400000000007</v>
      </c>
      <c r="M118" s="2327">
        <v>0.70005936000000002</v>
      </c>
      <c r="N118" s="2327">
        <v>0.665056392</v>
      </c>
      <c r="O118" s="2327">
        <v>0.63845413631999992</v>
      </c>
      <c r="P118" s="2327">
        <v>0.62568505359359994</v>
      </c>
      <c r="Q118" s="2327">
        <v>0.59440080091391989</v>
      </c>
      <c r="R118" s="2327">
        <v>0.57062476887736302</v>
      </c>
      <c r="S118" s="2327">
        <v>0.55921227349981573</v>
      </c>
      <c r="T118" s="2327">
        <v>0.55362015076481752</v>
      </c>
      <c r="U118" s="2331">
        <v>0.54254774774952119</v>
      </c>
    </row>
    <row r="119" spans="1:21" ht="24" customHeight="1">
      <c r="A119" s="2156"/>
      <c r="B119" s="2165"/>
      <c r="C119" s="2169"/>
      <c r="D119" s="1237" t="s">
        <v>1214</v>
      </c>
      <c r="E119" s="2329"/>
      <c r="F119" s="2330"/>
      <c r="G119" s="2330"/>
      <c r="H119" s="2330"/>
      <c r="I119" s="2330"/>
      <c r="J119" s="2327"/>
      <c r="K119" s="2327"/>
      <c r="L119" s="2327"/>
      <c r="M119" s="2327"/>
      <c r="N119" s="2327"/>
      <c r="O119" s="2327"/>
      <c r="P119" s="2327"/>
      <c r="Q119" s="2327"/>
      <c r="R119" s="2327"/>
      <c r="S119" s="2327"/>
      <c r="T119" s="2327"/>
      <c r="U119" s="2331"/>
    </row>
    <row r="120" spans="1:21" ht="24" customHeight="1">
      <c r="A120" s="2156"/>
      <c r="B120" s="2157" t="s">
        <v>1251</v>
      </c>
      <c r="C120" s="2168" t="s">
        <v>1246</v>
      </c>
      <c r="D120" s="1235" t="s">
        <v>1213</v>
      </c>
      <c r="E120" s="2329"/>
      <c r="F120" s="2330"/>
      <c r="G120" s="2330"/>
      <c r="H120" s="2330"/>
      <c r="I120" s="2330"/>
      <c r="J120" s="2330"/>
      <c r="K120" s="2327">
        <v>0.91</v>
      </c>
      <c r="L120" s="2327">
        <v>0.84630000000000005</v>
      </c>
      <c r="M120" s="2327">
        <v>0.79552199999999995</v>
      </c>
      <c r="N120" s="2327">
        <v>0.75574589999999997</v>
      </c>
      <c r="O120" s="2327">
        <v>0.72551606399999991</v>
      </c>
      <c r="P120" s="2327">
        <v>0.71100574271999994</v>
      </c>
      <c r="Q120" s="2327">
        <v>0.67545545558399989</v>
      </c>
      <c r="R120" s="2327">
        <v>0.64843723736063985</v>
      </c>
      <c r="S120" s="2327">
        <v>0.63546849261342708</v>
      </c>
      <c r="T120" s="2327">
        <v>0.62911380768729286</v>
      </c>
      <c r="U120" s="2331">
        <v>0.61653153153354701</v>
      </c>
    </row>
    <row r="121" spans="1:21" ht="24" customHeight="1">
      <c r="A121" s="2156"/>
      <c r="B121" s="2165"/>
      <c r="C121" s="2169"/>
      <c r="D121" s="1237" t="s">
        <v>1214</v>
      </c>
      <c r="E121" s="2329"/>
      <c r="F121" s="2330"/>
      <c r="G121" s="2330"/>
      <c r="H121" s="2330"/>
      <c r="I121" s="2330"/>
      <c r="J121" s="2330"/>
      <c r="K121" s="2327"/>
      <c r="L121" s="2327"/>
      <c r="M121" s="2327"/>
      <c r="N121" s="2327"/>
      <c r="O121" s="2327"/>
      <c r="P121" s="2327"/>
      <c r="Q121" s="2327"/>
      <c r="R121" s="2327"/>
      <c r="S121" s="2327"/>
      <c r="T121" s="2327"/>
      <c r="U121" s="2331"/>
    </row>
    <row r="122" spans="1:21" ht="24" customHeight="1">
      <c r="A122" s="2156"/>
      <c r="B122" s="2157" t="s">
        <v>1252</v>
      </c>
      <c r="C122" s="2168" t="s">
        <v>1246</v>
      </c>
      <c r="D122" s="1235" t="s">
        <v>1213</v>
      </c>
      <c r="E122" s="2329"/>
      <c r="F122" s="2330"/>
      <c r="G122" s="2330"/>
      <c r="H122" s="2330"/>
      <c r="I122" s="2330"/>
      <c r="J122" s="2330"/>
      <c r="K122" s="2330"/>
      <c r="L122" s="2327">
        <v>0.93</v>
      </c>
      <c r="M122" s="2327">
        <v>0.87419999999999998</v>
      </c>
      <c r="N122" s="2327">
        <v>0.83048999999999995</v>
      </c>
      <c r="O122" s="2327">
        <v>0.79727039999999993</v>
      </c>
      <c r="P122" s="2327">
        <v>0.78132499199999994</v>
      </c>
      <c r="Q122" s="2327">
        <v>0.74225874239999989</v>
      </c>
      <c r="R122" s="2327">
        <v>0.71256839270399985</v>
      </c>
      <c r="S122" s="2327">
        <v>0.69831702484991987</v>
      </c>
      <c r="T122" s="2327">
        <v>0.69133385460142061</v>
      </c>
      <c r="U122" s="2331">
        <v>0.67750717750939216</v>
      </c>
    </row>
    <row r="123" spans="1:21" ht="24" customHeight="1">
      <c r="A123" s="2156"/>
      <c r="B123" s="2165"/>
      <c r="C123" s="2169"/>
      <c r="D123" s="1237" t="s">
        <v>1214</v>
      </c>
      <c r="E123" s="2329"/>
      <c r="F123" s="2330"/>
      <c r="G123" s="2330"/>
      <c r="H123" s="2330"/>
      <c r="I123" s="2330"/>
      <c r="J123" s="2330"/>
      <c r="K123" s="2330"/>
      <c r="L123" s="2327"/>
      <c r="M123" s="2327"/>
      <c r="N123" s="2327"/>
      <c r="O123" s="2327"/>
      <c r="P123" s="2327"/>
      <c r="Q123" s="2327"/>
      <c r="R123" s="2327"/>
      <c r="S123" s="2327"/>
      <c r="T123" s="2327"/>
      <c r="U123" s="2331"/>
    </row>
    <row r="124" spans="1:21" ht="24" customHeight="1">
      <c r="A124" s="2156"/>
      <c r="B124" s="2157" t="s">
        <v>1253</v>
      </c>
      <c r="C124" s="2168" t="s">
        <v>1246</v>
      </c>
      <c r="D124" s="1235" t="s">
        <v>1213</v>
      </c>
      <c r="E124" s="2329"/>
      <c r="F124" s="2330"/>
      <c r="G124" s="2330"/>
      <c r="H124" s="2330"/>
      <c r="I124" s="2330"/>
      <c r="J124" s="2330"/>
      <c r="K124" s="2330"/>
      <c r="L124" s="2330"/>
      <c r="M124" s="2327">
        <v>0.94</v>
      </c>
      <c r="N124" s="2327">
        <v>0.8929999999999999</v>
      </c>
      <c r="O124" s="2327">
        <v>0.85727999999999993</v>
      </c>
      <c r="P124" s="2327">
        <v>0.84013439999999995</v>
      </c>
      <c r="Q124" s="2327">
        <v>0.79812767999999989</v>
      </c>
      <c r="R124" s="2327">
        <v>0.76620257279999993</v>
      </c>
      <c r="S124" s="2327">
        <v>0.75087852134399991</v>
      </c>
      <c r="T124" s="2327">
        <v>0.7433697361305599</v>
      </c>
      <c r="U124" s="2331">
        <v>0.72850234140794867</v>
      </c>
    </row>
    <row r="125" spans="1:21" ht="24" customHeight="1">
      <c r="A125" s="2156"/>
      <c r="B125" s="2165"/>
      <c r="C125" s="2169"/>
      <c r="D125" s="1237" t="s">
        <v>1214</v>
      </c>
      <c r="E125" s="2329"/>
      <c r="F125" s="2330"/>
      <c r="G125" s="2330"/>
      <c r="H125" s="2330"/>
      <c r="I125" s="2330"/>
      <c r="J125" s="2330"/>
      <c r="K125" s="2330"/>
      <c r="L125" s="2330"/>
      <c r="M125" s="2327"/>
      <c r="N125" s="2327"/>
      <c r="O125" s="2327"/>
      <c r="P125" s="2327"/>
      <c r="Q125" s="2327"/>
      <c r="R125" s="2327"/>
      <c r="S125" s="2327"/>
      <c r="T125" s="2327"/>
      <c r="U125" s="2331"/>
    </row>
    <row r="126" spans="1:21" ht="24" customHeight="1">
      <c r="A126" s="2156"/>
      <c r="B126" s="2157" t="s">
        <v>1254</v>
      </c>
      <c r="C126" s="2168" t="s">
        <v>1246</v>
      </c>
      <c r="D126" s="1235" t="s">
        <v>1213</v>
      </c>
      <c r="E126" s="2329"/>
      <c r="F126" s="2330"/>
      <c r="G126" s="2330"/>
      <c r="H126" s="2330"/>
      <c r="I126" s="2330"/>
      <c r="J126" s="2330"/>
      <c r="K126" s="2330"/>
      <c r="L126" s="2330"/>
      <c r="M126" s="2330"/>
      <c r="N126" s="2327">
        <v>0.95</v>
      </c>
      <c r="O126" s="2327">
        <v>0.91199999999999992</v>
      </c>
      <c r="P126" s="2327">
        <v>0.89375999999999989</v>
      </c>
      <c r="Q126" s="2327">
        <v>0.84907199999999983</v>
      </c>
      <c r="R126" s="2327">
        <v>0.8151091199999998</v>
      </c>
      <c r="S126" s="2327">
        <v>0.79880693759999977</v>
      </c>
      <c r="T126" s="2327">
        <v>0.79081886822399972</v>
      </c>
      <c r="U126" s="2331">
        <v>0.77500249085951967</v>
      </c>
    </row>
    <row r="127" spans="1:21" ht="24" customHeight="1">
      <c r="A127" s="2156"/>
      <c r="B127" s="2165"/>
      <c r="C127" s="2169"/>
      <c r="D127" s="1237" t="s">
        <v>1214</v>
      </c>
      <c r="E127" s="2329"/>
      <c r="F127" s="2330"/>
      <c r="G127" s="2330"/>
      <c r="H127" s="2330"/>
      <c r="I127" s="2330"/>
      <c r="J127" s="2330"/>
      <c r="K127" s="2330"/>
      <c r="L127" s="2330"/>
      <c r="M127" s="2330"/>
      <c r="N127" s="2327"/>
      <c r="O127" s="2327"/>
      <c r="P127" s="2327"/>
      <c r="Q127" s="2327"/>
      <c r="R127" s="2327"/>
      <c r="S127" s="2327"/>
      <c r="T127" s="2327"/>
      <c r="U127" s="2331"/>
    </row>
    <row r="128" spans="1:21" ht="24" customHeight="1">
      <c r="A128" s="2156"/>
      <c r="B128" s="2157" t="s">
        <v>1255</v>
      </c>
      <c r="C128" s="2168" t="s">
        <v>1246</v>
      </c>
      <c r="D128" s="1235" t="s">
        <v>1213</v>
      </c>
      <c r="E128" s="2329"/>
      <c r="F128" s="2330"/>
      <c r="G128" s="2330"/>
      <c r="H128" s="2330"/>
      <c r="I128" s="2330"/>
      <c r="J128" s="2330"/>
      <c r="K128" s="2330"/>
      <c r="L128" s="2330"/>
      <c r="M128" s="2330"/>
      <c r="N128" s="2330"/>
      <c r="O128" s="2327">
        <v>0.96</v>
      </c>
      <c r="P128" s="2327">
        <v>0.94079999999999997</v>
      </c>
      <c r="Q128" s="2327">
        <v>0.89375999999999989</v>
      </c>
      <c r="R128" s="2327">
        <v>0.85800959999999982</v>
      </c>
      <c r="S128" s="2327">
        <v>0.84084940799999985</v>
      </c>
      <c r="T128" s="2327">
        <v>0.83244091391999986</v>
      </c>
      <c r="U128" s="2331">
        <v>0.81579209564159982</v>
      </c>
    </row>
    <row r="129" spans="1:21" ht="24" customHeight="1">
      <c r="A129" s="2156"/>
      <c r="B129" s="2165"/>
      <c r="C129" s="2169"/>
      <c r="D129" s="1237" t="s">
        <v>1214</v>
      </c>
      <c r="E129" s="2329"/>
      <c r="F129" s="2330"/>
      <c r="G129" s="2330"/>
      <c r="H129" s="2330"/>
      <c r="I129" s="2330"/>
      <c r="J129" s="2330"/>
      <c r="K129" s="2330"/>
      <c r="L129" s="2330"/>
      <c r="M129" s="2330"/>
      <c r="N129" s="2330"/>
      <c r="O129" s="2327"/>
      <c r="P129" s="2327"/>
      <c r="Q129" s="2327"/>
      <c r="R129" s="2327"/>
      <c r="S129" s="2327"/>
      <c r="T129" s="2327"/>
      <c r="U129" s="2331"/>
    </row>
    <row r="130" spans="1:21" ht="24" customHeight="1">
      <c r="A130" s="2156"/>
      <c r="B130" s="2157" t="s">
        <v>1256</v>
      </c>
      <c r="C130" s="2168" t="s">
        <v>1246</v>
      </c>
      <c r="D130" s="1235" t="s">
        <v>1213</v>
      </c>
      <c r="E130" s="2329"/>
      <c r="F130" s="2330"/>
      <c r="G130" s="2330"/>
      <c r="H130" s="2330"/>
      <c r="I130" s="2330"/>
      <c r="J130" s="2330"/>
      <c r="K130" s="2330"/>
      <c r="L130" s="2330"/>
      <c r="M130" s="2330"/>
      <c r="N130" s="2330"/>
      <c r="O130" s="2330"/>
      <c r="P130" s="2327">
        <v>0.98</v>
      </c>
      <c r="Q130" s="2327">
        <v>0.93099999999999994</v>
      </c>
      <c r="R130" s="2327">
        <v>0.89375999999999989</v>
      </c>
      <c r="S130" s="2327">
        <v>0.87588479999999991</v>
      </c>
      <c r="T130" s="2327">
        <v>0.86712595199999987</v>
      </c>
      <c r="U130" s="2331">
        <v>0.84978343295999981</v>
      </c>
    </row>
    <row r="131" spans="1:21" ht="24" customHeight="1">
      <c r="A131" s="2156"/>
      <c r="B131" s="2165"/>
      <c r="C131" s="2169"/>
      <c r="D131" s="1237" t="s">
        <v>1214</v>
      </c>
      <c r="E131" s="2329"/>
      <c r="F131" s="2330"/>
      <c r="G131" s="2330"/>
      <c r="H131" s="2330"/>
      <c r="I131" s="2330"/>
      <c r="J131" s="2330"/>
      <c r="K131" s="2330"/>
      <c r="L131" s="2330"/>
      <c r="M131" s="2330"/>
      <c r="N131" s="2330"/>
      <c r="O131" s="2330"/>
      <c r="P131" s="2327"/>
      <c r="Q131" s="2327"/>
      <c r="R131" s="2327"/>
      <c r="S131" s="2327"/>
      <c r="T131" s="2327"/>
      <c r="U131" s="2331"/>
    </row>
    <row r="132" spans="1:21" ht="24" customHeight="1">
      <c r="A132" s="2156"/>
      <c r="B132" s="2157" t="s">
        <v>1257</v>
      </c>
      <c r="C132" s="2168" t="s">
        <v>1246</v>
      </c>
      <c r="D132" s="1235" t="s">
        <v>1213</v>
      </c>
      <c r="E132" s="2329"/>
      <c r="F132" s="2330"/>
      <c r="G132" s="2330"/>
      <c r="H132" s="2330"/>
      <c r="I132" s="2330"/>
      <c r="J132" s="2330"/>
      <c r="K132" s="2330"/>
      <c r="L132" s="2330"/>
      <c r="M132" s="2330"/>
      <c r="N132" s="2330"/>
      <c r="O132" s="2330"/>
      <c r="P132" s="2330"/>
      <c r="Q132" s="2327">
        <v>0.95</v>
      </c>
      <c r="R132" s="2327">
        <v>0.91199999999999992</v>
      </c>
      <c r="S132" s="2327">
        <v>0.89375999999999989</v>
      </c>
      <c r="T132" s="2327">
        <v>0.8848223999999999</v>
      </c>
      <c r="U132" s="2331">
        <v>0.86712595199999987</v>
      </c>
    </row>
    <row r="133" spans="1:21" ht="24" customHeight="1">
      <c r="A133" s="2156"/>
      <c r="B133" s="2165"/>
      <c r="C133" s="2169"/>
      <c r="D133" s="1237" t="s">
        <v>1214</v>
      </c>
      <c r="E133" s="2329"/>
      <c r="F133" s="2330"/>
      <c r="G133" s="2330"/>
      <c r="H133" s="2330"/>
      <c r="I133" s="2330"/>
      <c r="J133" s="2330"/>
      <c r="K133" s="2330"/>
      <c r="L133" s="2330"/>
      <c r="M133" s="2330"/>
      <c r="N133" s="2330"/>
      <c r="O133" s="2330"/>
      <c r="P133" s="2330"/>
      <c r="Q133" s="2327"/>
      <c r="R133" s="2327"/>
      <c r="S133" s="2327"/>
      <c r="T133" s="2327"/>
      <c r="U133" s="2331"/>
    </row>
    <row r="134" spans="1:21" ht="24" customHeight="1">
      <c r="A134" s="2156"/>
      <c r="B134" s="2157" t="s">
        <v>1258</v>
      </c>
      <c r="C134" s="2168" t="s">
        <v>1246</v>
      </c>
      <c r="D134" s="1235" t="s">
        <v>1213</v>
      </c>
      <c r="E134" s="2329"/>
      <c r="F134" s="2330"/>
      <c r="G134" s="2330"/>
      <c r="H134" s="2330"/>
      <c r="I134" s="2330"/>
      <c r="J134" s="2330"/>
      <c r="K134" s="2330"/>
      <c r="L134" s="2330"/>
      <c r="M134" s="2330"/>
      <c r="N134" s="2330"/>
      <c r="O134" s="2330"/>
      <c r="P134" s="2330"/>
      <c r="Q134" s="2330"/>
      <c r="R134" s="2327">
        <v>0.96</v>
      </c>
      <c r="S134" s="2327">
        <v>0.94079999999999997</v>
      </c>
      <c r="T134" s="2327">
        <v>0.931392</v>
      </c>
      <c r="U134" s="2331">
        <v>0.91276415999999994</v>
      </c>
    </row>
    <row r="135" spans="1:21" ht="24" customHeight="1">
      <c r="A135" s="2156"/>
      <c r="B135" s="2165"/>
      <c r="C135" s="2169"/>
      <c r="D135" s="1237" t="s">
        <v>1214</v>
      </c>
      <c r="E135" s="2329"/>
      <c r="F135" s="2330"/>
      <c r="G135" s="2330"/>
      <c r="H135" s="2330"/>
      <c r="I135" s="2330"/>
      <c r="J135" s="2330"/>
      <c r="K135" s="2330"/>
      <c r="L135" s="2330"/>
      <c r="M135" s="2330"/>
      <c r="N135" s="2330"/>
      <c r="O135" s="2330"/>
      <c r="P135" s="2330"/>
      <c r="Q135" s="2330"/>
      <c r="R135" s="2327"/>
      <c r="S135" s="2327"/>
      <c r="T135" s="2327"/>
      <c r="U135" s="2331"/>
    </row>
    <row r="136" spans="1:21" ht="24" customHeight="1">
      <c r="A136" s="2156"/>
      <c r="B136" s="2157" t="s">
        <v>1259</v>
      </c>
      <c r="C136" s="2168" t="s">
        <v>1246</v>
      </c>
      <c r="D136" s="1235" t="s">
        <v>1213</v>
      </c>
      <c r="E136" s="2329"/>
      <c r="F136" s="2330"/>
      <c r="G136" s="2330"/>
      <c r="H136" s="2330"/>
      <c r="I136" s="2330"/>
      <c r="J136" s="2330"/>
      <c r="K136" s="2330"/>
      <c r="L136" s="2330"/>
      <c r="M136" s="2330"/>
      <c r="N136" s="2330"/>
      <c r="O136" s="2330"/>
      <c r="P136" s="2330"/>
      <c r="Q136" s="2330"/>
      <c r="R136" s="2330"/>
      <c r="S136" s="2327">
        <v>0.98</v>
      </c>
      <c r="T136" s="2327">
        <v>0.97019999999999995</v>
      </c>
      <c r="U136" s="2331">
        <v>0.95079599999999997</v>
      </c>
    </row>
    <row r="137" spans="1:21" ht="24" customHeight="1">
      <c r="A137" s="2156"/>
      <c r="B137" s="2165"/>
      <c r="C137" s="2169"/>
      <c r="D137" s="1237" t="s">
        <v>1214</v>
      </c>
      <c r="E137" s="2329"/>
      <c r="F137" s="2330"/>
      <c r="G137" s="2330"/>
      <c r="H137" s="2330"/>
      <c r="I137" s="2330"/>
      <c r="J137" s="2330"/>
      <c r="K137" s="2330"/>
      <c r="L137" s="2330"/>
      <c r="M137" s="2330"/>
      <c r="N137" s="2330"/>
      <c r="O137" s="2330"/>
      <c r="P137" s="2330"/>
      <c r="Q137" s="2330"/>
      <c r="R137" s="2330"/>
      <c r="S137" s="2327"/>
      <c r="T137" s="2327"/>
      <c r="U137" s="2331"/>
    </row>
    <row r="138" spans="1:21" ht="24" customHeight="1">
      <c r="A138" s="2156"/>
      <c r="B138" s="2157" t="s">
        <v>1260</v>
      </c>
      <c r="C138" s="2168" t="s">
        <v>1246</v>
      </c>
      <c r="D138" s="1235" t="s">
        <v>1213</v>
      </c>
      <c r="E138" s="2329"/>
      <c r="F138" s="2330"/>
      <c r="G138" s="2330"/>
      <c r="H138" s="2330"/>
      <c r="I138" s="2330"/>
      <c r="J138" s="2330"/>
      <c r="K138" s="2330"/>
      <c r="L138" s="2330"/>
      <c r="M138" s="2330"/>
      <c r="N138" s="2330"/>
      <c r="O138" s="2330"/>
      <c r="P138" s="2330"/>
      <c r="Q138" s="2330"/>
      <c r="R138" s="2330"/>
      <c r="S138" s="2330"/>
      <c r="T138" s="2327">
        <v>0.99</v>
      </c>
      <c r="U138" s="2331">
        <v>0.97019999999999995</v>
      </c>
    </row>
    <row r="139" spans="1:21" ht="24" customHeight="1">
      <c r="A139" s="2156"/>
      <c r="B139" s="2165"/>
      <c r="C139" s="2169"/>
      <c r="D139" s="1237" t="s">
        <v>1214</v>
      </c>
      <c r="E139" s="2329"/>
      <c r="F139" s="2330"/>
      <c r="G139" s="2330"/>
      <c r="H139" s="2330"/>
      <c r="I139" s="2330"/>
      <c r="J139" s="2330"/>
      <c r="K139" s="2330"/>
      <c r="L139" s="2330"/>
      <c r="M139" s="2330"/>
      <c r="N139" s="2330"/>
      <c r="O139" s="2330"/>
      <c r="P139" s="2330"/>
      <c r="Q139" s="2330"/>
      <c r="R139" s="2330"/>
      <c r="S139" s="2330"/>
      <c r="T139" s="2327"/>
      <c r="U139" s="2331"/>
    </row>
    <row r="140" spans="1:21" ht="24" customHeight="1">
      <c r="A140" s="2156"/>
      <c r="B140" s="2157" t="s">
        <v>1261</v>
      </c>
      <c r="C140" s="2168" t="s">
        <v>1246</v>
      </c>
      <c r="D140" s="1235" t="s">
        <v>1213</v>
      </c>
      <c r="E140" s="2329"/>
      <c r="F140" s="2330"/>
      <c r="G140" s="2330"/>
      <c r="H140" s="2330"/>
      <c r="I140" s="2330"/>
      <c r="J140" s="2330"/>
      <c r="K140" s="2330"/>
      <c r="L140" s="2330"/>
      <c r="M140" s="2330"/>
      <c r="N140" s="2330"/>
      <c r="O140" s="2330"/>
      <c r="P140" s="2330"/>
      <c r="Q140" s="2330"/>
      <c r="R140" s="2330"/>
      <c r="S140" s="2330"/>
      <c r="T140" s="2330"/>
      <c r="U140" s="2331">
        <v>0.98</v>
      </c>
    </row>
    <row r="141" spans="1:21" ht="24" customHeight="1">
      <c r="A141" s="2156"/>
      <c r="B141" s="2165"/>
      <c r="C141" s="2169"/>
      <c r="D141" s="1237" t="s">
        <v>1214</v>
      </c>
      <c r="E141" s="2329"/>
      <c r="F141" s="2330"/>
      <c r="G141" s="2330"/>
      <c r="H141" s="2330"/>
      <c r="I141" s="2330"/>
      <c r="J141" s="2330"/>
      <c r="K141" s="2330"/>
      <c r="L141" s="2330"/>
      <c r="M141" s="2330"/>
      <c r="N141" s="2330"/>
      <c r="O141" s="2330"/>
      <c r="P141" s="2330"/>
      <c r="Q141" s="2330"/>
      <c r="R141" s="2330"/>
      <c r="S141" s="2330"/>
      <c r="T141" s="2330"/>
      <c r="U141" s="2331"/>
    </row>
    <row r="142" spans="1:21" ht="24" customHeight="1">
      <c r="A142" s="2156"/>
      <c r="B142" s="2157" t="s">
        <v>1262</v>
      </c>
      <c r="C142" s="2168" t="s">
        <v>1246</v>
      </c>
      <c r="D142" s="1235" t="s">
        <v>1213</v>
      </c>
      <c r="E142" s="2329"/>
      <c r="F142" s="2330"/>
      <c r="G142" s="2330"/>
      <c r="H142" s="2330"/>
      <c r="I142" s="2330"/>
      <c r="J142" s="2330"/>
      <c r="K142" s="2330"/>
      <c r="L142" s="2330"/>
      <c r="M142" s="2330"/>
      <c r="N142" s="2330"/>
      <c r="O142" s="2330"/>
      <c r="P142" s="2330"/>
      <c r="Q142" s="2330"/>
      <c r="R142" s="2330"/>
      <c r="S142" s="2330"/>
      <c r="T142" s="2330"/>
      <c r="U142" s="2333"/>
    </row>
    <row r="143" spans="1:21" ht="24" customHeight="1">
      <c r="A143" s="2156"/>
      <c r="B143" s="2165"/>
      <c r="C143" s="2332"/>
      <c r="D143" s="1237" t="s">
        <v>1214</v>
      </c>
      <c r="E143" s="2329"/>
      <c r="F143" s="2330"/>
      <c r="G143" s="2330"/>
      <c r="H143" s="2330"/>
      <c r="I143" s="2330"/>
      <c r="J143" s="2330"/>
      <c r="K143" s="2330"/>
      <c r="L143" s="2330"/>
      <c r="M143" s="2330"/>
      <c r="N143" s="2330"/>
      <c r="O143" s="2330"/>
      <c r="P143" s="2330"/>
      <c r="Q143" s="2330"/>
      <c r="R143" s="2330"/>
      <c r="S143" s="2330"/>
      <c r="T143" s="2330"/>
      <c r="U143" s="2333"/>
    </row>
    <row r="144" spans="1:21" ht="24" customHeight="1">
      <c r="A144" s="2156" t="s">
        <v>1221</v>
      </c>
      <c r="B144" s="2157" t="s">
        <v>1245</v>
      </c>
      <c r="C144" s="2168" t="s">
        <v>1246</v>
      </c>
      <c r="D144" s="1235" t="s">
        <v>1213</v>
      </c>
      <c r="E144" s="2328"/>
      <c r="F144" s="2327">
        <v>0.63</v>
      </c>
      <c r="G144" s="2327">
        <v>0.47250000000000003</v>
      </c>
      <c r="H144" s="2327">
        <v>0.4536</v>
      </c>
      <c r="I144" s="2327">
        <v>0.44452799999999998</v>
      </c>
      <c r="J144" s="2327">
        <v>0.39118463999999997</v>
      </c>
      <c r="K144" s="2327">
        <v>0.35597802239999998</v>
      </c>
      <c r="L144" s="2327">
        <v>0.331059560832</v>
      </c>
      <c r="M144" s="2327">
        <v>0.31119598718207997</v>
      </c>
      <c r="N144" s="2327">
        <v>0.29563618782297596</v>
      </c>
      <c r="O144" s="2327">
        <v>0.28381074031005693</v>
      </c>
      <c r="P144" s="2327">
        <v>0.27813452550385581</v>
      </c>
      <c r="Q144" s="2327">
        <v>0.26422779922866302</v>
      </c>
      <c r="R144" s="2327">
        <v>0.25365868725951651</v>
      </c>
      <c r="S144" s="2327">
        <v>0.24858551351432617</v>
      </c>
      <c r="T144" s="2327">
        <v>0.24609965837918291</v>
      </c>
      <c r="U144" s="2331">
        <v>0.24117766521159925</v>
      </c>
    </row>
    <row r="145" spans="1:21" ht="24" customHeight="1">
      <c r="A145" s="2156"/>
      <c r="B145" s="2165"/>
      <c r="C145" s="2169"/>
      <c r="D145" s="1237" t="s">
        <v>1214</v>
      </c>
      <c r="E145" s="2328"/>
      <c r="F145" s="2327"/>
      <c r="G145" s="2327"/>
      <c r="H145" s="2327"/>
      <c r="I145" s="2327"/>
      <c r="J145" s="2327"/>
      <c r="K145" s="2327"/>
      <c r="L145" s="2327"/>
      <c r="M145" s="2327"/>
      <c r="N145" s="2327"/>
      <c r="O145" s="2327"/>
      <c r="P145" s="2327"/>
      <c r="Q145" s="2327"/>
      <c r="R145" s="2327"/>
      <c r="S145" s="2327"/>
      <c r="T145" s="2327"/>
      <c r="U145" s="2331"/>
    </row>
    <row r="146" spans="1:21" ht="24" customHeight="1">
      <c r="A146" s="2156"/>
      <c r="B146" s="2157" t="s">
        <v>1247</v>
      </c>
      <c r="C146" s="2168" t="s">
        <v>1246</v>
      </c>
      <c r="D146" s="1235" t="s">
        <v>1213</v>
      </c>
      <c r="E146" s="2329"/>
      <c r="F146" s="2330"/>
      <c r="G146" s="2327">
        <v>0.75</v>
      </c>
      <c r="H146" s="2327">
        <v>0.72</v>
      </c>
      <c r="I146" s="2327">
        <v>0.7056</v>
      </c>
      <c r="J146" s="2327">
        <v>0.62092800000000004</v>
      </c>
      <c r="K146" s="2327">
        <v>0.56504448000000007</v>
      </c>
      <c r="L146" s="2327">
        <v>0.52549136640000005</v>
      </c>
      <c r="M146" s="2327">
        <v>0.49396188441600003</v>
      </c>
      <c r="N146" s="2327">
        <v>0.46926379019519998</v>
      </c>
      <c r="O146" s="2327">
        <v>0.45049323858739199</v>
      </c>
      <c r="P146" s="2327">
        <v>0.44148337381564412</v>
      </c>
      <c r="Q146" s="2327">
        <v>0.41940920512486191</v>
      </c>
      <c r="R146" s="2327">
        <v>0.4026328369198674</v>
      </c>
      <c r="S146" s="2327">
        <v>0.39458018018147006</v>
      </c>
      <c r="T146" s="2327">
        <v>0.39063437837965537</v>
      </c>
      <c r="U146" s="2331">
        <v>0.38282169081206224</v>
      </c>
    </row>
    <row r="147" spans="1:21" ht="24" customHeight="1">
      <c r="A147" s="2156"/>
      <c r="B147" s="2165"/>
      <c r="C147" s="2169"/>
      <c r="D147" s="1237" t="s">
        <v>1214</v>
      </c>
      <c r="E147" s="2329"/>
      <c r="F147" s="2330"/>
      <c r="G147" s="2327"/>
      <c r="H147" s="2327"/>
      <c r="I147" s="2327"/>
      <c r="J147" s="2327"/>
      <c r="K147" s="2327"/>
      <c r="L147" s="2327"/>
      <c r="M147" s="2327"/>
      <c r="N147" s="2327"/>
      <c r="O147" s="2327"/>
      <c r="P147" s="2327"/>
      <c r="Q147" s="2327"/>
      <c r="R147" s="2327"/>
      <c r="S147" s="2327"/>
      <c r="T147" s="2327"/>
      <c r="U147" s="2331"/>
    </row>
    <row r="148" spans="1:21" ht="24" customHeight="1">
      <c r="A148" s="2156"/>
      <c r="B148" s="2157" t="s">
        <v>1248</v>
      </c>
      <c r="C148" s="2168" t="s">
        <v>1246</v>
      </c>
      <c r="D148" s="1235" t="s">
        <v>1213</v>
      </c>
      <c r="E148" s="2329"/>
      <c r="F148" s="2330"/>
      <c r="G148" s="2330"/>
      <c r="H148" s="2327">
        <v>0.96</v>
      </c>
      <c r="I148" s="2327">
        <v>0.94079999999999997</v>
      </c>
      <c r="J148" s="2327">
        <v>0.82790399999999997</v>
      </c>
      <c r="K148" s="2327">
        <v>0.75339263999999995</v>
      </c>
      <c r="L148" s="2327">
        <v>0.70065515519999999</v>
      </c>
      <c r="M148" s="2327">
        <v>0.65861584588799993</v>
      </c>
      <c r="N148" s="2327">
        <v>0.62568505359359994</v>
      </c>
      <c r="O148" s="2327">
        <v>0.60065765144985594</v>
      </c>
      <c r="P148" s="2327">
        <v>0.58864449842085886</v>
      </c>
      <c r="Q148" s="2327">
        <v>0.55921227349981595</v>
      </c>
      <c r="R148" s="2327">
        <v>0.53684378255982335</v>
      </c>
      <c r="S148" s="2327">
        <v>0.52610690690862683</v>
      </c>
      <c r="T148" s="2327">
        <v>0.52084583783954053</v>
      </c>
      <c r="U148" s="2331">
        <v>0.51042892108274973</v>
      </c>
    </row>
    <row r="149" spans="1:21" ht="24" customHeight="1">
      <c r="A149" s="2156"/>
      <c r="B149" s="2165"/>
      <c r="C149" s="2169"/>
      <c r="D149" s="1237" t="s">
        <v>1214</v>
      </c>
      <c r="E149" s="2329"/>
      <c r="F149" s="2330"/>
      <c r="G149" s="2330"/>
      <c r="H149" s="2327"/>
      <c r="I149" s="2327"/>
      <c r="J149" s="2327"/>
      <c r="K149" s="2327"/>
      <c r="L149" s="2327"/>
      <c r="M149" s="2327"/>
      <c r="N149" s="2327"/>
      <c r="O149" s="2327"/>
      <c r="P149" s="2327"/>
      <c r="Q149" s="2327"/>
      <c r="R149" s="2327"/>
      <c r="S149" s="2327"/>
      <c r="T149" s="2327"/>
      <c r="U149" s="2331"/>
    </row>
    <row r="150" spans="1:21" ht="24" customHeight="1">
      <c r="A150" s="2156"/>
      <c r="B150" s="2157" t="s">
        <v>1249</v>
      </c>
      <c r="C150" s="2168" t="s">
        <v>1246</v>
      </c>
      <c r="D150" s="1235" t="s">
        <v>1213</v>
      </c>
      <c r="E150" s="2329"/>
      <c r="F150" s="2330"/>
      <c r="G150" s="2330"/>
      <c r="H150" s="2330"/>
      <c r="I150" s="2327">
        <v>0.98</v>
      </c>
      <c r="J150" s="2327">
        <v>0.86239999999999994</v>
      </c>
      <c r="K150" s="2327">
        <v>0.78478399999999993</v>
      </c>
      <c r="L150" s="2327">
        <v>0.72984912000000002</v>
      </c>
      <c r="M150" s="2327">
        <v>0.68605817280000003</v>
      </c>
      <c r="N150" s="2327">
        <v>0.65175526415999996</v>
      </c>
      <c r="O150" s="2327">
        <v>0.62568505359359994</v>
      </c>
      <c r="P150" s="2327">
        <v>0.61317135252172794</v>
      </c>
      <c r="Q150" s="2327">
        <v>0.58251278489564151</v>
      </c>
      <c r="R150" s="2327">
        <v>0.55921227349981584</v>
      </c>
      <c r="S150" s="2327">
        <v>0.54802802802981954</v>
      </c>
      <c r="T150" s="2327">
        <v>0.5425477477495213</v>
      </c>
      <c r="U150" s="2331">
        <v>0.53169679279453086</v>
      </c>
    </row>
    <row r="151" spans="1:21" ht="24" customHeight="1">
      <c r="A151" s="2156"/>
      <c r="B151" s="2165"/>
      <c r="C151" s="2169"/>
      <c r="D151" s="1237" t="s">
        <v>1214</v>
      </c>
      <c r="E151" s="2329"/>
      <c r="F151" s="2330"/>
      <c r="G151" s="2330"/>
      <c r="H151" s="2330"/>
      <c r="I151" s="2327"/>
      <c r="J151" s="2327"/>
      <c r="K151" s="2327"/>
      <c r="L151" s="2327"/>
      <c r="M151" s="2327"/>
      <c r="N151" s="2327"/>
      <c r="O151" s="2327"/>
      <c r="P151" s="2327"/>
      <c r="Q151" s="2327"/>
      <c r="R151" s="2327"/>
      <c r="S151" s="2327"/>
      <c r="T151" s="2327"/>
      <c r="U151" s="2331"/>
    </row>
    <row r="152" spans="1:21" ht="24" customHeight="1">
      <c r="A152" s="2156"/>
      <c r="B152" s="2157" t="s">
        <v>1250</v>
      </c>
      <c r="C152" s="2168" t="s">
        <v>1246</v>
      </c>
      <c r="D152" s="1235" t="s">
        <v>1213</v>
      </c>
      <c r="E152" s="2329"/>
      <c r="F152" s="2330"/>
      <c r="G152" s="2330"/>
      <c r="H152" s="2330"/>
      <c r="I152" s="2330"/>
      <c r="J152" s="2327">
        <v>0.88</v>
      </c>
      <c r="K152" s="2327">
        <v>0.80080000000000007</v>
      </c>
      <c r="L152" s="2327">
        <v>0.74474400000000007</v>
      </c>
      <c r="M152" s="2327">
        <v>0.70005936000000002</v>
      </c>
      <c r="N152" s="2327">
        <v>0.665056392</v>
      </c>
      <c r="O152" s="2327">
        <v>0.63845413631999992</v>
      </c>
      <c r="P152" s="2327">
        <v>0.62568505359359994</v>
      </c>
      <c r="Q152" s="2327">
        <v>0.59440080091391989</v>
      </c>
      <c r="R152" s="2327">
        <v>0.57062476887736302</v>
      </c>
      <c r="S152" s="2327">
        <v>0.55921227349981573</v>
      </c>
      <c r="T152" s="2327">
        <v>0.55362015076481752</v>
      </c>
      <c r="U152" s="2331">
        <v>0.54254774774952119</v>
      </c>
    </row>
    <row r="153" spans="1:21" ht="24" customHeight="1">
      <c r="A153" s="2156"/>
      <c r="B153" s="2165"/>
      <c r="C153" s="2169"/>
      <c r="D153" s="1237" t="s">
        <v>1214</v>
      </c>
      <c r="E153" s="2329"/>
      <c r="F153" s="2330"/>
      <c r="G153" s="2330"/>
      <c r="H153" s="2330"/>
      <c r="I153" s="2330"/>
      <c r="J153" s="2327"/>
      <c r="K153" s="2327"/>
      <c r="L153" s="2327"/>
      <c r="M153" s="2327"/>
      <c r="N153" s="2327"/>
      <c r="O153" s="2327"/>
      <c r="P153" s="2327"/>
      <c r="Q153" s="2327"/>
      <c r="R153" s="2327"/>
      <c r="S153" s="2327"/>
      <c r="T153" s="2327"/>
      <c r="U153" s="2331"/>
    </row>
    <row r="154" spans="1:21" ht="24" customHeight="1">
      <c r="A154" s="2156"/>
      <c r="B154" s="2157" t="s">
        <v>1251</v>
      </c>
      <c r="C154" s="2168" t="s">
        <v>1246</v>
      </c>
      <c r="D154" s="1235" t="s">
        <v>1213</v>
      </c>
      <c r="E154" s="2329"/>
      <c r="F154" s="2330"/>
      <c r="G154" s="2330"/>
      <c r="H154" s="2330"/>
      <c r="I154" s="2330"/>
      <c r="J154" s="2330"/>
      <c r="K154" s="2327">
        <v>0.91</v>
      </c>
      <c r="L154" s="2327">
        <v>0.84630000000000005</v>
      </c>
      <c r="M154" s="2327">
        <v>0.79552199999999995</v>
      </c>
      <c r="N154" s="2327">
        <v>0.75574589999999997</v>
      </c>
      <c r="O154" s="2327">
        <v>0.72551606399999991</v>
      </c>
      <c r="P154" s="2327">
        <v>0.71100574271999994</v>
      </c>
      <c r="Q154" s="2327">
        <v>0.67545545558399989</v>
      </c>
      <c r="R154" s="2327">
        <v>0.64843723736063985</v>
      </c>
      <c r="S154" s="2327">
        <v>0.63546849261342708</v>
      </c>
      <c r="T154" s="2327">
        <v>0.62911380768729286</v>
      </c>
      <c r="U154" s="2331">
        <v>0.61653153153354701</v>
      </c>
    </row>
    <row r="155" spans="1:21" ht="24" customHeight="1">
      <c r="A155" s="2156"/>
      <c r="B155" s="2165"/>
      <c r="C155" s="2169"/>
      <c r="D155" s="1237" t="s">
        <v>1214</v>
      </c>
      <c r="E155" s="2329"/>
      <c r="F155" s="2330"/>
      <c r="G155" s="2330"/>
      <c r="H155" s="2330"/>
      <c r="I155" s="2330"/>
      <c r="J155" s="2330"/>
      <c r="K155" s="2327"/>
      <c r="L155" s="2327"/>
      <c r="M155" s="2327"/>
      <c r="N155" s="2327"/>
      <c r="O155" s="2327"/>
      <c r="P155" s="2327"/>
      <c r="Q155" s="2327"/>
      <c r="R155" s="2327"/>
      <c r="S155" s="2327"/>
      <c r="T155" s="2327"/>
      <c r="U155" s="2331"/>
    </row>
    <row r="156" spans="1:21" ht="24" customHeight="1">
      <c r="A156" s="2156"/>
      <c r="B156" s="2157" t="s">
        <v>1252</v>
      </c>
      <c r="C156" s="2168" t="s">
        <v>1246</v>
      </c>
      <c r="D156" s="1235" t="s">
        <v>1213</v>
      </c>
      <c r="E156" s="2329"/>
      <c r="F156" s="2330"/>
      <c r="G156" s="2330"/>
      <c r="H156" s="2330"/>
      <c r="I156" s="2330"/>
      <c r="J156" s="2330"/>
      <c r="K156" s="2330"/>
      <c r="L156" s="2327">
        <v>0.93</v>
      </c>
      <c r="M156" s="2327">
        <v>0.87419999999999998</v>
      </c>
      <c r="N156" s="2327">
        <v>0.83048999999999995</v>
      </c>
      <c r="O156" s="2327">
        <v>0.79727039999999993</v>
      </c>
      <c r="P156" s="2327">
        <v>0.78132499199999994</v>
      </c>
      <c r="Q156" s="2327">
        <v>0.74225874239999989</v>
      </c>
      <c r="R156" s="2327">
        <v>0.71256839270399985</v>
      </c>
      <c r="S156" s="2327">
        <v>0.69831702484991987</v>
      </c>
      <c r="T156" s="2327">
        <v>0.69133385460142061</v>
      </c>
      <c r="U156" s="2331">
        <v>0.67750717750939216</v>
      </c>
    </row>
    <row r="157" spans="1:21" ht="24" customHeight="1">
      <c r="A157" s="2156"/>
      <c r="B157" s="2165"/>
      <c r="C157" s="2169"/>
      <c r="D157" s="1237" t="s">
        <v>1214</v>
      </c>
      <c r="E157" s="2329"/>
      <c r="F157" s="2330"/>
      <c r="G157" s="2330"/>
      <c r="H157" s="2330"/>
      <c r="I157" s="2330"/>
      <c r="J157" s="2330"/>
      <c r="K157" s="2330"/>
      <c r="L157" s="2327"/>
      <c r="M157" s="2327"/>
      <c r="N157" s="2327"/>
      <c r="O157" s="2327"/>
      <c r="P157" s="2327"/>
      <c r="Q157" s="2327"/>
      <c r="R157" s="2327"/>
      <c r="S157" s="2327"/>
      <c r="T157" s="2327"/>
      <c r="U157" s="2331"/>
    </row>
    <row r="158" spans="1:21" ht="24" customHeight="1">
      <c r="A158" s="2156"/>
      <c r="B158" s="2157" t="s">
        <v>1253</v>
      </c>
      <c r="C158" s="2168" t="s">
        <v>1246</v>
      </c>
      <c r="D158" s="1235" t="s">
        <v>1213</v>
      </c>
      <c r="E158" s="2329"/>
      <c r="F158" s="2330"/>
      <c r="G158" s="2330"/>
      <c r="H158" s="2330"/>
      <c r="I158" s="2330"/>
      <c r="J158" s="2330"/>
      <c r="K158" s="2330"/>
      <c r="L158" s="2330"/>
      <c r="M158" s="2327">
        <v>0.94</v>
      </c>
      <c r="N158" s="2327">
        <v>0.8929999999999999</v>
      </c>
      <c r="O158" s="2327">
        <v>0.85727999999999993</v>
      </c>
      <c r="P158" s="2327">
        <v>0.84013439999999995</v>
      </c>
      <c r="Q158" s="2327">
        <v>0.79812767999999989</v>
      </c>
      <c r="R158" s="2327">
        <v>0.76620257279999993</v>
      </c>
      <c r="S158" s="2327">
        <v>0.75087852134399991</v>
      </c>
      <c r="T158" s="2327">
        <v>0.7433697361305599</v>
      </c>
      <c r="U158" s="2331">
        <v>0.72850234140794867</v>
      </c>
    </row>
    <row r="159" spans="1:21" ht="24" customHeight="1">
      <c r="A159" s="2156"/>
      <c r="B159" s="2165"/>
      <c r="C159" s="2169"/>
      <c r="D159" s="1237" t="s">
        <v>1214</v>
      </c>
      <c r="E159" s="2329"/>
      <c r="F159" s="2330"/>
      <c r="G159" s="2330"/>
      <c r="H159" s="2330"/>
      <c r="I159" s="2330"/>
      <c r="J159" s="2330"/>
      <c r="K159" s="2330"/>
      <c r="L159" s="2330"/>
      <c r="M159" s="2327"/>
      <c r="N159" s="2327"/>
      <c r="O159" s="2327"/>
      <c r="P159" s="2327"/>
      <c r="Q159" s="2327"/>
      <c r="R159" s="2327"/>
      <c r="S159" s="2327"/>
      <c r="T159" s="2327"/>
      <c r="U159" s="2331"/>
    </row>
    <row r="160" spans="1:21" ht="24" customHeight="1">
      <c r="A160" s="2156"/>
      <c r="B160" s="2157" t="s">
        <v>1254</v>
      </c>
      <c r="C160" s="2168" t="s">
        <v>1246</v>
      </c>
      <c r="D160" s="1235" t="s">
        <v>1213</v>
      </c>
      <c r="E160" s="2329"/>
      <c r="F160" s="2330"/>
      <c r="G160" s="2330"/>
      <c r="H160" s="2330"/>
      <c r="I160" s="2330"/>
      <c r="J160" s="2330"/>
      <c r="K160" s="2330"/>
      <c r="L160" s="2330"/>
      <c r="M160" s="2330"/>
      <c r="N160" s="2327">
        <v>0.95</v>
      </c>
      <c r="O160" s="2327">
        <v>0.91199999999999992</v>
      </c>
      <c r="P160" s="2327">
        <v>0.89375999999999989</v>
      </c>
      <c r="Q160" s="2327">
        <v>0.84907199999999983</v>
      </c>
      <c r="R160" s="2327">
        <v>0.8151091199999998</v>
      </c>
      <c r="S160" s="2327">
        <v>0.79880693759999977</v>
      </c>
      <c r="T160" s="2327">
        <v>0.79081886822399972</v>
      </c>
      <c r="U160" s="2331">
        <v>0.77500249085951967</v>
      </c>
    </row>
    <row r="161" spans="1:21" ht="24" customHeight="1">
      <c r="A161" s="2156"/>
      <c r="B161" s="2165"/>
      <c r="C161" s="2169"/>
      <c r="D161" s="1237" t="s">
        <v>1214</v>
      </c>
      <c r="E161" s="2329"/>
      <c r="F161" s="2330"/>
      <c r="G161" s="2330"/>
      <c r="H161" s="2330"/>
      <c r="I161" s="2330"/>
      <c r="J161" s="2330"/>
      <c r="K161" s="2330"/>
      <c r="L161" s="2330"/>
      <c r="M161" s="2330"/>
      <c r="N161" s="2327"/>
      <c r="O161" s="2327"/>
      <c r="P161" s="2327"/>
      <c r="Q161" s="2327"/>
      <c r="R161" s="2327"/>
      <c r="S161" s="2327"/>
      <c r="T161" s="2327"/>
      <c r="U161" s="2331"/>
    </row>
    <row r="162" spans="1:21" ht="24" customHeight="1">
      <c r="A162" s="2156"/>
      <c r="B162" s="2157" t="s">
        <v>1255</v>
      </c>
      <c r="C162" s="2168" t="s">
        <v>1246</v>
      </c>
      <c r="D162" s="1235" t="s">
        <v>1213</v>
      </c>
      <c r="E162" s="2329"/>
      <c r="F162" s="2330"/>
      <c r="G162" s="2330"/>
      <c r="H162" s="2330"/>
      <c r="I162" s="2330"/>
      <c r="J162" s="2330"/>
      <c r="K162" s="2330"/>
      <c r="L162" s="2330"/>
      <c r="M162" s="2330"/>
      <c r="N162" s="2330"/>
      <c r="O162" s="2327">
        <v>0.96</v>
      </c>
      <c r="P162" s="2327">
        <v>0.94079999999999997</v>
      </c>
      <c r="Q162" s="2327">
        <v>0.89375999999999989</v>
      </c>
      <c r="R162" s="2327">
        <v>0.85800959999999982</v>
      </c>
      <c r="S162" s="2327">
        <v>0.84084940799999985</v>
      </c>
      <c r="T162" s="2327">
        <v>0.83244091391999986</v>
      </c>
      <c r="U162" s="2331">
        <v>0.81579209564159982</v>
      </c>
    </row>
    <row r="163" spans="1:21" ht="24" customHeight="1">
      <c r="A163" s="2156"/>
      <c r="B163" s="2165"/>
      <c r="C163" s="2169"/>
      <c r="D163" s="1237" t="s">
        <v>1214</v>
      </c>
      <c r="E163" s="2329"/>
      <c r="F163" s="2330"/>
      <c r="G163" s="2330"/>
      <c r="H163" s="2330"/>
      <c r="I163" s="2330"/>
      <c r="J163" s="2330"/>
      <c r="K163" s="2330"/>
      <c r="L163" s="2330"/>
      <c r="M163" s="2330"/>
      <c r="N163" s="2330"/>
      <c r="O163" s="2327"/>
      <c r="P163" s="2327"/>
      <c r="Q163" s="2327"/>
      <c r="R163" s="2327"/>
      <c r="S163" s="2327"/>
      <c r="T163" s="2327"/>
      <c r="U163" s="2331"/>
    </row>
    <row r="164" spans="1:21" ht="24" customHeight="1">
      <c r="A164" s="2156"/>
      <c r="B164" s="2157" t="s">
        <v>1256</v>
      </c>
      <c r="C164" s="2168" t="s">
        <v>1246</v>
      </c>
      <c r="D164" s="1235" t="s">
        <v>1213</v>
      </c>
      <c r="E164" s="2329"/>
      <c r="F164" s="2330"/>
      <c r="G164" s="2330"/>
      <c r="H164" s="2330"/>
      <c r="I164" s="2330"/>
      <c r="J164" s="2330"/>
      <c r="K164" s="2330"/>
      <c r="L164" s="2330"/>
      <c r="M164" s="2330"/>
      <c r="N164" s="2330"/>
      <c r="O164" s="2330"/>
      <c r="P164" s="2327">
        <v>0.98</v>
      </c>
      <c r="Q164" s="2327">
        <v>0.93099999999999994</v>
      </c>
      <c r="R164" s="2327">
        <v>0.89375999999999989</v>
      </c>
      <c r="S164" s="2327">
        <v>0.87588479999999991</v>
      </c>
      <c r="T164" s="2327">
        <v>0.86712595199999987</v>
      </c>
      <c r="U164" s="2331">
        <v>0.84978343295999981</v>
      </c>
    </row>
    <row r="165" spans="1:21" ht="24" customHeight="1">
      <c r="A165" s="2156"/>
      <c r="B165" s="2165"/>
      <c r="C165" s="2169"/>
      <c r="D165" s="1237" t="s">
        <v>1214</v>
      </c>
      <c r="E165" s="2329"/>
      <c r="F165" s="2330"/>
      <c r="G165" s="2330"/>
      <c r="H165" s="2330"/>
      <c r="I165" s="2330"/>
      <c r="J165" s="2330"/>
      <c r="K165" s="2330"/>
      <c r="L165" s="2330"/>
      <c r="M165" s="2330"/>
      <c r="N165" s="2330"/>
      <c r="O165" s="2330"/>
      <c r="P165" s="2327"/>
      <c r="Q165" s="2327"/>
      <c r="R165" s="2327"/>
      <c r="S165" s="2327"/>
      <c r="T165" s="2327"/>
      <c r="U165" s="2331"/>
    </row>
    <row r="166" spans="1:21" ht="24" customHeight="1">
      <c r="A166" s="2156"/>
      <c r="B166" s="2157" t="s">
        <v>1257</v>
      </c>
      <c r="C166" s="2168" t="s">
        <v>1246</v>
      </c>
      <c r="D166" s="1235" t="s">
        <v>1213</v>
      </c>
      <c r="E166" s="2329"/>
      <c r="F166" s="2330"/>
      <c r="G166" s="2330"/>
      <c r="H166" s="2330"/>
      <c r="I166" s="2330"/>
      <c r="J166" s="2330"/>
      <c r="K166" s="2330"/>
      <c r="L166" s="2330"/>
      <c r="M166" s="2330"/>
      <c r="N166" s="2330"/>
      <c r="O166" s="2330"/>
      <c r="P166" s="2330"/>
      <c r="Q166" s="2327">
        <v>0.95</v>
      </c>
      <c r="R166" s="2327">
        <v>0.91199999999999992</v>
      </c>
      <c r="S166" s="2327">
        <v>0.89375999999999989</v>
      </c>
      <c r="T166" s="2327">
        <v>0.8848223999999999</v>
      </c>
      <c r="U166" s="2331">
        <v>0.86712595199999987</v>
      </c>
    </row>
    <row r="167" spans="1:21" ht="24" customHeight="1">
      <c r="A167" s="2156"/>
      <c r="B167" s="2165"/>
      <c r="C167" s="2169"/>
      <c r="D167" s="1237" t="s">
        <v>1214</v>
      </c>
      <c r="E167" s="2329"/>
      <c r="F167" s="2330"/>
      <c r="G167" s="2330"/>
      <c r="H167" s="2330"/>
      <c r="I167" s="2330"/>
      <c r="J167" s="2330"/>
      <c r="K167" s="2330"/>
      <c r="L167" s="2330"/>
      <c r="M167" s="2330"/>
      <c r="N167" s="2330"/>
      <c r="O167" s="2330"/>
      <c r="P167" s="2330"/>
      <c r="Q167" s="2327"/>
      <c r="R167" s="2327"/>
      <c r="S167" s="2327"/>
      <c r="T167" s="2327"/>
      <c r="U167" s="2331"/>
    </row>
    <row r="168" spans="1:21" ht="24" customHeight="1">
      <c r="A168" s="2156"/>
      <c r="B168" s="2157" t="s">
        <v>1258</v>
      </c>
      <c r="C168" s="2168" t="s">
        <v>1246</v>
      </c>
      <c r="D168" s="1235" t="s">
        <v>1213</v>
      </c>
      <c r="E168" s="2329"/>
      <c r="F168" s="2330"/>
      <c r="G168" s="2330"/>
      <c r="H168" s="2330"/>
      <c r="I168" s="2330"/>
      <c r="J168" s="2330"/>
      <c r="K168" s="2330"/>
      <c r="L168" s="2330"/>
      <c r="M168" s="2330"/>
      <c r="N168" s="2330"/>
      <c r="O168" s="2330"/>
      <c r="P168" s="2330"/>
      <c r="Q168" s="2330"/>
      <c r="R168" s="2327">
        <v>0.96</v>
      </c>
      <c r="S168" s="2327">
        <v>0.94079999999999997</v>
      </c>
      <c r="T168" s="2327">
        <v>0.931392</v>
      </c>
      <c r="U168" s="2331">
        <v>0.91276415999999994</v>
      </c>
    </row>
    <row r="169" spans="1:21" ht="24" customHeight="1">
      <c r="A169" s="2156"/>
      <c r="B169" s="2165"/>
      <c r="C169" s="2169"/>
      <c r="D169" s="1237" t="s">
        <v>1214</v>
      </c>
      <c r="E169" s="2329"/>
      <c r="F169" s="2330"/>
      <c r="G169" s="2330"/>
      <c r="H169" s="2330"/>
      <c r="I169" s="2330"/>
      <c r="J169" s="2330"/>
      <c r="K169" s="2330"/>
      <c r="L169" s="2330"/>
      <c r="M169" s="2330"/>
      <c r="N169" s="2330"/>
      <c r="O169" s="2330"/>
      <c r="P169" s="2330"/>
      <c r="Q169" s="2330"/>
      <c r="R169" s="2327"/>
      <c r="S169" s="2327"/>
      <c r="T169" s="2327"/>
      <c r="U169" s="2331"/>
    </row>
    <row r="170" spans="1:21" ht="24" customHeight="1">
      <c r="A170" s="2156"/>
      <c r="B170" s="2157" t="s">
        <v>1259</v>
      </c>
      <c r="C170" s="2168" t="s">
        <v>1246</v>
      </c>
      <c r="D170" s="1235" t="s">
        <v>1213</v>
      </c>
      <c r="E170" s="2329"/>
      <c r="F170" s="2330"/>
      <c r="G170" s="2330"/>
      <c r="H170" s="2330"/>
      <c r="I170" s="2330"/>
      <c r="J170" s="2330"/>
      <c r="K170" s="2330"/>
      <c r="L170" s="2330"/>
      <c r="M170" s="2330"/>
      <c r="N170" s="2330"/>
      <c r="O170" s="2330"/>
      <c r="P170" s="2330"/>
      <c r="Q170" s="2330"/>
      <c r="R170" s="2330"/>
      <c r="S170" s="2327">
        <v>0.98</v>
      </c>
      <c r="T170" s="2327">
        <v>0.97019999999999995</v>
      </c>
      <c r="U170" s="2331">
        <v>0.95079599999999997</v>
      </c>
    </row>
    <row r="171" spans="1:21" ht="24" customHeight="1">
      <c r="A171" s="2156"/>
      <c r="B171" s="2165"/>
      <c r="C171" s="2169"/>
      <c r="D171" s="1237" t="s">
        <v>1214</v>
      </c>
      <c r="E171" s="2329"/>
      <c r="F171" s="2330"/>
      <c r="G171" s="2330"/>
      <c r="H171" s="2330"/>
      <c r="I171" s="2330"/>
      <c r="J171" s="2330"/>
      <c r="K171" s="2330"/>
      <c r="L171" s="2330"/>
      <c r="M171" s="2330"/>
      <c r="N171" s="2330"/>
      <c r="O171" s="2330"/>
      <c r="P171" s="2330"/>
      <c r="Q171" s="2330"/>
      <c r="R171" s="2330"/>
      <c r="S171" s="2327"/>
      <c r="T171" s="2327"/>
      <c r="U171" s="2331"/>
    </row>
    <row r="172" spans="1:21" ht="24" customHeight="1">
      <c r="A172" s="2156"/>
      <c r="B172" s="2157" t="s">
        <v>1260</v>
      </c>
      <c r="C172" s="2168" t="s">
        <v>1246</v>
      </c>
      <c r="D172" s="1235" t="s">
        <v>1213</v>
      </c>
      <c r="E172" s="2329"/>
      <c r="F172" s="2330"/>
      <c r="G172" s="2330"/>
      <c r="H172" s="2330"/>
      <c r="I172" s="2330"/>
      <c r="J172" s="2330"/>
      <c r="K172" s="2330"/>
      <c r="L172" s="2330"/>
      <c r="M172" s="2330"/>
      <c r="N172" s="2330"/>
      <c r="O172" s="2330"/>
      <c r="P172" s="2330"/>
      <c r="Q172" s="2330"/>
      <c r="R172" s="2330"/>
      <c r="S172" s="2330"/>
      <c r="T172" s="2327">
        <v>0.99</v>
      </c>
      <c r="U172" s="2331">
        <v>0.97019999999999995</v>
      </c>
    </row>
    <row r="173" spans="1:21" ht="24" customHeight="1">
      <c r="A173" s="2156"/>
      <c r="B173" s="2165"/>
      <c r="C173" s="2169"/>
      <c r="D173" s="1237" t="s">
        <v>1214</v>
      </c>
      <c r="E173" s="2329"/>
      <c r="F173" s="2330"/>
      <c r="G173" s="2330"/>
      <c r="H173" s="2330"/>
      <c r="I173" s="2330"/>
      <c r="J173" s="2330"/>
      <c r="K173" s="2330"/>
      <c r="L173" s="2330"/>
      <c r="M173" s="2330"/>
      <c r="N173" s="2330"/>
      <c r="O173" s="2330"/>
      <c r="P173" s="2330"/>
      <c r="Q173" s="2330"/>
      <c r="R173" s="2330"/>
      <c r="S173" s="2330"/>
      <c r="T173" s="2327"/>
      <c r="U173" s="2331"/>
    </row>
    <row r="174" spans="1:21" ht="24" customHeight="1">
      <c r="A174" s="2156"/>
      <c r="B174" s="2157" t="s">
        <v>1261</v>
      </c>
      <c r="C174" s="2168" t="s">
        <v>1246</v>
      </c>
      <c r="D174" s="1235" t="s">
        <v>1213</v>
      </c>
      <c r="E174" s="2329"/>
      <c r="F174" s="2330"/>
      <c r="G174" s="2330"/>
      <c r="H174" s="2330"/>
      <c r="I174" s="2330"/>
      <c r="J174" s="2330"/>
      <c r="K174" s="2330"/>
      <c r="L174" s="2330"/>
      <c r="M174" s="2330"/>
      <c r="N174" s="2330"/>
      <c r="O174" s="2330"/>
      <c r="P174" s="2330"/>
      <c r="Q174" s="2330"/>
      <c r="R174" s="2330"/>
      <c r="S174" s="2330"/>
      <c r="T174" s="2330"/>
      <c r="U174" s="2331">
        <v>0.98</v>
      </c>
    </row>
    <row r="175" spans="1:21" ht="24" customHeight="1">
      <c r="A175" s="2156"/>
      <c r="B175" s="2165"/>
      <c r="C175" s="2169"/>
      <c r="D175" s="1237" t="s">
        <v>1214</v>
      </c>
      <c r="E175" s="2329"/>
      <c r="F175" s="2330"/>
      <c r="G175" s="2330"/>
      <c r="H175" s="2330"/>
      <c r="I175" s="2330"/>
      <c r="J175" s="2330"/>
      <c r="K175" s="2330"/>
      <c r="L175" s="2330"/>
      <c r="M175" s="2330"/>
      <c r="N175" s="2330"/>
      <c r="O175" s="2330"/>
      <c r="P175" s="2330"/>
      <c r="Q175" s="2330"/>
      <c r="R175" s="2330"/>
      <c r="S175" s="2330"/>
      <c r="T175" s="2330"/>
      <c r="U175" s="2331"/>
    </row>
    <row r="176" spans="1:21" ht="24" customHeight="1">
      <c r="A176" s="2156"/>
      <c r="B176" s="2157" t="s">
        <v>1262</v>
      </c>
      <c r="C176" s="2168" t="s">
        <v>1246</v>
      </c>
      <c r="D176" s="1235" t="s">
        <v>1213</v>
      </c>
      <c r="E176" s="2329"/>
      <c r="F176" s="2330"/>
      <c r="G176" s="2330"/>
      <c r="H176" s="2330"/>
      <c r="I176" s="2330"/>
      <c r="J176" s="2330"/>
      <c r="K176" s="2330"/>
      <c r="L176" s="2330"/>
      <c r="M176" s="2330"/>
      <c r="N176" s="2330"/>
      <c r="O176" s="2330"/>
      <c r="P176" s="2330"/>
      <c r="Q176" s="2330"/>
      <c r="R176" s="2330"/>
      <c r="S176" s="2330"/>
      <c r="T176" s="2330"/>
      <c r="U176" s="2333"/>
    </row>
    <row r="177" spans="1:21" ht="24" customHeight="1">
      <c r="A177" s="2156"/>
      <c r="B177" s="2165"/>
      <c r="C177" s="2332"/>
      <c r="D177" s="1237" t="s">
        <v>1214</v>
      </c>
      <c r="E177" s="2329"/>
      <c r="F177" s="2330"/>
      <c r="G177" s="2330"/>
      <c r="H177" s="2330"/>
      <c r="I177" s="2330"/>
      <c r="J177" s="2330"/>
      <c r="K177" s="2330"/>
      <c r="L177" s="2330"/>
      <c r="M177" s="2330"/>
      <c r="N177" s="2330"/>
      <c r="O177" s="2330"/>
      <c r="P177" s="2330"/>
      <c r="Q177" s="2330"/>
      <c r="R177" s="2330"/>
      <c r="S177" s="2330"/>
      <c r="T177" s="2330"/>
      <c r="U177" s="2333"/>
    </row>
    <row r="178" spans="1:21" ht="24" customHeight="1">
      <c r="A178" s="2156" t="s">
        <v>1222</v>
      </c>
      <c r="B178" s="2157" t="s">
        <v>1245</v>
      </c>
      <c r="C178" s="2168" t="s">
        <v>1246</v>
      </c>
      <c r="D178" s="1235" t="s">
        <v>1213</v>
      </c>
      <c r="E178" s="2328"/>
      <c r="F178" s="2327">
        <v>0.63</v>
      </c>
      <c r="G178" s="2327">
        <v>0.47250000000000003</v>
      </c>
      <c r="H178" s="2327">
        <v>0.44887500000000002</v>
      </c>
      <c r="I178" s="2327">
        <v>0.44438625000000004</v>
      </c>
      <c r="J178" s="2327">
        <v>0.39105990000000002</v>
      </c>
      <c r="K178" s="2327">
        <v>0.35586450900000005</v>
      </c>
      <c r="L178" s="2327">
        <v>0.33095399337000009</v>
      </c>
      <c r="M178" s="2327">
        <v>0.31109675376780005</v>
      </c>
      <c r="N178" s="2327">
        <v>0.29554191607941005</v>
      </c>
      <c r="O178" s="2327">
        <v>0.28372023943623365</v>
      </c>
      <c r="P178" s="2327">
        <v>0.27804583464750898</v>
      </c>
      <c r="Q178" s="2327">
        <v>0.26414354291513353</v>
      </c>
      <c r="R178" s="2327">
        <v>0.25357780119852819</v>
      </c>
      <c r="S178" s="2327">
        <v>0.24850624517455761</v>
      </c>
      <c r="T178" s="2327">
        <v>0.24602118272281204</v>
      </c>
      <c r="U178" s="2331">
        <v>0.24110075906835579</v>
      </c>
    </row>
    <row r="179" spans="1:21" ht="24" customHeight="1">
      <c r="A179" s="2156"/>
      <c r="B179" s="2165"/>
      <c r="C179" s="2169"/>
      <c r="D179" s="1237" t="s">
        <v>1214</v>
      </c>
      <c r="E179" s="2328"/>
      <c r="F179" s="2327"/>
      <c r="G179" s="2327"/>
      <c r="H179" s="2327"/>
      <c r="I179" s="2327"/>
      <c r="J179" s="2327"/>
      <c r="K179" s="2327"/>
      <c r="L179" s="2327"/>
      <c r="M179" s="2327"/>
      <c r="N179" s="2327"/>
      <c r="O179" s="2327"/>
      <c r="P179" s="2327"/>
      <c r="Q179" s="2327"/>
      <c r="R179" s="2327"/>
      <c r="S179" s="2327"/>
      <c r="T179" s="2327"/>
      <c r="U179" s="2331"/>
    </row>
    <row r="180" spans="1:21" ht="24" customHeight="1">
      <c r="A180" s="2156"/>
      <c r="B180" s="2157" t="s">
        <v>1247</v>
      </c>
      <c r="C180" s="2168" t="s">
        <v>1246</v>
      </c>
      <c r="D180" s="1235" t="s">
        <v>1213</v>
      </c>
      <c r="E180" s="2329"/>
      <c r="F180" s="2330"/>
      <c r="G180" s="2327">
        <v>0.75</v>
      </c>
      <c r="H180" s="2327">
        <v>0.71249999999999991</v>
      </c>
      <c r="I180" s="2327">
        <v>0.70537499999999986</v>
      </c>
      <c r="J180" s="2327">
        <v>0.62072999999999989</v>
      </c>
      <c r="K180" s="2327">
        <v>0.56486429999999987</v>
      </c>
      <c r="L180" s="2327">
        <v>0.52532379899999992</v>
      </c>
      <c r="M180" s="2327">
        <v>0.49380437105999991</v>
      </c>
      <c r="N180" s="2327">
        <v>0.46911415250699989</v>
      </c>
      <c r="O180" s="2327">
        <v>0.4503495864067199</v>
      </c>
      <c r="P180" s="2327">
        <v>0.4413425946785855</v>
      </c>
      <c r="Q180" s="2327">
        <v>0.41927546494465623</v>
      </c>
      <c r="R180" s="2327">
        <v>0.40250444634686994</v>
      </c>
      <c r="S180" s="2327">
        <v>0.39445435741993251</v>
      </c>
      <c r="T180" s="2327">
        <v>0.39050981384573319</v>
      </c>
      <c r="U180" s="2331">
        <v>0.38269961756881854</v>
      </c>
    </row>
    <row r="181" spans="1:21" ht="24" customHeight="1">
      <c r="A181" s="2156"/>
      <c r="B181" s="2165"/>
      <c r="C181" s="2169"/>
      <c r="D181" s="1237" t="s">
        <v>1214</v>
      </c>
      <c r="E181" s="2329"/>
      <c r="F181" s="2330"/>
      <c r="G181" s="2327"/>
      <c r="H181" s="2327"/>
      <c r="I181" s="2327"/>
      <c r="J181" s="2327"/>
      <c r="K181" s="2327"/>
      <c r="L181" s="2327"/>
      <c r="M181" s="2327"/>
      <c r="N181" s="2327"/>
      <c r="O181" s="2327"/>
      <c r="P181" s="2327"/>
      <c r="Q181" s="2327"/>
      <c r="R181" s="2327"/>
      <c r="S181" s="2327"/>
      <c r="T181" s="2327"/>
      <c r="U181" s="2331"/>
    </row>
    <row r="182" spans="1:21" ht="24" customHeight="1">
      <c r="A182" s="2156"/>
      <c r="B182" s="2157" t="s">
        <v>1248</v>
      </c>
      <c r="C182" s="2168" t="s">
        <v>1246</v>
      </c>
      <c r="D182" s="1235" t="s">
        <v>1213</v>
      </c>
      <c r="E182" s="2329"/>
      <c r="F182" s="2330"/>
      <c r="G182" s="2330"/>
      <c r="H182" s="2327">
        <v>0.95</v>
      </c>
      <c r="I182" s="2327">
        <v>0.9405</v>
      </c>
      <c r="J182" s="2327">
        <v>0.82764000000000004</v>
      </c>
      <c r="K182" s="2327">
        <v>0.75315240000000006</v>
      </c>
      <c r="L182" s="2327">
        <v>0.70043173200000008</v>
      </c>
      <c r="M182" s="2327">
        <v>0.65840582808000003</v>
      </c>
      <c r="N182" s="2327">
        <v>0.62548553667600004</v>
      </c>
      <c r="O182" s="2327">
        <v>0.60046611520895998</v>
      </c>
      <c r="P182" s="2327">
        <v>0.58845679290478081</v>
      </c>
      <c r="Q182" s="2327">
        <v>0.55903395325954175</v>
      </c>
      <c r="R182" s="2327">
        <v>0.5366725951291601</v>
      </c>
      <c r="S182" s="2327">
        <v>0.52593914322657687</v>
      </c>
      <c r="T182" s="2327">
        <v>0.52067975179431114</v>
      </c>
      <c r="U182" s="2331">
        <v>0.5102661567584249</v>
      </c>
    </row>
    <row r="183" spans="1:21" ht="24" customHeight="1">
      <c r="A183" s="2156"/>
      <c r="B183" s="2165"/>
      <c r="C183" s="2169"/>
      <c r="D183" s="1237" t="s">
        <v>1214</v>
      </c>
      <c r="E183" s="2329"/>
      <c r="F183" s="2330"/>
      <c r="G183" s="2330"/>
      <c r="H183" s="2327"/>
      <c r="I183" s="2327"/>
      <c r="J183" s="2327"/>
      <c r="K183" s="2327"/>
      <c r="L183" s="2327"/>
      <c r="M183" s="2327"/>
      <c r="N183" s="2327"/>
      <c r="O183" s="2327"/>
      <c r="P183" s="2327"/>
      <c r="Q183" s="2327"/>
      <c r="R183" s="2327"/>
      <c r="S183" s="2327"/>
      <c r="T183" s="2327"/>
      <c r="U183" s="2331"/>
    </row>
    <row r="184" spans="1:21" ht="24" customHeight="1">
      <c r="A184" s="2156"/>
      <c r="B184" s="2157" t="s">
        <v>1249</v>
      </c>
      <c r="C184" s="2168" t="s">
        <v>1246</v>
      </c>
      <c r="D184" s="1235" t="s">
        <v>1213</v>
      </c>
      <c r="E184" s="2329"/>
      <c r="F184" s="2330"/>
      <c r="G184" s="2330"/>
      <c r="H184" s="2330"/>
      <c r="I184" s="2327">
        <v>0.99</v>
      </c>
      <c r="J184" s="2327">
        <v>0.87119999999999997</v>
      </c>
      <c r="K184" s="2327">
        <v>0.79279200000000005</v>
      </c>
      <c r="L184" s="2327">
        <v>0.7372965600000001</v>
      </c>
      <c r="M184" s="2327">
        <v>0.69305876640000008</v>
      </c>
      <c r="N184" s="2327">
        <v>0.65840582808000003</v>
      </c>
      <c r="O184" s="2327">
        <v>0.63206959495680004</v>
      </c>
      <c r="P184" s="2327">
        <v>0.619428203057664</v>
      </c>
      <c r="Q184" s="2327">
        <v>0.58845679290478081</v>
      </c>
      <c r="R184" s="2327">
        <v>0.56491852118858954</v>
      </c>
      <c r="S184" s="2327">
        <v>0.55362015076481774</v>
      </c>
      <c r="T184" s="2327">
        <v>0.54808394925716952</v>
      </c>
      <c r="U184" s="2331">
        <v>0.53712227027202608</v>
      </c>
    </row>
    <row r="185" spans="1:21" ht="24" customHeight="1">
      <c r="A185" s="2156"/>
      <c r="B185" s="2165"/>
      <c r="C185" s="2169"/>
      <c r="D185" s="1237" t="s">
        <v>1214</v>
      </c>
      <c r="E185" s="2329"/>
      <c r="F185" s="2330"/>
      <c r="G185" s="2330"/>
      <c r="H185" s="2330"/>
      <c r="I185" s="2327"/>
      <c r="J185" s="2327"/>
      <c r="K185" s="2327"/>
      <c r="L185" s="2327"/>
      <c r="M185" s="2327"/>
      <c r="N185" s="2327"/>
      <c r="O185" s="2327"/>
      <c r="P185" s="2327"/>
      <c r="Q185" s="2327"/>
      <c r="R185" s="2327"/>
      <c r="S185" s="2327"/>
      <c r="T185" s="2327"/>
      <c r="U185" s="2331"/>
    </row>
    <row r="186" spans="1:21" ht="24" customHeight="1">
      <c r="A186" s="2156"/>
      <c r="B186" s="2157" t="s">
        <v>1250</v>
      </c>
      <c r="C186" s="2168" t="s">
        <v>1246</v>
      </c>
      <c r="D186" s="1235" t="s">
        <v>1213</v>
      </c>
      <c r="E186" s="2329"/>
      <c r="F186" s="2330"/>
      <c r="G186" s="2330"/>
      <c r="H186" s="2330"/>
      <c r="I186" s="2330"/>
      <c r="J186" s="2327">
        <v>0.88</v>
      </c>
      <c r="K186" s="2327">
        <v>0.80080000000000007</v>
      </c>
      <c r="L186" s="2327">
        <v>0.74474400000000007</v>
      </c>
      <c r="M186" s="2327">
        <v>0.70005936000000002</v>
      </c>
      <c r="N186" s="2327">
        <v>0.665056392</v>
      </c>
      <c r="O186" s="2327">
        <v>0.63845413631999992</v>
      </c>
      <c r="P186" s="2327">
        <v>0.62568505359359994</v>
      </c>
      <c r="Q186" s="2327">
        <v>0.59440080091391989</v>
      </c>
      <c r="R186" s="2327">
        <v>0.57062476887736302</v>
      </c>
      <c r="S186" s="2327">
        <v>0.55921227349981573</v>
      </c>
      <c r="T186" s="2327">
        <v>0.55362015076481752</v>
      </c>
      <c r="U186" s="2331">
        <v>0.54254774774952119</v>
      </c>
    </row>
    <row r="187" spans="1:21" ht="24" customHeight="1">
      <c r="A187" s="2156"/>
      <c r="B187" s="2165"/>
      <c r="C187" s="2169"/>
      <c r="D187" s="1237" t="s">
        <v>1214</v>
      </c>
      <c r="E187" s="2329"/>
      <c r="F187" s="2330"/>
      <c r="G187" s="2330"/>
      <c r="H187" s="2330"/>
      <c r="I187" s="2330"/>
      <c r="J187" s="2327"/>
      <c r="K187" s="2327"/>
      <c r="L187" s="2327"/>
      <c r="M187" s="2327"/>
      <c r="N187" s="2327"/>
      <c r="O187" s="2327"/>
      <c r="P187" s="2327"/>
      <c r="Q187" s="2327"/>
      <c r="R187" s="2327"/>
      <c r="S187" s="2327"/>
      <c r="T187" s="2327"/>
      <c r="U187" s="2331"/>
    </row>
    <row r="188" spans="1:21" ht="24" customHeight="1">
      <c r="A188" s="2156"/>
      <c r="B188" s="2157" t="s">
        <v>1251</v>
      </c>
      <c r="C188" s="2168" t="s">
        <v>1246</v>
      </c>
      <c r="D188" s="1235" t="s">
        <v>1213</v>
      </c>
      <c r="E188" s="2329"/>
      <c r="F188" s="2330"/>
      <c r="G188" s="2330"/>
      <c r="H188" s="2330"/>
      <c r="I188" s="2330"/>
      <c r="J188" s="2330"/>
      <c r="K188" s="2327">
        <v>0.91</v>
      </c>
      <c r="L188" s="2327">
        <v>0.84630000000000005</v>
      </c>
      <c r="M188" s="2327">
        <v>0.79552199999999995</v>
      </c>
      <c r="N188" s="2327">
        <v>0.75574589999999997</v>
      </c>
      <c r="O188" s="2327">
        <v>0.72551606399999991</v>
      </c>
      <c r="P188" s="2327">
        <v>0.71100574271999994</v>
      </c>
      <c r="Q188" s="2327">
        <v>0.67545545558399989</v>
      </c>
      <c r="R188" s="2327">
        <v>0.64843723736063985</v>
      </c>
      <c r="S188" s="2327">
        <v>0.63546849261342708</v>
      </c>
      <c r="T188" s="2327">
        <v>0.62911380768729286</v>
      </c>
      <c r="U188" s="2331">
        <v>0.61653153153354701</v>
      </c>
    </row>
    <row r="189" spans="1:21" ht="24" customHeight="1">
      <c r="A189" s="2156"/>
      <c r="B189" s="2165"/>
      <c r="C189" s="2169"/>
      <c r="D189" s="1237" t="s">
        <v>1214</v>
      </c>
      <c r="E189" s="2329"/>
      <c r="F189" s="2330"/>
      <c r="G189" s="2330"/>
      <c r="H189" s="2330"/>
      <c r="I189" s="2330"/>
      <c r="J189" s="2330"/>
      <c r="K189" s="2327"/>
      <c r="L189" s="2327"/>
      <c r="M189" s="2327"/>
      <c r="N189" s="2327"/>
      <c r="O189" s="2327"/>
      <c r="P189" s="2327"/>
      <c r="Q189" s="2327"/>
      <c r="R189" s="2327"/>
      <c r="S189" s="2327"/>
      <c r="T189" s="2327"/>
      <c r="U189" s="2331"/>
    </row>
    <row r="190" spans="1:21" ht="24" customHeight="1">
      <c r="A190" s="2156"/>
      <c r="B190" s="2157" t="s">
        <v>1252</v>
      </c>
      <c r="C190" s="2168" t="s">
        <v>1246</v>
      </c>
      <c r="D190" s="1235" t="s">
        <v>1213</v>
      </c>
      <c r="E190" s="2329"/>
      <c r="F190" s="2330"/>
      <c r="G190" s="2330"/>
      <c r="H190" s="2330"/>
      <c r="I190" s="2330"/>
      <c r="J190" s="2330"/>
      <c r="K190" s="2330"/>
      <c r="L190" s="2327">
        <v>0.93</v>
      </c>
      <c r="M190" s="2327">
        <v>0.87419999999999998</v>
      </c>
      <c r="N190" s="2327">
        <v>0.83048999999999995</v>
      </c>
      <c r="O190" s="2327">
        <v>0.79727039999999993</v>
      </c>
      <c r="P190" s="2327">
        <v>0.78132499199999994</v>
      </c>
      <c r="Q190" s="2327">
        <v>0.74225874239999989</v>
      </c>
      <c r="R190" s="2327">
        <v>0.71256839270399985</v>
      </c>
      <c r="S190" s="2327">
        <v>0.69831702484991987</v>
      </c>
      <c r="T190" s="2327">
        <v>0.69133385460142061</v>
      </c>
      <c r="U190" s="2331">
        <v>0.67750717750939216</v>
      </c>
    </row>
    <row r="191" spans="1:21" ht="24" customHeight="1">
      <c r="A191" s="2156"/>
      <c r="B191" s="2165"/>
      <c r="C191" s="2169"/>
      <c r="D191" s="1237" t="s">
        <v>1214</v>
      </c>
      <c r="E191" s="2329"/>
      <c r="F191" s="2330"/>
      <c r="G191" s="2330"/>
      <c r="H191" s="2330"/>
      <c r="I191" s="2330"/>
      <c r="J191" s="2330"/>
      <c r="K191" s="2330"/>
      <c r="L191" s="2327"/>
      <c r="M191" s="2327"/>
      <c r="N191" s="2327"/>
      <c r="O191" s="2327"/>
      <c r="P191" s="2327"/>
      <c r="Q191" s="2327"/>
      <c r="R191" s="2327"/>
      <c r="S191" s="2327"/>
      <c r="T191" s="2327"/>
      <c r="U191" s="2331"/>
    </row>
    <row r="192" spans="1:21" ht="24" customHeight="1">
      <c r="A192" s="2156"/>
      <c r="B192" s="2157" t="s">
        <v>1253</v>
      </c>
      <c r="C192" s="2168" t="s">
        <v>1246</v>
      </c>
      <c r="D192" s="1235" t="s">
        <v>1213</v>
      </c>
      <c r="E192" s="2329"/>
      <c r="F192" s="2330"/>
      <c r="G192" s="2330"/>
      <c r="H192" s="2330"/>
      <c r="I192" s="2330"/>
      <c r="J192" s="2330"/>
      <c r="K192" s="2330"/>
      <c r="L192" s="2330"/>
      <c r="M192" s="2327">
        <v>0.94</v>
      </c>
      <c r="N192" s="2327">
        <v>0.8929999999999999</v>
      </c>
      <c r="O192" s="2327">
        <v>0.85727999999999993</v>
      </c>
      <c r="P192" s="2327">
        <v>0.84013439999999995</v>
      </c>
      <c r="Q192" s="2327">
        <v>0.79812767999999989</v>
      </c>
      <c r="R192" s="2327">
        <v>0.76620257279999993</v>
      </c>
      <c r="S192" s="2327">
        <v>0.75087852134399991</v>
      </c>
      <c r="T192" s="2327">
        <v>0.7433697361305599</v>
      </c>
      <c r="U192" s="2331">
        <v>0.72850234140794867</v>
      </c>
    </row>
    <row r="193" spans="1:21" ht="24" customHeight="1">
      <c r="A193" s="2156"/>
      <c r="B193" s="2165"/>
      <c r="C193" s="2169"/>
      <c r="D193" s="1237" t="s">
        <v>1214</v>
      </c>
      <c r="E193" s="2329"/>
      <c r="F193" s="2330"/>
      <c r="G193" s="2330"/>
      <c r="H193" s="2330"/>
      <c r="I193" s="2330"/>
      <c r="J193" s="2330"/>
      <c r="K193" s="2330"/>
      <c r="L193" s="2330"/>
      <c r="M193" s="2327"/>
      <c r="N193" s="2327"/>
      <c r="O193" s="2327"/>
      <c r="P193" s="2327"/>
      <c r="Q193" s="2327"/>
      <c r="R193" s="2327"/>
      <c r="S193" s="2327"/>
      <c r="T193" s="2327"/>
      <c r="U193" s="2331"/>
    </row>
    <row r="194" spans="1:21" ht="24" customHeight="1">
      <c r="A194" s="2156"/>
      <c r="B194" s="2157" t="s">
        <v>1254</v>
      </c>
      <c r="C194" s="2168" t="s">
        <v>1246</v>
      </c>
      <c r="D194" s="1235" t="s">
        <v>1213</v>
      </c>
      <c r="E194" s="2329"/>
      <c r="F194" s="2330"/>
      <c r="G194" s="2330"/>
      <c r="H194" s="2330"/>
      <c r="I194" s="2330"/>
      <c r="J194" s="2330"/>
      <c r="K194" s="2330"/>
      <c r="L194" s="2330"/>
      <c r="M194" s="2330"/>
      <c r="N194" s="2327">
        <v>0.95</v>
      </c>
      <c r="O194" s="2327">
        <v>0.91199999999999992</v>
      </c>
      <c r="P194" s="2327">
        <v>0.89375999999999989</v>
      </c>
      <c r="Q194" s="2327">
        <v>0.84907199999999983</v>
      </c>
      <c r="R194" s="2327">
        <v>0.8151091199999998</v>
      </c>
      <c r="S194" s="2327">
        <v>0.79880693759999977</v>
      </c>
      <c r="T194" s="2327">
        <v>0.79081886822399972</v>
      </c>
      <c r="U194" s="2331">
        <v>0.77500249085951967</v>
      </c>
    </row>
    <row r="195" spans="1:21" ht="24" customHeight="1">
      <c r="A195" s="2156"/>
      <c r="B195" s="2165"/>
      <c r="C195" s="2169"/>
      <c r="D195" s="1237" t="s">
        <v>1214</v>
      </c>
      <c r="E195" s="2329"/>
      <c r="F195" s="2330"/>
      <c r="G195" s="2330"/>
      <c r="H195" s="2330"/>
      <c r="I195" s="2330"/>
      <c r="J195" s="2330"/>
      <c r="K195" s="2330"/>
      <c r="L195" s="2330"/>
      <c r="M195" s="2330"/>
      <c r="N195" s="2327"/>
      <c r="O195" s="2327"/>
      <c r="P195" s="2327"/>
      <c r="Q195" s="2327"/>
      <c r="R195" s="2327"/>
      <c r="S195" s="2327"/>
      <c r="T195" s="2327"/>
      <c r="U195" s="2331"/>
    </row>
    <row r="196" spans="1:21" ht="24" customHeight="1">
      <c r="A196" s="2156"/>
      <c r="B196" s="2157" t="s">
        <v>1255</v>
      </c>
      <c r="C196" s="2168" t="s">
        <v>1246</v>
      </c>
      <c r="D196" s="1235" t="s">
        <v>1213</v>
      </c>
      <c r="E196" s="2329"/>
      <c r="F196" s="2330"/>
      <c r="G196" s="2330"/>
      <c r="H196" s="2330"/>
      <c r="I196" s="2330"/>
      <c r="J196" s="2330"/>
      <c r="K196" s="2330"/>
      <c r="L196" s="2330"/>
      <c r="M196" s="2330"/>
      <c r="N196" s="2330"/>
      <c r="O196" s="2327">
        <v>0.96</v>
      </c>
      <c r="P196" s="2327">
        <v>0.94079999999999997</v>
      </c>
      <c r="Q196" s="2327">
        <v>0.89375999999999989</v>
      </c>
      <c r="R196" s="2327">
        <v>0.85800959999999982</v>
      </c>
      <c r="S196" s="2327">
        <v>0.84084940799999985</v>
      </c>
      <c r="T196" s="2327">
        <v>0.83244091391999986</v>
      </c>
      <c r="U196" s="2331">
        <v>0.81579209564159982</v>
      </c>
    </row>
    <row r="197" spans="1:21" ht="24" customHeight="1">
      <c r="A197" s="2156"/>
      <c r="B197" s="2165"/>
      <c r="C197" s="2169"/>
      <c r="D197" s="1237" t="s">
        <v>1214</v>
      </c>
      <c r="E197" s="2329"/>
      <c r="F197" s="2330"/>
      <c r="G197" s="2330"/>
      <c r="H197" s="2330"/>
      <c r="I197" s="2330"/>
      <c r="J197" s="2330"/>
      <c r="K197" s="2330"/>
      <c r="L197" s="2330"/>
      <c r="M197" s="2330"/>
      <c r="N197" s="2330"/>
      <c r="O197" s="2327"/>
      <c r="P197" s="2327"/>
      <c r="Q197" s="2327"/>
      <c r="R197" s="2327"/>
      <c r="S197" s="2327"/>
      <c r="T197" s="2327"/>
      <c r="U197" s="2331"/>
    </row>
    <row r="198" spans="1:21" ht="24" customHeight="1">
      <c r="A198" s="2156"/>
      <c r="B198" s="2157" t="s">
        <v>1256</v>
      </c>
      <c r="C198" s="2168" t="s">
        <v>1246</v>
      </c>
      <c r="D198" s="1235" t="s">
        <v>1213</v>
      </c>
      <c r="E198" s="2329"/>
      <c r="F198" s="2330"/>
      <c r="G198" s="2330"/>
      <c r="H198" s="2330"/>
      <c r="I198" s="2330"/>
      <c r="J198" s="2330"/>
      <c r="K198" s="2330"/>
      <c r="L198" s="2330"/>
      <c r="M198" s="2330"/>
      <c r="N198" s="2330"/>
      <c r="O198" s="2330"/>
      <c r="P198" s="2327">
        <v>0.98</v>
      </c>
      <c r="Q198" s="2327">
        <v>0.93099999999999994</v>
      </c>
      <c r="R198" s="2327">
        <v>0.89375999999999989</v>
      </c>
      <c r="S198" s="2327">
        <v>0.87588479999999991</v>
      </c>
      <c r="T198" s="2327">
        <v>0.86712595199999987</v>
      </c>
      <c r="U198" s="2331">
        <v>0.84978343295999981</v>
      </c>
    </row>
    <row r="199" spans="1:21" ht="24" customHeight="1">
      <c r="A199" s="2156"/>
      <c r="B199" s="2165"/>
      <c r="C199" s="2169"/>
      <c r="D199" s="1237" t="s">
        <v>1214</v>
      </c>
      <c r="E199" s="2329"/>
      <c r="F199" s="2330"/>
      <c r="G199" s="2330"/>
      <c r="H199" s="2330"/>
      <c r="I199" s="2330"/>
      <c r="J199" s="2330"/>
      <c r="K199" s="2330"/>
      <c r="L199" s="2330"/>
      <c r="M199" s="2330"/>
      <c r="N199" s="2330"/>
      <c r="O199" s="2330"/>
      <c r="P199" s="2327"/>
      <c r="Q199" s="2327"/>
      <c r="R199" s="2327"/>
      <c r="S199" s="2327"/>
      <c r="T199" s="2327"/>
      <c r="U199" s="2331"/>
    </row>
    <row r="200" spans="1:21" ht="24" customHeight="1">
      <c r="A200" s="2156"/>
      <c r="B200" s="2157" t="s">
        <v>1257</v>
      </c>
      <c r="C200" s="2168" t="s">
        <v>1246</v>
      </c>
      <c r="D200" s="1235" t="s">
        <v>1213</v>
      </c>
      <c r="E200" s="2329"/>
      <c r="F200" s="2330"/>
      <c r="G200" s="2330"/>
      <c r="H200" s="2330"/>
      <c r="I200" s="2330"/>
      <c r="J200" s="2330"/>
      <c r="K200" s="2330"/>
      <c r="L200" s="2330"/>
      <c r="M200" s="2330"/>
      <c r="N200" s="2330"/>
      <c r="O200" s="2330"/>
      <c r="P200" s="2330"/>
      <c r="Q200" s="2327">
        <v>0.95</v>
      </c>
      <c r="R200" s="2327">
        <v>0.91199999999999992</v>
      </c>
      <c r="S200" s="2327">
        <v>0.89375999999999989</v>
      </c>
      <c r="T200" s="2327">
        <v>0.8848223999999999</v>
      </c>
      <c r="U200" s="2331">
        <v>0.86712595199999987</v>
      </c>
    </row>
    <row r="201" spans="1:21" ht="24" customHeight="1">
      <c r="A201" s="2156"/>
      <c r="B201" s="2165"/>
      <c r="C201" s="2169"/>
      <c r="D201" s="1237" t="s">
        <v>1214</v>
      </c>
      <c r="E201" s="2329"/>
      <c r="F201" s="2330"/>
      <c r="G201" s="2330"/>
      <c r="H201" s="2330"/>
      <c r="I201" s="2330"/>
      <c r="J201" s="2330"/>
      <c r="K201" s="2330"/>
      <c r="L201" s="2330"/>
      <c r="M201" s="2330"/>
      <c r="N201" s="2330"/>
      <c r="O201" s="2330"/>
      <c r="P201" s="2330"/>
      <c r="Q201" s="2327"/>
      <c r="R201" s="2327"/>
      <c r="S201" s="2327"/>
      <c r="T201" s="2327"/>
      <c r="U201" s="2331"/>
    </row>
    <row r="202" spans="1:21" ht="24" customHeight="1">
      <c r="A202" s="2156"/>
      <c r="B202" s="2157" t="s">
        <v>1258</v>
      </c>
      <c r="C202" s="2168" t="s">
        <v>1246</v>
      </c>
      <c r="D202" s="1235" t="s">
        <v>1213</v>
      </c>
      <c r="E202" s="2329"/>
      <c r="F202" s="2330"/>
      <c r="G202" s="2330"/>
      <c r="H202" s="2330"/>
      <c r="I202" s="2330"/>
      <c r="J202" s="2330"/>
      <c r="K202" s="2330"/>
      <c r="L202" s="2330"/>
      <c r="M202" s="2330"/>
      <c r="N202" s="2330"/>
      <c r="O202" s="2330"/>
      <c r="P202" s="2330"/>
      <c r="Q202" s="2330"/>
      <c r="R202" s="2327">
        <v>0.96</v>
      </c>
      <c r="S202" s="2327">
        <v>0.94079999999999997</v>
      </c>
      <c r="T202" s="2327">
        <v>0.931392</v>
      </c>
      <c r="U202" s="2331">
        <v>0.91276415999999994</v>
      </c>
    </row>
    <row r="203" spans="1:21" ht="24" customHeight="1">
      <c r="A203" s="2156"/>
      <c r="B203" s="2165"/>
      <c r="C203" s="2169"/>
      <c r="D203" s="1237" t="s">
        <v>1214</v>
      </c>
      <c r="E203" s="2329"/>
      <c r="F203" s="2330"/>
      <c r="G203" s="2330"/>
      <c r="H203" s="2330"/>
      <c r="I203" s="2330"/>
      <c r="J203" s="2330"/>
      <c r="K203" s="2330"/>
      <c r="L203" s="2330"/>
      <c r="M203" s="2330"/>
      <c r="N203" s="2330"/>
      <c r="O203" s="2330"/>
      <c r="P203" s="2330"/>
      <c r="Q203" s="2330"/>
      <c r="R203" s="2327"/>
      <c r="S203" s="2327"/>
      <c r="T203" s="2327"/>
      <c r="U203" s="2331"/>
    </row>
    <row r="204" spans="1:21" ht="24" customHeight="1">
      <c r="A204" s="2156"/>
      <c r="B204" s="2157" t="s">
        <v>1259</v>
      </c>
      <c r="C204" s="2168" t="s">
        <v>1246</v>
      </c>
      <c r="D204" s="1235" t="s">
        <v>1213</v>
      </c>
      <c r="E204" s="2329"/>
      <c r="F204" s="2330"/>
      <c r="G204" s="2330"/>
      <c r="H204" s="2330"/>
      <c r="I204" s="2330"/>
      <c r="J204" s="2330"/>
      <c r="K204" s="2330"/>
      <c r="L204" s="2330"/>
      <c r="M204" s="2330"/>
      <c r="N204" s="2330"/>
      <c r="O204" s="2330"/>
      <c r="P204" s="2330"/>
      <c r="Q204" s="2330"/>
      <c r="R204" s="2330"/>
      <c r="S204" s="2327">
        <v>0.98</v>
      </c>
      <c r="T204" s="2327">
        <v>0.97019999999999995</v>
      </c>
      <c r="U204" s="2331">
        <v>0.95079599999999997</v>
      </c>
    </row>
    <row r="205" spans="1:21" ht="24" customHeight="1">
      <c r="A205" s="2156"/>
      <c r="B205" s="2165"/>
      <c r="C205" s="2169"/>
      <c r="D205" s="1237" t="s">
        <v>1214</v>
      </c>
      <c r="E205" s="2329"/>
      <c r="F205" s="2330"/>
      <c r="G205" s="2330"/>
      <c r="H205" s="2330"/>
      <c r="I205" s="2330"/>
      <c r="J205" s="2330"/>
      <c r="K205" s="2330"/>
      <c r="L205" s="2330"/>
      <c r="M205" s="2330"/>
      <c r="N205" s="2330"/>
      <c r="O205" s="2330"/>
      <c r="P205" s="2330"/>
      <c r="Q205" s="2330"/>
      <c r="R205" s="2330"/>
      <c r="S205" s="2327"/>
      <c r="T205" s="2327"/>
      <c r="U205" s="2331"/>
    </row>
    <row r="206" spans="1:21" ht="24" customHeight="1">
      <c r="A206" s="2156"/>
      <c r="B206" s="2157" t="s">
        <v>1260</v>
      </c>
      <c r="C206" s="2168" t="s">
        <v>1246</v>
      </c>
      <c r="D206" s="1235" t="s">
        <v>1213</v>
      </c>
      <c r="E206" s="2329"/>
      <c r="F206" s="2330"/>
      <c r="G206" s="2330"/>
      <c r="H206" s="2330"/>
      <c r="I206" s="2330"/>
      <c r="J206" s="2330"/>
      <c r="K206" s="2330"/>
      <c r="L206" s="2330"/>
      <c r="M206" s="2330"/>
      <c r="N206" s="2330"/>
      <c r="O206" s="2330"/>
      <c r="P206" s="2330"/>
      <c r="Q206" s="2330"/>
      <c r="R206" s="2330"/>
      <c r="S206" s="2330"/>
      <c r="T206" s="2327">
        <v>0.99</v>
      </c>
      <c r="U206" s="2331">
        <v>0.97019999999999995</v>
      </c>
    </row>
    <row r="207" spans="1:21" ht="24" customHeight="1">
      <c r="A207" s="2156"/>
      <c r="B207" s="2165"/>
      <c r="C207" s="2169"/>
      <c r="D207" s="1237" t="s">
        <v>1214</v>
      </c>
      <c r="E207" s="2329"/>
      <c r="F207" s="2330"/>
      <c r="G207" s="2330"/>
      <c r="H207" s="2330"/>
      <c r="I207" s="2330"/>
      <c r="J207" s="2330"/>
      <c r="K207" s="2330"/>
      <c r="L207" s="2330"/>
      <c r="M207" s="2330"/>
      <c r="N207" s="2330"/>
      <c r="O207" s="2330"/>
      <c r="P207" s="2330"/>
      <c r="Q207" s="2330"/>
      <c r="R207" s="2330"/>
      <c r="S207" s="2330"/>
      <c r="T207" s="2327"/>
      <c r="U207" s="2331"/>
    </row>
    <row r="208" spans="1:21" ht="24" customHeight="1">
      <c r="A208" s="2156"/>
      <c r="B208" s="2157" t="s">
        <v>1261</v>
      </c>
      <c r="C208" s="2168" t="s">
        <v>1246</v>
      </c>
      <c r="D208" s="1235" t="s">
        <v>1213</v>
      </c>
      <c r="E208" s="2329"/>
      <c r="F208" s="2330"/>
      <c r="G208" s="2330"/>
      <c r="H208" s="2330"/>
      <c r="I208" s="2330"/>
      <c r="J208" s="2330"/>
      <c r="K208" s="2330"/>
      <c r="L208" s="2330"/>
      <c r="M208" s="2330"/>
      <c r="N208" s="2330"/>
      <c r="O208" s="2330"/>
      <c r="P208" s="2330"/>
      <c r="Q208" s="2330"/>
      <c r="R208" s="2330"/>
      <c r="S208" s="2330"/>
      <c r="T208" s="2330"/>
      <c r="U208" s="2331">
        <v>0.98</v>
      </c>
    </row>
    <row r="209" spans="1:21" ht="24" customHeight="1">
      <c r="A209" s="2156"/>
      <c r="B209" s="2165"/>
      <c r="C209" s="2169"/>
      <c r="D209" s="1237" t="s">
        <v>1214</v>
      </c>
      <c r="E209" s="2329"/>
      <c r="F209" s="2330"/>
      <c r="G209" s="2330"/>
      <c r="H209" s="2330"/>
      <c r="I209" s="2330"/>
      <c r="J209" s="2330"/>
      <c r="K209" s="2330"/>
      <c r="L209" s="2330"/>
      <c r="M209" s="2330"/>
      <c r="N209" s="2330"/>
      <c r="O209" s="2330"/>
      <c r="P209" s="2330"/>
      <c r="Q209" s="2330"/>
      <c r="R209" s="2330"/>
      <c r="S209" s="2330"/>
      <c r="T209" s="2330"/>
      <c r="U209" s="2331"/>
    </row>
    <row r="210" spans="1:21" ht="24" customHeight="1">
      <c r="A210" s="2156"/>
      <c r="B210" s="2157" t="s">
        <v>1262</v>
      </c>
      <c r="C210" s="2168" t="s">
        <v>1246</v>
      </c>
      <c r="D210" s="1235" t="s">
        <v>1213</v>
      </c>
      <c r="E210" s="2329"/>
      <c r="F210" s="2330"/>
      <c r="G210" s="2330"/>
      <c r="H210" s="2330"/>
      <c r="I210" s="2330"/>
      <c r="J210" s="2330"/>
      <c r="K210" s="2330"/>
      <c r="L210" s="2330"/>
      <c r="M210" s="2330"/>
      <c r="N210" s="2330"/>
      <c r="O210" s="2330"/>
      <c r="P210" s="2330"/>
      <c r="Q210" s="2330"/>
      <c r="R210" s="2330"/>
      <c r="S210" s="2330"/>
      <c r="T210" s="2330"/>
      <c r="U210" s="2333"/>
    </row>
    <row r="211" spans="1:21" ht="24" customHeight="1">
      <c r="A211" s="2156"/>
      <c r="B211" s="2165"/>
      <c r="C211" s="2332"/>
      <c r="D211" s="1237" t="s">
        <v>1214</v>
      </c>
      <c r="E211" s="2329"/>
      <c r="F211" s="2330"/>
      <c r="G211" s="2330"/>
      <c r="H211" s="2330"/>
      <c r="I211" s="2330"/>
      <c r="J211" s="2330"/>
      <c r="K211" s="2330"/>
      <c r="L211" s="2330"/>
      <c r="M211" s="2330"/>
      <c r="N211" s="2330"/>
      <c r="O211" s="2330"/>
      <c r="P211" s="2330"/>
      <c r="Q211" s="2330"/>
      <c r="R211" s="2330"/>
      <c r="S211" s="2330"/>
      <c r="T211" s="2330"/>
      <c r="U211" s="2333"/>
    </row>
    <row r="212" spans="1:21" ht="24" customHeight="1">
      <c r="A212" s="2156" t="s">
        <v>1224</v>
      </c>
      <c r="B212" s="2157" t="s">
        <v>1245</v>
      </c>
      <c r="C212" s="2168" t="s">
        <v>1246</v>
      </c>
      <c r="D212" s="1235" t="s">
        <v>1213</v>
      </c>
      <c r="E212" s="2328"/>
      <c r="F212" s="2327">
        <v>0.63</v>
      </c>
      <c r="G212" s="2327">
        <v>0.47250000000000003</v>
      </c>
      <c r="H212" s="2327">
        <v>0.44887500000000002</v>
      </c>
      <c r="I212" s="2327">
        <v>0.44438625000000004</v>
      </c>
      <c r="J212" s="2327">
        <v>0.39105990000000002</v>
      </c>
      <c r="K212" s="2327">
        <v>0.35586450900000005</v>
      </c>
      <c r="L212" s="2327">
        <v>0.33095399337000009</v>
      </c>
      <c r="M212" s="2327">
        <v>0.31109675376780005</v>
      </c>
      <c r="N212" s="2327">
        <v>0.29554191607941005</v>
      </c>
      <c r="O212" s="2327">
        <v>0.28372023943623365</v>
      </c>
      <c r="P212" s="2327">
        <v>0.27804583464750898</v>
      </c>
      <c r="Q212" s="2327">
        <v>0.26414354291513353</v>
      </c>
      <c r="R212" s="2327">
        <v>0.25093636576937683</v>
      </c>
      <c r="S212" s="2327">
        <v>0.24842700211168306</v>
      </c>
      <c r="T212" s="2327">
        <v>0.24594273209056622</v>
      </c>
      <c r="U212" s="2331">
        <v>0.24102387744875489</v>
      </c>
    </row>
    <row r="213" spans="1:21" ht="24" customHeight="1">
      <c r="A213" s="2156"/>
      <c r="B213" s="2165"/>
      <c r="C213" s="2169"/>
      <c r="D213" s="1237" t="s">
        <v>1214</v>
      </c>
      <c r="E213" s="2328"/>
      <c r="F213" s="2327"/>
      <c r="G213" s="2327"/>
      <c r="H213" s="2327"/>
      <c r="I213" s="2327"/>
      <c r="J213" s="2327"/>
      <c r="K213" s="2327"/>
      <c r="L213" s="2327"/>
      <c r="M213" s="2327"/>
      <c r="N213" s="2327"/>
      <c r="O213" s="2327"/>
      <c r="P213" s="2327"/>
      <c r="Q213" s="2327"/>
      <c r="R213" s="2327"/>
      <c r="S213" s="2327"/>
      <c r="T213" s="2327"/>
      <c r="U213" s="2331"/>
    </row>
    <row r="214" spans="1:21" ht="24" customHeight="1">
      <c r="A214" s="2156"/>
      <c r="B214" s="2157" t="s">
        <v>1247</v>
      </c>
      <c r="C214" s="2168" t="s">
        <v>1246</v>
      </c>
      <c r="D214" s="1235" t="s">
        <v>1213</v>
      </c>
      <c r="E214" s="2329"/>
      <c r="F214" s="2330"/>
      <c r="G214" s="2327">
        <v>0.75</v>
      </c>
      <c r="H214" s="2327">
        <v>0.71249999999999991</v>
      </c>
      <c r="I214" s="2327">
        <v>0.70537499999999986</v>
      </c>
      <c r="J214" s="2327">
        <v>0.62072999999999989</v>
      </c>
      <c r="K214" s="2327">
        <v>0.56486429999999987</v>
      </c>
      <c r="L214" s="2327">
        <v>0.52532379899999992</v>
      </c>
      <c r="M214" s="2327">
        <v>0.49380437105999991</v>
      </c>
      <c r="N214" s="2327">
        <v>0.46911415250699989</v>
      </c>
      <c r="O214" s="2327">
        <v>0.4503495864067199</v>
      </c>
      <c r="P214" s="2327">
        <v>0.4413425946785855</v>
      </c>
      <c r="Q214" s="2327">
        <v>0.41927546494465623</v>
      </c>
      <c r="R214" s="2327">
        <v>0.39831169169742342</v>
      </c>
      <c r="S214" s="2327">
        <v>0.39432857478044919</v>
      </c>
      <c r="T214" s="2327">
        <v>0.39038528903264469</v>
      </c>
      <c r="U214" s="2331">
        <v>0.38257758325199182</v>
      </c>
    </row>
    <row r="215" spans="1:21" ht="24" customHeight="1">
      <c r="A215" s="2156"/>
      <c r="B215" s="2165"/>
      <c r="C215" s="2169"/>
      <c r="D215" s="1237" t="s">
        <v>1214</v>
      </c>
      <c r="E215" s="2329"/>
      <c r="F215" s="2330"/>
      <c r="G215" s="2327"/>
      <c r="H215" s="2327"/>
      <c r="I215" s="2327"/>
      <c r="J215" s="2327"/>
      <c r="K215" s="2327"/>
      <c r="L215" s="2327"/>
      <c r="M215" s="2327"/>
      <c r="N215" s="2327"/>
      <c r="O215" s="2327"/>
      <c r="P215" s="2327"/>
      <c r="Q215" s="2327"/>
      <c r="R215" s="2327"/>
      <c r="S215" s="2327"/>
      <c r="T215" s="2327"/>
      <c r="U215" s="2331"/>
    </row>
    <row r="216" spans="1:21" ht="24" customHeight="1">
      <c r="A216" s="2156"/>
      <c r="B216" s="2157" t="s">
        <v>1248</v>
      </c>
      <c r="C216" s="2168" t="s">
        <v>1246</v>
      </c>
      <c r="D216" s="1235" t="s">
        <v>1213</v>
      </c>
      <c r="E216" s="2329"/>
      <c r="F216" s="2330"/>
      <c r="G216" s="2330"/>
      <c r="H216" s="2327">
        <v>0.95</v>
      </c>
      <c r="I216" s="2327">
        <v>0.9405</v>
      </c>
      <c r="J216" s="2327">
        <v>0.82764000000000004</v>
      </c>
      <c r="K216" s="2327">
        <v>0.75315240000000006</v>
      </c>
      <c r="L216" s="2327">
        <v>0.70043173200000008</v>
      </c>
      <c r="M216" s="2327">
        <v>0.65840582808000003</v>
      </c>
      <c r="N216" s="2327">
        <v>0.62548553667600004</v>
      </c>
      <c r="O216" s="2327">
        <v>0.60046611520895998</v>
      </c>
      <c r="P216" s="2327">
        <v>0.58845679290478081</v>
      </c>
      <c r="Q216" s="2327">
        <v>0.55903395325954175</v>
      </c>
      <c r="R216" s="2327">
        <v>0.53108225559656463</v>
      </c>
      <c r="S216" s="2327">
        <v>0.52577143304059903</v>
      </c>
      <c r="T216" s="2327">
        <v>0.52051371871019303</v>
      </c>
      <c r="U216" s="2331">
        <v>0.5101034443359892</v>
      </c>
    </row>
    <row r="217" spans="1:21" ht="24" customHeight="1">
      <c r="A217" s="2156"/>
      <c r="B217" s="2165"/>
      <c r="C217" s="2169"/>
      <c r="D217" s="1237" t="s">
        <v>1214</v>
      </c>
      <c r="E217" s="2329"/>
      <c r="F217" s="2330"/>
      <c r="G217" s="2330"/>
      <c r="H217" s="2327"/>
      <c r="I217" s="2327"/>
      <c r="J217" s="2327"/>
      <c r="K217" s="2327"/>
      <c r="L217" s="2327"/>
      <c r="M217" s="2327"/>
      <c r="N217" s="2327"/>
      <c r="O217" s="2327"/>
      <c r="P217" s="2327"/>
      <c r="Q217" s="2327"/>
      <c r="R217" s="2327"/>
      <c r="S217" s="2327"/>
      <c r="T217" s="2327"/>
      <c r="U217" s="2331"/>
    </row>
    <row r="218" spans="1:21" ht="24" customHeight="1">
      <c r="A218" s="2156"/>
      <c r="B218" s="2157" t="s">
        <v>1249</v>
      </c>
      <c r="C218" s="2168" t="s">
        <v>1246</v>
      </c>
      <c r="D218" s="1235" t="s">
        <v>1213</v>
      </c>
      <c r="E218" s="2329"/>
      <c r="F218" s="2330"/>
      <c r="G218" s="2330"/>
      <c r="H218" s="2330"/>
      <c r="I218" s="2327">
        <v>0.99</v>
      </c>
      <c r="J218" s="2327">
        <v>0.87119999999999997</v>
      </c>
      <c r="K218" s="2327">
        <v>0.79279200000000005</v>
      </c>
      <c r="L218" s="2327">
        <v>0.7372965600000001</v>
      </c>
      <c r="M218" s="2327">
        <v>0.69305876640000008</v>
      </c>
      <c r="N218" s="2327">
        <v>0.65840582808000003</v>
      </c>
      <c r="O218" s="2327">
        <v>0.63206959495680004</v>
      </c>
      <c r="P218" s="2327">
        <v>0.619428203057664</v>
      </c>
      <c r="Q218" s="2327">
        <v>0.58845679290478081</v>
      </c>
      <c r="R218" s="2327">
        <v>0.55903395325954175</v>
      </c>
      <c r="S218" s="2327">
        <v>0.55344361372694628</v>
      </c>
      <c r="T218" s="2327">
        <v>0.54790917758967683</v>
      </c>
      <c r="U218" s="2331">
        <v>0.53695099403788327</v>
      </c>
    </row>
    <row r="219" spans="1:21" ht="24" customHeight="1">
      <c r="A219" s="2156"/>
      <c r="B219" s="2165"/>
      <c r="C219" s="2169"/>
      <c r="D219" s="1237" t="s">
        <v>1214</v>
      </c>
      <c r="E219" s="2329"/>
      <c r="F219" s="2330"/>
      <c r="G219" s="2330"/>
      <c r="H219" s="2330"/>
      <c r="I219" s="2327"/>
      <c r="J219" s="2327"/>
      <c r="K219" s="2327"/>
      <c r="L219" s="2327"/>
      <c r="M219" s="2327"/>
      <c r="N219" s="2327"/>
      <c r="O219" s="2327"/>
      <c r="P219" s="2327"/>
      <c r="Q219" s="2327"/>
      <c r="R219" s="2327"/>
      <c r="S219" s="2327"/>
      <c r="T219" s="2327"/>
      <c r="U219" s="2331"/>
    </row>
    <row r="220" spans="1:21" ht="24" customHeight="1">
      <c r="A220" s="2156"/>
      <c r="B220" s="2157" t="s">
        <v>1250</v>
      </c>
      <c r="C220" s="2168" t="s">
        <v>1246</v>
      </c>
      <c r="D220" s="1235" t="s">
        <v>1213</v>
      </c>
      <c r="E220" s="2329"/>
      <c r="F220" s="2330"/>
      <c r="G220" s="2330"/>
      <c r="H220" s="2330"/>
      <c r="I220" s="2330"/>
      <c r="J220" s="2327">
        <v>0.88</v>
      </c>
      <c r="K220" s="2327">
        <v>0.80080000000000007</v>
      </c>
      <c r="L220" s="2327">
        <v>0.74474400000000007</v>
      </c>
      <c r="M220" s="2327">
        <v>0.70005936000000002</v>
      </c>
      <c r="N220" s="2327">
        <v>0.665056392</v>
      </c>
      <c r="O220" s="2327">
        <v>0.63845413631999992</v>
      </c>
      <c r="P220" s="2327">
        <v>0.62568505359359994</v>
      </c>
      <c r="Q220" s="2327">
        <v>0.59440080091391989</v>
      </c>
      <c r="R220" s="2327">
        <v>0.56468076086822383</v>
      </c>
      <c r="S220" s="2327">
        <v>0.55903395325954164</v>
      </c>
      <c r="T220" s="2327">
        <v>0.55344361372694617</v>
      </c>
      <c r="U220" s="2331">
        <v>0.54237474145240727</v>
      </c>
    </row>
    <row r="221" spans="1:21" ht="24" customHeight="1">
      <c r="A221" s="2156"/>
      <c r="B221" s="2165"/>
      <c r="C221" s="2169"/>
      <c r="D221" s="1237" t="s">
        <v>1214</v>
      </c>
      <c r="E221" s="2329"/>
      <c r="F221" s="2330"/>
      <c r="G221" s="2330"/>
      <c r="H221" s="2330"/>
      <c r="I221" s="2330"/>
      <c r="J221" s="2327"/>
      <c r="K221" s="2327"/>
      <c r="L221" s="2327"/>
      <c r="M221" s="2327"/>
      <c r="N221" s="2327"/>
      <c r="O221" s="2327"/>
      <c r="P221" s="2327"/>
      <c r="Q221" s="2327"/>
      <c r="R221" s="2327"/>
      <c r="S221" s="2327"/>
      <c r="T221" s="2327"/>
      <c r="U221" s="2331"/>
    </row>
    <row r="222" spans="1:21" ht="24" customHeight="1">
      <c r="A222" s="2156"/>
      <c r="B222" s="2157" t="s">
        <v>1251</v>
      </c>
      <c r="C222" s="2168" t="s">
        <v>1246</v>
      </c>
      <c r="D222" s="1235" t="s">
        <v>1213</v>
      </c>
      <c r="E222" s="2329"/>
      <c r="F222" s="2330"/>
      <c r="G222" s="2330"/>
      <c r="H222" s="2330"/>
      <c r="I222" s="2330"/>
      <c r="J222" s="2330"/>
      <c r="K222" s="2327">
        <v>0.91</v>
      </c>
      <c r="L222" s="2327">
        <v>0.84630000000000005</v>
      </c>
      <c r="M222" s="2327">
        <v>0.79552199999999995</v>
      </c>
      <c r="N222" s="2327">
        <v>0.75574589999999997</v>
      </c>
      <c r="O222" s="2327">
        <v>0.72551606399999991</v>
      </c>
      <c r="P222" s="2327">
        <v>0.71100574271999994</v>
      </c>
      <c r="Q222" s="2327">
        <v>0.67545545558399989</v>
      </c>
      <c r="R222" s="2327">
        <v>0.6416826828047999</v>
      </c>
      <c r="S222" s="2327">
        <v>0.63526585597675189</v>
      </c>
      <c r="T222" s="2327">
        <v>0.62891319741698437</v>
      </c>
      <c r="U222" s="2331">
        <v>0.61633493346864465</v>
      </c>
    </row>
    <row r="223" spans="1:21" ht="24" customHeight="1">
      <c r="A223" s="2156"/>
      <c r="B223" s="2165"/>
      <c r="C223" s="2169"/>
      <c r="D223" s="1237" t="s">
        <v>1214</v>
      </c>
      <c r="E223" s="2329"/>
      <c r="F223" s="2330"/>
      <c r="G223" s="2330"/>
      <c r="H223" s="2330"/>
      <c r="I223" s="2330"/>
      <c r="J223" s="2330"/>
      <c r="K223" s="2327"/>
      <c r="L223" s="2327"/>
      <c r="M223" s="2327"/>
      <c r="N223" s="2327"/>
      <c r="O223" s="2327"/>
      <c r="P223" s="2327"/>
      <c r="Q223" s="2327"/>
      <c r="R223" s="2327"/>
      <c r="S223" s="2327"/>
      <c r="T223" s="2327"/>
      <c r="U223" s="2331"/>
    </row>
    <row r="224" spans="1:21" ht="24" customHeight="1">
      <c r="A224" s="2156"/>
      <c r="B224" s="2157" t="s">
        <v>1252</v>
      </c>
      <c r="C224" s="2168" t="s">
        <v>1246</v>
      </c>
      <c r="D224" s="1235" t="s">
        <v>1213</v>
      </c>
      <c r="E224" s="2329"/>
      <c r="F224" s="2330"/>
      <c r="G224" s="2330"/>
      <c r="H224" s="2330"/>
      <c r="I224" s="2330"/>
      <c r="J224" s="2330"/>
      <c r="K224" s="2330"/>
      <c r="L224" s="2327">
        <v>0.93</v>
      </c>
      <c r="M224" s="2327">
        <v>0.87419999999999998</v>
      </c>
      <c r="N224" s="2327">
        <v>0.83048999999999995</v>
      </c>
      <c r="O224" s="2327">
        <v>0.79727039999999993</v>
      </c>
      <c r="P224" s="2327">
        <v>0.78132499199999994</v>
      </c>
      <c r="Q224" s="2327">
        <v>0.74225874239999989</v>
      </c>
      <c r="R224" s="2327">
        <v>0.70514580527999982</v>
      </c>
      <c r="S224" s="2327">
        <v>0.69809434722719976</v>
      </c>
      <c r="T224" s="2327">
        <v>0.6911134037549278</v>
      </c>
      <c r="U224" s="2331">
        <v>0.67729113567982924</v>
      </c>
    </row>
    <row r="225" spans="1:21" ht="24" customHeight="1">
      <c r="A225" s="2156"/>
      <c r="B225" s="2165"/>
      <c r="C225" s="2169"/>
      <c r="D225" s="1237" t="s">
        <v>1214</v>
      </c>
      <c r="E225" s="2329"/>
      <c r="F225" s="2330"/>
      <c r="G225" s="2330"/>
      <c r="H225" s="2330"/>
      <c r="I225" s="2330"/>
      <c r="J225" s="2330"/>
      <c r="K225" s="2330"/>
      <c r="L225" s="2327"/>
      <c r="M225" s="2327"/>
      <c r="N225" s="2327"/>
      <c r="O225" s="2327"/>
      <c r="P225" s="2327"/>
      <c r="Q225" s="2327"/>
      <c r="R225" s="2327"/>
      <c r="S225" s="2327"/>
      <c r="T225" s="2327"/>
      <c r="U225" s="2331"/>
    </row>
    <row r="226" spans="1:21" ht="24" customHeight="1">
      <c r="A226" s="2156"/>
      <c r="B226" s="2157" t="s">
        <v>1253</v>
      </c>
      <c r="C226" s="2168" t="s">
        <v>1246</v>
      </c>
      <c r="D226" s="1235" t="s">
        <v>1213</v>
      </c>
      <c r="E226" s="2329"/>
      <c r="F226" s="2330"/>
      <c r="G226" s="2330"/>
      <c r="H226" s="2330"/>
      <c r="I226" s="2330"/>
      <c r="J226" s="2330"/>
      <c r="K226" s="2330"/>
      <c r="L226" s="2330"/>
      <c r="M226" s="2327">
        <v>0.94</v>
      </c>
      <c r="N226" s="2327">
        <v>0.8929999999999999</v>
      </c>
      <c r="O226" s="2327">
        <v>0.85727999999999993</v>
      </c>
      <c r="P226" s="2327">
        <v>0.84013439999999995</v>
      </c>
      <c r="Q226" s="2327">
        <v>0.79812767999999989</v>
      </c>
      <c r="R226" s="2327">
        <v>0.75822129599999988</v>
      </c>
      <c r="S226" s="2327">
        <v>0.75063908303999982</v>
      </c>
      <c r="T226" s="2327">
        <v>0.74313269220959977</v>
      </c>
      <c r="U226" s="2331">
        <v>0.72827003836540771</v>
      </c>
    </row>
    <row r="227" spans="1:21" ht="24" customHeight="1">
      <c r="A227" s="2156"/>
      <c r="B227" s="2165"/>
      <c r="C227" s="2169"/>
      <c r="D227" s="1237" t="s">
        <v>1214</v>
      </c>
      <c r="E227" s="2329"/>
      <c r="F227" s="2330"/>
      <c r="G227" s="2330"/>
      <c r="H227" s="2330"/>
      <c r="I227" s="2330"/>
      <c r="J227" s="2330"/>
      <c r="K227" s="2330"/>
      <c r="L227" s="2330"/>
      <c r="M227" s="2327"/>
      <c r="N227" s="2327"/>
      <c r="O227" s="2327"/>
      <c r="P227" s="2327"/>
      <c r="Q227" s="2327"/>
      <c r="R227" s="2327"/>
      <c r="S227" s="2327"/>
      <c r="T227" s="2327"/>
      <c r="U227" s="2331"/>
    </row>
    <row r="228" spans="1:21" ht="24" customHeight="1">
      <c r="A228" s="2156"/>
      <c r="B228" s="2157" t="s">
        <v>1254</v>
      </c>
      <c r="C228" s="2168" t="s">
        <v>1246</v>
      </c>
      <c r="D228" s="1235" t="s">
        <v>1213</v>
      </c>
      <c r="E228" s="2329"/>
      <c r="F228" s="2330"/>
      <c r="G228" s="2330"/>
      <c r="H228" s="2330"/>
      <c r="I228" s="2330"/>
      <c r="J228" s="2330"/>
      <c r="K228" s="2330"/>
      <c r="L228" s="2330"/>
      <c r="M228" s="2330"/>
      <c r="N228" s="2327">
        <v>0.95</v>
      </c>
      <c r="O228" s="2327">
        <v>0.91199999999999992</v>
      </c>
      <c r="P228" s="2327">
        <v>0.89375999999999989</v>
      </c>
      <c r="Q228" s="2327">
        <v>0.84907199999999983</v>
      </c>
      <c r="R228" s="2327">
        <v>0.80661839999999985</v>
      </c>
      <c r="S228" s="2327">
        <v>0.79855221599999981</v>
      </c>
      <c r="T228" s="2327">
        <v>0.79056669383999978</v>
      </c>
      <c r="U228" s="2331">
        <v>0.77475535996319977</v>
      </c>
    </row>
    <row r="229" spans="1:21" ht="24" customHeight="1">
      <c r="A229" s="2156"/>
      <c r="B229" s="2165"/>
      <c r="C229" s="2169"/>
      <c r="D229" s="1237" t="s">
        <v>1214</v>
      </c>
      <c r="E229" s="2329"/>
      <c r="F229" s="2330"/>
      <c r="G229" s="2330"/>
      <c r="H229" s="2330"/>
      <c r="I229" s="2330"/>
      <c r="J229" s="2330"/>
      <c r="K229" s="2330"/>
      <c r="L229" s="2330"/>
      <c r="M229" s="2330"/>
      <c r="N229" s="2327"/>
      <c r="O229" s="2327"/>
      <c r="P229" s="2327"/>
      <c r="Q229" s="2327"/>
      <c r="R229" s="2327"/>
      <c r="S229" s="2327"/>
      <c r="T229" s="2327"/>
      <c r="U229" s="2331"/>
    </row>
    <row r="230" spans="1:21" ht="24" customHeight="1">
      <c r="A230" s="2156"/>
      <c r="B230" s="2157" t="s">
        <v>1255</v>
      </c>
      <c r="C230" s="2168" t="s">
        <v>1246</v>
      </c>
      <c r="D230" s="1235" t="s">
        <v>1213</v>
      </c>
      <c r="E230" s="2329"/>
      <c r="F230" s="2330"/>
      <c r="G230" s="2330"/>
      <c r="H230" s="2330"/>
      <c r="I230" s="2330"/>
      <c r="J230" s="2330"/>
      <c r="K230" s="2330"/>
      <c r="L230" s="2330"/>
      <c r="M230" s="2330"/>
      <c r="N230" s="2330"/>
      <c r="O230" s="2327">
        <v>0.96</v>
      </c>
      <c r="P230" s="2327">
        <v>0.94079999999999997</v>
      </c>
      <c r="Q230" s="2327">
        <v>0.89375999999999989</v>
      </c>
      <c r="R230" s="2327">
        <v>0.84907199999999983</v>
      </c>
      <c r="S230" s="2327">
        <v>0.84058127999999988</v>
      </c>
      <c r="T230" s="2327">
        <v>0.83217546719999991</v>
      </c>
      <c r="U230" s="2331">
        <v>0.81553195785599986</v>
      </c>
    </row>
    <row r="231" spans="1:21" ht="24" customHeight="1">
      <c r="A231" s="2156"/>
      <c r="B231" s="2165"/>
      <c r="C231" s="2169"/>
      <c r="D231" s="1237" t="s">
        <v>1214</v>
      </c>
      <c r="E231" s="2329"/>
      <c r="F231" s="2330"/>
      <c r="G231" s="2330"/>
      <c r="H231" s="2330"/>
      <c r="I231" s="2330"/>
      <c r="J231" s="2330"/>
      <c r="K231" s="2330"/>
      <c r="L231" s="2330"/>
      <c r="M231" s="2330"/>
      <c r="N231" s="2330"/>
      <c r="O231" s="2327"/>
      <c r="P231" s="2327"/>
      <c r="Q231" s="2327"/>
      <c r="R231" s="2327"/>
      <c r="S231" s="2327"/>
      <c r="T231" s="2327"/>
      <c r="U231" s="2331"/>
    </row>
    <row r="232" spans="1:21" ht="24" customHeight="1">
      <c r="A232" s="2156"/>
      <c r="B232" s="2157" t="s">
        <v>1256</v>
      </c>
      <c r="C232" s="2168" t="s">
        <v>1246</v>
      </c>
      <c r="D232" s="1235" t="s">
        <v>1213</v>
      </c>
      <c r="E232" s="2329"/>
      <c r="F232" s="2330"/>
      <c r="G232" s="2330"/>
      <c r="H232" s="2330"/>
      <c r="I232" s="2330"/>
      <c r="J232" s="2330"/>
      <c r="K232" s="2330"/>
      <c r="L232" s="2330"/>
      <c r="M232" s="2330"/>
      <c r="N232" s="2330"/>
      <c r="O232" s="2330"/>
      <c r="P232" s="2327">
        <v>0.98</v>
      </c>
      <c r="Q232" s="2327">
        <v>0.93099999999999994</v>
      </c>
      <c r="R232" s="2327">
        <v>0.88444999999999985</v>
      </c>
      <c r="S232" s="2327">
        <v>0.87560549999999981</v>
      </c>
      <c r="T232" s="2327">
        <v>0.86684944499999983</v>
      </c>
      <c r="U232" s="2331">
        <v>0.84951245609999981</v>
      </c>
    </row>
    <row r="233" spans="1:21" ht="24" customHeight="1">
      <c r="A233" s="2156"/>
      <c r="B233" s="2165"/>
      <c r="C233" s="2169"/>
      <c r="D233" s="1237" t="s">
        <v>1214</v>
      </c>
      <c r="E233" s="2329"/>
      <c r="F233" s="2330"/>
      <c r="G233" s="2330"/>
      <c r="H233" s="2330"/>
      <c r="I233" s="2330"/>
      <c r="J233" s="2330"/>
      <c r="K233" s="2330"/>
      <c r="L233" s="2330"/>
      <c r="M233" s="2330"/>
      <c r="N233" s="2330"/>
      <c r="O233" s="2330"/>
      <c r="P233" s="2327"/>
      <c r="Q233" s="2327"/>
      <c r="R233" s="2327"/>
      <c r="S233" s="2327"/>
      <c r="T233" s="2327"/>
      <c r="U233" s="2331"/>
    </row>
    <row r="234" spans="1:21" ht="24" customHeight="1">
      <c r="A234" s="2156"/>
      <c r="B234" s="2157" t="s">
        <v>1257</v>
      </c>
      <c r="C234" s="2168" t="s">
        <v>1246</v>
      </c>
      <c r="D234" s="1235" t="s">
        <v>1213</v>
      </c>
      <c r="E234" s="2329"/>
      <c r="F234" s="2330"/>
      <c r="G234" s="2330"/>
      <c r="H234" s="2330"/>
      <c r="I234" s="2330"/>
      <c r="J234" s="2330"/>
      <c r="K234" s="2330"/>
      <c r="L234" s="2330"/>
      <c r="M234" s="2330"/>
      <c r="N234" s="2330"/>
      <c r="O234" s="2330"/>
      <c r="P234" s="2330"/>
      <c r="Q234" s="2327">
        <v>0.95</v>
      </c>
      <c r="R234" s="2327">
        <v>0.90249999999999997</v>
      </c>
      <c r="S234" s="2327">
        <v>0.89347499999999991</v>
      </c>
      <c r="T234" s="2327">
        <v>0.88454024999999992</v>
      </c>
      <c r="U234" s="2331">
        <v>0.86684944499999994</v>
      </c>
    </row>
    <row r="235" spans="1:21" ht="24" customHeight="1">
      <c r="A235" s="2156"/>
      <c r="B235" s="2165"/>
      <c r="C235" s="2169"/>
      <c r="D235" s="1237" t="s">
        <v>1214</v>
      </c>
      <c r="E235" s="2329"/>
      <c r="F235" s="2330"/>
      <c r="G235" s="2330"/>
      <c r="H235" s="2330"/>
      <c r="I235" s="2330"/>
      <c r="J235" s="2330"/>
      <c r="K235" s="2330"/>
      <c r="L235" s="2330"/>
      <c r="M235" s="2330"/>
      <c r="N235" s="2330"/>
      <c r="O235" s="2330"/>
      <c r="P235" s="2330"/>
      <c r="Q235" s="2327"/>
      <c r="R235" s="2327"/>
      <c r="S235" s="2327"/>
      <c r="T235" s="2327"/>
      <c r="U235" s="2331"/>
    </row>
    <row r="236" spans="1:21" ht="24" customHeight="1">
      <c r="A236" s="2156"/>
      <c r="B236" s="2157" t="s">
        <v>1258</v>
      </c>
      <c r="C236" s="2168" t="s">
        <v>1246</v>
      </c>
      <c r="D236" s="1235" t="s">
        <v>1213</v>
      </c>
      <c r="E236" s="2329"/>
      <c r="F236" s="2330"/>
      <c r="G236" s="2330"/>
      <c r="H236" s="2330"/>
      <c r="I236" s="2330"/>
      <c r="J236" s="2330"/>
      <c r="K236" s="2330"/>
      <c r="L236" s="2330"/>
      <c r="M236" s="2330"/>
      <c r="N236" s="2330"/>
      <c r="O236" s="2330"/>
      <c r="P236" s="2330"/>
      <c r="Q236" s="2330"/>
      <c r="R236" s="2327">
        <v>0.95</v>
      </c>
      <c r="S236" s="2327">
        <v>0.9405</v>
      </c>
      <c r="T236" s="2327">
        <v>0.93109500000000001</v>
      </c>
      <c r="U236" s="2331">
        <v>0.91247310000000004</v>
      </c>
    </row>
    <row r="237" spans="1:21" ht="24" customHeight="1">
      <c r="A237" s="2156"/>
      <c r="B237" s="2165"/>
      <c r="C237" s="2169"/>
      <c r="D237" s="1237" t="s">
        <v>1214</v>
      </c>
      <c r="E237" s="2329"/>
      <c r="F237" s="2330"/>
      <c r="G237" s="2330"/>
      <c r="H237" s="2330"/>
      <c r="I237" s="2330"/>
      <c r="J237" s="2330"/>
      <c r="K237" s="2330"/>
      <c r="L237" s="2330"/>
      <c r="M237" s="2330"/>
      <c r="N237" s="2330"/>
      <c r="O237" s="2330"/>
      <c r="P237" s="2330"/>
      <c r="Q237" s="2330"/>
      <c r="R237" s="2327"/>
      <c r="S237" s="2327"/>
      <c r="T237" s="2327"/>
      <c r="U237" s="2331"/>
    </row>
    <row r="238" spans="1:21" ht="24" customHeight="1">
      <c r="A238" s="2156"/>
      <c r="B238" s="2157" t="s">
        <v>1259</v>
      </c>
      <c r="C238" s="2168" t="s">
        <v>1246</v>
      </c>
      <c r="D238" s="1235" t="s">
        <v>1213</v>
      </c>
      <c r="E238" s="2329"/>
      <c r="F238" s="2330"/>
      <c r="G238" s="2330"/>
      <c r="H238" s="2330"/>
      <c r="I238" s="2330"/>
      <c r="J238" s="2330"/>
      <c r="K238" s="2330"/>
      <c r="L238" s="2330"/>
      <c r="M238" s="2330"/>
      <c r="N238" s="2330"/>
      <c r="O238" s="2330"/>
      <c r="P238" s="2330"/>
      <c r="Q238" s="2330"/>
      <c r="R238" s="2330"/>
      <c r="S238" s="2327">
        <v>0.99</v>
      </c>
      <c r="T238" s="2327">
        <v>0.98009999999999997</v>
      </c>
      <c r="U238" s="2331">
        <v>0.96049799999999996</v>
      </c>
    </row>
    <row r="239" spans="1:21" ht="24" customHeight="1">
      <c r="A239" s="2156"/>
      <c r="B239" s="2165"/>
      <c r="C239" s="2169"/>
      <c r="D239" s="1237" t="s">
        <v>1214</v>
      </c>
      <c r="E239" s="2329"/>
      <c r="F239" s="2330"/>
      <c r="G239" s="2330"/>
      <c r="H239" s="2330"/>
      <c r="I239" s="2330"/>
      <c r="J239" s="2330"/>
      <c r="K239" s="2330"/>
      <c r="L239" s="2330"/>
      <c r="M239" s="2330"/>
      <c r="N239" s="2330"/>
      <c r="O239" s="2330"/>
      <c r="P239" s="2330"/>
      <c r="Q239" s="2330"/>
      <c r="R239" s="2330"/>
      <c r="S239" s="2327"/>
      <c r="T239" s="2327"/>
      <c r="U239" s="2331"/>
    </row>
    <row r="240" spans="1:21" ht="24" customHeight="1">
      <c r="A240" s="2156"/>
      <c r="B240" s="2157" t="s">
        <v>1260</v>
      </c>
      <c r="C240" s="2168" t="s">
        <v>1246</v>
      </c>
      <c r="D240" s="1235" t="s">
        <v>1213</v>
      </c>
      <c r="E240" s="2329"/>
      <c r="F240" s="2330"/>
      <c r="G240" s="2330"/>
      <c r="H240" s="2330"/>
      <c r="I240" s="2330"/>
      <c r="J240" s="2330"/>
      <c r="K240" s="2330"/>
      <c r="L240" s="2330"/>
      <c r="M240" s="2330"/>
      <c r="N240" s="2330"/>
      <c r="O240" s="2330"/>
      <c r="P240" s="2330"/>
      <c r="Q240" s="2330"/>
      <c r="R240" s="2330"/>
      <c r="S240" s="2330"/>
      <c r="T240" s="2327">
        <v>0.99</v>
      </c>
      <c r="U240" s="2331">
        <v>0.97019999999999995</v>
      </c>
    </row>
    <row r="241" spans="1:21" ht="24" customHeight="1">
      <c r="A241" s="2156"/>
      <c r="B241" s="2165"/>
      <c r="C241" s="2169"/>
      <c r="D241" s="1237" t="s">
        <v>1214</v>
      </c>
      <c r="E241" s="2329"/>
      <c r="F241" s="2330"/>
      <c r="G241" s="2330"/>
      <c r="H241" s="2330"/>
      <c r="I241" s="2330"/>
      <c r="J241" s="2330"/>
      <c r="K241" s="2330"/>
      <c r="L241" s="2330"/>
      <c r="M241" s="2330"/>
      <c r="N241" s="2330"/>
      <c r="O241" s="2330"/>
      <c r="P241" s="2330"/>
      <c r="Q241" s="2330"/>
      <c r="R241" s="2330"/>
      <c r="S241" s="2330"/>
      <c r="T241" s="2327"/>
      <c r="U241" s="2331"/>
    </row>
    <row r="242" spans="1:21" ht="24" customHeight="1">
      <c r="A242" s="2156"/>
      <c r="B242" s="2157" t="s">
        <v>1261</v>
      </c>
      <c r="C242" s="2168" t="s">
        <v>1246</v>
      </c>
      <c r="D242" s="1235" t="s">
        <v>1213</v>
      </c>
      <c r="E242" s="2329"/>
      <c r="F242" s="2330"/>
      <c r="G242" s="2330"/>
      <c r="H242" s="2330"/>
      <c r="I242" s="2330"/>
      <c r="J242" s="2330"/>
      <c r="K242" s="2330"/>
      <c r="L242" s="2330"/>
      <c r="M242" s="2330"/>
      <c r="N242" s="2330"/>
      <c r="O242" s="2330"/>
      <c r="P242" s="2330"/>
      <c r="Q242" s="2330"/>
      <c r="R242" s="2330"/>
      <c r="S242" s="2330"/>
      <c r="T242" s="2330"/>
      <c r="U242" s="2331">
        <v>0.98</v>
      </c>
    </row>
    <row r="243" spans="1:21" ht="24" customHeight="1">
      <c r="A243" s="2156"/>
      <c r="B243" s="2165"/>
      <c r="C243" s="2169"/>
      <c r="D243" s="1237" t="s">
        <v>1214</v>
      </c>
      <c r="E243" s="2329"/>
      <c r="F243" s="2330"/>
      <c r="G243" s="2330"/>
      <c r="H243" s="2330"/>
      <c r="I243" s="2330"/>
      <c r="J243" s="2330"/>
      <c r="K243" s="2330"/>
      <c r="L243" s="2330"/>
      <c r="M243" s="2330"/>
      <c r="N243" s="2330"/>
      <c r="O243" s="2330"/>
      <c r="P243" s="2330"/>
      <c r="Q243" s="2330"/>
      <c r="R243" s="2330"/>
      <c r="S243" s="2330"/>
      <c r="T243" s="2330"/>
      <c r="U243" s="2331"/>
    </row>
    <row r="244" spans="1:21" ht="24" customHeight="1">
      <c r="A244" s="2156"/>
      <c r="B244" s="2157" t="s">
        <v>1262</v>
      </c>
      <c r="C244" s="2168" t="s">
        <v>1246</v>
      </c>
      <c r="D244" s="1235" t="s">
        <v>1213</v>
      </c>
      <c r="E244" s="2329"/>
      <c r="F244" s="2330"/>
      <c r="G244" s="2330"/>
      <c r="H244" s="2330"/>
      <c r="I244" s="2330"/>
      <c r="J244" s="2330"/>
      <c r="K244" s="2330"/>
      <c r="L244" s="2330"/>
      <c r="M244" s="2330"/>
      <c r="N244" s="2330"/>
      <c r="O244" s="2330"/>
      <c r="P244" s="2330"/>
      <c r="Q244" s="2330"/>
      <c r="R244" s="2330"/>
      <c r="S244" s="2330"/>
      <c r="T244" s="2330"/>
      <c r="U244" s="2333"/>
    </row>
    <row r="245" spans="1:21" ht="24" customHeight="1">
      <c r="A245" s="2156"/>
      <c r="B245" s="2165"/>
      <c r="C245" s="2332"/>
      <c r="D245" s="1237" t="s">
        <v>1214</v>
      </c>
      <c r="E245" s="2329"/>
      <c r="F245" s="2330"/>
      <c r="G245" s="2330"/>
      <c r="H245" s="2330"/>
      <c r="I245" s="2330"/>
      <c r="J245" s="2330"/>
      <c r="K245" s="2330"/>
      <c r="L245" s="2330"/>
      <c r="M245" s="2330"/>
      <c r="N245" s="2330"/>
      <c r="O245" s="2330"/>
      <c r="P245" s="2330"/>
      <c r="Q245" s="2330"/>
      <c r="R245" s="2330"/>
      <c r="S245" s="2330"/>
      <c r="T245" s="2330"/>
      <c r="U245" s="2333"/>
    </row>
    <row r="246" spans="1:21" ht="24" customHeight="1">
      <c r="A246" s="2156" t="s">
        <v>1225</v>
      </c>
      <c r="B246" s="2157" t="s">
        <v>1245</v>
      </c>
      <c r="C246" s="2168" t="s">
        <v>1246</v>
      </c>
      <c r="D246" s="1235" t="s">
        <v>1213</v>
      </c>
      <c r="E246" s="2328"/>
      <c r="F246" s="2327">
        <v>0.63</v>
      </c>
      <c r="G246" s="2327">
        <v>0.47250000000000003</v>
      </c>
      <c r="H246" s="2327">
        <v>0.4536</v>
      </c>
      <c r="I246" s="2327">
        <v>0.44452799999999998</v>
      </c>
      <c r="J246" s="2327">
        <v>0.39118463999999997</v>
      </c>
      <c r="K246" s="2327">
        <v>0.35597802239999998</v>
      </c>
      <c r="L246" s="2327">
        <v>0.331059560832</v>
      </c>
      <c r="M246" s="2327">
        <v>0.3145065827904</v>
      </c>
      <c r="N246" s="2327">
        <v>0.29878125365087999</v>
      </c>
      <c r="O246" s="2327">
        <v>0.28683000350484478</v>
      </c>
      <c r="P246" s="2327">
        <v>0.28396170346979632</v>
      </c>
      <c r="Q246" s="2327">
        <v>0.26692400126160853</v>
      </c>
      <c r="R246" s="2327">
        <v>0.25624704121114417</v>
      </c>
      <c r="S246" s="2327">
        <v>0.25112210038692129</v>
      </c>
      <c r="T246" s="2327">
        <v>0.24861087938305207</v>
      </c>
      <c r="U246" s="2331">
        <v>0.24363866179539104</v>
      </c>
    </row>
    <row r="247" spans="1:21" ht="24" customHeight="1">
      <c r="A247" s="2156"/>
      <c r="B247" s="2165"/>
      <c r="C247" s="2169"/>
      <c r="D247" s="1237" t="s">
        <v>1214</v>
      </c>
      <c r="E247" s="2328"/>
      <c r="F247" s="2327"/>
      <c r="G247" s="2327"/>
      <c r="H247" s="2327"/>
      <c r="I247" s="2327"/>
      <c r="J247" s="2327"/>
      <c r="K247" s="2327"/>
      <c r="L247" s="2327"/>
      <c r="M247" s="2327"/>
      <c r="N247" s="2327"/>
      <c r="O247" s="2327"/>
      <c r="P247" s="2327"/>
      <c r="Q247" s="2327"/>
      <c r="R247" s="2327"/>
      <c r="S247" s="2327"/>
      <c r="T247" s="2327"/>
      <c r="U247" s="2331"/>
    </row>
    <row r="248" spans="1:21" ht="24" customHeight="1">
      <c r="A248" s="2156"/>
      <c r="B248" s="2157" t="s">
        <v>1247</v>
      </c>
      <c r="C248" s="2168" t="s">
        <v>1246</v>
      </c>
      <c r="D248" s="1235" t="s">
        <v>1213</v>
      </c>
      <c r="E248" s="2329"/>
      <c r="F248" s="2330"/>
      <c r="G248" s="2327">
        <v>0.75</v>
      </c>
      <c r="H248" s="2327">
        <v>0.72</v>
      </c>
      <c r="I248" s="2327">
        <v>0.7056</v>
      </c>
      <c r="J248" s="2327">
        <v>0.62092800000000004</v>
      </c>
      <c r="K248" s="2327">
        <v>0.56504448000000007</v>
      </c>
      <c r="L248" s="2327">
        <v>0.52549136640000005</v>
      </c>
      <c r="M248" s="2327">
        <v>0.49921679808000002</v>
      </c>
      <c r="N248" s="2327">
        <v>0.47425595817600003</v>
      </c>
      <c r="O248" s="2327">
        <v>0.45528571984895999</v>
      </c>
      <c r="P248" s="2327">
        <v>0.45073286265047041</v>
      </c>
      <c r="Q248" s="2327">
        <v>0.42368889089144218</v>
      </c>
      <c r="R248" s="2327">
        <v>0.40674133525578449</v>
      </c>
      <c r="S248" s="2327">
        <v>0.39860650855066881</v>
      </c>
      <c r="T248" s="2327">
        <v>0.39462044346516212</v>
      </c>
      <c r="U248" s="2331">
        <v>0.38672803459585886</v>
      </c>
    </row>
    <row r="249" spans="1:21" ht="24" customHeight="1">
      <c r="A249" s="2156"/>
      <c r="B249" s="2165"/>
      <c r="C249" s="2169"/>
      <c r="D249" s="1237" t="s">
        <v>1214</v>
      </c>
      <c r="E249" s="2329"/>
      <c r="F249" s="2330"/>
      <c r="G249" s="2327"/>
      <c r="H249" s="2327"/>
      <c r="I249" s="2327"/>
      <c r="J249" s="2327"/>
      <c r="K249" s="2327"/>
      <c r="L249" s="2327"/>
      <c r="M249" s="2327"/>
      <c r="N249" s="2327"/>
      <c r="O249" s="2327"/>
      <c r="P249" s="2327"/>
      <c r="Q249" s="2327"/>
      <c r="R249" s="2327"/>
      <c r="S249" s="2327"/>
      <c r="T249" s="2327"/>
      <c r="U249" s="2331"/>
    </row>
    <row r="250" spans="1:21" ht="24" customHeight="1">
      <c r="A250" s="2156"/>
      <c r="B250" s="2157" t="s">
        <v>1248</v>
      </c>
      <c r="C250" s="2168" t="s">
        <v>1246</v>
      </c>
      <c r="D250" s="1235" t="s">
        <v>1213</v>
      </c>
      <c r="E250" s="2329"/>
      <c r="F250" s="2330"/>
      <c r="G250" s="2330"/>
      <c r="H250" s="2327">
        <v>0.96</v>
      </c>
      <c r="I250" s="2327">
        <v>0.94079999999999997</v>
      </c>
      <c r="J250" s="2327">
        <v>0.82790399999999997</v>
      </c>
      <c r="K250" s="2327">
        <v>0.75339263999999995</v>
      </c>
      <c r="L250" s="2327">
        <v>0.70065515519999999</v>
      </c>
      <c r="M250" s="2327">
        <v>0.66562239743999996</v>
      </c>
      <c r="N250" s="2327">
        <v>0.63234127756799996</v>
      </c>
      <c r="O250" s="2327">
        <v>0.60704762646527999</v>
      </c>
      <c r="P250" s="2327">
        <v>0.60097715020062714</v>
      </c>
      <c r="Q250" s="2327">
        <v>0.56491852118858943</v>
      </c>
      <c r="R250" s="2327">
        <v>0.54232178034104583</v>
      </c>
      <c r="S250" s="2327">
        <v>0.53147534473422486</v>
      </c>
      <c r="T250" s="2327">
        <v>0.52616059128688264</v>
      </c>
      <c r="U250" s="2331">
        <v>0.51563737946114496</v>
      </c>
    </row>
    <row r="251" spans="1:21" ht="24" customHeight="1">
      <c r="A251" s="2156"/>
      <c r="B251" s="2165"/>
      <c r="C251" s="2169"/>
      <c r="D251" s="1237" t="s">
        <v>1214</v>
      </c>
      <c r="E251" s="2329"/>
      <c r="F251" s="2330"/>
      <c r="G251" s="2330"/>
      <c r="H251" s="2327"/>
      <c r="I251" s="2327"/>
      <c r="J251" s="2327"/>
      <c r="K251" s="2327"/>
      <c r="L251" s="2327"/>
      <c r="M251" s="2327"/>
      <c r="N251" s="2327"/>
      <c r="O251" s="2327"/>
      <c r="P251" s="2327"/>
      <c r="Q251" s="2327"/>
      <c r="R251" s="2327"/>
      <c r="S251" s="2327"/>
      <c r="T251" s="2327"/>
      <c r="U251" s="2331"/>
    </row>
    <row r="252" spans="1:21" ht="24" customHeight="1">
      <c r="A252" s="2156"/>
      <c r="B252" s="2157" t="s">
        <v>1249</v>
      </c>
      <c r="C252" s="2168" t="s">
        <v>1246</v>
      </c>
      <c r="D252" s="1235" t="s">
        <v>1213</v>
      </c>
      <c r="E252" s="2329"/>
      <c r="F252" s="2330"/>
      <c r="G252" s="2330"/>
      <c r="H252" s="2330"/>
      <c r="I252" s="2327">
        <v>0.98</v>
      </c>
      <c r="J252" s="2327">
        <v>0.86239999999999994</v>
      </c>
      <c r="K252" s="2327">
        <v>0.78478399999999993</v>
      </c>
      <c r="L252" s="2327">
        <v>0.72984912000000002</v>
      </c>
      <c r="M252" s="2327">
        <v>0.69335666399999996</v>
      </c>
      <c r="N252" s="2327">
        <v>0.65868883079999996</v>
      </c>
      <c r="O252" s="2327">
        <v>0.63234127756799996</v>
      </c>
      <c r="P252" s="2327">
        <v>0.62601786479231991</v>
      </c>
      <c r="Q252" s="2327">
        <v>0.5884567929047807</v>
      </c>
      <c r="R252" s="2327">
        <v>0.56491852118858943</v>
      </c>
      <c r="S252" s="2327">
        <v>0.55362015076481763</v>
      </c>
      <c r="T252" s="2327">
        <v>0.54808394925716941</v>
      </c>
      <c r="U252" s="2331">
        <v>0.53712227027202597</v>
      </c>
    </row>
    <row r="253" spans="1:21" ht="24" customHeight="1">
      <c r="A253" s="2156"/>
      <c r="B253" s="2165"/>
      <c r="C253" s="2169"/>
      <c r="D253" s="1237" t="s">
        <v>1214</v>
      </c>
      <c r="E253" s="2329"/>
      <c r="F253" s="2330"/>
      <c r="G253" s="2330"/>
      <c r="H253" s="2330"/>
      <c r="I253" s="2327"/>
      <c r="J253" s="2327"/>
      <c r="K253" s="2327"/>
      <c r="L253" s="2327"/>
      <c r="M253" s="2327"/>
      <c r="N253" s="2327"/>
      <c r="O253" s="2327"/>
      <c r="P253" s="2327"/>
      <c r="Q253" s="2327"/>
      <c r="R253" s="2327"/>
      <c r="S253" s="2327"/>
      <c r="T253" s="2327"/>
      <c r="U253" s="2331"/>
    </row>
    <row r="254" spans="1:21" ht="24" customHeight="1">
      <c r="A254" s="2156"/>
      <c r="B254" s="2157" t="s">
        <v>1250</v>
      </c>
      <c r="C254" s="2168" t="s">
        <v>1246</v>
      </c>
      <c r="D254" s="1235" t="s">
        <v>1213</v>
      </c>
      <c r="E254" s="2329"/>
      <c r="F254" s="2330"/>
      <c r="G254" s="2330"/>
      <c r="H254" s="2330"/>
      <c r="I254" s="2330"/>
      <c r="J254" s="2327">
        <v>0.88</v>
      </c>
      <c r="K254" s="2327">
        <v>0.80080000000000007</v>
      </c>
      <c r="L254" s="2327">
        <v>0.74474400000000007</v>
      </c>
      <c r="M254" s="2327">
        <v>0.70750679999999999</v>
      </c>
      <c r="N254" s="2327">
        <v>0.67213146000000001</v>
      </c>
      <c r="O254" s="2327">
        <v>0.64524620160000001</v>
      </c>
      <c r="P254" s="2327">
        <v>0.63879373958399999</v>
      </c>
      <c r="Q254" s="2327">
        <v>0.60046611520895998</v>
      </c>
      <c r="R254" s="2327">
        <v>0.57644747060060153</v>
      </c>
      <c r="S254" s="2327">
        <v>0.56491852118858954</v>
      </c>
      <c r="T254" s="2327">
        <v>0.55926933597670359</v>
      </c>
      <c r="U254" s="2331">
        <v>0.54808394925716952</v>
      </c>
    </row>
    <row r="255" spans="1:21" ht="24" customHeight="1">
      <c r="A255" s="2156"/>
      <c r="B255" s="2165"/>
      <c r="C255" s="2169"/>
      <c r="D255" s="1237" t="s">
        <v>1214</v>
      </c>
      <c r="E255" s="2329"/>
      <c r="F255" s="2330"/>
      <c r="G255" s="2330"/>
      <c r="H255" s="2330"/>
      <c r="I255" s="2330"/>
      <c r="J255" s="2327"/>
      <c r="K255" s="2327"/>
      <c r="L255" s="2327"/>
      <c r="M255" s="2327"/>
      <c r="N255" s="2327"/>
      <c r="O255" s="2327"/>
      <c r="P255" s="2327"/>
      <c r="Q255" s="2327"/>
      <c r="R255" s="2327"/>
      <c r="S255" s="2327"/>
      <c r="T255" s="2327"/>
      <c r="U255" s="2331"/>
    </row>
    <row r="256" spans="1:21" ht="24" customHeight="1">
      <c r="A256" s="2156"/>
      <c r="B256" s="2157" t="s">
        <v>1251</v>
      </c>
      <c r="C256" s="2168" t="s">
        <v>1246</v>
      </c>
      <c r="D256" s="1235" t="s">
        <v>1213</v>
      </c>
      <c r="E256" s="2329"/>
      <c r="F256" s="2330"/>
      <c r="G256" s="2330"/>
      <c r="H256" s="2330"/>
      <c r="I256" s="2330"/>
      <c r="J256" s="2330"/>
      <c r="K256" s="2327">
        <v>0.91</v>
      </c>
      <c r="L256" s="2327">
        <v>0.84630000000000005</v>
      </c>
      <c r="M256" s="2327">
        <v>0.80398500000000006</v>
      </c>
      <c r="N256" s="2327">
        <v>0.76378575000000004</v>
      </c>
      <c r="O256" s="2327">
        <v>0.73323431999999999</v>
      </c>
      <c r="P256" s="2327">
        <v>0.72590197680000002</v>
      </c>
      <c r="Q256" s="2327">
        <v>0.68234785819199995</v>
      </c>
      <c r="R256" s="2327">
        <v>0.65505394386431992</v>
      </c>
      <c r="S256" s="2327">
        <v>0.64195286498703352</v>
      </c>
      <c r="T256" s="2327">
        <v>0.63553333633716313</v>
      </c>
      <c r="U256" s="2331">
        <v>0.62282266961041988</v>
      </c>
    </row>
    <row r="257" spans="1:21" ht="24" customHeight="1">
      <c r="A257" s="2156"/>
      <c r="B257" s="2165"/>
      <c r="C257" s="2169"/>
      <c r="D257" s="1237" t="s">
        <v>1214</v>
      </c>
      <c r="E257" s="2329"/>
      <c r="F257" s="2330"/>
      <c r="G257" s="2330"/>
      <c r="H257" s="2330"/>
      <c r="I257" s="2330"/>
      <c r="J257" s="2330"/>
      <c r="K257" s="2327"/>
      <c r="L257" s="2327"/>
      <c r="M257" s="2327"/>
      <c r="N257" s="2327"/>
      <c r="O257" s="2327"/>
      <c r="P257" s="2327"/>
      <c r="Q257" s="2327"/>
      <c r="R257" s="2327"/>
      <c r="S257" s="2327"/>
      <c r="T257" s="2327"/>
      <c r="U257" s="2331"/>
    </row>
    <row r="258" spans="1:21" ht="24" customHeight="1">
      <c r="A258" s="2156"/>
      <c r="B258" s="2157" t="s">
        <v>1252</v>
      </c>
      <c r="C258" s="2168" t="s">
        <v>1246</v>
      </c>
      <c r="D258" s="1235" t="s">
        <v>1213</v>
      </c>
      <c r="E258" s="2329"/>
      <c r="F258" s="2330"/>
      <c r="G258" s="2330"/>
      <c r="H258" s="2330"/>
      <c r="I258" s="2330"/>
      <c r="J258" s="2330"/>
      <c r="K258" s="2330"/>
      <c r="L258" s="2327">
        <v>0.93</v>
      </c>
      <c r="M258" s="2327">
        <v>0.88349999999999995</v>
      </c>
      <c r="N258" s="2327">
        <v>0.83932499999999988</v>
      </c>
      <c r="O258" s="2327">
        <v>0.8057519999999998</v>
      </c>
      <c r="P258" s="2327">
        <v>0.79769447999999976</v>
      </c>
      <c r="Q258" s="2327">
        <v>0.74983281119999978</v>
      </c>
      <c r="R258" s="2327">
        <v>0.71983949875199982</v>
      </c>
      <c r="S258" s="2327">
        <v>0.7054427087769598</v>
      </c>
      <c r="T258" s="2327">
        <v>0.6983882816891902</v>
      </c>
      <c r="U258" s="2331">
        <v>0.68442051605540644</v>
      </c>
    </row>
    <row r="259" spans="1:21" ht="24" customHeight="1">
      <c r="A259" s="2156"/>
      <c r="B259" s="2165"/>
      <c r="C259" s="2169"/>
      <c r="D259" s="1237" t="s">
        <v>1214</v>
      </c>
      <c r="E259" s="2329"/>
      <c r="F259" s="2330"/>
      <c r="G259" s="2330"/>
      <c r="H259" s="2330"/>
      <c r="I259" s="2330"/>
      <c r="J259" s="2330"/>
      <c r="K259" s="2330"/>
      <c r="L259" s="2327"/>
      <c r="M259" s="2327"/>
      <c r="N259" s="2327"/>
      <c r="O259" s="2327"/>
      <c r="P259" s="2327"/>
      <c r="Q259" s="2327"/>
      <c r="R259" s="2327"/>
      <c r="S259" s="2327"/>
      <c r="T259" s="2327"/>
      <c r="U259" s="2331"/>
    </row>
    <row r="260" spans="1:21" ht="24" customHeight="1">
      <c r="A260" s="2156"/>
      <c r="B260" s="2157" t="s">
        <v>1253</v>
      </c>
      <c r="C260" s="2168" t="s">
        <v>1246</v>
      </c>
      <c r="D260" s="1235" t="s">
        <v>1213</v>
      </c>
      <c r="E260" s="2329"/>
      <c r="F260" s="2330"/>
      <c r="G260" s="2330"/>
      <c r="H260" s="2330"/>
      <c r="I260" s="2330"/>
      <c r="J260" s="2330"/>
      <c r="K260" s="2330"/>
      <c r="L260" s="2330"/>
      <c r="M260" s="2327">
        <v>0.95</v>
      </c>
      <c r="N260" s="2327">
        <v>0.90249999999999997</v>
      </c>
      <c r="O260" s="2327">
        <v>0.86639999999999995</v>
      </c>
      <c r="P260" s="2327">
        <v>0.85773599999999994</v>
      </c>
      <c r="Q260" s="2327">
        <v>0.80627183999999985</v>
      </c>
      <c r="R260" s="2327">
        <v>0.77402096639999984</v>
      </c>
      <c r="S260" s="2327">
        <v>0.7585405470719998</v>
      </c>
      <c r="T260" s="2327">
        <v>0.75095514160127985</v>
      </c>
      <c r="U260" s="2331">
        <v>0.73593603876925429</v>
      </c>
    </row>
    <row r="261" spans="1:21" ht="24" customHeight="1">
      <c r="A261" s="2156"/>
      <c r="B261" s="2165"/>
      <c r="C261" s="2169"/>
      <c r="D261" s="1237" t="s">
        <v>1214</v>
      </c>
      <c r="E261" s="2329"/>
      <c r="F261" s="2330"/>
      <c r="G261" s="2330"/>
      <c r="H261" s="2330"/>
      <c r="I261" s="2330"/>
      <c r="J261" s="2330"/>
      <c r="K261" s="2330"/>
      <c r="L261" s="2330"/>
      <c r="M261" s="2327"/>
      <c r="N261" s="2327"/>
      <c r="O261" s="2327"/>
      <c r="P261" s="2327"/>
      <c r="Q261" s="2327"/>
      <c r="R261" s="2327"/>
      <c r="S261" s="2327"/>
      <c r="T261" s="2327"/>
      <c r="U261" s="2331"/>
    </row>
    <row r="262" spans="1:21" ht="24" customHeight="1">
      <c r="A262" s="2156"/>
      <c r="B262" s="2157" t="s">
        <v>1254</v>
      </c>
      <c r="C262" s="2168" t="s">
        <v>1246</v>
      </c>
      <c r="D262" s="1235" t="s">
        <v>1213</v>
      </c>
      <c r="E262" s="2329"/>
      <c r="F262" s="2330"/>
      <c r="G262" s="2330"/>
      <c r="H262" s="2330"/>
      <c r="I262" s="2330"/>
      <c r="J262" s="2330"/>
      <c r="K262" s="2330"/>
      <c r="L262" s="2330"/>
      <c r="M262" s="2330"/>
      <c r="N262" s="2327">
        <v>0.95</v>
      </c>
      <c r="O262" s="2327">
        <v>0.91199999999999992</v>
      </c>
      <c r="P262" s="2327">
        <v>0.9028799999999999</v>
      </c>
      <c r="Q262" s="2327">
        <v>0.84870719999999988</v>
      </c>
      <c r="R262" s="2327">
        <v>0.81475891199999984</v>
      </c>
      <c r="S262" s="2327">
        <v>0.79846373375999979</v>
      </c>
      <c r="T262" s="2327">
        <v>0.79047909642239977</v>
      </c>
      <c r="U262" s="2331">
        <v>0.77466951449395172</v>
      </c>
    </row>
    <row r="263" spans="1:21" ht="24" customHeight="1">
      <c r="A263" s="2156"/>
      <c r="B263" s="2165"/>
      <c r="C263" s="2169"/>
      <c r="D263" s="1237" t="s">
        <v>1214</v>
      </c>
      <c r="E263" s="2329"/>
      <c r="F263" s="2330"/>
      <c r="G263" s="2330"/>
      <c r="H263" s="2330"/>
      <c r="I263" s="2330"/>
      <c r="J263" s="2330"/>
      <c r="K263" s="2330"/>
      <c r="L263" s="2330"/>
      <c r="M263" s="2330"/>
      <c r="N263" s="2327"/>
      <c r="O263" s="2327"/>
      <c r="P263" s="2327"/>
      <c r="Q263" s="2327"/>
      <c r="R263" s="2327"/>
      <c r="S263" s="2327"/>
      <c r="T263" s="2327"/>
      <c r="U263" s="2331"/>
    </row>
    <row r="264" spans="1:21" ht="24" customHeight="1">
      <c r="A264" s="2156"/>
      <c r="B264" s="2157" t="s">
        <v>1255</v>
      </c>
      <c r="C264" s="2168" t="s">
        <v>1246</v>
      </c>
      <c r="D264" s="1235" t="s">
        <v>1213</v>
      </c>
      <c r="E264" s="2329"/>
      <c r="F264" s="2330"/>
      <c r="G264" s="2330"/>
      <c r="H264" s="2330"/>
      <c r="I264" s="2330"/>
      <c r="J264" s="2330"/>
      <c r="K264" s="2330"/>
      <c r="L264" s="2330"/>
      <c r="M264" s="2330"/>
      <c r="N264" s="2330"/>
      <c r="O264" s="2327">
        <v>0.96</v>
      </c>
      <c r="P264" s="2327">
        <v>0.95039999999999991</v>
      </c>
      <c r="Q264" s="2327">
        <v>0.89337599999999984</v>
      </c>
      <c r="R264" s="2327">
        <v>0.85764095999999979</v>
      </c>
      <c r="S264" s="2327">
        <v>0.84048814079999978</v>
      </c>
      <c r="T264" s="2327">
        <v>0.83208325939199979</v>
      </c>
      <c r="U264" s="2331">
        <v>0.81544159420415974</v>
      </c>
    </row>
    <row r="265" spans="1:21" ht="24" customHeight="1">
      <c r="A265" s="2156"/>
      <c r="B265" s="2165"/>
      <c r="C265" s="2169"/>
      <c r="D265" s="1237" t="s">
        <v>1214</v>
      </c>
      <c r="E265" s="2329"/>
      <c r="F265" s="2330"/>
      <c r="G265" s="2330"/>
      <c r="H265" s="2330"/>
      <c r="I265" s="2330"/>
      <c r="J265" s="2330"/>
      <c r="K265" s="2330"/>
      <c r="L265" s="2330"/>
      <c r="M265" s="2330"/>
      <c r="N265" s="2330"/>
      <c r="O265" s="2327"/>
      <c r="P265" s="2327"/>
      <c r="Q265" s="2327"/>
      <c r="R265" s="2327"/>
      <c r="S265" s="2327"/>
      <c r="T265" s="2327"/>
      <c r="U265" s="2331"/>
    </row>
    <row r="266" spans="1:21" ht="24" customHeight="1">
      <c r="A266" s="2156"/>
      <c r="B266" s="2157" t="s">
        <v>1256</v>
      </c>
      <c r="C266" s="2168" t="s">
        <v>1246</v>
      </c>
      <c r="D266" s="1235" t="s">
        <v>1213</v>
      </c>
      <c r="E266" s="2329"/>
      <c r="F266" s="2330"/>
      <c r="G266" s="2330"/>
      <c r="H266" s="2330"/>
      <c r="I266" s="2330"/>
      <c r="J266" s="2330"/>
      <c r="K266" s="2330"/>
      <c r="L266" s="2330"/>
      <c r="M266" s="2330"/>
      <c r="N266" s="2330"/>
      <c r="O266" s="2330"/>
      <c r="P266" s="2327">
        <v>0.99</v>
      </c>
      <c r="Q266" s="2327">
        <v>0.93059999999999998</v>
      </c>
      <c r="R266" s="2327">
        <v>0.89337599999999995</v>
      </c>
      <c r="S266" s="2327">
        <v>0.87550847999999992</v>
      </c>
      <c r="T266" s="2327">
        <v>0.86675339519999994</v>
      </c>
      <c r="U266" s="2331">
        <v>0.84941832729599998</v>
      </c>
    </row>
    <row r="267" spans="1:21" ht="24" customHeight="1">
      <c r="A267" s="2156"/>
      <c r="B267" s="2165"/>
      <c r="C267" s="2169"/>
      <c r="D267" s="1237" t="s">
        <v>1214</v>
      </c>
      <c r="E267" s="2329"/>
      <c r="F267" s="2330"/>
      <c r="G267" s="2330"/>
      <c r="H267" s="2330"/>
      <c r="I267" s="2330"/>
      <c r="J267" s="2330"/>
      <c r="K267" s="2330"/>
      <c r="L267" s="2330"/>
      <c r="M267" s="2330"/>
      <c r="N267" s="2330"/>
      <c r="O267" s="2330"/>
      <c r="P267" s="2327"/>
      <c r="Q267" s="2327"/>
      <c r="R267" s="2327"/>
      <c r="S267" s="2327"/>
      <c r="T267" s="2327"/>
      <c r="U267" s="2331"/>
    </row>
    <row r="268" spans="1:21" ht="24" customHeight="1">
      <c r="A268" s="2156"/>
      <c r="B268" s="2157" t="s">
        <v>1257</v>
      </c>
      <c r="C268" s="2168" t="s">
        <v>1246</v>
      </c>
      <c r="D268" s="1235" t="s">
        <v>1213</v>
      </c>
      <c r="E268" s="2329"/>
      <c r="F268" s="2330"/>
      <c r="G268" s="2330"/>
      <c r="H268" s="2330"/>
      <c r="I268" s="2330"/>
      <c r="J268" s="2330"/>
      <c r="K268" s="2330"/>
      <c r="L268" s="2330"/>
      <c r="M268" s="2330"/>
      <c r="N268" s="2330"/>
      <c r="O268" s="2330"/>
      <c r="P268" s="2330"/>
      <c r="Q268" s="2327">
        <v>0.94</v>
      </c>
      <c r="R268" s="2327">
        <v>0.90239999999999987</v>
      </c>
      <c r="S268" s="2327">
        <v>0.8843519999999998</v>
      </c>
      <c r="T268" s="2327">
        <v>0.87550847999999981</v>
      </c>
      <c r="U268" s="2331">
        <v>0.85799831039999985</v>
      </c>
    </row>
    <row r="269" spans="1:21" ht="24" customHeight="1">
      <c r="A269" s="2156"/>
      <c r="B269" s="2165"/>
      <c r="C269" s="2169"/>
      <c r="D269" s="1237" t="s">
        <v>1214</v>
      </c>
      <c r="E269" s="2329"/>
      <c r="F269" s="2330"/>
      <c r="G269" s="2330"/>
      <c r="H269" s="2330"/>
      <c r="I269" s="2330"/>
      <c r="J269" s="2330"/>
      <c r="K269" s="2330"/>
      <c r="L269" s="2330"/>
      <c r="M269" s="2330"/>
      <c r="N269" s="2330"/>
      <c r="O269" s="2330"/>
      <c r="P269" s="2330"/>
      <c r="Q269" s="2327"/>
      <c r="R269" s="2327"/>
      <c r="S269" s="2327"/>
      <c r="T269" s="2327"/>
      <c r="U269" s="2331"/>
    </row>
    <row r="270" spans="1:21" ht="24" customHeight="1">
      <c r="A270" s="2156"/>
      <c r="B270" s="2157" t="s">
        <v>1258</v>
      </c>
      <c r="C270" s="2168" t="s">
        <v>1246</v>
      </c>
      <c r="D270" s="1235" t="s">
        <v>1213</v>
      </c>
      <c r="E270" s="2329"/>
      <c r="F270" s="2330"/>
      <c r="G270" s="2330"/>
      <c r="H270" s="2330"/>
      <c r="I270" s="2330"/>
      <c r="J270" s="2330"/>
      <c r="K270" s="2330"/>
      <c r="L270" s="2330"/>
      <c r="M270" s="2330"/>
      <c r="N270" s="2330"/>
      <c r="O270" s="2330"/>
      <c r="P270" s="2330"/>
      <c r="Q270" s="2330"/>
      <c r="R270" s="2327">
        <v>0.96</v>
      </c>
      <c r="S270" s="2327">
        <v>0.94079999999999997</v>
      </c>
      <c r="T270" s="2327">
        <v>0.931392</v>
      </c>
      <c r="U270" s="2331">
        <v>0.91276415999999994</v>
      </c>
    </row>
    <row r="271" spans="1:21" ht="24" customHeight="1">
      <c r="A271" s="2156"/>
      <c r="B271" s="2165"/>
      <c r="C271" s="2169"/>
      <c r="D271" s="1237" t="s">
        <v>1214</v>
      </c>
      <c r="E271" s="2329"/>
      <c r="F271" s="2330"/>
      <c r="G271" s="2330"/>
      <c r="H271" s="2330"/>
      <c r="I271" s="2330"/>
      <c r="J271" s="2330"/>
      <c r="K271" s="2330"/>
      <c r="L271" s="2330"/>
      <c r="M271" s="2330"/>
      <c r="N271" s="2330"/>
      <c r="O271" s="2330"/>
      <c r="P271" s="2330"/>
      <c r="Q271" s="2330"/>
      <c r="R271" s="2327"/>
      <c r="S271" s="2327"/>
      <c r="T271" s="2327"/>
      <c r="U271" s="2331"/>
    </row>
    <row r="272" spans="1:21" ht="24" customHeight="1">
      <c r="A272" s="2156"/>
      <c r="B272" s="2157" t="s">
        <v>1259</v>
      </c>
      <c r="C272" s="2168" t="s">
        <v>1246</v>
      </c>
      <c r="D272" s="1235" t="s">
        <v>1213</v>
      </c>
      <c r="E272" s="2329"/>
      <c r="F272" s="2330"/>
      <c r="G272" s="2330"/>
      <c r="H272" s="2330"/>
      <c r="I272" s="2330"/>
      <c r="J272" s="2330"/>
      <c r="K272" s="2330"/>
      <c r="L272" s="2330"/>
      <c r="M272" s="2330"/>
      <c r="N272" s="2330"/>
      <c r="O272" s="2330"/>
      <c r="P272" s="2330"/>
      <c r="Q272" s="2330"/>
      <c r="R272" s="2330"/>
      <c r="S272" s="2327">
        <v>0.98</v>
      </c>
      <c r="T272" s="2327">
        <v>0.97019999999999995</v>
      </c>
      <c r="U272" s="2331">
        <v>0.95079599999999997</v>
      </c>
    </row>
    <row r="273" spans="1:21" ht="24" customHeight="1">
      <c r="A273" s="2156"/>
      <c r="B273" s="2165"/>
      <c r="C273" s="2169"/>
      <c r="D273" s="1237" t="s">
        <v>1214</v>
      </c>
      <c r="E273" s="2329"/>
      <c r="F273" s="2330"/>
      <c r="G273" s="2330"/>
      <c r="H273" s="2330"/>
      <c r="I273" s="2330"/>
      <c r="J273" s="2330"/>
      <c r="K273" s="2330"/>
      <c r="L273" s="2330"/>
      <c r="M273" s="2330"/>
      <c r="N273" s="2330"/>
      <c r="O273" s="2330"/>
      <c r="P273" s="2330"/>
      <c r="Q273" s="2330"/>
      <c r="R273" s="2330"/>
      <c r="S273" s="2327"/>
      <c r="T273" s="2327"/>
      <c r="U273" s="2331"/>
    </row>
    <row r="274" spans="1:21" ht="24" customHeight="1">
      <c r="A274" s="2156"/>
      <c r="B274" s="2157" t="s">
        <v>1260</v>
      </c>
      <c r="C274" s="2168" t="s">
        <v>1246</v>
      </c>
      <c r="D274" s="1235" t="s">
        <v>1213</v>
      </c>
      <c r="E274" s="2329"/>
      <c r="F274" s="2330"/>
      <c r="G274" s="2330"/>
      <c r="H274" s="2330"/>
      <c r="I274" s="2330"/>
      <c r="J274" s="2330"/>
      <c r="K274" s="2330"/>
      <c r="L274" s="2330"/>
      <c r="M274" s="2330"/>
      <c r="N274" s="2330"/>
      <c r="O274" s="2330"/>
      <c r="P274" s="2330"/>
      <c r="Q274" s="2330"/>
      <c r="R274" s="2330"/>
      <c r="S274" s="2330"/>
      <c r="T274" s="2327">
        <v>0.99</v>
      </c>
      <c r="U274" s="2331">
        <v>0.97019999999999995</v>
      </c>
    </row>
    <row r="275" spans="1:21" ht="24" customHeight="1">
      <c r="A275" s="2156"/>
      <c r="B275" s="2165"/>
      <c r="C275" s="2169"/>
      <c r="D275" s="1237" t="s">
        <v>1214</v>
      </c>
      <c r="E275" s="2329"/>
      <c r="F275" s="2330"/>
      <c r="G275" s="2330"/>
      <c r="H275" s="2330"/>
      <c r="I275" s="2330"/>
      <c r="J275" s="2330"/>
      <c r="K275" s="2330"/>
      <c r="L275" s="2330"/>
      <c r="M275" s="2330"/>
      <c r="N275" s="2330"/>
      <c r="O275" s="2330"/>
      <c r="P275" s="2330"/>
      <c r="Q275" s="2330"/>
      <c r="R275" s="2330"/>
      <c r="S275" s="2330"/>
      <c r="T275" s="2327"/>
      <c r="U275" s="2331"/>
    </row>
    <row r="276" spans="1:21" ht="24" customHeight="1">
      <c r="A276" s="2156"/>
      <c r="B276" s="2157" t="s">
        <v>1261</v>
      </c>
      <c r="C276" s="2168" t="s">
        <v>1246</v>
      </c>
      <c r="D276" s="1235" t="s">
        <v>1213</v>
      </c>
      <c r="E276" s="2329"/>
      <c r="F276" s="2330"/>
      <c r="G276" s="2330"/>
      <c r="H276" s="2330"/>
      <c r="I276" s="2330"/>
      <c r="J276" s="2330"/>
      <c r="K276" s="2330"/>
      <c r="L276" s="2330"/>
      <c r="M276" s="2330"/>
      <c r="N276" s="2330"/>
      <c r="O276" s="2330"/>
      <c r="P276" s="2330"/>
      <c r="Q276" s="2330"/>
      <c r="R276" s="2330"/>
      <c r="S276" s="2330"/>
      <c r="T276" s="2330"/>
      <c r="U276" s="2331">
        <v>0.98</v>
      </c>
    </row>
    <row r="277" spans="1:21" ht="24" customHeight="1">
      <c r="A277" s="2156"/>
      <c r="B277" s="2165"/>
      <c r="C277" s="2169"/>
      <c r="D277" s="1237" t="s">
        <v>1214</v>
      </c>
      <c r="E277" s="2329"/>
      <c r="F277" s="2330"/>
      <c r="G277" s="2330"/>
      <c r="H277" s="2330"/>
      <c r="I277" s="2330"/>
      <c r="J277" s="2330"/>
      <c r="K277" s="2330"/>
      <c r="L277" s="2330"/>
      <c r="M277" s="2330"/>
      <c r="N277" s="2330"/>
      <c r="O277" s="2330"/>
      <c r="P277" s="2330"/>
      <c r="Q277" s="2330"/>
      <c r="R277" s="2330"/>
      <c r="S277" s="2330"/>
      <c r="T277" s="2330"/>
      <c r="U277" s="2331"/>
    </row>
    <row r="278" spans="1:21" ht="24" customHeight="1">
      <c r="A278" s="2156"/>
      <c r="B278" s="2157" t="s">
        <v>1262</v>
      </c>
      <c r="C278" s="2168" t="s">
        <v>1246</v>
      </c>
      <c r="D278" s="1235" t="s">
        <v>1213</v>
      </c>
      <c r="E278" s="2329"/>
      <c r="F278" s="2330"/>
      <c r="G278" s="2330"/>
      <c r="H278" s="2330"/>
      <c r="I278" s="2330"/>
      <c r="J278" s="2330"/>
      <c r="K278" s="2330"/>
      <c r="L278" s="2330"/>
      <c r="M278" s="2330"/>
      <c r="N278" s="2330"/>
      <c r="O278" s="2330"/>
      <c r="P278" s="2330"/>
      <c r="Q278" s="2330"/>
      <c r="R278" s="2330"/>
      <c r="S278" s="2330"/>
      <c r="T278" s="2330"/>
      <c r="U278" s="2333"/>
    </row>
    <row r="279" spans="1:21" ht="24" customHeight="1">
      <c r="A279" s="2156"/>
      <c r="B279" s="2165"/>
      <c r="C279" s="2332"/>
      <c r="D279" s="1237" t="s">
        <v>1214</v>
      </c>
      <c r="E279" s="2329"/>
      <c r="F279" s="2330"/>
      <c r="G279" s="2330"/>
      <c r="H279" s="2330"/>
      <c r="I279" s="2330"/>
      <c r="J279" s="2330"/>
      <c r="K279" s="2330"/>
      <c r="L279" s="2330"/>
      <c r="M279" s="2330"/>
      <c r="N279" s="2330"/>
      <c r="O279" s="2330"/>
      <c r="P279" s="2330"/>
      <c r="Q279" s="2330"/>
      <c r="R279" s="2330"/>
      <c r="S279" s="2330"/>
      <c r="T279" s="2330"/>
      <c r="U279" s="2333"/>
    </row>
  </sheetData>
  <sheetProtection algorithmName="SHA-512" hashValue="4u2rd08vf2bgjofwfwHRjn6mBM/irtkSpVnwx2L67CzVO2HCd3A5A5MN1snBIpcbqIHejkn0XkLbnnlk3/+75A==" saltValue="qXvZtdw2s3OPjLyRACr2lQ==" spinCount="100000" sheet="1" objects="1" scenarios="1"/>
  <mergeCells count="2614">
    <mergeCell ref="R278:R279"/>
    <mergeCell ref="S278:S279"/>
    <mergeCell ref="T278:T279"/>
    <mergeCell ref="U278:U279"/>
    <mergeCell ref="L278:L279"/>
    <mergeCell ref="M278:M279"/>
    <mergeCell ref="N278:N279"/>
    <mergeCell ref="O278:O279"/>
    <mergeCell ref="P278:P279"/>
    <mergeCell ref="Q278:Q279"/>
    <mergeCell ref="U276:U277"/>
    <mergeCell ref="B278:B279"/>
    <mergeCell ref="C278:C279"/>
    <mergeCell ref="E278:E279"/>
    <mergeCell ref="F278:F279"/>
    <mergeCell ref="G278:G279"/>
    <mergeCell ref="H278:H279"/>
    <mergeCell ref="I278:I279"/>
    <mergeCell ref="J278:J279"/>
    <mergeCell ref="K278:K279"/>
    <mergeCell ref="O276:O277"/>
    <mergeCell ref="P276:P277"/>
    <mergeCell ref="Q276:Q277"/>
    <mergeCell ref="R276:R277"/>
    <mergeCell ref="S276:S277"/>
    <mergeCell ref="T276:T277"/>
    <mergeCell ref="I276:I277"/>
    <mergeCell ref="J276:J277"/>
    <mergeCell ref="K276:K277"/>
    <mergeCell ref="L276:L277"/>
    <mergeCell ref="M276:M277"/>
    <mergeCell ref="N276:N277"/>
    <mergeCell ref="R274:R275"/>
    <mergeCell ref="S274:S275"/>
    <mergeCell ref="T274:T275"/>
    <mergeCell ref="U274:U275"/>
    <mergeCell ref="B276:B277"/>
    <mergeCell ref="C276:C277"/>
    <mergeCell ref="E276:E277"/>
    <mergeCell ref="F276:F277"/>
    <mergeCell ref="G276:G277"/>
    <mergeCell ref="H276:H277"/>
    <mergeCell ref="L274:L275"/>
    <mergeCell ref="M274:M275"/>
    <mergeCell ref="N274:N275"/>
    <mergeCell ref="O274:O275"/>
    <mergeCell ref="P274:P275"/>
    <mergeCell ref="Q274:Q275"/>
    <mergeCell ref="U272:U273"/>
    <mergeCell ref="B274:B275"/>
    <mergeCell ref="C274:C275"/>
    <mergeCell ref="E274:E275"/>
    <mergeCell ref="F274:F275"/>
    <mergeCell ref="G274:G275"/>
    <mergeCell ref="H274:H275"/>
    <mergeCell ref="I274:I275"/>
    <mergeCell ref="J274:J275"/>
    <mergeCell ref="K274:K275"/>
    <mergeCell ref="O272:O273"/>
    <mergeCell ref="P272:P273"/>
    <mergeCell ref="Q272:Q273"/>
    <mergeCell ref="R272:R273"/>
    <mergeCell ref="S272:S273"/>
    <mergeCell ref="T272:T273"/>
    <mergeCell ref="I272:I273"/>
    <mergeCell ref="J272:J273"/>
    <mergeCell ref="K272:K273"/>
    <mergeCell ref="L272:L273"/>
    <mergeCell ref="M272:M273"/>
    <mergeCell ref="N272:N273"/>
    <mergeCell ref="R270:R271"/>
    <mergeCell ref="S270:S271"/>
    <mergeCell ref="T270:T271"/>
    <mergeCell ref="U270:U271"/>
    <mergeCell ref="B272:B273"/>
    <mergeCell ref="C272:C273"/>
    <mergeCell ref="E272:E273"/>
    <mergeCell ref="F272:F273"/>
    <mergeCell ref="G272:G273"/>
    <mergeCell ref="H272:H273"/>
    <mergeCell ref="L270:L271"/>
    <mergeCell ref="M270:M271"/>
    <mergeCell ref="N270:N271"/>
    <mergeCell ref="O270:O271"/>
    <mergeCell ref="P270:P271"/>
    <mergeCell ref="Q270:Q271"/>
    <mergeCell ref="U268:U269"/>
    <mergeCell ref="B270:B271"/>
    <mergeCell ref="C270:C271"/>
    <mergeCell ref="E270:E271"/>
    <mergeCell ref="F270:F271"/>
    <mergeCell ref="G270:G271"/>
    <mergeCell ref="H270:H271"/>
    <mergeCell ref="I270:I271"/>
    <mergeCell ref="J270:J271"/>
    <mergeCell ref="K270:K271"/>
    <mergeCell ref="O268:O269"/>
    <mergeCell ref="P268:P269"/>
    <mergeCell ref="Q268:Q269"/>
    <mergeCell ref="R268:R269"/>
    <mergeCell ref="S268:S269"/>
    <mergeCell ref="T268:T269"/>
    <mergeCell ref="I268:I269"/>
    <mergeCell ref="J268:J269"/>
    <mergeCell ref="K268:K269"/>
    <mergeCell ref="L268:L269"/>
    <mergeCell ref="M268:M269"/>
    <mergeCell ref="N268:N269"/>
    <mergeCell ref="R266:R267"/>
    <mergeCell ref="S266:S267"/>
    <mergeCell ref="T266:T267"/>
    <mergeCell ref="U266:U267"/>
    <mergeCell ref="B268:B269"/>
    <mergeCell ref="C268:C269"/>
    <mergeCell ref="E268:E269"/>
    <mergeCell ref="F268:F269"/>
    <mergeCell ref="G268:G269"/>
    <mergeCell ref="H268:H269"/>
    <mergeCell ref="L266:L267"/>
    <mergeCell ref="M266:M267"/>
    <mergeCell ref="N266:N267"/>
    <mergeCell ref="O266:O267"/>
    <mergeCell ref="P266:P267"/>
    <mergeCell ref="Q266:Q267"/>
    <mergeCell ref="U264:U265"/>
    <mergeCell ref="B266:B267"/>
    <mergeCell ref="C266:C267"/>
    <mergeCell ref="E266:E267"/>
    <mergeCell ref="F266:F267"/>
    <mergeCell ref="G266:G267"/>
    <mergeCell ref="H266:H267"/>
    <mergeCell ref="I266:I267"/>
    <mergeCell ref="J266:J267"/>
    <mergeCell ref="K266:K267"/>
    <mergeCell ref="O264:O265"/>
    <mergeCell ref="P264:P265"/>
    <mergeCell ref="Q264:Q265"/>
    <mergeCell ref="R264:R265"/>
    <mergeCell ref="S264:S265"/>
    <mergeCell ref="T264:T265"/>
    <mergeCell ref="I264:I265"/>
    <mergeCell ref="J264:J265"/>
    <mergeCell ref="K264:K265"/>
    <mergeCell ref="L264:L265"/>
    <mergeCell ref="M264:M265"/>
    <mergeCell ref="N264:N265"/>
    <mergeCell ref="R262:R263"/>
    <mergeCell ref="S262:S263"/>
    <mergeCell ref="T262:T263"/>
    <mergeCell ref="U262:U263"/>
    <mergeCell ref="B264:B265"/>
    <mergeCell ref="C264:C265"/>
    <mergeCell ref="E264:E265"/>
    <mergeCell ref="F264:F265"/>
    <mergeCell ref="G264:G265"/>
    <mergeCell ref="H264:H265"/>
    <mergeCell ref="L262:L263"/>
    <mergeCell ref="M262:M263"/>
    <mergeCell ref="N262:N263"/>
    <mergeCell ref="O262:O263"/>
    <mergeCell ref="P262:P263"/>
    <mergeCell ref="Q262:Q263"/>
    <mergeCell ref="U260:U261"/>
    <mergeCell ref="B262:B263"/>
    <mergeCell ref="C262:C263"/>
    <mergeCell ref="E262:E263"/>
    <mergeCell ref="F262:F263"/>
    <mergeCell ref="G262:G263"/>
    <mergeCell ref="H262:H263"/>
    <mergeCell ref="I262:I263"/>
    <mergeCell ref="J262:J263"/>
    <mergeCell ref="K262:K263"/>
    <mergeCell ref="O260:O261"/>
    <mergeCell ref="P260:P261"/>
    <mergeCell ref="Q260:Q261"/>
    <mergeCell ref="R260:R261"/>
    <mergeCell ref="S260:S261"/>
    <mergeCell ref="T260:T261"/>
    <mergeCell ref="I260:I261"/>
    <mergeCell ref="J260:J261"/>
    <mergeCell ref="K260:K261"/>
    <mergeCell ref="L260:L261"/>
    <mergeCell ref="M260:M261"/>
    <mergeCell ref="N260:N261"/>
    <mergeCell ref="R258:R259"/>
    <mergeCell ref="S258:S259"/>
    <mergeCell ref="T258:T259"/>
    <mergeCell ref="U258:U259"/>
    <mergeCell ref="B260:B261"/>
    <mergeCell ref="C260:C261"/>
    <mergeCell ref="E260:E261"/>
    <mergeCell ref="F260:F261"/>
    <mergeCell ref="G260:G261"/>
    <mergeCell ref="H260:H261"/>
    <mergeCell ref="L258:L259"/>
    <mergeCell ref="M258:M259"/>
    <mergeCell ref="N258:N259"/>
    <mergeCell ref="O258:O259"/>
    <mergeCell ref="P258:P259"/>
    <mergeCell ref="Q258:Q259"/>
    <mergeCell ref="U256:U257"/>
    <mergeCell ref="B258:B259"/>
    <mergeCell ref="C258:C259"/>
    <mergeCell ref="E258:E259"/>
    <mergeCell ref="F258:F259"/>
    <mergeCell ref="G258:G259"/>
    <mergeCell ref="H258:H259"/>
    <mergeCell ref="I258:I259"/>
    <mergeCell ref="J258:J259"/>
    <mergeCell ref="K258:K259"/>
    <mergeCell ref="O256:O257"/>
    <mergeCell ref="P256:P257"/>
    <mergeCell ref="Q256:Q257"/>
    <mergeCell ref="R256:R257"/>
    <mergeCell ref="S256:S257"/>
    <mergeCell ref="T256:T257"/>
    <mergeCell ref="N256:N257"/>
    <mergeCell ref="R254:R255"/>
    <mergeCell ref="S254:S255"/>
    <mergeCell ref="T254:T255"/>
    <mergeCell ref="U254:U255"/>
    <mergeCell ref="B256:B257"/>
    <mergeCell ref="C256:C257"/>
    <mergeCell ref="E256:E257"/>
    <mergeCell ref="F256:F257"/>
    <mergeCell ref="G256:G257"/>
    <mergeCell ref="H256:H257"/>
    <mergeCell ref="L254:L255"/>
    <mergeCell ref="M254:M255"/>
    <mergeCell ref="N254:N255"/>
    <mergeCell ref="O254:O255"/>
    <mergeCell ref="P254:P255"/>
    <mergeCell ref="Q254:Q255"/>
    <mergeCell ref="B254:B255"/>
    <mergeCell ref="C254:C255"/>
    <mergeCell ref="E254:E255"/>
    <mergeCell ref="F254:F255"/>
    <mergeCell ref="G254:G255"/>
    <mergeCell ref="H254:H255"/>
    <mergeCell ref="I254:I255"/>
    <mergeCell ref="J254:J255"/>
    <mergeCell ref="K254:K255"/>
    <mergeCell ref="U252:U253"/>
    <mergeCell ref="L248:L249"/>
    <mergeCell ref="M248:M249"/>
    <mergeCell ref="N248:N249"/>
    <mergeCell ref="B248:B249"/>
    <mergeCell ref="C248:C249"/>
    <mergeCell ref="E248:E249"/>
    <mergeCell ref="F248:F249"/>
    <mergeCell ref="G248:G249"/>
    <mergeCell ref="H248:H249"/>
    <mergeCell ref="O252:O253"/>
    <mergeCell ref="P252:P253"/>
    <mergeCell ref="Q252:Q253"/>
    <mergeCell ref="R252:R253"/>
    <mergeCell ref="S252:S253"/>
    <mergeCell ref="T252:T253"/>
    <mergeCell ref="I252:I253"/>
    <mergeCell ref="J252:J253"/>
    <mergeCell ref="K252:K253"/>
    <mergeCell ref="L252:L253"/>
    <mergeCell ref="M252:M253"/>
    <mergeCell ref="N252:N253"/>
    <mergeCell ref="U250:U251"/>
    <mergeCell ref="B252:B253"/>
    <mergeCell ref="C252:C253"/>
    <mergeCell ref="E252:E253"/>
    <mergeCell ref="F252:F253"/>
    <mergeCell ref="G252:G253"/>
    <mergeCell ref="H252:H253"/>
    <mergeCell ref="L250:L251"/>
    <mergeCell ref="M250:M251"/>
    <mergeCell ref="N250:N251"/>
    <mergeCell ref="T246:T247"/>
    <mergeCell ref="R250:R251"/>
    <mergeCell ref="S250:S251"/>
    <mergeCell ref="T250:T251"/>
    <mergeCell ref="U246:U247"/>
    <mergeCell ref="J246:J247"/>
    <mergeCell ref="K246:K247"/>
    <mergeCell ref="L246:L247"/>
    <mergeCell ref="M246:M247"/>
    <mergeCell ref="N246:N247"/>
    <mergeCell ref="O246:O247"/>
    <mergeCell ref="T244:T245"/>
    <mergeCell ref="U244:U245"/>
    <mergeCell ref="U248:U249"/>
    <mergeCell ref="B250:B251"/>
    <mergeCell ref="C250:C251"/>
    <mergeCell ref="E250:E251"/>
    <mergeCell ref="F250:F251"/>
    <mergeCell ref="G250:G251"/>
    <mergeCell ref="H250:H251"/>
    <mergeCell ref="I250:I251"/>
    <mergeCell ref="J250:J251"/>
    <mergeCell ref="K250:K251"/>
    <mergeCell ref="O248:O249"/>
    <mergeCell ref="P248:P249"/>
    <mergeCell ref="Q248:Q249"/>
    <mergeCell ref="R248:R249"/>
    <mergeCell ref="S248:S249"/>
    <mergeCell ref="T248:T249"/>
    <mergeCell ref="O250:O251"/>
    <mergeCell ref="P250:P251"/>
    <mergeCell ref="Q250:Q251"/>
    <mergeCell ref="A246:A279"/>
    <mergeCell ref="B246:B247"/>
    <mergeCell ref="C246:C247"/>
    <mergeCell ref="E246:E247"/>
    <mergeCell ref="F246:F247"/>
    <mergeCell ref="G246:G247"/>
    <mergeCell ref="H246:H247"/>
    <mergeCell ref="I246:I247"/>
    <mergeCell ref="N244:N245"/>
    <mergeCell ref="O244:O245"/>
    <mergeCell ref="P244:P245"/>
    <mergeCell ref="Q244:Q245"/>
    <mergeCell ref="R244:R245"/>
    <mergeCell ref="S244:S245"/>
    <mergeCell ref="H244:H245"/>
    <mergeCell ref="I244:I245"/>
    <mergeCell ref="J244:J245"/>
    <mergeCell ref="K244:K245"/>
    <mergeCell ref="L244:L245"/>
    <mergeCell ref="M244:M245"/>
    <mergeCell ref="I248:I249"/>
    <mergeCell ref="J248:J249"/>
    <mergeCell ref="K248:K249"/>
    <mergeCell ref="P246:P247"/>
    <mergeCell ref="Q246:Q247"/>
    <mergeCell ref="R246:R247"/>
    <mergeCell ref="S246:S247"/>
    <mergeCell ref="I256:I257"/>
    <mergeCell ref="J256:J257"/>
    <mergeCell ref="K256:K257"/>
    <mergeCell ref="L256:L257"/>
    <mergeCell ref="M256:M257"/>
    <mergeCell ref="Q242:Q243"/>
    <mergeCell ref="R242:R243"/>
    <mergeCell ref="S242:S243"/>
    <mergeCell ref="T242:T243"/>
    <mergeCell ref="U242:U243"/>
    <mergeCell ref="B244:B245"/>
    <mergeCell ref="C244:C245"/>
    <mergeCell ref="E244:E245"/>
    <mergeCell ref="F244:F245"/>
    <mergeCell ref="G244:G245"/>
    <mergeCell ref="K242:K243"/>
    <mergeCell ref="L242:L243"/>
    <mergeCell ref="M242:M243"/>
    <mergeCell ref="N242:N243"/>
    <mergeCell ref="O242:O243"/>
    <mergeCell ref="P242:P243"/>
    <mergeCell ref="T240:T241"/>
    <mergeCell ref="U240:U241"/>
    <mergeCell ref="B242:B243"/>
    <mergeCell ref="C242:C243"/>
    <mergeCell ref="E242:E243"/>
    <mergeCell ref="F242:F243"/>
    <mergeCell ref="G242:G243"/>
    <mergeCell ref="H242:H243"/>
    <mergeCell ref="I242:I243"/>
    <mergeCell ref="J242:J243"/>
    <mergeCell ref="N240:N241"/>
    <mergeCell ref="O240:O241"/>
    <mergeCell ref="P240:P241"/>
    <mergeCell ref="Q240:Q241"/>
    <mergeCell ref="R240:R241"/>
    <mergeCell ref="S240:S241"/>
    <mergeCell ref="H240:H241"/>
    <mergeCell ref="I240:I241"/>
    <mergeCell ref="J240:J241"/>
    <mergeCell ref="K240:K241"/>
    <mergeCell ref="L240:L241"/>
    <mergeCell ref="M240:M241"/>
    <mergeCell ref="Q238:Q239"/>
    <mergeCell ref="R238:R239"/>
    <mergeCell ref="S238:S239"/>
    <mergeCell ref="T238:T239"/>
    <mergeCell ref="U238:U239"/>
    <mergeCell ref="B240:B241"/>
    <mergeCell ref="C240:C241"/>
    <mergeCell ref="E240:E241"/>
    <mergeCell ref="F240:F241"/>
    <mergeCell ref="G240:G241"/>
    <mergeCell ref="K238:K239"/>
    <mergeCell ref="L238:L239"/>
    <mergeCell ref="M238:M239"/>
    <mergeCell ref="N238:N239"/>
    <mergeCell ref="O238:O239"/>
    <mergeCell ref="P238:P239"/>
    <mergeCell ref="T236:T237"/>
    <mergeCell ref="U236:U237"/>
    <mergeCell ref="B238:B239"/>
    <mergeCell ref="C238:C239"/>
    <mergeCell ref="E238:E239"/>
    <mergeCell ref="F238:F239"/>
    <mergeCell ref="G238:G239"/>
    <mergeCell ref="H238:H239"/>
    <mergeCell ref="I238:I239"/>
    <mergeCell ref="J238:J239"/>
    <mergeCell ref="N236:N237"/>
    <mergeCell ref="O236:O237"/>
    <mergeCell ref="P236:P237"/>
    <mergeCell ref="Q236:Q237"/>
    <mergeCell ref="R236:R237"/>
    <mergeCell ref="S236:S237"/>
    <mergeCell ref="H236:H237"/>
    <mergeCell ref="I236:I237"/>
    <mergeCell ref="J236:J237"/>
    <mergeCell ref="K236:K237"/>
    <mergeCell ref="L236:L237"/>
    <mergeCell ref="M236:M237"/>
    <mergeCell ref="Q234:Q235"/>
    <mergeCell ref="R234:R235"/>
    <mergeCell ref="S234:S235"/>
    <mergeCell ref="T234:T235"/>
    <mergeCell ref="U234:U235"/>
    <mergeCell ref="B236:B237"/>
    <mergeCell ref="C236:C237"/>
    <mergeCell ref="E236:E237"/>
    <mergeCell ref="F236:F237"/>
    <mergeCell ref="G236:G237"/>
    <mergeCell ref="K234:K235"/>
    <mergeCell ref="L234:L235"/>
    <mergeCell ref="M234:M235"/>
    <mergeCell ref="N234:N235"/>
    <mergeCell ref="O234:O235"/>
    <mergeCell ref="P234:P235"/>
    <mergeCell ref="T232:T233"/>
    <mergeCell ref="U232:U233"/>
    <mergeCell ref="B234:B235"/>
    <mergeCell ref="C234:C235"/>
    <mergeCell ref="E234:E235"/>
    <mergeCell ref="F234:F235"/>
    <mergeCell ref="G234:G235"/>
    <mergeCell ref="H234:H235"/>
    <mergeCell ref="I234:I235"/>
    <mergeCell ref="J234:J235"/>
    <mergeCell ref="N232:N233"/>
    <mergeCell ref="O232:O233"/>
    <mergeCell ref="P232:P233"/>
    <mergeCell ref="Q232:Q233"/>
    <mergeCell ref="R232:R233"/>
    <mergeCell ref="S232:S233"/>
    <mergeCell ref="H232:H233"/>
    <mergeCell ref="I232:I233"/>
    <mergeCell ref="J232:J233"/>
    <mergeCell ref="K232:K233"/>
    <mergeCell ref="L232:L233"/>
    <mergeCell ref="M232:M233"/>
    <mergeCell ref="Q230:Q231"/>
    <mergeCell ref="R230:R231"/>
    <mergeCell ref="S230:S231"/>
    <mergeCell ref="T230:T231"/>
    <mergeCell ref="U230:U231"/>
    <mergeCell ref="B232:B233"/>
    <mergeCell ref="C232:C233"/>
    <mergeCell ref="E232:E233"/>
    <mergeCell ref="F232:F233"/>
    <mergeCell ref="G232:G233"/>
    <mergeCell ref="K230:K231"/>
    <mergeCell ref="L230:L231"/>
    <mergeCell ref="M230:M231"/>
    <mergeCell ref="N230:N231"/>
    <mergeCell ref="O230:O231"/>
    <mergeCell ref="P230:P231"/>
    <mergeCell ref="T228:T229"/>
    <mergeCell ref="U228:U229"/>
    <mergeCell ref="B230:B231"/>
    <mergeCell ref="C230:C231"/>
    <mergeCell ref="E230:E231"/>
    <mergeCell ref="F230:F231"/>
    <mergeCell ref="G230:G231"/>
    <mergeCell ref="H230:H231"/>
    <mergeCell ref="I230:I231"/>
    <mergeCell ref="J230:J231"/>
    <mergeCell ref="N228:N229"/>
    <mergeCell ref="O228:O229"/>
    <mergeCell ref="P228:P229"/>
    <mergeCell ref="Q228:Q229"/>
    <mergeCell ref="R228:R229"/>
    <mergeCell ref="S228:S229"/>
    <mergeCell ref="H228:H229"/>
    <mergeCell ref="I228:I229"/>
    <mergeCell ref="J228:J229"/>
    <mergeCell ref="K228:K229"/>
    <mergeCell ref="L228:L229"/>
    <mergeCell ref="M228:M229"/>
    <mergeCell ref="Q226:Q227"/>
    <mergeCell ref="R226:R227"/>
    <mergeCell ref="S226:S227"/>
    <mergeCell ref="T226:T227"/>
    <mergeCell ref="U226:U227"/>
    <mergeCell ref="B228:B229"/>
    <mergeCell ref="C228:C229"/>
    <mergeCell ref="E228:E229"/>
    <mergeCell ref="F228:F229"/>
    <mergeCell ref="G228:G229"/>
    <mergeCell ref="K226:K227"/>
    <mergeCell ref="L226:L227"/>
    <mergeCell ref="M226:M227"/>
    <mergeCell ref="N226:N227"/>
    <mergeCell ref="O226:O227"/>
    <mergeCell ref="P226:P227"/>
    <mergeCell ref="T224:T225"/>
    <mergeCell ref="U224:U225"/>
    <mergeCell ref="B226:B227"/>
    <mergeCell ref="C226:C227"/>
    <mergeCell ref="E226:E227"/>
    <mergeCell ref="F226:F227"/>
    <mergeCell ref="G226:G227"/>
    <mergeCell ref="H226:H227"/>
    <mergeCell ref="I226:I227"/>
    <mergeCell ref="J226:J227"/>
    <mergeCell ref="N224:N225"/>
    <mergeCell ref="O224:O225"/>
    <mergeCell ref="P224:P225"/>
    <mergeCell ref="Q224:Q225"/>
    <mergeCell ref="R224:R225"/>
    <mergeCell ref="S224:S225"/>
    <mergeCell ref="H224:H225"/>
    <mergeCell ref="I224:I225"/>
    <mergeCell ref="J224:J225"/>
    <mergeCell ref="K224:K225"/>
    <mergeCell ref="L224:L225"/>
    <mergeCell ref="M224:M225"/>
    <mergeCell ref="Q222:Q223"/>
    <mergeCell ref="R222:R223"/>
    <mergeCell ref="S222:S223"/>
    <mergeCell ref="T222:T223"/>
    <mergeCell ref="U222:U223"/>
    <mergeCell ref="B224:B225"/>
    <mergeCell ref="C224:C225"/>
    <mergeCell ref="E224:E225"/>
    <mergeCell ref="F224:F225"/>
    <mergeCell ref="G224:G225"/>
    <mergeCell ref="K222:K223"/>
    <mergeCell ref="L222:L223"/>
    <mergeCell ref="M222:M223"/>
    <mergeCell ref="N222:N223"/>
    <mergeCell ref="O222:O223"/>
    <mergeCell ref="P222:P223"/>
    <mergeCell ref="T220:T221"/>
    <mergeCell ref="U220:U221"/>
    <mergeCell ref="B222:B223"/>
    <mergeCell ref="C222:C223"/>
    <mergeCell ref="E222:E223"/>
    <mergeCell ref="F222:F223"/>
    <mergeCell ref="G222:G223"/>
    <mergeCell ref="H222:H223"/>
    <mergeCell ref="I222:I223"/>
    <mergeCell ref="J222:J223"/>
    <mergeCell ref="N220:N221"/>
    <mergeCell ref="O220:O221"/>
    <mergeCell ref="P220:P221"/>
    <mergeCell ref="Q220:Q221"/>
    <mergeCell ref="R220:R221"/>
    <mergeCell ref="S220:S221"/>
    <mergeCell ref="H220:H221"/>
    <mergeCell ref="I220:I221"/>
    <mergeCell ref="J220:J221"/>
    <mergeCell ref="K220:K221"/>
    <mergeCell ref="L220:L221"/>
    <mergeCell ref="M220:M221"/>
    <mergeCell ref="Q218:Q219"/>
    <mergeCell ref="R218:R219"/>
    <mergeCell ref="S218:S219"/>
    <mergeCell ref="T218:T219"/>
    <mergeCell ref="U218:U219"/>
    <mergeCell ref="B220:B221"/>
    <mergeCell ref="C220:C221"/>
    <mergeCell ref="E220:E221"/>
    <mergeCell ref="F220:F221"/>
    <mergeCell ref="G220:G221"/>
    <mergeCell ref="K218:K219"/>
    <mergeCell ref="L218:L219"/>
    <mergeCell ref="M218:M219"/>
    <mergeCell ref="N218:N219"/>
    <mergeCell ref="O218:O219"/>
    <mergeCell ref="P218:P219"/>
    <mergeCell ref="T216:T217"/>
    <mergeCell ref="U216:U217"/>
    <mergeCell ref="B218:B219"/>
    <mergeCell ref="C218:C219"/>
    <mergeCell ref="E218:E219"/>
    <mergeCell ref="F218:F219"/>
    <mergeCell ref="G218:G219"/>
    <mergeCell ref="H218:H219"/>
    <mergeCell ref="I218:I219"/>
    <mergeCell ref="J218:J219"/>
    <mergeCell ref="N216:N217"/>
    <mergeCell ref="O216:O217"/>
    <mergeCell ref="P216:P217"/>
    <mergeCell ref="Q216:Q217"/>
    <mergeCell ref="R216:R217"/>
    <mergeCell ref="S216:S217"/>
    <mergeCell ref="H216:H217"/>
    <mergeCell ref="I216:I217"/>
    <mergeCell ref="J216:J217"/>
    <mergeCell ref="K216:K217"/>
    <mergeCell ref="L216:L217"/>
    <mergeCell ref="M216:M217"/>
    <mergeCell ref="Q214:Q215"/>
    <mergeCell ref="R214:R215"/>
    <mergeCell ref="S214:S215"/>
    <mergeCell ref="T214:T215"/>
    <mergeCell ref="U214:U215"/>
    <mergeCell ref="B216:B217"/>
    <mergeCell ref="C216:C217"/>
    <mergeCell ref="E216:E217"/>
    <mergeCell ref="F216:F217"/>
    <mergeCell ref="G216:G217"/>
    <mergeCell ref="K214:K215"/>
    <mergeCell ref="L214:L215"/>
    <mergeCell ref="M214:M215"/>
    <mergeCell ref="N214:N215"/>
    <mergeCell ref="O214:O215"/>
    <mergeCell ref="P214:P215"/>
    <mergeCell ref="T212:T213"/>
    <mergeCell ref="U212:U213"/>
    <mergeCell ref="B214:B215"/>
    <mergeCell ref="C214:C215"/>
    <mergeCell ref="E214:E215"/>
    <mergeCell ref="F214:F215"/>
    <mergeCell ref="G214:G215"/>
    <mergeCell ref="H214:H215"/>
    <mergeCell ref="I214:I215"/>
    <mergeCell ref="J214:J215"/>
    <mergeCell ref="N212:N213"/>
    <mergeCell ref="O212:O213"/>
    <mergeCell ref="P212:P213"/>
    <mergeCell ref="Q212:Q213"/>
    <mergeCell ref="R212:R213"/>
    <mergeCell ref="S212:S213"/>
    <mergeCell ref="H212:H213"/>
    <mergeCell ref="I212:I213"/>
    <mergeCell ref="J212:J213"/>
    <mergeCell ref="K212:K213"/>
    <mergeCell ref="L212:L213"/>
    <mergeCell ref="M212:M213"/>
    <mergeCell ref="R210:R211"/>
    <mergeCell ref="S210:S211"/>
    <mergeCell ref="T210:T211"/>
    <mergeCell ref="U210:U211"/>
    <mergeCell ref="A212:A245"/>
    <mergeCell ref="B212:B213"/>
    <mergeCell ref="C212:C213"/>
    <mergeCell ref="E212:E213"/>
    <mergeCell ref="F212:F213"/>
    <mergeCell ref="G212:G213"/>
    <mergeCell ref="L210:L211"/>
    <mergeCell ref="M210:M211"/>
    <mergeCell ref="N210:N211"/>
    <mergeCell ref="O210:O211"/>
    <mergeCell ref="P210:P211"/>
    <mergeCell ref="Q210:Q211"/>
    <mergeCell ref="U208:U209"/>
    <mergeCell ref="B210:B211"/>
    <mergeCell ref="C210:C211"/>
    <mergeCell ref="E210:E211"/>
    <mergeCell ref="F210:F211"/>
    <mergeCell ref="G210:G211"/>
    <mergeCell ref="H210:H211"/>
    <mergeCell ref="I210:I211"/>
    <mergeCell ref="J210:J211"/>
    <mergeCell ref="K210:K211"/>
    <mergeCell ref="O208:O209"/>
    <mergeCell ref="P208:P209"/>
    <mergeCell ref="Q208:Q209"/>
    <mergeCell ref="R208:R209"/>
    <mergeCell ref="S208:S209"/>
    <mergeCell ref="T208:T209"/>
    <mergeCell ref="I208:I209"/>
    <mergeCell ref="J208:J209"/>
    <mergeCell ref="K208:K209"/>
    <mergeCell ref="L208:L209"/>
    <mergeCell ref="M208:M209"/>
    <mergeCell ref="N208:N209"/>
    <mergeCell ref="R206:R207"/>
    <mergeCell ref="S206:S207"/>
    <mergeCell ref="T206:T207"/>
    <mergeCell ref="U206:U207"/>
    <mergeCell ref="B208:B209"/>
    <mergeCell ref="C208:C209"/>
    <mergeCell ref="E208:E209"/>
    <mergeCell ref="F208:F209"/>
    <mergeCell ref="G208:G209"/>
    <mergeCell ref="H208:H209"/>
    <mergeCell ref="L206:L207"/>
    <mergeCell ref="M206:M207"/>
    <mergeCell ref="N206:N207"/>
    <mergeCell ref="O206:O207"/>
    <mergeCell ref="P206:P207"/>
    <mergeCell ref="Q206:Q207"/>
    <mergeCell ref="U204:U205"/>
    <mergeCell ref="B206:B207"/>
    <mergeCell ref="C206:C207"/>
    <mergeCell ref="E206:E207"/>
    <mergeCell ref="F206:F207"/>
    <mergeCell ref="G206:G207"/>
    <mergeCell ref="H206:H207"/>
    <mergeCell ref="I206:I207"/>
    <mergeCell ref="J206:J207"/>
    <mergeCell ref="K206:K207"/>
    <mergeCell ref="O204:O205"/>
    <mergeCell ref="P204:P205"/>
    <mergeCell ref="Q204:Q205"/>
    <mergeCell ref="R204:R205"/>
    <mergeCell ref="S204:S205"/>
    <mergeCell ref="T204:T205"/>
    <mergeCell ref="I204:I205"/>
    <mergeCell ref="J204:J205"/>
    <mergeCell ref="K204:K205"/>
    <mergeCell ref="L204:L205"/>
    <mergeCell ref="M204:M205"/>
    <mergeCell ref="N204:N205"/>
    <mergeCell ref="R202:R203"/>
    <mergeCell ref="S202:S203"/>
    <mergeCell ref="T202:T203"/>
    <mergeCell ref="U202:U203"/>
    <mergeCell ref="B204:B205"/>
    <mergeCell ref="C204:C205"/>
    <mergeCell ref="E204:E205"/>
    <mergeCell ref="F204:F205"/>
    <mergeCell ref="G204:G205"/>
    <mergeCell ref="H204:H205"/>
    <mergeCell ref="L202:L203"/>
    <mergeCell ref="M202:M203"/>
    <mergeCell ref="N202:N203"/>
    <mergeCell ref="O202:O203"/>
    <mergeCell ref="P202:P203"/>
    <mergeCell ref="Q202:Q203"/>
    <mergeCell ref="U200:U201"/>
    <mergeCell ref="B202:B203"/>
    <mergeCell ref="C202:C203"/>
    <mergeCell ref="E202:E203"/>
    <mergeCell ref="F202:F203"/>
    <mergeCell ref="G202:G203"/>
    <mergeCell ref="H202:H203"/>
    <mergeCell ref="I202:I203"/>
    <mergeCell ref="J202:J203"/>
    <mergeCell ref="K202:K203"/>
    <mergeCell ref="O200:O201"/>
    <mergeCell ref="P200:P201"/>
    <mergeCell ref="Q200:Q201"/>
    <mergeCell ref="R200:R201"/>
    <mergeCell ref="S200:S201"/>
    <mergeCell ref="T200:T201"/>
    <mergeCell ref="I200:I201"/>
    <mergeCell ref="J200:J201"/>
    <mergeCell ref="K200:K201"/>
    <mergeCell ref="L200:L201"/>
    <mergeCell ref="M200:M201"/>
    <mergeCell ref="N200:N201"/>
    <mergeCell ref="R198:R199"/>
    <mergeCell ref="S198:S199"/>
    <mergeCell ref="T198:T199"/>
    <mergeCell ref="U198:U199"/>
    <mergeCell ref="B200:B201"/>
    <mergeCell ref="C200:C201"/>
    <mergeCell ref="E200:E201"/>
    <mergeCell ref="F200:F201"/>
    <mergeCell ref="G200:G201"/>
    <mergeCell ref="H200:H201"/>
    <mergeCell ref="L198:L199"/>
    <mergeCell ref="M198:M199"/>
    <mergeCell ref="N198:N199"/>
    <mergeCell ref="O198:O199"/>
    <mergeCell ref="P198:P199"/>
    <mergeCell ref="Q198:Q199"/>
    <mergeCell ref="U196:U197"/>
    <mergeCell ref="B198:B199"/>
    <mergeCell ref="C198:C199"/>
    <mergeCell ref="E198:E199"/>
    <mergeCell ref="F198:F199"/>
    <mergeCell ref="G198:G199"/>
    <mergeCell ref="H198:H199"/>
    <mergeCell ref="I198:I199"/>
    <mergeCell ref="J198:J199"/>
    <mergeCell ref="K198:K199"/>
    <mergeCell ref="O196:O197"/>
    <mergeCell ref="P196:P197"/>
    <mergeCell ref="Q196:Q197"/>
    <mergeCell ref="R196:R197"/>
    <mergeCell ref="S196:S197"/>
    <mergeCell ref="T196:T197"/>
    <mergeCell ref="I196:I197"/>
    <mergeCell ref="J196:J197"/>
    <mergeCell ref="K196:K197"/>
    <mergeCell ref="L196:L197"/>
    <mergeCell ref="M196:M197"/>
    <mergeCell ref="N196:N197"/>
    <mergeCell ref="R194:R195"/>
    <mergeCell ref="S194:S195"/>
    <mergeCell ref="T194:T195"/>
    <mergeCell ref="U194:U195"/>
    <mergeCell ref="B196:B197"/>
    <mergeCell ref="C196:C197"/>
    <mergeCell ref="E196:E197"/>
    <mergeCell ref="F196:F197"/>
    <mergeCell ref="G196:G197"/>
    <mergeCell ref="H196:H197"/>
    <mergeCell ref="L194:L195"/>
    <mergeCell ref="M194:M195"/>
    <mergeCell ref="N194:N195"/>
    <mergeCell ref="O194:O195"/>
    <mergeCell ref="P194:P195"/>
    <mergeCell ref="Q194:Q195"/>
    <mergeCell ref="U192:U193"/>
    <mergeCell ref="B194:B195"/>
    <mergeCell ref="C194:C195"/>
    <mergeCell ref="E194:E195"/>
    <mergeCell ref="F194:F195"/>
    <mergeCell ref="G194:G195"/>
    <mergeCell ref="H194:H195"/>
    <mergeCell ref="I194:I195"/>
    <mergeCell ref="J194:J195"/>
    <mergeCell ref="K194:K195"/>
    <mergeCell ref="O192:O193"/>
    <mergeCell ref="P192:P193"/>
    <mergeCell ref="Q192:Q193"/>
    <mergeCell ref="R192:R193"/>
    <mergeCell ref="S192:S193"/>
    <mergeCell ref="T192:T193"/>
    <mergeCell ref="I192:I193"/>
    <mergeCell ref="J192:J193"/>
    <mergeCell ref="K192:K193"/>
    <mergeCell ref="L192:L193"/>
    <mergeCell ref="M192:M193"/>
    <mergeCell ref="N192:N193"/>
    <mergeCell ref="R190:R191"/>
    <mergeCell ref="S190:S191"/>
    <mergeCell ref="T190:T191"/>
    <mergeCell ref="U190:U191"/>
    <mergeCell ref="B192:B193"/>
    <mergeCell ref="C192:C193"/>
    <mergeCell ref="E192:E193"/>
    <mergeCell ref="F192:F193"/>
    <mergeCell ref="G192:G193"/>
    <mergeCell ref="H192:H193"/>
    <mergeCell ref="L190:L191"/>
    <mergeCell ref="M190:M191"/>
    <mergeCell ref="N190:N191"/>
    <mergeCell ref="O190:O191"/>
    <mergeCell ref="P190:P191"/>
    <mergeCell ref="Q190:Q191"/>
    <mergeCell ref="U188:U189"/>
    <mergeCell ref="B190:B191"/>
    <mergeCell ref="C190:C191"/>
    <mergeCell ref="E190:E191"/>
    <mergeCell ref="F190:F191"/>
    <mergeCell ref="G190:G191"/>
    <mergeCell ref="H190:H191"/>
    <mergeCell ref="I190:I191"/>
    <mergeCell ref="J190:J191"/>
    <mergeCell ref="K190:K191"/>
    <mergeCell ref="O188:O189"/>
    <mergeCell ref="P188:P189"/>
    <mergeCell ref="Q188:Q189"/>
    <mergeCell ref="R188:R189"/>
    <mergeCell ref="S188:S189"/>
    <mergeCell ref="T188:T189"/>
    <mergeCell ref="I188:I189"/>
    <mergeCell ref="J188:J189"/>
    <mergeCell ref="K188:K189"/>
    <mergeCell ref="L188:L189"/>
    <mergeCell ref="M188:M189"/>
    <mergeCell ref="N188:N189"/>
    <mergeCell ref="R186:R187"/>
    <mergeCell ref="S186:S187"/>
    <mergeCell ref="T186:T187"/>
    <mergeCell ref="U186:U187"/>
    <mergeCell ref="B188:B189"/>
    <mergeCell ref="C188:C189"/>
    <mergeCell ref="E188:E189"/>
    <mergeCell ref="F188:F189"/>
    <mergeCell ref="G188:G189"/>
    <mergeCell ref="H188:H189"/>
    <mergeCell ref="L186:L187"/>
    <mergeCell ref="M186:M187"/>
    <mergeCell ref="N186:N187"/>
    <mergeCell ref="O186:O187"/>
    <mergeCell ref="P186:P187"/>
    <mergeCell ref="Q186:Q187"/>
    <mergeCell ref="U184:U185"/>
    <mergeCell ref="B186:B187"/>
    <mergeCell ref="C186:C187"/>
    <mergeCell ref="E186:E187"/>
    <mergeCell ref="F186:F187"/>
    <mergeCell ref="G186:G187"/>
    <mergeCell ref="H186:H187"/>
    <mergeCell ref="I186:I187"/>
    <mergeCell ref="J186:J187"/>
    <mergeCell ref="K186:K187"/>
    <mergeCell ref="O184:O185"/>
    <mergeCell ref="P184:P185"/>
    <mergeCell ref="Q184:Q185"/>
    <mergeCell ref="R184:R185"/>
    <mergeCell ref="S184:S185"/>
    <mergeCell ref="T184:T185"/>
    <mergeCell ref="I184:I185"/>
    <mergeCell ref="J184:J185"/>
    <mergeCell ref="K184:K185"/>
    <mergeCell ref="L184:L185"/>
    <mergeCell ref="M184:M185"/>
    <mergeCell ref="N184:N185"/>
    <mergeCell ref="R182:R183"/>
    <mergeCell ref="S182:S183"/>
    <mergeCell ref="T182:T183"/>
    <mergeCell ref="U182:U183"/>
    <mergeCell ref="B184:B185"/>
    <mergeCell ref="C184:C185"/>
    <mergeCell ref="E184:E185"/>
    <mergeCell ref="F184:F185"/>
    <mergeCell ref="G184:G185"/>
    <mergeCell ref="H184:H185"/>
    <mergeCell ref="L182:L183"/>
    <mergeCell ref="M182:M183"/>
    <mergeCell ref="N182:N183"/>
    <mergeCell ref="O182:O183"/>
    <mergeCell ref="P182:P183"/>
    <mergeCell ref="Q182:Q183"/>
    <mergeCell ref="U180:U181"/>
    <mergeCell ref="B182:B183"/>
    <mergeCell ref="C182:C183"/>
    <mergeCell ref="E182:E183"/>
    <mergeCell ref="F182:F183"/>
    <mergeCell ref="G182:G183"/>
    <mergeCell ref="H182:H183"/>
    <mergeCell ref="I182:I183"/>
    <mergeCell ref="J182:J183"/>
    <mergeCell ref="K182:K183"/>
    <mergeCell ref="O180:O181"/>
    <mergeCell ref="P180:P181"/>
    <mergeCell ref="Q180:Q181"/>
    <mergeCell ref="R180:R181"/>
    <mergeCell ref="S180:S181"/>
    <mergeCell ref="T180:T181"/>
    <mergeCell ref="I180:I181"/>
    <mergeCell ref="J180:J181"/>
    <mergeCell ref="K180:K181"/>
    <mergeCell ref="L180:L181"/>
    <mergeCell ref="M180:M181"/>
    <mergeCell ref="N180:N181"/>
    <mergeCell ref="B180:B181"/>
    <mergeCell ref="C180:C181"/>
    <mergeCell ref="E180:E181"/>
    <mergeCell ref="F180:F181"/>
    <mergeCell ref="G180:G181"/>
    <mergeCell ref="H180:H181"/>
    <mergeCell ref="P178:P179"/>
    <mergeCell ref="Q178:Q179"/>
    <mergeCell ref="R178:R179"/>
    <mergeCell ref="S178:S179"/>
    <mergeCell ref="T178:T179"/>
    <mergeCell ref="U178:U179"/>
    <mergeCell ref="J178:J179"/>
    <mergeCell ref="K178:K179"/>
    <mergeCell ref="L178:L179"/>
    <mergeCell ref="M178:M179"/>
    <mergeCell ref="N178:N179"/>
    <mergeCell ref="O178:O179"/>
    <mergeCell ref="T176:T177"/>
    <mergeCell ref="U176:U177"/>
    <mergeCell ref="A178:A211"/>
    <mergeCell ref="B178:B179"/>
    <mergeCell ref="C178:C179"/>
    <mergeCell ref="E178:E179"/>
    <mergeCell ref="F178:F179"/>
    <mergeCell ref="G178:G179"/>
    <mergeCell ref="H178:H179"/>
    <mergeCell ref="I178:I179"/>
    <mergeCell ref="N176:N177"/>
    <mergeCell ref="O176:O177"/>
    <mergeCell ref="P176:P177"/>
    <mergeCell ref="Q176:Q177"/>
    <mergeCell ref="R176:R177"/>
    <mergeCell ref="S176:S177"/>
    <mergeCell ref="H176:H177"/>
    <mergeCell ref="I176:I177"/>
    <mergeCell ref="J176:J177"/>
    <mergeCell ref="K176:K177"/>
    <mergeCell ref="L176:L177"/>
    <mergeCell ref="M176:M177"/>
    <mergeCell ref="Q174:Q175"/>
    <mergeCell ref="R174:R175"/>
    <mergeCell ref="S174:S175"/>
    <mergeCell ref="T174:T175"/>
    <mergeCell ref="U174:U175"/>
    <mergeCell ref="B176:B177"/>
    <mergeCell ref="C176:C177"/>
    <mergeCell ref="E176:E177"/>
    <mergeCell ref="F176:F177"/>
    <mergeCell ref="G176:G177"/>
    <mergeCell ref="K174:K175"/>
    <mergeCell ref="L174:L175"/>
    <mergeCell ref="M174:M175"/>
    <mergeCell ref="N174:N175"/>
    <mergeCell ref="O174:O175"/>
    <mergeCell ref="P174:P175"/>
    <mergeCell ref="T172:T173"/>
    <mergeCell ref="U172:U173"/>
    <mergeCell ref="B174:B175"/>
    <mergeCell ref="C174:C175"/>
    <mergeCell ref="E174:E175"/>
    <mergeCell ref="F174:F175"/>
    <mergeCell ref="G174:G175"/>
    <mergeCell ref="H174:H175"/>
    <mergeCell ref="I174:I175"/>
    <mergeCell ref="J174:J175"/>
    <mergeCell ref="N172:N173"/>
    <mergeCell ref="O172:O173"/>
    <mergeCell ref="P172:P173"/>
    <mergeCell ref="Q172:Q173"/>
    <mergeCell ref="R172:R173"/>
    <mergeCell ref="S172:S173"/>
    <mergeCell ref="H172:H173"/>
    <mergeCell ref="I172:I173"/>
    <mergeCell ref="J172:J173"/>
    <mergeCell ref="K172:K173"/>
    <mergeCell ref="L172:L173"/>
    <mergeCell ref="M172:M173"/>
    <mergeCell ref="Q170:Q171"/>
    <mergeCell ref="R170:R171"/>
    <mergeCell ref="S170:S171"/>
    <mergeCell ref="T170:T171"/>
    <mergeCell ref="U170:U171"/>
    <mergeCell ref="B172:B173"/>
    <mergeCell ref="C172:C173"/>
    <mergeCell ref="E172:E173"/>
    <mergeCell ref="F172:F173"/>
    <mergeCell ref="G172:G173"/>
    <mergeCell ref="K170:K171"/>
    <mergeCell ref="L170:L171"/>
    <mergeCell ref="M170:M171"/>
    <mergeCell ref="N170:N171"/>
    <mergeCell ref="O170:O171"/>
    <mergeCell ref="P170:P171"/>
    <mergeCell ref="T168:T169"/>
    <mergeCell ref="U168:U169"/>
    <mergeCell ref="B170:B171"/>
    <mergeCell ref="C170:C171"/>
    <mergeCell ref="E170:E171"/>
    <mergeCell ref="F170:F171"/>
    <mergeCell ref="G170:G171"/>
    <mergeCell ref="H170:H171"/>
    <mergeCell ref="I170:I171"/>
    <mergeCell ref="J170:J171"/>
    <mergeCell ref="N168:N169"/>
    <mergeCell ref="O168:O169"/>
    <mergeCell ref="P168:P169"/>
    <mergeCell ref="Q168:Q169"/>
    <mergeCell ref="R168:R169"/>
    <mergeCell ref="S168:S169"/>
    <mergeCell ref="H168:H169"/>
    <mergeCell ref="I168:I169"/>
    <mergeCell ref="J168:J169"/>
    <mergeCell ref="K168:K169"/>
    <mergeCell ref="L168:L169"/>
    <mergeCell ref="M168:M169"/>
    <mergeCell ref="Q166:Q167"/>
    <mergeCell ref="R166:R167"/>
    <mergeCell ref="S166:S167"/>
    <mergeCell ref="T166:T167"/>
    <mergeCell ref="U166:U167"/>
    <mergeCell ref="B168:B169"/>
    <mergeCell ref="C168:C169"/>
    <mergeCell ref="E168:E169"/>
    <mergeCell ref="F168:F169"/>
    <mergeCell ref="G168:G169"/>
    <mergeCell ref="K166:K167"/>
    <mergeCell ref="L166:L167"/>
    <mergeCell ref="M166:M167"/>
    <mergeCell ref="N166:N167"/>
    <mergeCell ref="O166:O167"/>
    <mergeCell ref="P166:P167"/>
    <mergeCell ref="T164:T165"/>
    <mergeCell ref="U164:U165"/>
    <mergeCell ref="B166:B167"/>
    <mergeCell ref="C166:C167"/>
    <mergeCell ref="E166:E167"/>
    <mergeCell ref="F166:F167"/>
    <mergeCell ref="G166:G167"/>
    <mergeCell ref="H166:H167"/>
    <mergeCell ref="I166:I167"/>
    <mergeCell ref="J166:J167"/>
    <mergeCell ref="N164:N165"/>
    <mergeCell ref="O164:O165"/>
    <mergeCell ref="P164:P165"/>
    <mergeCell ref="Q164:Q165"/>
    <mergeCell ref="R164:R165"/>
    <mergeCell ref="S164:S165"/>
    <mergeCell ref="H164:H165"/>
    <mergeCell ref="I164:I165"/>
    <mergeCell ref="J164:J165"/>
    <mergeCell ref="K164:K165"/>
    <mergeCell ref="L164:L165"/>
    <mergeCell ref="M164:M165"/>
    <mergeCell ref="Q162:Q163"/>
    <mergeCell ref="R162:R163"/>
    <mergeCell ref="S162:S163"/>
    <mergeCell ref="T162:T163"/>
    <mergeCell ref="U162:U163"/>
    <mergeCell ref="B164:B165"/>
    <mergeCell ref="C164:C165"/>
    <mergeCell ref="E164:E165"/>
    <mergeCell ref="F164:F165"/>
    <mergeCell ref="G164:G165"/>
    <mergeCell ref="K162:K163"/>
    <mergeCell ref="L162:L163"/>
    <mergeCell ref="M162:M163"/>
    <mergeCell ref="N162:N163"/>
    <mergeCell ref="O162:O163"/>
    <mergeCell ref="P162:P163"/>
    <mergeCell ref="T160:T161"/>
    <mergeCell ref="U160:U161"/>
    <mergeCell ref="B162:B163"/>
    <mergeCell ref="C162:C163"/>
    <mergeCell ref="E162:E163"/>
    <mergeCell ref="F162:F163"/>
    <mergeCell ref="G162:G163"/>
    <mergeCell ref="H162:H163"/>
    <mergeCell ref="I162:I163"/>
    <mergeCell ref="J162:J163"/>
    <mergeCell ref="N160:N161"/>
    <mergeCell ref="O160:O161"/>
    <mergeCell ref="P160:P161"/>
    <mergeCell ref="Q160:Q161"/>
    <mergeCell ref="R160:R161"/>
    <mergeCell ref="S160:S161"/>
    <mergeCell ref="H160:H161"/>
    <mergeCell ref="I160:I161"/>
    <mergeCell ref="J160:J161"/>
    <mergeCell ref="K160:K161"/>
    <mergeCell ref="L160:L161"/>
    <mergeCell ref="M160:M161"/>
    <mergeCell ref="Q158:Q159"/>
    <mergeCell ref="R158:R159"/>
    <mergeCell ref="S158:S159"/>
    <mergeCell ref="T158:T159"/>
    <mergeCell ref="U158:U159"/>
    <mergeCell ref="B160:B161"/>
    <mergeCell ref="C160:C161"/>
    <mergeCell ref="E160:E161"/>
    <mergeCell ref="F160:F161"/>
    <mergeCell ref="G160:G161"/>
    <mergeCell ref="K158:K159"/>
    <mergeCell ref="L158:L159"/>
    <mergeCell ref="M158:M159"/>
    <mergeCell ref="N158:N159"/>
    <mergeCell ref="O158:O159"/>
    <mergeCell ref="P158:P159"/>
    <mergeCell ref="T156:T157"/>
    <mergeCell ref="U156:U157"/>
    <mergeCell ref="B158:B159"/>
    <mergeCell ref="C158:C159"/>
    <mergeCell ref="E158:E159"/>
    <mergeCell ref="F158:F159"/>
    <mergeCell ref="G158:G159"/>
    <mergeCell ref="H158:H159"/>
    <mergeCell ref="I158:I159"/>
    <mergeCell ref="J158:J159"/>
    <mergeCell ref="N156:N157"/>
    <mergeCell ref="O156:O157"/>
    <mergeCell ref="P156:P157"/>
    <mergeCell ref="Q156:Q157"/>
    <mergeCell ref="R156:R157"/>
    <mergeCell ref="S156:S157"/>
    <mergeCell ref="H156:H157"/>
    <mergeCell ref="I156:I157"/>
    <mergeCell ref="J156:J157"/>
    <mergeCell ref="K156:K157"/>
    <mergeCell ref="L156:L157"/>
    <mergeCell ref="M156:M157"/>
    <mergeCell ref="Q154:Q155"/>
    <mergeCell ref="R154:R155"/>
    <mergeCell ref="S154:S155"/>
    <mergeCell ref="T154:T155"/>
    <mergeCell ref="U154:U155"/>
    <mergeCell ref="B156:B157"/>
    <mergeCell ref="C156:C157"/>
    <mergeCell ref="E156:E157"/>
    <mergeCell ref="F156:F157"/>
    <mergeCell ref="G156:G157"/>
    <mergeCell ref="K154:K155"/>
    <mergeCell ref="L154:L155"/>
    <mergeCell ref="M154:M155"/>
    <mergeCell ref="N154:N155"/>
    <mergeCell ref="O154:O155"/>
    <mergeCell ref="P154:P155"/>
    <mergeCell ref="T152:T153"/>
    <mergeCell ref="U152:U153"/>
    <mergeCell ref="B154:B155"/>
    <mergeCell ref="C154:C155"/>
    <mergeCell ref="E154:E155"/>
    <mergeCell ref="F154:F155"/>
    <mergeCell ref="G154:G155"/>
    <mergeCell ref="H154:H155"/>
    <mergeCell ref="I154:I155"/>
    <mergeCell ref="J154:J155"/>
    <mergeCell ref="N152:N153"/>
    <mergeCell ref="O152:O153"/>
    <mergeCell ref="P152:P153"/>
    <mergeCell ref="Q152:Q153"/>
    <mergeCell ref="R152:R153"/>
    <mergeCell ref="S152:S153"/>
    <mergeCell ref="H152:H153"/>
    <mergeCell ref="I152:I153"/>
    <mergeCell ref="J152:J153"/>
    <mergeCell ref="K152:K153"/>
    <mergeCell ref="L152:L153"/>
    <mergeCell ref="M152:M153"/>
    <mergeCell ref="Q150:Q151"/>
    <mergeCell ref="R150:R151"/>
    <mergeCell ref="S150:S151"/>
    <mergeCell ref="T150:T151"/>
    <mergeCell ref="U150:U151"/>
    <mergeCell ref="B152:B153"/>
    <mergeCell ref="C152:C153"/>
    <mergeCell ref="E152:E153"/>
    <mergeCell ref="F152:F153"/>
    <mergeCell ref="G152:G153"/>
    <mergeCell ref="K150:K151"/>
    <mergeCell ref="L150:L151"/>
    <mergeCell ref="M150:M151"/>
    <mergeCell ref="N150:N151"/>
    <mergeCell ref="O150:O151"/>
    <mergeCell ref="P150:P151"/>
    <mergeCell ref="T148:T149"/>
    <mergeCell ref="U148:U149"/>
    <mergeCell ref="B150:B151"/>
    <mergeCell ref="C150:C151"/>
    <mergeCell ref="E150:E151"/>
    <mergeCell ref="F150:F151"/>
    <mergeCell ref="G150:G151"/>
    <mergeCell ref="H150:H151"/>
    <mergeCell ref="I150:I151"/>
    <mergeCell ref="J150:J151"/>
    <mergeCell ref="N148:N149"/>
    <mergeCell ref="O148:O149"/>
    <mergeCell ref="P148:P149"/>
    <mergeCell ref="Q148:Q149"/>
    <mergeCell ref="R148:R149"/>
    <mergeCell ref="S148:S149"/>
    <mergeCell ref="H148:H149"/>
    <mergeCell ref="I148:I149"/>
    <mergeCell ref="J148:J149"/>
    <mergeCell ref="K148:K149"/>
    <mergeCell ref="L148:L149"/>
    <mergeCell ref="M148:M149"/>
    <mergeCell ref="O146:O147"/>
    <mergeCell ref="P146:P147"/>
    <mergeCell ref="T144:T145"/>
    <mergeCell ref="U144:U145"/>
    <mergeCell ref="B146:B147"/>
    <mergeCell ref="C146:C147"/>
    <mergeCell ref="E146:E147"/>
    <mergeCell ref="F146:F147"/>
    <mergeCell ref="G146:G147"/>
    <mergeCell ref="H146:H147"/>
    <mergeCell ref="I146:I147"/>
    <mergeCell ref="J146:J147"/>
    <mergeCell ref="N144:N145"/>
    <mergeCell ref="O144:O145"/>
    <mergeCell ref="P144:P145"/>
    <mergeCell ref="Q144:Q145"/>
    <mergeCell ref="R144:R145"/>
    <mergeCell ref="S144:S145"/>
    <mergeCell ref="H144:H145"/>
    <mergeCell ref="I144:I145"/>
    <mergeCell ref="J144:J145"/>
    <mergeCell ref="K144:K145"/>
    <mergeCell ref="L144:L145"/>
    <mergeCell ref="M144:M145"/>
    <mergeCell ref="A144:A177"/>
    <mergeCell ref="B144:B145"/>
    <mergeCell ref="C144:C145"/>
    <mergeCell ref="E144:E145"/>
    <mergeCell ref="F144:F145"/>
    <mergeCell ref="G144:G145"/>
    <mergeCell ref="L142:L143"/>
    <mergeCell ref="M142:M143"/>
    <mergeCell ref="N142:N143"/>
    <mergeCell ref="O142:O143"/>
    <mergeCell ref="P142:P143"/>
    <mergeCell ref="Q142:Q143"/>
    <mergeCell ref="Q146:Q147"/>
    <mergeCell ref="R146:R147"/>
    <mergeCell ref="S146:S147"/>
    <mergeCell ref="T146:T147"/>
    <mergeCell ref="U146:U147"/>
    <mergeCell ref="B148:B149"/>
    <mergeCell ref="C148:C149"/>
    <mergeCell ref="E148:E149"/>
    <mergeCell ref="F148:F149"/>
    <mergeCell ref="G148:G149"/>
    <mergeCell ref="A110:A143"/>
    <mergeCell ref="B110:B111"/>
    <mergeCell ref="C110:C111"/>
    <mergeCell ref="E110:E111"/>
    <mergeCell ref="F110:F111"/>
    <mergeCell ref="G110:G111"/>
    <mergeCell ref="K146:K147"/>
    <mergeCell ref="L146:L147"/>
    <mergeCell ref="M146:M147"/>
    <mergeCell ref="N146:N147"/>
    <mergeCell ref="U140:U141"/>
    <mergeCell ref="B142:B143"/>
    <mergeCell ref="C142:C143"/>
    <mergeCell ref="E142:E143"/>
    <mergeCell ref="F142:F143"/>
    <mergeCell ref="G142:G143"/>
    <mergeCell ref="H142:H143"/>
    <mergeCell ref="I142:I143"/>
    <mergeCell ref="J142:J143"/>
    <mergeCell ref="K142:K143"/>
    <mergeCell ref="O140:O141"/>
    <mergeCell ref="P140:P141"/>
    <mergeCell ref="Q140:Q141"/>
    <mergeCell ref="R140:R141"/>
    <mergeCell ref="S140:S141"/>
    <mergeCell ref="T140:T141"/>
    <mergeCell ref="I140:I141"/>
    <mergeCell ref="J140:J141"/>
    <mergeCell ref="K140:K141"/>
    <mergeCell ref="L140:L141"/>
    <mergeCell ref="M140:M141"/>
    <mergeCell ref="N140:N141"/>
    <mergeCell ref="R142:R143"/>
    <mergeCell ref="S142:S143"/>
    <mergeCell ref="T142:T143"/>
    <mergeCell ref="U142:U143"/>
    <mergeCell ref="R138:R139"/>
    <mergeCell ref="S138:S139"/>
    <mergeCell ref="T138:T139"/>
    <mergeCell ref="U138:U139"/>
    <mergeCell ref="B140:B141"/>
    <mergeCell ref="C140:C141"/>
    <mergeCell ref="E140:E141"/>
    <mergeCell ref="F140:F141"/>
    <mergeCell ref="G140:G141"/>
    <mergeCell ref="H140:H141"/>
    <mergeCell ref="L138:L139"/>
    <mergeCell ref="M138:M139"/>
    <mergeCell ref="N138:N139"/>
    <mergeCell ref="O138:O139"/>
    <mergeCell ref="P138:P139"/>
    <mergeCell ref="Q138:Q139"/>
    <mergeCell ref="U136:U137"/>
    <mergeCell ref="B138:B139"/>
    <mergeCell ref="C138:C139"/>
    <mergeCell ref="E138:E139"/>
    <mergeCell ref="F138:F139"/>
    <mergeCell ref="G138:G139"/>
    <mergeCell ref="H138:H139"/>
    <mergeCell ref="I138:I139"/>
    <mergeCell ref="J138:J139"/>
    <mergeCell ref="K138:K139"/>
    <mergeCell ref="O136:O137"/>
    <mergeCell ref="P136:P137"/>
    <mergeCell ref="Q136:Q137"/>
    <mergeCell ref="R136:R137"/>
    <mergeCell ref="S136:S137"/>
    <mergeCell ref="T136:T137"/>
    <mergeCell ref="I136:I137"/>
    <mergeCell ref="J136:J137"/>
    <mergeCell ref="K136:K137"/>
    <mergeCell ref="L136:L137"/>
    <mergeCell ref="M136:M137"/>
    <mergeCell ref="N136:N137"/>
    <mergeCell ref="R134:R135"/>
    <mergeCell ref="S134:S135"/>
    <mergeCell ref="T134:T135"/>
    <mergeCell ref="U134:U135"/>
    <mergeCell ref="B136:B137"/>
    <mergeCell ref="C136:C137"/>
    <mergeCell ref="E136:E137"/>
    <mergeCell ref="F136:F137"/>
    <mergeCell ref="G136:G137"/>
    <mergeCell ref="H136:H137"/>
    <mergeCell ref="L134:L135"/>
    <mergeCell ref="M134:M135"/>
    <mergeCell ref="N134:N135"/>
    <mergeCell ref="O134:O135"/>
    <mergeCell ref="P134:P135"/>
    <mergeCell ref="Q134:Q135"/>
    <mergeCell ref="U132:U133"/>
    <mergeCell ref="B134:B135"/>
    <mergeCell ref="C134:C135"/>
    <mergeCell ref="E134:E135"/>
    <mergeCell ref="F134:F135"/>
    <mergeCell ref="G134:G135"/>
    <mergeCell ref="H134:H135"/>
    <mergeCell ref="I134:I135"/>
    <mergeCell ref="J134:J135"/>
    <mergeCell ref="K134:K135"/>
    <mergeCell ref="O132:O133"/>
    <mergeCell ref="P132:P133"/>
    <mergeCell ref="Q132:Q133"/>
    <mergeCell ref="R132:R133"/>
    <mergeCell ref="S132:S133"/>
    <mergeCell ref="T132:T133"/>
    <mergeCell ref="I132:I133"/>
    <mergeCell ref="J132:J133"/>
    <mergeCell ref="K132:K133"/>
    <mergeCell ref="L132:L133"/>
    <mergeCell ref="M132:M133"/>
    <mergeCell ref="N132:N133"/>
    <mergeCell ref="R130:R131"/>
    <mergeCell ref="S130:S131"/>
    <mergeCell ref="T130:T131"/>
    <mergeCell ref="U130:U131"/>
    <mergeCell ref="B132:B133"/>
    <mergeCell ref="C132:C133"/>
    <mergeCell ref="E132:E133"/>
    <mergeCell ref="F132:F133"/>
    <mergeCell ref="G132:G133"/>
    <mergeCell ref="H132:H133"/>
    <mergeCell ref="L130:L131"/>
    <mergeCell ref="M130:M131"/>
    <mergeCell ref="N130:N131"/>
    <mergeCell ref="O130:O131"/>
    <mergeCell ref="P130:P131"/>
    <mergeCell ref="Q130:Q131"/>
    <mergeCell ref="U128:U129"/>
    <mergeCell ref="B130:B131"/>
    <mergeCell ref="C130:C131"/>
    <mergeCell ref="E130:E131"/>
    <mergeCell ref="F130:F131"/>
    <mergeCell ref="G130:G131"/>
    <mergeCell ref="H130:H131"/>
    <mergeCell ref="I130:I131"/>
    <mergeCell ref="J130:J131"/>
    <mergeCell ref="K130:K131"/>
    <mergeCell ref="O128:O129"/>
    <mergeCell ref="P128:P129"/>
    <mergeCell ref="Q128:Q129"/>
    <mergeCell ref="R128:R129"/>
    <mergeCell ref="S128:S129"/>
    <mergeCell ref="T128:T129"/>
    <mergeCell ref="I128:I129"/>
    <mergeCell ref="J128:J129"/>
    <mergeCell ref="K128:K129"/>
    <mergeCell ref="L128:L129"/>
    <mergeCell ref="M128:M129"/>
    <mergeCell ref="N128:N129"/>
    <mergeCell ref="R126:R127"/>
    <mergeCell ref="S126:S127"/>
    <mergeCell ref="T126:T127"/>
    <mergeCell ref="U126:U127"/>
    <mergeCell ref="B128:B129"/>
    <mergeCell ref="C128:C129"/>
    <mergeCell ref="E128:E129"/>
    <mergeCell ref="F128:F129"/>
    <mergeCell ref="G128:G129"/>
    <mergeCell ref="H128:H129"/>
    <mergeCell ref="L126:L127"/>
    <mergeCell ref="M126:M127"/>
    <mergeCell ref="N126:N127"/>
    <mergeCell ref="O126:O127"/>
    <mergeCell ref="P126:P127"/>
    <mergeCell ref="Q126:Q127"/>
    <mergeCell ref="U124:U125"/>
    <mergeCell ref="B126:B127"/>
    <mergeCell ref="C126:C127"/>
    <mergeCell ref="E126:E127"/>
    <mergeCell ref="F126:F127"/>
    <mergeCell ref="G126:G127"/>
    <mergeCell ref="H126:H127"/>
    <mergeCell ref="I126:I127"/>
    <mergeCell ref="J126:J127"/>
    <mergeCell ref="K126:K127"/>
    <mergeCell ref="O124:O125"/>
    <mergeCell ref="P124:P125"/>
    <mergeCell ref="Q124:Q125"/>
    <mergeCell ref="R124:R125"/>
    <mergeCell ref="S124:S125"/>
    <mergeCell ref="T124:T125"/>
    <mergeCell ref="I124:I125"/>
    <mergeCell ref="J124:J125"/>
    <mergeCell ref="K124:K125"/>
    <mergeCell ref="L124:L125"/>
    <mergeCell ref="M124:M125"/>
    <mergeCell ref="N124:N125"/>
    <mergeCell ref="R122:R123"/>
    <mergeCell ref="S122:S123"/>
    <mergeCell ref="T122:T123"/>
    <mergeCell ref="U122:U123"/>
    <mergeCell ref="B124:B125"/>
    <mergeCell ref="C124:C125"/>
    <mergeCell ref="E124:E125"/>
    <mergeCell ref="F124:F125"/>
    <mergeCell ref="G124:G125"/>
    <mergeCell ref="H124:H125"/>
    <mergeCell ref="L122:L123"/>
    <mergeCell ref="M122:M123"/>
    <mergeCell ref="N122:N123"/>
    <mergeCell ref="O122:O123"/>
    <mergeCell ref="P122:P123"/>
    <mergeCell ref="Q122:Q123"/>
    <mergeCell ref="U120:U121"/>
    <mergeCell ref="B122:B123"/>
    <mergeCell ref="C122:C123"/>
    <mergeCell ref="E122:E123"/>
    <mergeCell ref="F122:F123"/>
    <mergeCell ref="G122:G123"/>
    <mergeCell ref="H122:H123"/>
    <mergeCell ref="I122:I123"/>
    <mergeCell ref="J122:J123"/>
    <mergeCell ref="K122:K123"/>
    <mergeCell ref="O120:O121"/>
    <mergeCell ref="P120:P121"/>
    <mergeCell ref="Q120:Q121"/>
    <mergeCell ref="R120:R121"/>
    <mergeCell ref="S120:S121"/>
    <mergeCell ref="T120:T121"/>
    <mergeCell ref="I120:I121"/>
    <mergeCell ref="J120:J121"/>
    <mergeCell ref="K120:K121"/>
    <mergeCell ref="L120:L121"/>
    <mergeCell ref="M120:M121"/>
    <mergeCell ref="N120:N121"/>
    <mergeCell ref="R118:R119"/>
    <mergeCell ref="S118:S119"/>
    <mergeCell ref="T118:T119"/>
    <mergeCell ref="U118:U119"/>
    <mergeCell ref="B120:B121"/>
    <mergeCell ref="C120:C121"/>
    <mergeCell ref="E120:E121"/>
    <mergeCell ref="F120:F121"/>
    <mergeCell ref="G120:G121"/>
    <mergeCell ref="H120:H121"/>
    <mergeCell ref="L118:L119"/>
    <mergeCell ref="M118:M119"/>
    <mergeCell ref="N118:N119"/>
    <mergeCell ref="O118:O119"/>
    <mergeCell ref="P118:P119"/>
    <mergeCell ref="Q118:Q119"/>
    <mergeCell ref="B118:B119"/>
    <mergeCell ref="C118:C119"/>
    <mergeCell ref="E118:E119"/>
    <mergeCell ref="F118:F119"/>
    <mergeCell ref="G118:G119"/>
    <mergeCell ref="H118:H119"/>
    <mergeCell ref="I118:I119"/>
    <mergeCell ref="J118:J119"/>
    <mergeCell ref="K118:K119"/>
    <mergeCell ref="U116:U117"/>
    <mergeCell ref="L112:L113"/>
    <mergeCell ref="M112:M113"/>
    <mergeCell ref="N112:N113"/>
    <mergeCell ref="B112:B113"/>
    <mergeCell ref="C112:C113"/>
    <mergeCell ref="E112:E113"/>
    <mergeCell ref="F112:F113"/>
    <mergeCell ref="G112:G113"/>
    <mergeCell ref="H112:H113"/>
    <mergeCell ref="O116:O117"/>
    <mergeCell ref="P116:P117"/>
    <mergeCell ref="Q116:Q117"/>
    <mergeCell ref="R116:R117"/>
    <mergeCell ref="S116:S117"/>
    <mergeCell ref="T116:T117"/>
    <mergeCell ref="I116:I117"/>
    <mergeCell ref="J116:J117"/>
    <mergeCell ref="K116:K117"/>
    <mergeCell ref="L116:L117"/>
    <mergeCell ref="M116:M117"/>
    <mergeCell ref="N116:N117"/>
    <mergeCell ref="U114:U115"/>
    <mergeCell ref="B116:B117"/>
    <mergeCell ref="C116:C117"/>
    <mergeCell ref="E116:E117"/>
    <mergeCell ref="F116:F117"/>
    <mergeCell ref="G116:G117"/>
    <mergeCell ref="H116:H117"/>
    <mergeCell ref="L114:L115"/>
    <mergeCell ref="M114:M115"/>
    <mergeCell ref="N114:N115"/>
    <mergeCell ref="T110:T111"/>
    <mergeCell ref="R114:R115"/>
    <mergeCell ref="S114:S115"/>
    <mergeCell ref="T114:T115"/>
    <mergeCell ref="U110:U111"/>
    <mergeCell ref="J110:J111"/>
    <mergeCell ref="K110:K111"/>
    <mergeCell ref="L110:L111"/>
    <mergeCell ref="M110:M111"/>
    <mergeCell ref="N110:N111"/>
    <mergeCell ref="O110:O111"/>
    <mergeCell ref="T108:T109"/>
    <mergeCell ref="U108:U109"/>
    <mergeCell ref="U112:U113"/>
    <mergeCell ref="B114:B115"/>
    <mergeCell ref="C114:C115"/>
    <mergeCell ref="E114:E115"/>
    <mergeCell ref="F114:F115"/>
    <mergeCell ref="G114:G115"/>
    <mergeCell ref="H114:H115"/>
    <mergeCell ref="I114:I115"/>
    <mergeCell ref="J114:J115"/>
    <mergeCell ref="K114:K115"/>
    <mergeCell ref="O112:O113"/>
    <mergeCell ref="P112:P113"/>
    <mergeCell ref="Q112:Q113"/>
    <mergeCell ref="R112:R113"/>
    <mergeCell ref="S112:S113"/>
    <mergeCell ref="T112:T113"/>
    <mergeCell ref="O114:O115"/>
    <mergeCell ref="P114:P115"/>
    <mergeCell ref="Q114:Q115"/>
    <mergeCell ref="H110:H111"/>
    <mergeCell ref="I110:I111"/>
    <mergeCell ref="N108:N109"/>
    <mergeCell ref="O108:O109"/>
    <mergeCell ref="P108:P109"/>
    <mergeCell ref="Q108:Q109"/>
    <mergeCell ref="R108:R109"/>
    <mergeCell ref="S108:S109"/>
    <mergeCell ref="H108:H109"/>
    <mergeCell ref="I108:I109"/>
    <mergeCell ref="J108:J109"/>
    <mergeCell ref="K108:K109"/>
    <mergeCell ref="L108:L109"/>
    <mergeCell ref="M108:M109"/>
    <mergeCell ref="I112:I113"/>
    <mergeCell ref="J112:J113"/>
    <mergeCell ref="K112:K113"/>
    <mergeCell ref="P110:P111"/>
    <mergeCell ref="Q110:Q111"/>
    <mergeCell ref="R110:R111"/>
    <mergeCell ref="S110:S111"/>
    <mergeCell ref="Q106:Q107"/>
    <mergeCell ref="R106:R107"/>
    <mergeCell ref="S106:S107"/>
    <mergeCell ref="T106:T107"/>
    <mergeCell ref="U106:U107"/>
    <mergeCell ref="B108:B109"/>
    <mergeCell ref="C108:C109"/>
    <mergeCell ref="E108:E109"/>
    <mergeCell ref="F108:F109"/>
    <mergeCell ref="G108:G109"/>
    <mergeCell ref="K106:K107"/>
    <mergeCell ref="L106:L107"/>
    <mergeCell ref="M106:M107"/>
    <mergeCell ref="N106:N107"/>
    <mergeCell ref="O106:O107"/>
    <mergeCell ref="P106:P107"/>
    <mergeCell ref="T104:T105"/>
    <mergeCell ref="U104:U105"/>
    <mergeCell ref="B106:B107"/>
    <mergeCell ref="C106:C107"/>
    <mergeCell ref="E106:E107"/>
    <mergeCell ref="F106:F107"/>
    <mergeCell ref="G106:G107"/>
    <mergeCell ref="H106:H107"/>
    <mergeCell ref="I106:I107"/>
    <mergeCell ref="J106:J107"/>
    <mergeCell ref="N104:N105"/>
    <mergeCell ref="O104:O105"/>
    <mergeCell ref="P104:P105"/>
    <mergeCell ref="Q104:Q105"/>
    <mergeCell ref="R104:R105"/>
    <mergeCell ref="S104:S105"/>
    <mergeCell ref="H104:H105"/>
    <mergeCell ref="I104:I105"/>
    <mergeCell ref="J104:J105"/>
    <mergeCell ref="K104:K105"/>
    <mergeCell ref="L104:L105"/>
    <mergeCell ref="M104:M105"/>
    <mergeCell ref="Q102:Q103"/>
    <mergeCell ref="R102:R103"/>
    <mergeCell ref="S102:S103"/>
    <mergeCell ref="T102:T103"/>
    <mergeCell ref="U102:U103"/>
    <mergeCell ref="B104:B105"/>
    <mergeCell ref="C104:C105"/>
    <mergeCell ref="E104:E105"/>
    <mergeCell ref="F104:F105"/>
    <mergeCell ref="G104:G105"/>
    <mergeCell ref="K102:K103"/>
    <mergeCell ref="L102:L103"/>
    <mergeCell ref="M102:M103"/>
    <mergeCell ref="N102:N103"/>
    <mergeCell ref="O102:O103"/>
    <mergeCell ref="P102:P103"/>
    <mergeCell ref="T100:T101"/>
    <mergeCell ref="U100:U101"/>
    <mergeCell ref="B102:B103"/>
    <mergeCell ref="C102:C103"/>
    <mergeCell ref="E102:E103"/>
    <mergeCell ref="F102:F103"/>
    <mergeCell ref="G102:G103"/>
    <mergeCell ref="H102:H103"/>
    <mergeCell ref="I102:I103"/>
    <mergeCell ref="J102:J103"/>
    <mergeCell ref="N100:N101"/>
    <mergeCell ref="O100:O101"/>
    <mergeCell ref="P100:P101"/>
    <mergeCell ref="Q100:Q101"/>
    <mergeCell ref="R100:R101"/>
    <mergeCell ref="S100:S101"/>
    <mergeCell ref="H100:H101"/>
    <mergeCell ref="I100:I101"/>
    <mergeCell ref="J100:J101"/>
    <mergeCell ref="K100:K101"/>
    <mergeCell ref="L100:L101"/>
    <mergeCell ref="M100:M101"/>
    <mergeCell ref="Q98:Q99"/>
    <mergeCell ref="R98:R99"/>
    <mergeCell ref="S98:S99"/>
    <mergeCell ref="T98:T99"/>
    <mergeCell ref="U98:U99"/>
    <mergeCell ref="B100:B101"/>
    <mergeCell ref="C100:C101"/>
    <mergeCell ref="E100:E101"/>
    <mergeCell ref="F100:F101"/>
    <mergeCell ref="G100:G101"/>
    <mergeCell ref="K98:K99"/>
    <mergeCell ref="L98:L99"/>
    <mergeCell ref="M98:M99"/>
    <mergeCell ref="N98:N99"/>
    <mergeCell ref="O98:O99"/>
    <mergeCell ref="P98:P99"/>
    <mergeCell ref="T96:T97"/>
    <mergeCell ref="U96:U97"/>
    <mergeCell ref="B98:B99"/>
    <mergeCell ref="C98:C99"/>
    <mergeCell ref="E98:E99"/>
    <mergeCell ref="F98:F99"/>
    <mergeCell ref="G98:G99"/>
    <mergeCell ref="H98:H99"/>
    <mergeCell ref="I98:I99"/>
    <mergeCell ref="J98:J99"/>
    <mergeCell ref="N96:N97"/>
    <mergeCell ref="O96:O97"/>
    <mergeCell ref="P96:P97"/>
    <mergeCell ref="Q96:Q97"/>
    <mergeCell ref="R96:R97"/>
    <mergeCell ref="S96:S97"/>
    <mergeCell ref="H96:H97"/>
    <mergeCell ref="I96:I97"/>
    <mergeCell ref="J96:J97"/>
    <mergeCell ref="K96:K97"/>
    <mergeCell ref="L96:L97"/>
    <mergeCell ref="M96:M97"/>
    <mergeCell ref="Q94:Q95"/>
    <mergeCell ref="R94:R95"/>
    <mergeCell ref="S94:S95"/>
    <mergeCell ref="T94:T95"/>
    <mergeCell ref="U94:U95"/>
    <mergeCell ref="B96:B97"/>
    <mergeCell ref="C96:C97"/>
    <mergeCell ref="E96:E97"/>
    <mergeCell ref="F96:F97"/>
    <mergeCell ref="G96:G97"/>
    <mergeCell ref="K94:K95"/>
    <mergeCell ref="L94:L95"/>
    <mergeCell ref="M94:M95"/>
    <mergeCell ref="N94:N95"/>
    <mergeCell ref="O94:O95"/>
    <mergeCell ref="P94:P95"/>
    <mergeCell ref="T92:T93"/>
    <mergeCell ref="U92:U93"/>
    <mergeCell ref="B94:B95"/>
    <mergeCell ref="C94:C95"/>
    <mergeCell ref="E94:E95"/>
    <mergeCell ref="F94:F95"/>
    <mergeCell ref="G94:G95"/>
    <mergeCell ref="H94:H95"/>
    <mergeCell ref="I94:I95"/>
    <mergeCell ref="J94:J95"/>
    <mergeCell ref="N92:N93"/>
    <mergeCell ref="O92:O93"/>
    <mergeCell ref="P92:P93"/>
    <mergeCell ref="Q92:Q93"/>
    <mergeCell ref="R92:R93"/>
    <mergeCell ref="S92:S93"/>
    <mergeCell ref="H92:H93"/>
    <mergeCell ref="I92:I93"/>
    <mergeCell ref="J92:J93"/>
    <mergeCell ref="K92:K93"/>
    <mergeCell ref="L92:L93"/>
    <mergeCell ref="M92:M93"/>
    <mergeCell ref="Q90:Q91"/>
    <mergeCell ref="R90:R91"/>
    <mergeCell ref="S90:S91"/>
    <mergeCell ref="T90:T91"/>
    <mergeCell ref="U90:U91"/>
    <mergeCell ref="B92:B93"/>
    <mergeCell ref="C92:C93"/>
    <mergeCell ref="E92:E93"/>
    <mergeCell ref="F92:F93"/>
    <mergeCell ref="G92:G93"/>
    <mergeCell ref="K90:K91"/>
    <mergeCell ref="L90:L91"/>
    <mergeCell ref="M90:M91"/>
    <mergeCell ref="N90:N91"/>
    <mergeCell ref="O90:O91"/>
    <mergeCell ref="P90:P91"/>
    <mergeCell ref="T88:T89"/>
    <mergeCell ref="U88:U89"/>
    <mergeCell ref="B90:B91"/>
    <mergeCell ref="C90:C91"/>
    <mergeCell ref="E90:E91"/>
    <mergeCell ref="F90:F91"/>
    <mergeCell ref="G90:G91"/>
    <mergeCell ref="H90:H91"/>
    <mergeCell ref="I90:I91"/>
    <mergeCell ref="J90:J91"/>
    <mergeCell ref="N88:N89"/>
    <mergeCell ref="O88:O89"/>
    <mergeCell ref="P88:P89"/>
    <mergeCell ref="Q88:Q89"/>
    <mergeCell ref="R88:R89"/>
    <mergeCell ref="S88:S89"/>
    <mergeCell ref="H88:H89"/>
    <mergeCell ref="I88:I89"/>
    <mergeCell ref="J88:J89"/>
    <mergeCell ref="K88:K89"/>
    <mergeCell ref="L88:L89"/>
    <mergeCell ref="M88:M89"/>
    <mergeCell ref="Q86:Q87"/>
    <mergeCell ref="R86:R87"/>
    <mergeCell ref="S86:S87"/>
    <mergeCell ref="T86:T87"/>
    <mergeCell ref="U86:U87"/>
    <mergeCell ref="B88:B89"/>
    <mergeCell ref="C88:C89"/>
    <mergeCell ref="E88:E89"/>
    <mergeCell ref="F88:F89"/>
    <mergeCell ref="G88:G89"/>
    <mergeCell ref="K86:K87"/>
    <mergeCell ref="L86:L87"/>
    <mergeCell ref="M86:M87"/>
    <mergeCell ref="N86:N87"/>
    <mergeCell ref="O86:O87"/>
    <mergeCell ref="P86:P87"/>
    <mergeCell ref="T84:T85"/>
    <mergeCell ref="U84:U85"/>
    <mergeCell ref="B86:B87"/>
    <mergeCell ref="C86:C87"/>
    <mergeCell ref="E86:E87"/>
    <mergeCell ref="F86:F87"/>
    <mergeCell ref="G86:G87"/>
    <mergeCell ref="H86:H87"/>
    <mergeCell ref="I86:I87"/>
    <mergeCell ref="J86:J87"/>
    <mergeCell ref="N84:N85"/>
    <mergeCell ref="O84:O85"/>
    <mergeCell ref="P84:P85"/>
    <mergeCell ref="Q84:Q85"/>
    <mergeCell ref="R84:R85"/>
    <mergeCell ref="S84:S85"/>
    <mergeCell ref="H84:H85"/>
    <mergeCell ref="I84:I85"/>
    <mergeCell ref="J84:J85"/>
    <mergeCell ref="K84:K85"/>
    <mergeCell ref="L84:L85"/>
    <mergeCell ref="M84:M85"/>
    <mergeCell ref="Q82:Q83"/>
    <mergeCell ref="R82:R83"/>
    <mergeCell ref="S82:S83"/>
    <mergeCell ref="T82:T83"/>
    <mergeCell ref="U82:U83"/>
    <mergeCell ref="B84:B85"/>
    <mergeCell ref="C84:C85"/>
    <mergeCell ref="E84:E85"/>
    <mergeCell ref="F84:F85"/>
    <mergeCell ref="G84:G85"/>
    <mergeCell ref="K82:K83"/>
    <mergeCell ref="L82:L83"/>
    <mergeCell ref="M82:M83"/>
    <mergeCell ref="N82:N83"/>
    <mergeCell ref="O82:O83"/>
    <mergeCell ref="P82:P83"/>
    <mergeCell ref="T80:T81"/>
    <mergeCell ref="U80:U81"/>
    <mergeCell ref="B82:B83"/>
    <mergeCell ref="C82:C83"/>
    <mergeCell ref="E82:E83"/>
    <mergeCell ref="F82:F83"/>
    <mergeCell ref="G82:G83"/>
    <mergeCell ref="H82:H83"/>
    <mergeCell ref="I82:I83"/>
    <mergeCell ref="J82:J83"/>
    <mergeCell ref="N80:N81"/>
    <mergeCell ref="O80:O81"/>
    <mergeCell ref="P80:P81"/>
    <mergeCell ref="Q80:Q81"/>
    <mergeCell ref="R80:R81"/>
    <mergeCell ref="S80:S81"/>
    <mergeCell ref="H80:H81"/>
    <mergeCell ref="I80:I81"/>
    <mergeCell ref="J80:J81"/>
    <mergeCell ref="K80:K81"/>
    <mergeCell ref="L80:L81"/>
    <mergeCell ref="M80:M81"/>
    <mergeCell ref="Q78:Q79"/>
    <mergeCell ref="R78:R79"/>
    <mergeCell ref="S78:S79"/>
    <mergeCell ref="T78:T79"/>
    <mergeCell ref="U78:U79"/>
    <mergeCell ref="B80:B81"/>
    <mergeCell ref="C80:C81"/>
    <mergeCell ref="E80:E81"/>
    <mergeCell ref="F80:F81"/>
    <mergeCell ref="G80:G81"/>
    <mergeCell ref="K78:K79"/>
    <mergeCell ref="L78:L79"/>
    <mergeCell ref="M78:M79"/>
    <mergeCell ref="N78:N79"/>
    <mergeCell ref="O78:O79"/>
    <mergeCell ref="P78:P79"/>
    <mergeCell ref="T76:T77"/>
    <mergeCell ref="U76:U77"/>
    <mergeCell ref="B78:B79"/>
    <mergeCell ref="C78:C79"/>
    <mergeCell ref="E78:E79"/>
    <mergeCell ref="F78:F79"/>
    <mergeCell ref="G78:G79"/>
    <mergeCell ref="H78:H79"/>
    <mergeCell ref="I78:I79"/>
    <mergeCell ref="J78:J79"/>
    <mergeCell ref="N76:N77"/>
    <mergeCell ref="O76:O77"/>
    <mergeCell ref="P76:P77"/>
    <mergeCell ref="Q76:Q77"/>
    <mergeCell ref="R76:R77"/>
    <mergeCell ref="S76:S77"/>
    <mergeCell ref="H76:H77"/>
    <mergeCell ref="I76:I77"/>
    <mergeCell ref="J76:J77"/>
    <mergeCell ref="K76:K77"/>
    <mergeCell ref="L76:L77"/>
    <mergeCell ref="M76:M77"/>
    <mergeCell ref="R74:R75"/>
    <mergeCell ref="S74:S75"/>
    <mergeCell ref="T74:T75"/>
    <mergeCell ref="U74:U75"/>
    <mergeCell ref="A76:A109"/>
    <mergeCell ref="B76:B77"/>
    <mergeCell ref="C76:C77"/>
    <mergeCell ref="E76:E77"/>
    <mergeCell ref="F76:F77"/>
    <mergeCell ref="G76:G77"/>
    <mergeCell ref="L74:L75"/>
    <mergeCell ref="M74:M75"/>
    <mergeCell ref="N74:N75"/>
    <mergeCell ref="O74:O75"/>
    <mergeCell ref="P74:P75"/>
    <mergeCell ref="Q74:Q75"/>
    <mergeCell ref="U72:U73"/>
    <mergeCell ref="B74:B75"/>
    <mergeCell ref="C74:C75"/>
    <mergeCell ref="E74:E75"/>
    <mergeCell ref="F74:F75"/>
    <mergeCell ref="G74:G75"/>
    <mergeCell ref="H74:H75"/>
    <mergeCell ref="I74:I75"/>
    <mergeCell ref="J74:J75"/>
    <mergeCell ref="K74:K75"/>
    <mergeCell ref="O72:O73"/>
    <mergeCell ref="P72:P73"/>
    <mergeCell ref="Q72:Q73"/>
    <mergeCell ref="R72:R73"/>
    <mergeCell ref="S72:S73"/>
    <mergeCell ref="T72:T73"/>
    <mergeCell ref="I72:I73"/>
    <mergeCell ref="J72:J73"/>
    <mergeCell ref="K72:K73"/>
    <mergeCell ref="L72:L73"/>
    <mergeCell ref="M72:M73"/>
    <mergeCell ref="N72:N73"/>
    <mergeCell ref="R70:R71"/>
    <mergeCell ref="S70:S71"/>
    <mergeCell ref="T70:T71"/>
    <mergeCell ref="U70:U71"/>
    <mergeCell ref="B72:B73"/>
    <mergeCell ref="C72:C73"/>
    <mergeCell ref="E72:E73"/>
    <mergeCell ref="F72:F73"/>
    <mergeCell ref="G72:G73"/>
    <mergeCell ref="H72:H73"/>
    <mergeCell ref="L70:L71"/>
    <mergeCell ref="M70:M71"/>
    <mergeCell ref="N70:N71"/>
    <mergeCell ref="O70:O71"/>
    <mergeCell ref="P70:P71"/>
    <mergeCell ref="Q70:Q71"/>
    <mergeCell ref="U68:U69"/>
    <mergeCell ref="B70:B71"/>
    <mergeCell ref="C70:C71"/>
    <mergeCell ref="E70:E71"/>
    <mergeCell ref="F70:F71"/>
    <mergeCell ref="G70:G71"/>
    <mergeCell ref="H70:H71"/>
    <mergeCell ref="I70:I71"/>
    <mergeCell ref="J70:J71"/>
    <mergeCell ref="K70:K71"/>
    <mergeCell ref="O68:O69"/>
    <mergeCell ref="P68:P69"/>
    <mergeCell ref="Q68:Q69"/>
    <mergeCell ref="R68:R69"/>
    <mergeCell ref="S68:S69"/>
    <mergeCell ref="T68:T69"/>
    <mergeCell ref="I68:I69"/>
    <mergeCell ref="J68:J69"/>
    <mergeCell ref="K68:K69"/>
    <mergeCell ref="L68:L69"/>
    <mergeCell ref="M68:M69"/>
    <mergeCell ref="N68:N69"/>
    <mergeCell ref="R66:R67"/>
    <mergeCell ref="S66:S67"/>
    <mergeCell ref="T66:T67"/>
    <mergeCell ref="U66:U67"/>
    <mergeCell ref="B68:B69"/>
    <mergeCell ref="C68:C69"/>
    <mergeCell ref="E68:E69"/>
    <mergeCell ref="F68:F69"/>
    <mergeCell ref="G68:G69"/>
    <mergeCell ref="H68:H69"/>
    <mergeCell ref="L66:L67"/>
    <mergeCell ref="M66:M67"/>
    <mergeCell ref="N66:N67"/>
    <mergeCell ref="O66:O67"/>
    <mergeCell ref="P66:P67"/>
    <mergeCell ref="Q66:Q67"/>
    <mergeCell ref="U64:U65"/>
    <mergeCell ref="B66:B67"/>
    <mergeCell ref="C66:C67"/>
    <mergeCell ref="E66:E67"/>
    <mergeCell ref="F66:F67"/>
    <mergeCell ref="G66:G67"/>
    <mergeCell ref="H66:H67"/>
    <mergeCell ref="I66:I67"/>
    <mergeCell ref="J66:J67"/>
    <mergeCell ref="K66:K67"/>
    <mergeCell ref="O64:O65"/>
    <mergeCell ref="P64:P65"/>
    <mergeCell ref="Q64:Q65"/>
    <mergeCell ref="R64:R65"/>
    <mergeCell ref="S64:S65"/>
    <mergeCell ref="T64:T65"/>
    <mergeCell ref="I64:I65"/>
    <mergeCell ref="J64:J65"/>
    <mergeCell ref="K64:K65"/>
    <mergeCell ref="L64:L65"/>
    <mergeCell ref="M64:M65"/>
    <mergeCell ref="N64:N65"/>
    <mergeCell ref="R62:R63"/>
    <mergeCell ref="S62:S63"/>
    <mergeCell ref="T62:T63"/>
    <mergeCell ref="U62:U63"/>
    <mergeCell ref="B64:B65"/>
    <mergeCell ref="C64:C65"/>
    <mergeCell ref="E64:E65"/>
    <mergeCell ref="F64:F65"/>
    <mergeCell ref="G64:G65"/>
    <mergeCell ref="H64:H65"/>
    <mergeCell ref="L62:L63"/>
    <mergeCell ref="M62:M63"/>
    <mergeCell ref="N62:N63"/>
    <mergeCell ref="O62:O63"/>
    <mergeCell ref="P62:P63"/>
    <mergeCell ref="Q62:Q63"/>
    <mergeCell ref="U60:U61"/>
    <mergeCell ref="B62:B63"/>
    <mergeCell ref="C62:C63"/>
    <mergeCell ref="E62:E63"/>
    <mergeCell ref="F62:F63"/>
    <mergeCell ref="G62:G63"/>
    <mergeCell ref="H62:H63"/>
    <mergeCell ref="I62:I63"/>
    <mergeCell ref="J62:J63"/>
    <mergeCell ref="K62:K63"/>
    <mergeCell ref="O60:O61"/>
    <mergeCell ref="P60:P61"/>
    <mergeCell ref="Q60:Q61"/>
    <mergeCell ref="R60:R61"/>
    <mergeCell ref="S60:S61"/>
    <mergeCell ref="T60:T61"/>
    <mergeCell ref="I60:I61"/>
    <mergeCell ref="J60:J61"/>
    <mergeCell ref="K60:K61"/>
    <mergeCell ref="L60:L61"/>
    <mergeCell ref="M60:M61"/>
    <mergeCell ref="N60:N61"/>
    <mergeCell ref="R58:R59"/>
    <mergeCell ref="S58:S59"/>
    <mergeCell ref="T58:T59"/>
    <mergeCell ref="U58:U59"/>
    <mergeCell ref="B60:B61"/>
    <mergeCell ref="C60:C61"/>
    <mergeCell ref="E60:E61"/>
    <mergeCell ref="F60:F61"/>
    <mergeCell ref="G60:G61"/>
    <mergeCell ref="H60:H61"/>
    <mergeCell ref="L58:L59"/>
    <mergeCell ref="M58:M59"/>
    <mergeCell ref="N58:N59"/>
    <mergeCell ref="O58:O59"/>
    <mergeCell ref="P58:P59"/>
    <mergeCell ref="Q58:Q59"/>
    <mergeCell ref="U56:U57"/>
    <mergeCell ref="B58:B59"/>
    <mergeCell ref="C58:C59"/>
    <mergeCell ref="E58:E59"/>
    <mergeCell ref="F58:F59"/>
    <mergeCell ref="G58:G59"/>
    <mergeCell ref="H58:H59"/>
    <mergeCell ref="I58:I59"/>
    <mergeCell ref="J58:J59"/>
    <mergeCell ref="K58:K59"/>
    <mergeCell ref="O56:O57"/>
    <mergeCell ref="P56:P57"/>
    <mergeCell ref="Q56:Q57"/>
    <mergeCell ref="R56:R57"/>
    <mergeCell ref="S56:S57"/>
    <mergeCell ref="T56:T57"/>
    <mergeCell ref="I56:I57"/>
    <mergeCell ref="J56:J57"/>
    <mergeCell ref="K56:K57"/>
    <mergeCell ref="L56:L57"/>
    <mergeCell ref="M56:M57"/>
    <mergeCell ref="N56:N57"/>
    <mergeCell ref="R54:R55"/>
    <mergeCell ref="S54:S55"/>
    <mergeCell ref="T54:T55"/>
    <mergeCell ref="U54:U55"/>
    <mergeCell ref="B56:B57"/>
    <mergeCell ref="C56:C57"/>
    <mergeCell ref="E56:E57"/>
    <mergeCell ref="F56:F57"/>
    <mergeCell ref="G56:G57"/>
    <mergeCell ref="H56:H57"/>
    <mergeCell ref="L54:L55"/>
    <mergeCell ref="M54:M55"/>
    <mergeCell ref="N54:N55"/>
    <mergeCell ref="O54:O55"/>
    <mergeCell ref="P54:P55"/>
    <mergeCell ref="Q54:Q55"/>
    <mergeCell ref="U52:U53"/>
    <mergeCell ref="B54:B55"/>
    <mergeCell ref="C54:C55"/>
    <mergeCell ref="E54:E55"/>
    <mergeCell ref="F54:F55"/>
    <mergeCell ref="G54:G55"/>
    <mergeCell ref="H54:H55"/>
    <mergeCell ref="I54:I55"/>
    <mergeCell ref="J54:J55"/>
    <mergeCell ref="K54:K55"/>
    <mergeCell ref="O52:O53"/>
    <mergeCell ref="P52:P53"/>
    <mergeCell ref="Q52:Q53"/>
    <mergeCell ref="R52:R53"/>
    <mergeCell ref="S52:S53"/>
    <mergeCell ref="T52:T53"/>
    <mergeCell ref="I52:I53"/>
    <mergeCell ref="J52:J53"/>
    <mergeCell ref="K52:K53"/>
    <mergeCell ref="L52:L53"/>
    <mergeCell ref="M52:M53"/>
    <mergeCell ref="N52:N53"/>
    <mergeCell ref="R50:R51"/>
    <mergeCell ref="S50:S51"/>
    <mergeCell ref="T50:T51"/>
    <mergeCell ref="U50:U51"/>
    <mergeCell ref="B52:B53"/>
    <mergeCell ref="C52:C53"/>
    <mergeCell ref="E52:E53"/>
    <mergeCell ref="F52:F53"/>
    <mergeCell ref="G52:G53"/>
    <mergeCell ref="H52:H53"/>
    <mergeCell ref="L50:L51"/>
    <mergeCell ref="M50:M51"/>
    <mergeCell ref="N50:N51"/>
    <mergeCell ref="O50:O51"/>
    <mergeCell ref="P50:P51"/>
    <mergeCell ref="Q50:Q51"/>
    <mergeCell ref="U48:U49"/>
    <mergeCell ref="B50:B51"/>
    <mergeCell ref="C50:C51"/>
    <mergeCell ref="E50:E51"/>
    <mergeCell ref="F50:F51"/>
    <mergeCell ref="G50:G51"/>
    <mergeCell ref="H50:H51"/>
    <mergeCell ref="I50:I51"/>
    <mergeCell ref="J50:J51"/>
    <mergeCell ref="K50:K51"/>
    <mergeCell ref="O48:O49"/>
    <mergeCell ref="P48:P49"/>
    <mergeCell ref="Q48:Q49"/>
    <mergeCell ref="R48:R49"/>
    <mergeCell ref="S48:S49"/>
    <mergeCell ref="T48:T49"/>
    <mergeCell ref="I48:I49"/>
    <mergeCell ref="J48:J49"/>
    <mergeCell ref="K48:K49"/>
    <mergeCell ref="L48:L49"/>
    <mergeCell ref="M48:M49"/>
    <mergeCell ref="N48:N49"/>
    <mergeCell ref="R46:R47"/>
    <mergeCell ref="S46:S47"/>
    <mergeCell ref="T46:T47"/>
    <mergeCell ref="U46:U47"/>
    <mergeCell ref="B48:B49"/>
    <mergeCell ref="C48:C49"/>
    <mergeCell ref="E48:E49"/>
    <mergeCell ref="F48:F49"/>
    <mergeCell ref="G48:G49"/>
    <mergeCell ref="H48:H49"/>
    <mergeCell ref="L46:L47"/>
    <mergeCell ref="M46:M47"/>
    <mergeCell ref="N46:N47"/>
    <mergeCell ref="O46:O47"/>
    <mergeCell ref="P46:P47"/>
    <mergeCell ref="Q46:Q47"/>
    <mergeCell ref="U44:U45"/>
    <mergeCell ref="B46:B47"/>
    <mergeCell ref="C46:C47"/>
    <mergeCell ref="E46:E47"/>
    <mergeCell ref="F46:F47"/>
    <mergeCell ref="G46:G47"/>
    <mergeCell ref="H46:H47"/>
    <mergeCell ref="I46:I47"/>
    <mergeCell ref="J46:J47"/>
    <mergeCell ref="K46:K47"/>
    <mergeCell ref="O44:O45"/>
    <mergeCell ref="P44:P45"/>
    <mergeCell ref="Q44:Q45"/>
    <mergeCell ref="R44:R45"/>
    <mergeCell ref="S44:S45"/>
    <mergeCell ref="T44:T45"/>
    <mergeCell ref="I44:I45"/>
    <mergeCell ref="J44:J45"/>
    <mergeCell ref="K44:K45"/>
    <mergeCell ref="L44:L45"/>
    <mergeCell ref="M44:M45"/>
    <mergeCell ref="N44:N45"/>
    <mergeCell ref="B44:B45"/>
    <mergeCell ref="C44:C45"/>
    <mergeCell ref="E44:E45"/>
    <mergeCell ref="F44:F45"/>
    <mergeCell ref="G44:G45"/>
    <mergeCell ref="H44:H45"/>
    <mergeCell ref="P42:P43"/>
    <mergeCell ref="Q42:Q43"/>
    <mergeCell ref="R42:R43"/>
    <mergeCell ref="S42:S43"/>
    <mergeCell ref="T42:T43"/>
    <mergeCell ref="U42:U43"/>
    <mergeCell ref="J42:J43"/>
    <mergeCell ref="K42:K43"/>
    <mergeCell ref="L42:L43"/>
    <mergeCell ref="M42:M43"/>
    <mergeCell ref="N42:N43"/>
    <mergeCell ref="O42:O43"/>
    <mergeCell ref="T40:T41"/>
    <mergeCell ref="U40:U41"/>
    <mergeCell ref="A42:A75"/>
    <mergeCell ref="B42:B43"/>
    <mergeCell ref="C42:C43"/>
    <mergeCell ref="E42:E43"/>
    <mergeCell ref="F42:F43"/>
    <mergeCell ref="G42:G43"/>
    <mergeCell ref="H42:H43"/>
    <mergeCell ref="I42:I43"/>
    <mergeCell ref="N40:N41"/>
    <mergeCell ref="O40:O41"/>
    <mergeCell ref="P40:P41"/>
    <mergeCell ref="Q40:Q41"/>
    <mergeCell ref="R40:R41"/>
    <mergeCell ref="S40:S41"/>
    <mergeCell ref="H40:H41"/>
    <mergeCell ref="I40:I41"/>
    <mergeCell ref="J40:J41"/>
    <mergeCell ref="K40:K41"/>
    <mergeCell ref="L40:L41"/>
    <mergeCell ref="M40:M41"/>
    <mergeCell ref="Q38:Q39"/>
    <mergeCell ref="R38:R39"/>
    <mergeCell ref="S38:S39"/>
    <mergeCell ref="T38:T39"/>
    <mergeCell ref="U38:U39"/>
    <mergeCell ref="B40:B41"/>
    <mergeCell ref="C40:C41"/>
    <mergeCell ref="E40:E41"/>
    <mergeCell ref="F40:F41"/>
    <mergeCell ref="G40:G41"/>
    <mergeCell ref="K38:K39"/>
    <mergeCell ref="L38:L39"/>
    <mergeCell ref="M38:M39"/>
    <mergeCell ref="N38:N39"/>
    <mergeCell ref="O38:O39"/>
    <mergeCell ref="P38:P39"/>
    <mergeCell ref="T36:T37"/>
    <mergeCell ref="U36:U37"/>
    <mergeCell ref="B38:B39"/>
    <mergeCell ref="C38:C39"/>
    <mergeCell ref="E38:E39"/>
    <mergeCell ref="F38:F39"/>
    <mergeCell ref="G38:G39"/>
    <mergeCell ref="H38:H39"/>
    <mergeCell ref="I38:I39"/>
    <mergeCell ref="J38:J39"/>
    <mergeCell ref="N36:N37"/>
    <mergeCell ref="O36:O37"/>
    <mergeCell ref="P36:P37"/>
    <mergeCell ref="Q36:Q37"/>
    <mergeCell ref="R36:R37"/>
    <mergeCell ref="S36:S37"/>
    <mergeCell ref="H36:H37"/>
    <mergeCell ref="I36:I37"/>
    <mergeCell ref="J36:J37"/>
    <mergeCell ref="K36:K37"/>
    <mergeCell ref="L36:L37"/>
    <mergeCell ref="M36:M37"/>
    <mergeCell ref="Q34:Q35"/>
    <mergeCell ref="R34:R35"/>
    <mergeCell ref="S34:S35"/>
    <mergeCell ref="T34:T35"/>
    <mergeCell ref="U34:U35"/>
    <mergeCell ref="B36:B37"/>
    <mergeCell ref="C36:C37"/>
    <mergeCell ref="E36:E37"/>
    <mergeCell ref="F36:F37"/>
    <mergeCell ref="G36:G37"/>
    <mergeCell ref="K34:K35"/>
    <mergeCell ref="L34:L35"/>
    <mergeCell ref="M34:M35"/>
    <mergeCell ref="N34:N35"/>
    <mergeCell ref="O34:O35"/>
    <mergeCell ref="P34:P35"/>
    <mergeCell ref="T32:T33"/>
    <mergeCell ref="U32:U33"/>
    <mergeCell ref="B34:B35"/>
    <mergeCell ref="C34:C35"/>
    <mergeCell ref="E34:E35"/>
    <mergeCell ref="F34:F35"/>
    <mergeCell ref="G34:G35"/>
    <mergeCell ref="H34:H35"/>
    <mergeCell ref="I34:I35"/>
    <mergeCell ref="J34:J35"/>
    <mergeCell ref="N32:N33"/>
    <mergeCell ref="O32:O33"/>
    <mergeCell ref="P32:P33"/>
    <mergeCell ref="Q32:Q33"/>
    <mergeCell ref="R32:R33"/>
    <mergeCell ref="S32:S33"/>
    <mergeCell ref="H32:H33"/>
    <mergeCell ref="I32:I33"/>
    <mergeCell ref="J32:J33"/>
    <mergeCell ref="K32:K33"/>
    <mergeCell ref="L32:L33"/>
    <mergeCell ref="M32:M33"/>
    <mergeCell ref="Q30:Q31"/>
    <mergeCell ref="R30:R31"/>
    <mergeCell ref="S30:S31"/>
    <mergeCell ref="T30:T31"/>
    <mergeCell ref="U30:U31"/>
    <mergeCell ref="B32:B33"/>
    <mergeCell ref="C32:C33"/>
    <mergeCell ref="E32:E33"/>
    <mergeCell ref="F32:F33"/>
    <mergeCell ref="G32:G33"/>
    <mergeCell ref="K30:K31"/>
    <mergeCell ref="L30:L31"/>
    <mergeCell ref="M30:M31"/>
    <mergeCell ref="N30:N31"/>
    <mergeCell ref="O30:O31"/>
    <mergeCell ref="P30:P31"/>
    <mergeCell ref="Q24:Q25"/>
    <mergeCell ref="R24:R25"/>
    <mergeCell ref="S24:S25"/>
    <mergeCell ref="T28:T29"/>
    <mergeCell ref="U28:U29"/>
    <mergeCell ref="B30:B31"/>
    <mergeCell ref="C30:C31"/>
    <mergeCell ref="E30:E31"/>
    <mergeCell ref="F30:F31"/>
    <mergeCell ref="G30:G31"/>
    <mergeCell ref="H30:H31"/>
    <mergeCell ref="I30:I31"/>
    <mergeCell ref="J30:J31"/>
    <mergeCell ref="N28:N29"/>
    <mergeCell ref="O28:O29"/>
    <mergeCell ref="P28:P29"/>
    <mergeCell ref="Q28:Q29"/>
    <mergeCell ref="R28:R29"/>
    <mergeCell ref="S28:S29"/>
    <mergeCell ref="H28:H29"/>
    <mergeCell ref="I28:I29"/>
    <mergeCell ref="J28:J29"/>
    <mergeCell ref="K28:K29"/>
    <mergeCell ref="L28:L29"/>
    <mergeCell ref="M28:M29"/>
    <mergeCell ref="H22:H23"/>
    <mergeCell ref="I22:I23"/>
    <mergeCell ref="J22:J23"/>
    <mergeCell ref="Q26:Q27"/>
    <mergeCell ref="R26:R27"/>
    <mergeCell ref="S26:S27"/>
    <mergeCell ref="T26:T27"/>
    <mergeCell ref="U26:U27"/>
    <mergeCell ref="B28:B29"/>
    <mergeCell ref="C28:C29"/>
    <mergeCell ref="E28:E29"/>
    <mergeCell ref="F28:F29"/>
    <mergeCell ref="G28:G29"/>
    <mergeCell ref="K26:K27"/>
    <mergeCell ref="L26:L27"/>
    <mergeCell ref="M26:M27"/>
    <mergeCell ref="N26:N27"/>
    <mergeCell ref="O26:O27"/>
    <mergeCell ref="P26:P27"/>
    <mergeCell ref="T24:T25"/>
    <mergeCell ref="U24:U25"/>
    <mergeCell ref="B26:B27"/>
    <mergeCell ref="C26:C27"/>
    <mergeCell ref="E26:E27"/>
    <mergeCell ref="F26:F27"/>
    <mergeCell ref="G26:G27"/>
    <mergeCell ref="H26:H27"/>
    <mergeCell ref="I26:I27"/>
    <mergeCell ref="J26:J27"/>
    <mergeCell ref="N24:N25"/>
    <mergeCell ref="O24:O25"/>
    <mergeCell ref="P24:P25"/>
    <mergeCell ref="B20:B21"/>
    <mergeCell ref="C20:C21"/>
    <mergeCell ref="E20:E21"/>
    <mergeCell ref="F20:F21"/>
    <mergeCell ref="G20:G21"/>
    <mergeCell ref="H24:H25"/>
    <mergeCell ref="I24:I25"/>
    <mergeCell ref="J24:J25"/>
    <mergeCell ref="K24:K25"/>
    <mergeCell ref="L24:L25"/>
    <mergeCell ref="M24:M25"/>
    <mergeCell ref="Q22:Q23"/>
    <mergeCell ref="R22:R23"/>
    <mergeCell ref="S22:S23"/>
    <mergeCell ref="T22:T23"/>
    <mergeCell ref="U22:U23"/>
    <mergeCell ref="B24:B25"/>
    <mergeCell ref="C24:C25"/>
    <mergeCell ref="E24:E25"/>
    <mergeCell ref="F24:F25"/>
    <mergeCell ref="G24:G25"/>
    <mergeCell ref="K22:K23"/>
    <mergeCell ref="L22:L23"/>
    <mergeCell ref="M22:M23"/>
    <mergeCell ref="N22:N23"/>
    <mergeCell ref="O22:O23"/>
    <mergeCell ref="P22:P23"/>
    <mergeCell ref="B22:B23"/>
    <mergeCell ref="C22:C23"/>
    <mergeCell ref="E22:E23"/>
    <mergeCell ref="F22:F23"/>
    <mergeCell ref="G22:G23"/>
    <mergeCell ref="H18:H19"/>
    <mergeCell ref="I18:I19"/>
    <mergeCell ref="J18:J19"/>
    <mergeCell ref="N16:N17"/>
    <mergeCell ref="O16:O17"/>
    <mergeCell ref="P16:P17"/>
    <mergeCell ref="Q16:Q17"/>
    <mergeCell ref="R16:R17"/>
    <mergeCell ref="S16:S17"/>
    <mergeCell ref="N20:N21"/>
    <mergeCell ref="O20:O21"/>
    <mergeCell ref="P20:P21"/>
    <mergeCell ref="Q20:Q21"/>
    <mergeCell ref="R20:R21"/>
    <mergeCell ref="S20:S21"/>
    <mergeCell ref="H20:H21"/>
    <mergeCell ref="I20:I21"/>
    <mergeCell ref="J20:J21"/>
    <mergeCell ref="K20:K21"/>
    <mergeCell ref="L20:L21"/>
    <mergeCell ref="M20:M21"/>
    <mergeCell ref="T20:T21"/>
    <mergeCell ref="U20:U21"/>
    <mergeCell ref="U14:U15"/>
    <mergeCell ref="B16:B17"/>
    <mergeCell ref="C16:C17"/>
    <mergeCell ref="E16:E17"/>
    <mergeCell ref="F16:F17"/>
    <mergeCell ref="G16:G17"/>
    <mergeCell ref="K14:K15"/>
    <mergeCell ref="L14:L15"/>
    <mergeCell ref="M14:M15"/>
    <mergeCell ref="N14:N15"/>
    <mergeCell ref="O14:O15"/>
    <mergeCell ref="P14:P15"/>
    <mergeCell ref="Q18:Q19"/>
    <mergeCell ref="R18:R19"/>
    <mergeCell ref="S18:S19"/>
    <mergeCell ref="T18:T19"/>
    <mergeCell ref="U18:U19"/>
    <mergeCell ref="K18:K19"/>
    <mergeCell ref="L18:L19"/>
    <mergeCell ref="M18:M19"/>
    <mergeCell ref="N18:N19"/>
    <mergeCell ref="O18:O19"/>
    <mergeCell ref="P18:P19"/>
    <mergeCell ref="T16:T17"/>
    <mergeCell ref="U16:U17"/>
    <mergeCell ref="B18:B19"/>
    <mergeCell ref="C18:C19"/>
    <mergeCell ref="E18:E19"/>
    <mergeCell ref="F18:F19"/>
    <mergeCell ref="G18:G19"/>
    <mergeCell ref="S12:S13"/>
    <mergeCell ref="H12:H13"/>
    <mergeCell ref="I12:I13"/>
    <mergeCell ref="J12:J13"/>
    <mergeCell ref="K12:K13"/>
    <mergeCell ref="L12:L13"/>
    <mergeCell ref="M12:M13"/>
    <mergeCell ref="H16:H17"/>
    <mergeCell ref="I16:I17"/>
    <mergeCell ref="J16:J17"/>
    <mergeCell ref="K16:K17"/>
    <mergeCell ref="L16:L17"/>
    <mergeCell ref="M16:M17"/>
    <mergeCell ref="Q14:Q15"/>
    <mergeCell ref="R14:R15"/>
    <mergeCell ref="S14:S15"/>
    <mergeCell ref="T14:T15"/>
    <mergeCell ref="U10:U11"/>
    <mergeCell ref="B12:B13"/>
    <mergeCell ref="C12:C13"/>
    <mergeCell ref="E12:E13"/>
    <mergeCell ref="F12:F13"/>
    <mergeCell ref="G12:G13"/>
    <mergeCell ref="K10:K11"/>
    <mergeCell ref="L10:L11"/>
    <mergeCell ref="M10:M11"/>
    <mergeCell ref="N10:N11"/>
    <mergeCell ref="O10:O11"/>
    <mergeCell ref="P10:P11"/>
    <mergeCell ref="T8:T9"/>
    <mergeCell ref="U8:U9"/>
    <mergeCell ref="B10:B11"/>
    <mergeCell ref="C10:C11"/>
    <mergeCell ref="E10:E11"/>
    <mergeCell ref="F10:F11"/>
    <mergeCell ref="G10:G11"/>
    <mergeCell ref="H10:H11"/>
    <mergeCell ref="I10:I11"/>
    <mergeCell ref="J10:J11"/>
    <mergeCell ref="N8:N9"/>
    <mergeCell ref="O8:O9"/>
    <mergeCell ref="P8:P9"/>
    <mergeCell ref="Q8:Q9"/>
    <mergeCell ref="R8:R9"/>
    <mergeCell ref="S8:S9"/>
    <mergeCell ref="T12:T13"/>
    <mergeCell ref="U12:U13"/>
    <mergeCell ref="N12:N13"/>
    <mergeCell ref="O12:O13"/>
    <mergeCell ref="H8:H9"/>
    <mergeCell ref="I8:I9"/>
    <mergeCell ref="J8:J9"/>
    <mergeCell ref="K8:K9"/>
    <mergeCell ref="L8:L9"/>
    <mergeCell ref="M8:M9"/>
    <mergeCell ref="A8:A41"/>
    <mergeCell ref="B8:B9"/>
    <mergeCell ref="C8:C9"/>
    <mergeCell ref="E8:E9"/>
    <mergeCell ref="F8:F9"/>
    <mergeCell ref="G8:G9"/>
    <mergeCell ref="P4:P6"/>
    <mergeCell ref="Q4:Q6"/>
    <mergeCell ref="R4:R6"/>
    <mergeCell ref="S4:S6"/>
    <mergeCell ref="T4:T6"/>
    <mergeCell ref="Q10:Q11"/>
    <mergeCell ref="R10:R11"/>
    <mergeCell ref="S10:S11"/>
    <mergeCell ref="T10:T11"/>
    <mergeCell ref="B14:B15"/>
    <mergeCell ref="C14:C15"/>
    <mergeCell ref="E14:E15"/>
    <mergeCell ref="F14:F15"/>
    <mergeCell ref="G14:G15"/>
    <mergeCell ref="H14:H15"/>
    <mergeCell ref="I14:I15"/>
    <mergeCell ref="J14:J15"/>
    <mergeCell ref="P12:P13"/>
    <mergeCell ref="Q12:Q13"/>
    <mergeCell ref="R12:R13"/>
    <mergeCell ref="U4:U6"/>
    <mergeCell ref="J4:J6"/>
    <mergeCell ref="K4:K6"/>
    <mergeCell ref="L4:L6"/>
    <mergeCell ref="M4:M6"/>
    <mergeCell ref="N4:N6"/>
    <mergeCell ref="O4:O6"/>
    <mergeCell ref="A3:A6"/>
    <mergeCell ref="B3:B6"/>
    <mergeCell ref="C3:C6"/>
    <mergeCell ref="D3:D6"/>
    <mergeCell ref="E3:U3"/>
    <mergeCell ref="E4:E6"/>
    <mergeCell ref="F4:F6"/>
    <mergeCell ref="G4:G6"/>
    <mergeCell ref="H4:H6"/>
    <mergeCell ref="I4:I6"/>
  </mergeCells>
  <phoneticPr fontId="60"/>
  <printOptions horizontalCentered="1"/>
  <pageMargins left="0.39370078740157483" right="0.39370078740157483" top="0.78740157480314965" bottom="0.39370078740157483" header="0.39370078740157483" footer="0.15748031496062992"/>
  <pageSetup paperSize="9" scale="68" fitToHeight="0" pageOrder="overThenDown" orientation="portrait" cellComments="asDisplayed" horizontalDpi="300" verticalDpi="300" r:id="rId1"/>
  <headerFooter differentFirst="1">
    <firstHeader>&amp;L&amp;"ＤＦ特太ゴシック体,標準"&amp;16別表第２　幼稚園（教育標準時間認定）</firstHeader>
  </headerFooter>
  <rowBreaks count="7" manualBreakCount="7">
    <brk id="41" max="20" man="1"/>
    <brk id="75" max="20" man="1"/>
    <brk id="109" max="20" man="1"/>
    <brk id="143" max="20" man="1"/>
    <brk id="177" max="20" man="1"/>
    <brk id="211" max="20" man="1"/>
    <brk id="245" max="2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FFFF00"/>
  </sheetPr>
  <dimension ref="A1:BJ100"/>
  <sheetViews>
    <sheetView view="pageBreakPreview" zoomScale="85" zoomScaleNormal="100" zoomScaleSheetLayoutView="85" workbookViewId="0">
      <selection activeCell="X64" sqref="X64"/>
    </sheetView>
  </sheetViews>
  <sheetFormatPr defaultRowHeight="13.5"/>
  <cols>
    <col min="1" max="1" width="5.5" customWidth="1"/>
    <col min="2" max="2" width="9" bestFit="1" customWidth="1"/>
    <col min="3" max="3" width="4.5" bestFit="1" customWidth="1"/>
    <col min="4" max="4" width="22.625" bestFit="1" customWidth="1"/>
    <col min="5" max="5" width="2.375" customWidth="1"/>
    <col min="6" max="6" width="6.125" bestFit="1" customWidth="1"/>
    <col min="7" max="7" width="7.625" bestFit="1" customWidth="1"/>
    <col min="8" max="8" width="3" bestFit="1" customWidth="1"/>
    <col min="9" max="9" width="4" bestFit="1" customWidth="1"/>
    <col min="10" max="10" width="6.125" bestFit="1" customWidth="1"/>
    <col min="11" max="11" width="7.5" bestFit="1" customWidth="1"/>
    <col min="12" max="12" width="3" bestFit="1" customWidth="1"/>
    <col min="13" max="13" width="5.375" bestFit="1" customWidth="1"/>
    <col min="14" max="14" width="3" bestFit="1" customWidth="1"/>
    <col min="15" max="15" width="12.25" bestFit="1" customWidth="1"/>
    <col min="16" max="16" width="3" bestFit="1" customWidth="1"/>
    <col min="17" max="17" width="6.125" bestFit="1" customWidth="1"/>
    <col min="18" max="18" width="3" bestFit="1" customWidth="1"/>
    <col min="19" max="19" width="12.375" bestFit="1" customWidth="1"/>
    <col min="20" max="20" width="3" bestFit="1" customWidth="1"/>
    <col min="21" max="21" width="6.875" bestFit="1" customWidth="1"/>
    <col min="22" max="22" width="12.25" bestFit="1" customWidth="1"/>
    <col min="23" max="23" width="3" bestFit="1" customWidth="1"/>
    <col min="24" max="24" width="6.125" bestFit="1" customWidth="1"/>
    <col min="25" max="25" width="3" bestFit="1" customWidth="1"/>
    <col min="26" max="26" width="12.25" bestFit="1" customWidth="1"/>
    <col min="27" max="27" width="3" bestFit="1" customWidth="1"/>
    <col min="28" max="28" width="6.125" bestFit="1" customWidth="1"/>
    <col min="29" max="29" width="3" bestFit="1" customWidth="1"/>
    <col min="30" max="30" width="12.25" bestFit="1" customWidth="1"/>
    <col min="31" max="31" width="3" bestFit="1" customWidth="1"/>
    <col min="32" max="32" width="5.375" bestFit="1" customWidth="1"/>
    <col min="33" max="33" width="3" bestFit="1" customWidth="1"/>
    <col min="34" max="34" width="12.375" bestFit="1" customWidth="1"/>
    <col min="35" max="35" width="3" bestFit="1" customWidth="1"/>
    <col min="36" max="36" width="14.125" bestFit="1" customWidth="1"/>
    <col min="37" max="37" width="3" bestFit="1" customWidth="1"/>
    <col min="38" max="38" width="18.375" bestFit="1" customWidth="1"/>
    <col min="39" max="39" width="3" bestFit="1" customWidth="1"/>
    <col min="40" max="40" width="9.125" bestFit="1" customWidth="1"/>
    <col min="41" max="41" width="3" bestFit="1" customWidth="1"/>
    <col min="42" max="42" width="9.125" bestFit="1" customWidth="1"/>
    <col min="43" max="43" width="3" bestFit="1" customWidth="1"/>
    <col min="44" max="44" width="9.125" bestFit="1" customWidth="1"/>
    <col min="45" max="45" width="3" bestFit="1" customWidth="1"/>
    <col min="46" max="46" width="9.125" bestFit="1" customWidth="1"/>
    <col min="47" max="47" width="3" bestFit="1" customWidth="1"/>
    <col min="48" max="48" width="9.125" bestFit="1" customWidth="1"/>
    <col min="49" max="49" width="3" bestFit="1" customWidth="1"/>
    <col min="50" max="50" width="9.125" bestFit="1" customWidth="1"/>
    <col min="51" max="51" width="3" bestFit="1" customWidth="1"/>
    <col min="52" max="52" width="11.25" customWidth="1"/>
    <col min="53" max="53" width="3" bestFit="1" customWidth="1"/>
    <col min="54" max="54" width="16.25" customWidth="1"/>
    <col min="55" max="55" width="3.25" customWidth="1"/>
    <col min="56" max="56" width="11.25" customWidth="1"/>
    <col min="57" max="57" width="3" bestFit="1" customWidth="1"/>
    <col min="58" max="58" width="16.875" customWidth="1"/>
    <col min="59" max="59" width="3" bestFit="1" customWidth="1"/>
    <col min="60" max="60" width="16.75" customWidth="1"/>
    <col min="61" max="61" width="3" bestFit="1" customWidth="1"/>
    <col min="62" max="62" width="13.75" customWidth="1"/>
  </cols>
  <sheetData>
    <row r="1" spans="1:62" s="152" customFormat="1" ht="14.25">
      <c r="A1" s="145"/>
      <c r="B1" s="146"/>
      <c r="C1" s="146"/>
      <c r="D1" s="146"/>
      <c r="E1" s="209"/>
      <c r="F1" s="147"/>
      <c r="G1" s="148"/>
      <c r="H1" s="236"/>
      <c r="I1" s="147"/>
      <c r="J1" s="148"/>
      <c r="K1" s="149"/>
      <c r="L1" s="149"/>
      <c r="M1" s="45"/>
      <c r="N1" s="236"/>
      <c r="O1" s="150"/>
      <c r="P1" s="149"/>
      <c r="Q1" s="45"/>
      <c r="R1" s="236"/>
      <c r="S1" s="147"/>
      <c r="T1" s="236"/>
      <c r="U1" s="147"/>
      <c r="V1" s="151"/>
      <c r="W1" s="149"/>
      <c r="X1" s="45"/>
      <c r="Y1" s="236"/>
      <c r="Z1" s="150"/>
      <c r="AA1" s="149"/>
      <c r="AB1" s="45"/>
      <c r="AC1" s="236"/>
      <c r="AD1" s="150"/>
      <c r="AE1" s="149"/>
      <c r="AF1" s="45"/>
      <c r="AG1" s="236"/>
      <c r="AH1" s="147"/>
      <c r="AI1" s="149"/>
      <c r="AJ1" s="45"/>
      <c r="AK1" s="236"/>
      <c r="AL1" s="147"/>
      <c r="AM1" s="149"/>
      <c r="AN1" s="45"/>
      <c r="AO1" s="236"/>
      <c r="AP1" s="147"/>
      <c r="AQ1" s="147"/>
      <c r="AR1" s="45"/>
      <c r="AS1" s="236"/>
      <c r="AT1" s="147"/>
      <c r="AU1" s="147"/>
      <c r="AV1" s="45"/>
      <c r="AW1" s="236"/>
      <c r="AX1" s="147"/>
      <c r="AY1" s="147"/>
      <c r="AZ1" s="39"/>
      <c r="BA1" s="147"/>
      <c r="BB1" s="147"/>
      <c r="BC1" s="147"/>
      <c r="BD1" s="147"/>
      <c r="BE1" s="147"/>
      <c r="BF1" s="147"/>
      <c r="BG1" s="147"/>
      <c r="BH1" s="147"/>
      <c r="BI1" s="149"/>
    </row>
    <row r="2" spans="1:62" s="110" customFormat="1" ht="6" customHeight="1">
      <c r="A2" s="153"/>
      <c r="B2" s="153"/>
      <c r="C2" s="153"/>
      <c r="D2" s="153"/>
      <c r="E2" s="153"/>
      <c r="F2" s="40"/>
      <c r="G2" s="153"/>
      <c r="H2" s="154"/>
      <c r="I2" s="40"/>
      <c r="J2" s="153"/>
      <c r="K2" s="153"/>
      <c r="L2" s="155"/>
      <c r="M2" s="40"/>
      <c r="N2" s="154"/>
      <c r="O2" s="156"/>
      <c r="P2" s="155"/>
      <c r="Q2" s="40"/>
      <c r="R2" s="154"/>
      <c r="S2" s="40"/>
      <c r="T2" s="154"/>
      <c r="U2" s="40"/>
      <c r="V2" s="157"/>
      <c r="W2" s="155"/>
      <c r="X2" s="40"/>
      <c r="Y2" s="154"/>
      <c r="Z2" s="156"/>
      <c r="AA2" s="155"/>
      <c r="AB2" s="40"/>
      <c r="AC2" s="154"/>
      <c r="AD2" s="156"/>
      <c r="AE2" s="155"/>
      <c r="AF2" s="40"/>
      <c r="AG2" s="154"/>
      <c r="AH2" s="40"/>
      <c r="AI2" s="155"/>
      <c r="AJ2" s="40"/>
      <c r="AK2" s="154"/>
      <c r="AL2" s="40"/>
      <c r="AM2" s="155"/>
      <c r="AN2" s="40"/>
      <c r="AO2" s="154"/>
      <c r="AP2" s="40"/>
      <c r="AQ2" s="40"/>
      <c r="AR2" s="40"/>
      <c r="AS2" s="154"/>
      <c r="AT2" s="40"/>
      <c r="AU2" s="40"/>
      <c r="AV2" s="40"/>
      <c r="AW2" s="154"/>
      <c r="AX2" s="40"/>
      <c r="AY2" s="40"/>
      <c r="AZ2" s="40"/>
      <c r="BA2" s="40"/>
      <c r="BB2" s="40"/>
      <c r="BC2" s="40"/>
      <c r="BD2" s="40"/>
      <c r="BE2" s="40"/>
      <c r="BF2" s="40"/>
      <c r="BG2" s="40"/>
      <c r="BH2" s="40"/>
      <c r="BI2" s="155"/>
    </row>
    <row r="3" spans="1:62" s="143" customFormat="1" ht="13.5" customHeight="1">
      <c r="A3" s="2021" t="s">
        <v>20</v>
      </c>
      <c r="B3" s="2021" t="s">
        <v>21</v>
      </c>
      <c r="C3" s="2021" t="s">
        <v>22</v>
      </c>
      <c r="D3" s="2021" t="s">
        <v>23</v>
      </c>
      <c r="E3" s="240"/>
      <c r="F3" s="2008" t="s">
        <v>25</v>
      </c>
      <c r="G3" s="2010"/>
      <c r="H3" s="239"/>
      <c r="I3" s="2025" t="s">
        <v>62</v>
      </c>
      <c r="J3" s="2030"/>
      <c r="K3" s="2026"/>
      <c r="L3" s="239"/>
      <c r="M3" s="2025" t="s">
        <v>37</v>
      </c>
      <c r="N3" s="2030"/>
      <c r="O3" s="2026"/>
      <c r="P3" s="239"/>
      <c r="Q3" s="2008" t="s">
        <v>38</v>
      </c>
      <c r="R3" s="2009"/>
      <c r="S3" s="2010"/>
      <c r="T3" s="239"/>
      <c r="U3" s="2025" t="s">
        <v>24</v>
      </c>
      <c r="V3" s="2026"/>
      <c r="W3" s="239"/>
      <c r="X3" s="2008" t="s">
        <v>39</v>
      </c>
      <c r="Y3" s="2009"/>
      <c r="Z3" s="2010"/>
      <c r="AA3" s="239"/>
      <c r="AB3" s="2008" t="s">
        <v>40</v>
      </c>
      <c r="AC3" s="2009"/>
      <c r="AD3" s="2010"/>
      <c r="AE3" s="239"/>
      <c r="AF3" s="2008" t="s">
        <v>245</v>
      </c>
      <c r="AG3" s="2009"/>
      <c r="AH3" s="2010"/>
      <c r="AI3" s="239"/>
      <c r="AJ3" s="2337" t="s">
        <v>277</v>
      </c>
      <c r="AK3" s="2224"/>
      <c r="AL3" s="2225"/>
      <c r="AM3" s="239"/>
      <c r="AN3" s="2025" t="s">
        <v>41</v>
      </c>
      <c r="AO3" s="2030"/>
      <c r="AP3" s="2026"/>
      <c r="AQ3" s="239"/>
      <c r="AR3" s="2223" t="s">
        <v>295</v>
      </c>
      <c r="AS3" s="2224"/>
      <c r="AT3" s="2225"/>
      <c r="AU3" s="239"/>
      <c r="AV3" s="2223" t="s">
        <v>296</v>
      </c>
      <c r="AW3" s="2224"/>
      <c r="AX3" s="2225"/>
      <c r="AY3" s="251"/>
      <c r="AZ3" s="2021" t="s">
        <v>42</v>
      </c>
      <c r="BA3" s="239"/>
      <c r="BB3" s="2021" t="s">
        <v>299</v>
      </c>
      <c r="BC3" s="239"/>
      <c r="BD3" s="2021" t="s">
        <v>43</v>
      </c>
      <c r="BE3" s="239"/>
      <c r="BF3" s="2021" t="s">
        <v>44</v>
      </c>
      <c r="BG3" s="239"/>
      <c r="BH3" s="2021" t="s">
        <v>45</v>
      </c>
      <c r="BI3" s="239"/>
      <c r="BJ3" s="2021" t="s">
        <v>213</v>
      </c>
    </row>
    <row r="4" spans="1:62" s="143" customFormat="1" ht="39" customHeight="1">
      <c r="A4" s="2038"/>
      <c r="B4" s="2038"/>
      <c r="C4" s="2038"/>
      <c r="D4" s="2038"/>
      <c r="E4" s="240"/>
      <c r="F4" s="2011"/>
      <c r="G4" s="2013"/>
      <c r="H4" s="236"/>
      <c r="I4" s="2027"/>
      <c r="J4" s="2031"/>
      <c r="K4" s="2028"/>
      <c r="L4" s="236"/>
      <c r="M4" s="2027"/>
      <c r="N4" s="2031"/>
      <c r="O4" s="2028"/>
      <c r="P4" s="236"/>
      <c r="Q4" s="2011"/>
      <c r="R4" s="2012"/>
      <c r="S4" s="2013"/>
      <c r="T4" s="236"/>
      <c r="U4" s="2027"/>
      <c r="V4" s="2028"/>
      <c r="W4" s="236"/>
      <c r="X4" s="2011"/>
      <c r="Y4" s="2012"/>
      <c r="Z4" s="2013"/>
      <c r="AA4" s="236"/>
      <c r="AB4" s="2011"/>
      <c r="AC4" s="2012"/>
      <c r="AD4" s="2013"/>
      <c r="AE4" s="236"/>
      <c r="AF4" s="2011"/>
      <c r="AG4" s="2012"/>
      <c r="AH4" s="2013"/>
      <c r="AI4" s="236"/>
      <c r="AJ4" s="2226"/>
      <c r="AK4" s="2227"/>
      <c r="AL4" s="2228"/>
      <c r="AM4" s="236"/>
      <c r="AN4" s="2027"/>
      <c r="AO4" s="2031"/>
      <c r="AP4" s="2028"/>
      <c r="AQ4" s="239"/>
      <c r="AR4" s="2226"/>
      <c r="AS4" s="2227"/>
      <c r="AT4" s="2228"/>
      <c r="AU4" s="239"/>
      <c r="AV4" s="2226"/>
      <c r="AW4" s="2227"/>
      <c r="AX4" s="2228"/>
      <c r="AY4" s="252"/>
      <c r="AZ4" s="2038"/>
      <c r="BA4" s="239"/>
      <c r="BB4" s="2038"/>
      <c r="BC4" s="239"/>
      <c r="BD4" s="2038"/>
      <c r="BE4" s="239"/>
      <c r="BF4" s="2038"/>
      <c r="BG4" s="239"/>
      <c r="BH4" s="2038"/>
      <c r="BI4" s="236"/>
      <c r="BJ4" s="2038"/>
    </row>
    <row r="5" spans="1:62" s="127" customFormat="1" ht="13.5" customHeight="1">
      <c r="A5" s="2038"/>
      <c r="B5" s="2038"/>
      <c r="C5" s="2038"/>
      <c r="D5" s="2038"/>
      <c r="E5" s="243"/>
      <c r="F5" s="2011"/>
      <c r="G5" s="2013"/>
      <c r="H5" s="244"/>
      <c r="I5" s="246"/>
      <c r="J5" s="94"/>
      <c r="K5" s="96"/>
      <c r="L5" s="95"/>
      <c r="M5" s="247"/>
      <c r="N5" s="245"/>
      <c r="O5" s="2014" t="s">
        <v>62</v>
      </c>
      <c r="P5" s="95"/>
      <c r="Q5" s="247"/>
      <c r="R5" s="245"/>
      <c r="S5" s="2021" t="s">
        <v>62</v>
      </c>
      <c r="T5" s="244"/>
      <c r="U5" s="237"/>
      <c r="V5" s="2217" t="s">
        <v>26</v>
      </c>
      <c r="W5" s="95"/>
      <c r="X5" s="247"/>
      <c r="Y5" s="245"/>
      <c r="Z5" s="2014" t="s">
        <v>62</v>
      </c>
      <c r="AA5" s="95"/>
      <c r="AB5" s="247"/>
      <c r="AC5" s="245"/>
      <c r="AD5" s="2014" t="s">
        <v>62</v>
      </c>
      <c r="AE5" s="95"/>
      <c r="AF5" s="247"/>
      <c r="AG5" s="245"/>
      <c r="AH5" s="2021" t="s">
        <v>62</v>
      </c>
      <c r="AI5" s="95"/>
      <c r="AJ5" s="247"/>
      <c r="AK5" s="245"/>
      <c r="AL5" s="2021" t="s">
        <v>62</v>
      </c>
      <c r="AM5" s="95"/>
      <c r="AN5" s="247"/>
      <c r="AO5" s="245"/>
      <c r="AP5" s="2021" t="s">
        <v>62</v>
      </c>
      <c r="AQ5" s="39"/>
      <c r="AR5" s="247"/>
      <c r="AS5" s="245"/>
      <c r="AT5" s="2021" t="s">
        <v>62</v>
      </c>
      <c r="AU5" s="39"/>
      <c r="AV5" s="247"/>
      <c r="AW5" s="245"/>
      <c r="AX5" s="2021" t="s">
        <v>62</v>
      </c>
      <c r="AY5" s="249"/>
      <c r="AZ5" s="2038"/>
      <c r="BA5" s="39"/>
      <c r="BB5" s="2038"/>
      <c r="BC5" s="39"/>
      <c r="BD5" s="128"/>
      <c r="BE5" s="39"/>
      <c r="BF5" s="128"/>
      <c r="BG5" s="39"/>
      <c r="BH5" s="128"/>
      <c r="BI5" s="95"/>
      <c r="BJ5" s="128"/>
    </row>
    <row r="6" spans="1:62" s="127" customFormat="1" ht="13.5" customHeight="1">
      <c r="A6" s="2038"/>
      <c r="B6" s="2038"/>
      <c r="C6" s="2038"/>
      <c r="D6" s="2038"/>
      <c r="E6" s="243"/>
      <c r="F6" s="246"/>
      <c r="G6" s="100" t="s">
        <v>63</v>
      </c>
      <c r="H6" s="238"/>
      <c r="I6" s="247"/>
      <c r="J6" s="101" t="s">
        <v>28</v>
      </c>
      <c r="K6" s="96"/>
      <c r="L6" s="95"/>
      <c r="M6" s="246"/>
      <c r="N6" s="238"/>
      <c r="O6" s="2015"/>
      <c r="P6" s="95"/>
      <c r="Q6" s="246"/>
      <c r="R6" s="238"/>
      <c r="S6" s="2038"/>
      <c r="T6" s="236"/>
      <c r="U6" s="247"/>
      <c r="V6" s="2218"/>
      <c r="W6" s="95"/>
      <c r="X6" s="246"/>
      <c r="Y6" s="238"/>
      <c r="Z6" s="2015"/>
      <c r="AA6" s="95"/>
      <c r="AB6" s="246"/>
      <c r="AC6" s="238"/>
      <c r="AD6" s="2015"/>
      <c r="AE6" s="95"/>
      <c r="AF6" s="246"/>
      <c r="AG6" s="238"/>
      <c r="AH6" s="2038"/>
      <c r="AI6" s="95"/>
      <c r="AJ6" s="246"/>
      <c r="AK6" s="238"/>
      <c r="AL6" s="2038"/>
      <c r="AM6" s="95"/>
      <c r="AN6" s="246"/>
      <c r="AO6" s="238"/>
      <c r="AP6" s="2038"/>
      <c r="AQ6" s="248"/>
      <c r="AR6" s="246"/>
      <c r="AS6" s="238"/>
      <c r="AT6" s="2038"/>
      <c r="AU6" s="248"/>
      <c r="AV6" s="246"/>
      <c r="AW6" s="238"/>
      <c r="AX6" s="2038"/>
      <c r="AY6" s="249"/>
      <c r="AZ6" s="2038"/>
      <c r="BA6" s="248"/>
      <c r="BB6" s="2038"/>
      <c r="BC6" s="248"/>
      <c r="BD6" s="237"/>
      <c r="BE6" s="248"/>
      <c r="BF6" s="237"/>
      <c r="BG6" s="248"/>
      <c r="BH6" s="237"/>
      <c r="BI6" s="95"/>
      <c r="BJ6" s="237"/>
    </row>
    <row r="7" spans="1:62" s="127" customFormat="1" ht="13.5" customHeight="1">
      <c r="A7" s="242" t="s">
        <v>64</v>
      </c>
      <c r="B7" s="242" t="s">
        <v>65</v>
      </c>
      <c r="C7" s="242" t="s">
        <v>66</v>
      </c>
      <c r="D7" s="242" t="s">
        <v>67</v>
      </c>
      <c r="E7" s="244"/>
      <c r="F7" s="1993" t="s">
        <v>68</v>
      </c>
      <c r="G7" s="1995"/>
      <c r="H7" s="236"/>
      <c r="I7" s="1993" t="s">
        <v>69</v>
      </c>
      <c r="J7" s="1994"/>
      <c r="K7" s="1995"/>
      <c r="L7" s="95"/>
      <c r="M7" s="1993" t="s">
        <v>70</v>
      </c>
      <c r="N7" s="1994"/>
      <c r="O7" s="1995"/>
      <c r="P7" s="95"/>
      <c r="Q7" s="1993" t="s">
        <v>71</v>
      </c>
      <c r="R7" s="1994"/>
      <c r="S7" s="1995"/>
      <c r="T7" s="236"/>
      <c r="U7" s="1993" t="s">
        <v>72</v>
      </c>
      <c r="V7" s="1995"/>
      <c r="W7" s="95"/>
      <c r="X7" s="1993" t="s">
        <v>73</v>
      </c>
      <c r="Y7" s="1994"/>
      <c r="Z7" s="1995"/>
      <c r="AA7" s="95"/>
      <c r="AB7" s="1993" t="s">
        <v>74</v>
      </c>
      <c r="AC7" s="1994"/>
      <c r="AD7" s="1995"/>
      <c r="AE7" s="95"/>
      <c r="AF7" s="1993" t="s">
        <v>58</v>
      </c>
      <c r="AG7" s="1994"/>
      <c r="AH7" s="1995"/>
      <c r="AI7" s="95"/>
      <c r="AJ7" s="1993" t="s">
        <v>59</v>
      </c>
      <c r="AK7" s="1994"/>
      <c r="AL7" s="1995"/>
      <c r="AM7" s="95"/>
      <c r="AN7" s="1993" t="s">
        <v>297</v>
      </c>
      <c r="AO7" s="1994"/>
      <c r="AP7" s="1995"/>
      <c r="AQ7" s="248"/>
      <c r="AR7" s="1993" t="s">
        <v>61</v>
      </c>
      <c r="AS7" s="1994"/>
      <c r="AT7" s="1995"/>
      <c r="AU7" s="248"/>
      <c r="AV7" s="1993" t="s">
        <v>298</v>
      </c>
      <c r="AW7" s="1994"/>
      <c r="AX7" s="1995"/>
      <c r="AY7" s="250"/>
      <c r="AZ7" s="241" t="s">
        <v>301</v>
      </c>
      <c r="BA7" s="248"/>
      <c r="BB7" s="241" t="s">
        <v>300</v>
      </c>
      <c r="BC7" s="248"/>
      <c r="BD7" s="241" t="s">
        <v>303</v>
      </c>
      <c r="BE7" s="248"/>
      <c r="BF7" s="241" t="s">
        <v>304</v>
      </c>
      <c r="BG7" s="248"/>
      <c r="BH7" s="241" t="s">
        <v>305</v>
      </c>
      <c r="BI7" s="95"/>
      <c r="BJ7" s="241" t="s">
        <v>306</v>
      </c>
    </row>
    <row r="8" spans="1:62" s="91" customFormat="1" ht="3.75" customHeight="1">
      <c r="A8" s="158"/>
      <c r="B8" s="159"/>
      <c r="C8" s="159"/>
      <c r="D8" s="159"/>
      <c r="E8" s="209"/>
      <c r="F8" s="160"/>
      <c r="G8" s="161"/>
      <c r="H8" s="236"/>
      <c r="I8" s="162"/>
      <c r="J8" s="163"/>
      <c r="K8" s="164"/>
      <c r="L8" s="95"/>
      <c r="M8" s="63"/>
      <c r="N8" s="236"/>
      <c r="O8" s="165"/>
      <c r="P8" s="95"/>
      <c r="Q8" s="63"/>
      <c r="R8" s="236"/>
      <c r="S8" s="144"/>
      <c r="T8" s="236"/>
      <c r="U8" s="162"/>
      <c r="V8" s="166"/>
      <c r="W8" s="95"/>
      <c r="X8" s="65"/>
      <c r="Y8" s="236"/>
      <c r="Z8" s="167"/>
      <c r="AA8" s="95"/>
      <c r="AB8" s="65"/>
      <c r="AC8" s="236"/>
      <c r="AD8" s="167"/>
      <c r="AE8" s="95"/>
      <c r="AF8" s="63"/>
      <c r="AG8" s="236"/>
      <c r="AH8" s="144"/>
      <c r="AI8" s="95"/>
      <c r="AJ8" s="63"/>
      <c r="AK8" s="236"/>
      <c r="AL8" s="144"/>
      <c r="AM8" s="95"/>
      <c r="AN8" s="63"/>
      <c r="AO8" s="236"/>
      <c r="AP8" s="144"/>
      <c r="AQ8" s="114"/>
      <c r="AR8" s="63"/>
      <c r="AS8" s="236"/>
      <c r="AT8" s="144"/>
      <c r="AU8" s="114"/>
      <c r="AV8" s="63"/>
      <c r="AW8" s="236"/>
      <c r="AX8" s="144"/>
      <c r="AY8" s="144"/>
      <c r="AZ8" s="44"/>
      <c r="BA8" s="114"/>
      <c r="BB8" s="114"/>
      <c r="BC8" s="114"/>
      <c r="BD8" s="114"/>
      <c r="BE8" s="114"/>
      <c r="BF8" s="114"/>
      <c r="BG8" s="114"/>
      <c r="BH8" s="114"/>
      <c r="BI8" s="95"/>
    </row>
    <row r="9" spans="1:62">
      <c r="A9" s="2212" t="s">
        <v>1014</v>
      </c>
      <c r="B9" s="2212" t="s">
        <v>552</v>
      </c>
      <c r="C9" s="2214" t="s">
        <v>553</v>
      </c>
      <c r="D9" s="1122" t="s">
        <v>554</v>
      </c>
      <c r="E9" s="1123"/>
      <c r="F9" s="1142">
        <v>78110</v>
      </c>
      <c r="G9" s="1143">
        <v>85180</v>
      </c>
      <c r="H9" s="1144" t="s">
        <v>255</v>
      </c>
      <c r="I9" s="1145">
        <v>760</v>
      </c>
      <c r="J9" s="1146">
        <v>830</v>
      </c>
      <c r="K9" s="1147" t="s">
        <v>1073</v>
      </c>
      <c r="L9" s="1972" t="s">
        <v>255</v>
      </c>
      <c r="M9" s="2205">
        <v>6500</v>
      </c>
      <c r="N9" s="1972" t="s">
        <v>255</v>
      </c>
      <c r="O9" s="2229">
        <v>60</v>
      </c>
      <c r="P9" s="1972" t="s">
        <v>255</v>
      </c>
      <c r="Q9" s="2205">
        <v>28290</v>
      </c>
      <c r="R9" s="1972" t="s">
        <v>31</v>
      </c>
      <c r="S9" s="2207">
        <v>280</v>
      </c>
      <c r="T9" s="1144" t="s">
        <v>255</v>
      </c>
      <c r="U9" s="1148">
        <v>7070</v>
      </c>
      <c r="V9" s="1238">
        <v>70</v>
      </c>
      <c r="W9" s="1239"/>
      <c r="X9" s="1173"/>
      <c r="Y9" s="1172"/>
      <c r="Z9" s="38"/>
      <c r="AA9" s="1172"/>
      <c r="AB9" s="1173" t="s">
        <v>46</v>
      </c>
      <c r="AC9" s="1172"/>
      <c r="AD9" s="1240"/>
      <c r="AE9" s="2060" t="s">
        <v>255</v>
      </c>
      <c r="AF9" s="2201">
        <v>5780</v>
      </c>
      <c r="AG9" s="1972" t="s">
        <v>255</v>
      </c>
      <c r="AH9" s="2203">
        <v>50</v>
      </c>
      <c r="AI9" s="1972" t="s">
        <v>555</v>
      </c>
      <c r="AJ9" s="1291" t="s">
        <v>278</v>
      </c>
      <c r="AK9" s="1972" t="s">
        <v>31</v>
      </c>
      <c r="AL9" s="2209">
        <v>280</v>
      </c>
      <c r="AM9" s="1972" t="s">
        <v>31</v>
      </c>
      <c r="AN9" s="2205">
        <v>3640</v>
      </c>
      <c r="AO9" s="1972" t="s">
        <v>255</v>
      </c>
      <c r="AP9" s="2207">
        <v>30</v>
      </c>
      <c r="AQ9" s="1972" t="s">
        <v>31</v>
      </c>
      <c r="AR9" s="1241">
        <v>2730</v>
      </c>
      <c r="AS9" s="1972" t="s">
        <v>255</v>
      </c>
      <c r="AT9" s="1241">
        <v>20</v>
      </c>
      <c r="AU9" s="1972" t="s">
        <v>255</v>
      </c>
      <c r="AV9" s="1241">
        <v>480</v>
      </c>
      <c r="AW9" s="1972" t="s">
        <v>255</v>
      </c>
      <c r="AX9" s="1241">
        <v>4</v>
      </c>
      <c r="AY9" s="2338" t="s">
        <v>555</v>
      </c>
      <c r="AZ9" s="1292" t="s">
        <v>1088</v>
      </c>
      <c r="BA9" s="1293"/>
      <c r="BB9" s="1243">
        <v>235</v>
      </c>
      <c r="BC9" s="1972" t="s">
        <v>78</v>
      </c>
      <c r="BD9" s="1244">
        <v>7500</v>
      </c>
      <c r="BE9" s="1972" t="s">
        <v>78</v>
      </c>
      <c r="BF9" s="1244">
        <v>28290</v>
      </c>
      <c r="BG9" s="1972" t="s">
        <v>78</v>
      </c>
      <c r="BH9" s="1244">
        <v>20310</v>
      </c>
      <c r="BI9" s="1294"/>
      <c r="BJ9" s="1295"/>
    </row>
    <row r="10" spans="1:62" ht="31.5">
      <c r="A10" s="2335"/>
      <c r="B10" s="2213"/>
      <c r="C10" s="2215"/>
      <c r="D10" s="1126" t="s">
        <v>556</v>
      </c>
      <c r="E10" s="1123"/>
      <c r="F10" s="1177">
        <v>85180</v>
      </c>
      <c r="G10" s="1178"/>
      <c r="H10" s="1144" t="s">
        <v>255</v>
      </c>
      <c r="I10" s="1163">
        <v>830</v>
      </c>
      <c r="J10" s="1179"/>
      <c r="K10" s="1180" t="s">
        <v>1073</v>
      </c>
      <c r="L10" s="1972"/>
      <c r="M10" s="2206"/>
      <c r="N10" s="1972"/>
      <c r="O10" s="2230"/>
      <c r="P10" s="1972"/>
      <c r="Q10" s="2206"/>
      <c r="R10" s="1972"/>
      <c r="S10" s="2208"/>
      <c r="T10" s="1144" t="s">
        <v>255</v>
      </c>
      <c r="U10" s="1163">
        <v>7070</v>
      </c>
      <c r="V10" s="1245">
        <v>70</v>
      </c>
      <c r="W10" s="1246" t="s">
        <v>255</v>
      </c>
      <c r="X10" s="1250">
        <v>49520</v>
      </c>
      <c r="Y10" s="1172" t="s">
        <v>31</v>
      </c>
      <c r="Z10" s="1248">
        <v>490</v>
      </c>
      <c r="AA10" s="1249" t="s">
        <v>255</v>
      </c>
      <c r="AB10" s="1250">
        <v>42450</v>
      </c>
      <c r="AC10" s="1249" t="s">
        <v>31</v>
      </c>
      <c r="AD10" s="1248">
        <v>420</v>
      </c>
      <c r="AE10" s="1972"/>
      <c r="AF10" s="2202"/>
      <c r="AG10" s="1972"/>
      <c r="AH10" s="2204"/>
      <c r="AI10" s="1972"/>
      <c r="AJ10" s="1296">
        <v>28290</v>
      </c>
      <c r="AK10" s="1972"/>
      <c r="AL10" s="2334"/>
      <c r="AM10" s="1972"/>
      <c r="AN10" s="2206"/>
      <c r="AO10" s="1972"/>
      <c r="AP10" s="2208"/>
      <c r="AQ10" s="1972"/>
      <c r="AR10" s="1251" t="s">
        <v>1089</v>
      </c>
      <c r="AS10" s="1972"/>
      <c r="AT10" s="1251" t="s">
        <v>1075</v>
      </c>
      <c r="AU10" s="1972"/>
      <c r="AV10" s="1251" t="s">
        <v>1089</v>
      </c>
      <c r="AW10" s="1972"/>
      <c r="AX10" s="1251" t="s">
        <v>1075</v>
      </c>
      <c r="AY10" s="2338"/>
      <c r="AZ10" s="1297">
        <v>27330</v>
      </c>
      <c r="BA10" s="1293"/>
      <c r="BB10" s="1252" t="s">
        <v>302</v>
      </c>
      <c r="BC10" s="1972"/>
      <c r="BD10" s="1298">
        <v>70</v>
      </c>
      <c r="BE10" s="1972"/>
      <c r="BF10" s="1253">
        <v>280</v>
      </c>
      <c r="BG10" s="1972"/>
      <c r="BH10" s="1253">
        <v>200</v>
      </c>
      <c r="BI10" s="1294"/>
      <c r="BJ10" s="1295"/>
    </row>
    <row r="11" spans="1:62" ht="21" customHeight="1">
      <c r="A11" s="2335"/>
      <c r="B11" s="2212" t="s">
        <v>557</v>
      </c>
      <c r="C11" s="2214" t="s">
        <v>553</v>
      </c>
      <c r="D11" s="1122" t="s">
        <v>554</v>
      </c>
      <c r="E11" s="1123"/>
      <c r="F11" s="1142">
        <v>48590</v>
      </c>
      <c r="G11" s="1143">
        <v>55660</v>
      </c>
      <c r="H11" s="1144" t="s">
        <v>255</v>
      </c>
      <c r="I11" s="1145">
        <v>460</v>
      </c>
      <c r="J11" s="1146">
        <v>530</v>
      </c>
      <c r="K11" s="1147" t="s">
        <v>1073</v>
      </c>
      <c r="L11" s="1972" t="s">
        <v>255</v>
      </c>
      <c r="M11" s="2205">
        <v>3900</v>
      </c>
      <c r="N11" s="1972" t="s">
        <v>255</v>
      </c>
      <c r="O11" s="2229">
        <v>30</v>
      </c>
      <c r="P11" s="1972" t="s">
        <v>255</v>
      </c>
      <c r="Q11" s="2205">
        <v>16970</v>
      </c>
      <c r="R11" s="1972" t="s">
        <v>31</v>
      </c>
      <c r="S11" s="2207">
        <v>160</v>
      </c>
      <c r="T11" s="1144" t="s">
        <v>255</v>
      </c>
      <c r="U11" s="1148">
        <v>7070</v>
      </c>
      <c r="V11" s="1238">
        <v>70</v>
      </c>
      <c r="W11" s="1239"/>
      <c r="X11" s="1173"/>
      <c r="Y11" s="1172"/>
      <c r="Z11" s="38"/>
      <c r="AA11" s="1172"/>
      <c r="AB11" s="1173" t="s">
        <v>46</v>
      </c>
      <c r="AC11" s="1172"/>
      <c r="AD11" s="1240"/>
      <c r="AE11" s="2060" t="s">
        <v>255</v>
      </c>
      <c r="AF11" s="2201">
        <v>3470</v>
      </c>
      <c r="AG11" s="1972" t="s">
        <v>255</v>
      </c>
      <c r="AH11" s="2203">
        <v>30</v>
      </c>
      <c r="AI11" s="1972"/>
      <c r="AJ11" s="1299" t="s">
        <v>279</v>
      </c>
      <c r="AK11" s="1972" t="s">
        <v>31</v>
      </c>
      <c r="AL11" s="2334">
        <v>160</v>
      </c>
      <c r="AM11" s="1972" t="s">
        <v>31</v>
      </c>
      <c r="AN11" s="2205">
        <v>2490</v>
      </c>
      <c r="AO11" s="1972" t="s">
        <v>255</v>
      </c>
      <c r="AP11" s="2207">
        <v>20</v>
      </c>
      <c r="AQ11" s="1972" t="s">
        <v>31</v>
      </c>
      <c r="AR11" s="1241">
        <v>1630</v>
      </c>
      <c r="AS11" s="1972" t="s">
        <v>255</v>
      </c>
      <c r="AT11" s="1241">
        <v>10</v>
      </c>
      <c r="AU11" s="1972" t="s">
        <v>255</v>
      </c>
      <c r="AV11" s="1241">
        <v>290</v>
      </c>
      <c r="AW11" s="1972" t="s">
        <v>255</v>
      </c>
      <c r="AX11" s="1241">
        <v>2</v>
      </c>
      <c r="AY11" s="2338"/>
      <c r="AZ11" s="1300" t="s">
        <v>1090</v>
      </c>
      <c r="BA11" s="1293"/>
      <c r="BB11" s="1243">
        <v>235</v>
      </c>
      <c r="BC11" s="1972" t="s">
        <v>78</v>
      </c>
      <c r="BD11" s="1244">
        <v>4500</v>
      </c>
      <c r="BE11" s="1972" t="s">
        <v>78</v>
      </c>
      <c r="BF11" s="1244">
        <v>16970</v>
      </c>
      <c r="BG11" s="1972" t="s">
        <v>78</v>
      </c>
      <c r="BH11" s="1244">
        <v>12180</v>
      </c>
      <c r="BI11" s="1294"/>
      <c r="BJ11" s="1295"/>
    </row>
    <row r="12" spans="1:62" ht="31.5">
      <c r="A12" s="2335"/>
      <c r="B12" s="2213"/>
      <c r="C12" s="2215"/>
      <c r="D12" s="1126" t="s">
        <v>556</v>
      </c>
      <c r="E12" s="1123"/>
      <c r="F12" s="1177">
        <v>55660</v>
      </c>
      <c r="G12" s="1178"/>
      <c r="H12" s="1144" t="s">
        <v>255</v>
      </c>
      <c r="I12" s="1163">
        <v>530</v>
      </c>
      <c r="J12" s="1179"/>
      <c r="K12" s="1180" t="s">
        <v>1073</v>
      </c>
      <c r="L12" s="1972"/>
      <c r="M12" s="2206"/>
      <c r="N12" s="1972"/>
      <c r="O12" s="2230"/>
      <c r="P12" s="1972"/>
      <c r="Q12" s="2206"/>
      <c r="R12" s="1972"/>
      <c r="S12" s="2208"/>
      <c r="T12" s="1144" t="s">
        <v>255</v>
      </c>
      <c r="U12" s="1163">
        <v>7070</v>
      </c>
      <c r="V12" s="1245">
        <v>70</v>
      </c>
      <c r="W12" s="1246" t="s">
        <v>255</v>
      </c>
      <c r="X12" s="1250">
        <v>49520</v>
      </c>
      <c r="Y12" s="1172" t="s">
        <v>31</v>
      </c>
      <c r="Z12" s="1248">
        <v>490</v>
      </c>
      <c r="AA12" s="1249" t="s">
        <v>255</v>
      </c>
      <c r="AB12" s="1250">
        <v>42450</v>
      </c>
      <c r="AC12" s="1249" t="s">
        <v>31</v>
      </c>
      <c r="AD12" s="1248">
        <v>420</v>
      </c>
      <c r="AE12" s="1972"/>
      <c r="AF12" s="2202"/>
      <c r="AG12" s="1972"/>
      <c r="AH12" s="2204"/>
      <c r="AI12" s="1972"/>
      <c r="AJ12" s="1296">
        <v>16970</v>
      </c>
      <c r="AK12" s="1972"/>
      <c r="AL12" s="2334"/>
      <c r="AM12" s="1972"/>
      <c r="AN12" s="2206"/>
      <c r="AO12" s="1972"/>
      <c r="AP12" s="2208"/>
      <c r="AQ12" s="1972"/>
      <c r="AR12" s="1251" t="s">
        <v>1089</v>
      </c>
      <c r="AS12" s="1972"/>
      <c r="AT12" s="1251" t="s">
        <v>1075</v>
      </c>
      <c r="AU12" s="1972"/>
      <c r="AV12" s="1251" t="s">
        <v>1089</v>
      </c>
      <c r="AW12" s="1972"/>
      <c r="AX12" s="1251" t="s">
        <v>1075</v>
      </c>
      <c r="AY12" s="2338"/>
      <c r="AZ12" s="1297">
        <v>16800</v>
      </c>
      <c r="BA12" s="1293"/>
      <c r="BB12" s="1252" t="s">
        <v>302</v>
      </c>
      <c r="BC12" s="1972"/>
      <c r="BD12" s="1298">
        <v>40</v>
      </c>
      <c r="BE12" s="1972"/>
      <c r="BF12" s="1253">
        <v>170</v>
      </c>
      <c r="BG12" s="1972"/>
      <c r="BH12" s="1253">
        <v>120</v>
      </c>
      <c r="BI12" s="1294"/>
      <c r="BJ12" s="1295"/>
    </row>
    <row r="13" spans="1:62" ht="21" customHeight="1">
      <c r="A13" s="2335"/>
      <c r="B13" s="2212" t="s">
        <v>558</v>
      </c>
      <c r="C13" s="2214" t="s">
        <v>553</v>
      </c>
      <c r="D13" s="1122" t="s">
        <v>554</v>
      </c>
      <c r="E13" s="1123"/>
      <c r="F13" s="1142">
        <v>38000</v>
      </c>
      <c r="G13" s="1143">
        <v>45070</v>
      </c>
      <c r="H13" s="1144" t="s">
        <v>255</v>
      </c>
      <c r="I13" s="1145">
        <v>360</v>
      </c>
      <c r="J13" s="1146">
        <v>430</v>
      </c>
      <c r="K13" s="1147" t="s">
        <v>1073</v>
      </c>
      <c r="L13" s="1972" t="s">
        <v>255</v>
      </c>
      <c r="M13" s="2205">
        <v>2780</v>
      </c>
      <c r="N13" s="1972" t="s">
        <v>255</v>
      </c>
      <c r="O13" s="2229">
        <v>20</v>
      </c>
      <c r="P13" s="1972" t="s">
        <v>255</v>
      </c>
      <c r="Q13" s="2205">
        <v>12120</v>
      </c>
      <c r="R13" s="1972" t="s">
        <v>31</v>
      </c>
      <c r="S13" s="2207">
        <v>120</v>
      </c>
      <c r="T13" s="1144" t="s">
        <v>255</v>
      </c>
      <c r="U13" s="1148">
        <v>7070</v>
      </c>
      <c r="V13" s="1238">
        <v>70</v>
      </c>
      <c r="W13" s="1239"/>
      <c r="X13" s="1173"/>
      <c r="Y13" s="1172"/>
      <c r="Z13" s="38"/>
      <c r="AA13" s="1172"/>
      <c r="AB13" s="1173" t="s">
        <v>46</v>
      </c>
      <c r="AC13" s="1172"/>
      <c r="AD13" s="1240"/>
      <c r="AE13" s="2060" t="s">
        <v>255</v>
      </c>
      <c r="AF13" s="2201">
        <v>2480</v>
      </c>
      <c r="AG13" s="1972" t="s">
        <v>255</v>
      </c>
      <c r="AH13" s="2203">
        <v>20</v>
      </c>
      <c r="AI13" s="1972"/>
      <c r="AJ13" s="1299" t="s">
        <v>280</v>
      </c>
      <c r="AK13" s="1972" t="s">
        <v>31</v>
      </c>
      <c r="AL13" s="2334">
        <v>120</v>
      </c>
      <c r="AM13" s="1972" t="s">
        <v>31</v>
      </c>
      <c r="AN13" s="2205">
        <v>2000</v>
      </c>
      <c r="AO13" s="1972" t="s">
        <v>255</v>
      </c>
      <c r="AP13" s="2207">
        <v>20</v>
      </c>
      <c r="AQ13" s="1972" t="s">
        <v>31</v>
      </c>
      <c r="AR13" s="1241">
        <v>1170</v>
      </c>
      <c r="AS13" s="1972" t="s">
        <v>255</v>
      </c>
      <c r="AT13" s="1241">
        <v>10</v>
      </c>
      <c r="AU13" s="1972" t="s">
        <v>255</v>
      </c>
      <c r="AV13" s="1241">
        <v>200</v>
      </c>
      <c r="AW13" s="1972" t="s">
        <v>255</v>
      </c>
      <c r="AX13" s="1241">
        <v>2</v>
      </c>
      <c r="AY13" s="2338"/>
      <c r="AZ13" s="1300" t="s">
        <v>1091</v>
      </c>
      <c r="BA13" s="1293"/>
      <c r="BB13" s="1243">
        <v>235</v>
      </c>
      <c r="BC13" s="1972" t="s">
        <v>78</v>
      </c>
      <c r="BD13" s="1244">
        <v>3210</v>
      </c>
      <c r="BE13" s="1972" t="s">
        <v>78</v>
      </c>
      <c r="BF13" s="1244">
        <v>12120</v>
      </c>
      <c r="BG13" s="1972" t="s">
        <v>78</v>
      </c>
      <c r="BH13" s="1244">
        <v>8700</v>
      </c>
      <c r="BI13" s="1294"/>
      <c r="BJ13" s="1295"/>
    </row>
    <row r="14" spans="1:62" ht="31.5">
      <c r="A14" s="2335"/>
      <c r="B14" s="2213"/>
      <c r="C14" s="2215"/>
      <c r="D14" s="1126" t="s">
        <v>556</v>
      </c>
      <c r="E14" s="1123"/>
      <c r="F14" s="1177">
        <v>45070</v>
      </c>
      <c r="G14" s="1178"/>
      <c r="H14" s="1144" t="s">
        <v>255</v>
      </c>
      <c r="I14" s="1163">
        <v>430</v>
      </c>
      <c r="J14" s="1179"/>
      <c r="K14" s="1180" t="s">
        <v>1073</v>
      </c>
      <c r="L14" s="1972"/>
      <c r="M14" s="2206"/>
      <c r="N14" s="1972"/>
      <c r="O14" s="2230"/>
      <c r="P14" s="1972"/>
      <c r="Q14" s="2206"/>
      <c r="R14" s="1972"/>
      <c r="S14" s="2208"/>
      <c r="T14" s="1144" t="s">
        <v>255</v>
      </c>
      <c r="U14" s="1163">
        <v>7070</v>
      </c>
      <c r="V14" s="1245">
        <v>70</v>
      </c>
      <c r="W14" s="1246" t="s">
        <v>255</v>
      </c>
      <c r="X14" s="1250">
        <v>49520</v>
      </c>
      <c r="Y14" s="1172" t="s">
        <v>31</v>
      </c>
      <c r="Z14" s="1248">
        <v>490</v>
      </c>
      <c r="AA14" s="1249" t="s">
        <v>255</v>
      </c>
      <c r="AB14" s="1250">
        <v>42450</v>
      </c>
      <c r="AC14" s="1249" t="s">
        <v>31</v>
      </c>
      <c r="AD14" s="1248">
        <v>420</v>
      </c>
      <c r="AE14" s="1972"/>
      <c r="AF14" s="2202"/>
      <c r="AG14" s="1972"/>
      <c r="AH14" s="2204"/>
      <c r="AI14" s="1972"/>
      <c r="AJ14" s="1296">
        <v>12120</v>
      </c>
      <c r="AK14" s="1972"/>
      <c r="AL14" s="2334"/>
      <c r="AM14" s="1972"/>
      <c r="AN14" s="2206"/>
      <c r="AO14" s="1972"/>
      <c r="AP14" s="2208"/>
      <c r="AQ14" s="1972"/>
      <c r="AR14" s="1251" t="s">
        <v>1089</v>
      </c>
      <c r="AS14" s="1972"/>
      <c r="AT14" s="1251" t="s">
        <v>1075</v>
      </c>
      <c r="AU14" s="1972"/>
      <c r="AV14" s="1251" t="s">
        <v>1089</v>
      </c>
      <c r="AW14" s="1972"/>
      <c r="AX14" s="1251" t="s">
        <v>1075</v>
      </c>
      <c r="AY14" s="2338"/>
      <c r="AZ14" s="1297">
        <v>12280</v>
      </c>
      <c r="BA14" s="1293"/>
      <c r="BB14" s="1252" t="s">
        <v>302</v>
      </c>
      <c r="BC14" s="1972"/>
      <c r="BD14" s="1298">
        <v>30</v>
      </c>
      <c r="BE14" s="1972"/>
      <c r="BF14" s="1253">
        <v>120</v>
      </c>
      <c r="BG14" s="1972"/>
      <c r="BH14" s="1253">
        <v>80</v>
      </c>
      <c r="BI14" s="1294"/>
      <c r="BJ14" s="1295"/>
    </row>
    <row r="15" spans="1:62" ht="21" customHeight="1">
      <c r="A15" s="2335"/>
      <c r="B15" s="2212" t="s">
        <v>559</v>
      </c>
      <c r="C15" s="2214" t="s">
        <v>553</v>
      </c>
      <c r="D15" s="1122" t="s">
        <v>554</v>
      </c>
      <c r="E15" s="1123"/>
      <c r="F15" s="1142">
        <v>33710</v>
      </c>
      <c r="G15" s="1143">
        <v>40780</v>
      </c>
      <c r="H15" s="1144" t="s">
        <v>255</v>
      </c>
      <c r="I15" s="1145">
        <v>310</v>
      </c>
      <c r="J15" s="1146">
        <v>390</v>
      </c>
      <c r="K15" s="1147" t="s">
        <v>1073</v>
      </c>
      <c r="L15" s="1972" t="s">
        <v>255</v>
      </c>
      <c r="M15" s="2205">
        <v>2160</v>
      </c>
      <c r="N15" s="1972" t="s">
        <v>255</v>
      </c>
      <c r="O15" s="2229">
        <v>20</v>
      </c>
      <c r="P15" s="1972" t="s">
        <v>255</v>
      </c>
      <c r="Q15" s="2205">
        <v>9430</v>
      </c>
      <c r="R15" s="1972" t="s">
        <v>31</v>
      </c>
      <c r="S15" s="2207">
        <v>90</v>
      </c>
      <c r="T15" s="1144" t="s">
        <v>255</v>
      </c>
      <c r="U15" s="1148">
        <v>7070</v>
      </c>
      <c r="V15" s="1238">
        <v>70</v>
      </c>
      <c r="W15" s="1239"/>
      <c r="X15" s="1173"/>
      <c r="Y15" s="1172"/>
      <c r="Z15" s="38"/>
      <c r="AA15" s="1172"/>
      <c r="AB15" s="1173" t="s">
        <v>46</v>
      </c>
      <c r="AC15" s="1172"/>
      <c r="AD15" s="1240"/>
      <c r="AE15" s="2060" t="s">
        <v>255</v>
      </c>
      <c r="AF15" s="2201" t="s">
        <v>276</v>
      </c>
      <c r="AG15" s="1972" t="s">
        <v>255</v>
      </c>
      <c r="AH15" s="2203" t="s">
        <v>276</v>
      </c>
      <c r="AI15" s="1972"/>
      <c r="AJ15" s="1299" t="s">
        <v>281</v>
      </c>
      <c r="AK15" s="1972" t="s">
        <v>31</v>
      </c>
      <c r="AL15" s="2334">
        <v>90</v>
      </c>
      <c r="AM15" s="1972" t="s">
        <v>31</v>
      </c>
      <c r="AN15" s="2205">
        <v>1730</v>
      </c>
      <c r="AO15" s="1972" t="s">
        <v>255</v>
      </c>
      <c r="AP15" s="2207">
        <v>10</v>
      </c>
      <c r="AQ15" s="1972" t="s">
        <v>31</v>
      </c>
      <c r="AR15" s="1241">
        <v>910</v>
      </c>
      <c r="AS15" s="1972" t="s">
        <v>255</v>
      </c>
      <c r="AT15" s="1241">
        <v>9</v>
      </c>
      <c r="AU15" s="1972" t="s">
        <v>255</v>
      </c>
      <c r="AV15" s="1241">
        <v>160</v>
      </c>
      <c r="AW15" s="1972" t="s">
        <v>255</v>
      </c>
      <c r="AX15" s="1241">
        <v>1</v>
      </c>
      <c r="AY15" s="2338"/>
      <c r="AZ15" s="1300" t="s">
        <v>1092</v>
      </c>
      <c r="BA15" s="1293"/>
      <c r="BB15" s="1243">
        <v>235</v>
      </c>
      <c r="BC15" s="1972" t="s">
        <v>78</v>
      </c>
      <c r="BD15" s="1244">
        <v>2500</v>
      </c>
      <c r="BE15" s="1972" t="s">
        <v>78</v>
      </c>
      <c r="BF15" s="1244">
        <v>9430</v>
      </c>
      <c r="BG15" s="1972" t="s">
        <v>78</v>
      </c>
      <c r="BH15" s="1244">
        <v>6770</v>
      </c>
      <c r="BI15" s="1294"/>
      <c r="BJ15" s="1295"/>
    </row>
    <row r="16" spans="1:62" ht="31.5">
      <c r="A16" s="2335"/>
      <c r="B16" s="2213"/>
      <c r="C16" s="2215"/>
      <c r="D16" s="1126" t="s">
        <v>556</v>
      </c>
      <c r="E16" s="1123"/>
      <c r="F16" s="1177">
        <v>40780</v>
      </c>
      <c r="G16" s="1178"/>
      <c r="H16" s="1144" t="s">
        <v>255</v>
      </c>
      <c r="I16" s="1163">
        <v>390</v>
      </c>
      <c r="J16" s="1179"/>
      <c r="K16" s="1180" t="s">
        <v>1073</v>
      </c>
      <c r="L16" s="1972"/>
      <c r="M16" s="2206"/>
      <c r="N16" s="1972"/>
      <c r="O16" s="2230"/>
      <c r="P16" s="1972"/>
      <c r="Q16" s="2206"/>
      <c r="R16" s="1972"/>
      <c r="S16" s="2208"/>
      <c r="T16" s="1144" t="s">
        <v>255</v>
      </c>
      <c r="U16" s="1163">
        <v>7070</v>
      </c>
      <c r="V16" s="1245">
        <v>70</v>
      </c>
      <c r="W16" s="1246" t="s">
        <v>255</v>
      </c>
      <c r="X16" s="1250">
        <v>49520</v>
      </c>
      <c r="Y16" s="1172" t="s">
        <v>31</v>
      </c>
      <c r="Z16" s="1248">
        <v>490</v>
      </c>
      <c r="AA16" s="1249" t="s">
        <v>255</v>
      </c>
      <c r="AB16" s="1250">
        <v>42450</v>
      </c>
      <c r="AC16" s="1249" t="s">
        <v>31</v>
      </c>
      <c r="AD16" s="1248">
        <v>420</v>
      </c>
      <c r="AE16" s="1972"/>
      <c r="AF16" s="2202"/>
      <c r="AG16" s="1972"/>
      <c r="AH16" s="2204"/>
      <c r="AI16" s="1972"/>
      <c r="AJ16" s="1296">
        <v>9430</v>
      </c>
      <c r="AK16" s="1972"/>
      <c r="AL16" s="2334"/>
      <c r="AM16" s="1972"/>
      <c r="AN16" s="2206"/>
      <c r="AO16" s="1972"/>
      <c r="AP16" s="2208"/>
      <c r="AQ16" s="1972"/>
      <c r="AR16" s="1251" t="s">
        <v>1089</v>
      </c>
      <c r="AS16" s="1972"/>
      <c r="AT16" s="1251" t="s">
        <v>1075</v>
      </c>
      <c r="AU16" s="1972"/>
      <c r="AV16" s="1251" t="s">
        <v>1089</v>
      </c>
      <c r="AW16" s="1972"/>
      <c r="AX16" s="1251" t="s">
        <v>1075</v>
      </c>
      <c r="AY16" s="2338"/>
      <c r="AZ16" s="1297">
        <v>9770</v>
      </c>
      <c r="BA16" s="1293"/>
      <c r="BB16" s="1252" t="s">
        <v>302</v>
      </c>
      <c r="BC16" s="1972"/>
      <c r="BD16" s="1298">
        <v>20</v>
      </c>
      <c r="BE16" s="1972"/>
      <c r="BF16" s="1253">
        <v>90</v>
      </c>
      <c r="BG16" s="1972"/>
      <c r="BH16" s="1253">
        <v>60</v>
      </c>
      <c r="BI16" s="1294"/>
      <c r="BJ16" s="1295"/>
    </row>
    <row r="17" spans="1:62" ht="21" customHeight="1">
      <c r="A17" s="2335"/>
      <c r="B17" s="2212" t="s">
        <v>560</v>
      </c>
      <c r="C17" s="2214" t="s">
        <v>553</v>
      </c>
      <c r="D17" s="1122" t="s">
        <v>554</v>
      </c>
      <c r="E17" s="1123"/>
      <c r="F17" s="1142">
        <v>29890</v>
      </c>
      <c r="G17" s="1143">
        <v>36960</v>
      </c>
      <c r="H17" s="1144" t="s">
        <v>255</v>
      </c>
      <c r="I17" s="1145">
        <v>280</v>
      </c>
      <c r="J17" s="1146">
        <v>350</v>
      </c>
      <c r="K17" s="1147" t="s">
        <v>1073</v>
      </c>
      <c r="L17" s="1972" t="s">
        <v>255</v>
      </c>
      <c r="M17" s="2205">
        <v>1620</v>
      </c>
      <c r="N17" s="1972" t="s">
        <v>255</v>
      </c>
      <c r="O17" s="2229">
        <v>10</v>
      </c>
      <c r="P17" s="1972" t="s">
        <v>255</v>
      </c>
      <c r="Q17" s="2205">
        <v>7070</v>
      </c>
      <c r="R17" s="1972" t="s">
        <v>31</v>
      </c>
      <c r="S17" s="2207">
        <v>70</v>
      </c>
      <c r="T17" s="1144" t="s">
        <v>255</v>
      </c>
      <c r="U17" s="1148">
        <v>7070</v>
      </c>
      <c r="V17" s="1238">
        <v>70</v>
      </c>
      <c r="W17" s="1239"/>
      <c r="X17" s="1173"/>
      <c r="Y17" s="1172"/>
      <c r="Z17" s="38"/>
      <c r="AA17" s="1172"/>
      <c r="AB17" s="1173" t="s">
        <v>46</v>
      </c>
      <c r="AC17" s="1172"/>
      <c r="AD17" s="1240"/>
      <c r="AE17" s="2060" t="s">
        <v>255</v>
      </c>
      <c r="AF17" s="2201" t="s">
        <v>276</v>
      </c>
      <c r="AG17" s="1972" t="s">
        <v>255</v>
      </c>
      <c r="AH17" s="2203" t="s">
        <v>276</v>
      </c>
      <c r="AI17" s="1972"/>
      <c r="AJ17" s="1299" t="s">
        <v>282</v>
      </c>
      <c r="AK17" s="1972" t="s">
        <v>31</v>
      </c>
      <c r="AL17" s="2334">
        <v>70</v>
      </c>
      <c r="AM17" s="1972" t="s">
        <v>31</v>
      </c>
      <c r="AN17" s="2205">
        <v>1300</v>
      </c>
      <c r="AO17" s="1972" t="s">
        <v>255</v>
      </c>
      <c r="AP17" s="2207">
        <v>10</v>
      </c>
      <c r="AQ17" s="1972" t="s">
        <v>31</v>
      </c>
      <c r="AR17" s="1241">
        <v>680</v>
      </c>
      <c r="AS17" s="1972" t="s">
        <v>255</v>
      </c>
      <c r="AT17" s="1241">
        <v>6</v>
      </c>
      <c r="AU17" s="1972" t="s">
        <v>255</v>
      </c>
      <c r="AV17" s="1241">
        <v>120</v>
      </c>
      <c r="AW17" s="1972" t="s">
        <v>255</v>
      </c>
      <c r="AX17" s="1241">
        <v>1</v>
      </c>
      <c r="AY17" s="2338"/>
      <c r="AZ17" s="1300" t="s">
        <v>1093</v>
      </c>
      <c r="BA17" s="1293"/>
      <c r="BB17" s="1243">
        <v>235</v>
      </c>
      <c r="BC17" s="1972" t="s">
        <v>78</v>
      </c>
      <c r="BD17" s="1244">
        <v>1870</v>
      </c>
      <c r="BE17" s="1972" t="s">
        <v>78</v>
      </c>
      <c r="BF17" s="1244">
        <v>7070</v>
      </c>
      <c r="BG17" s="1972" t="s">
        <v>78</v>
      </c>
      <c r="BH17" s="1244">
        <v>5070</v>
      </c>
      <c r="BI17" s="1294"/>
      <c r="BJ17" s="1295"/>
    </row>
    <row r="18" spans="1:62" ht="31.5">
      <c r="A18" s="2335"/>
      <c r="B18" s="2213"/>
      <c r="C18" s="2215"/>
      <c r="D18" s="1126" t="s">
        <v>556</v>
      </c>
      <c r="E18" s="1123"/>
      <c r="F18" s="1177">
        <v>36960</v>
      </c>
      <c r="G18" s="1178"/>
      <c r="H18" s="1144" t="s">
        <v>255</v>
      </c>
      <c r="I18" s="1163">
        <v>350</v>
      </c>
      <c r="J18" s="1179"/>
      <c r="K18" s="1180" t="s">
        <v>1073</v>
      </c>
      <c r="L18" s="1972"/>
      <c r="M18" s="2206"/>
      <c r="N18" s="1972"/>
      <c r="O18" s="2230"/>
      <c r="P18" s="1972"/>
      <c r="Q18" s="2206"/>
      <c r="R18" s="1972"/>
      <c r="S18" s="2208"/>
      <c r="T18" s="1144" t="s">
        <v>255</v>
      </c>
      <c r="U18" s="1163">
        <v>7070</v>
      </c>
      <c r="V18" s="1245">
        <v>70</v>
      </c>
      <c r="W18" s="1246" t="s">
        <v>255</v>
      </c>
      <c r="X18" s="1250">
        <v>49520</v>
      </c>
      <c r="Y18" s="1172" t="s">
        <v>31</v>
      </c>
      <c r="Z18" s="1248">
        <v>490</v>
      </c>
      <c r="AA18" s="1249" t="s">
        <v>255</v>
      </c>
      <c r="AB18" s="1250">
        <v>42450</v>
      </c>
      <c r="AC18" s="1249" t="s">
        <v>31</v>
      </c>
      <c r="AD18" s="1248">
        <v>420</v>
      </c>
      <c r="AE18" s="1972"/>
      <c r="AF18" s="2202"/>
      <c r="AG18" s="1972"/>
      <c r="AH18" s="2204"/>
      <c r="AI18" s="1972"/>
      <c r="AJ18" s="1296">
        <v>7070</v>
      </c>
      <c r="AK18" s="1972"/>
      <c r="AL18" s="2334"/>
      <c r="AM18" s="1972"/>
      <c r="AN18" s="2206"/>
      <c r="AO18" s="1972"/>
      <c r="AP18" s="2208"/>
      <c r="AQ18" s="1972"/>
      <c r="AR18" s="1251" t="s">
        <v>1089</v>
      </c>
      <c r="AS18" s="1972"/>
      <c r="AT18" s="1251" t="s">
        <v>1075</v>
      </c>
      <c r="AU18" s="1972"/>
      <c r="AV18" s="1251" t="s">
        <v>1089</v>
      </c>
      <c r="AW18" s="1972"/>
      <c r="AX18" s="1251" t="s">
        <v>1075</v>
      </c>
      <c r="AY18" s="2338"/>
      <c r="AZ18" s="1297">
        <v>7500</v>
      </c>
      <c r="BA18" s="1293"/>
      <c r="BB18" s="1252" t="s">
        <v>302</v>
      </c>
      <c r="BC18" s="1972"/>
      <c r="BD18" s="1298">
        <v>10</v>
      </c>
      <c r="BE18" s="1972"/>
      <c r="BF18" s="1253">
        <v>70</v>
      </c>
      <c r="BG18" s="1972"/>
      <c r="BH18" s="1253">
        <v>50</v>
      </c>
      <c r="BI18" s="1294"/>
      <c r="BJ18" s="1295"/>
    </row>
    <row r="19" spans="1:62" ht="21" customHeight="1">
      <c r="A19" s="2335"/>
      <c r="B19" s="2212" t="s">
        <v>561</v>
      </c>
      <c r="C19" s="2214" t="s">
        <v>553</v>
      </c>
      <c r="D19" s="1122" t="s">
        <v>554</v>
      </c>
      <c r="E19" s="1123"/>
      <c r="F19" s="1142">
        <v>27630</v>
      </c>
      <c r="G19" s="1143">
        <v>34700</v>
      </c>
      <c r="H19" s="1144" t="s">
        <v>255</v>
      </c>
      <c r="I19" s="1145">
        <v>250</v>
      </c>
      <c r="J19" s="1146">
        <v>320</v>
      </c>
      <c r="K19" s="1147" t="s">
        <v>1073</v>
      </c>
      <c r="L19" s="1972" t="s">
        <v>255</v>
      </c>
      <c r="M19" s="2205">
        <v>1300</v>
      </c>
      <c r="N19" s="1972" t="s">
        <v>255</v>
      </c>
      <c r="O19" s="2229">
        <v>10</v>
      </c>
      <c r="P19" s="1972" t="s">
        <v>255</v>
      </c>
      <c r="Q19" s="2205">
        <v>5650</v>
      </c>
      <c r="R19" s="1972" t="s">
        <v>31</v>
      </c>
      <c r="S19" s="2207">
        <v>50</v>
      </c>
      <c r="T19" s="1144" t="s">
        <v>255</v>
      </c>
      <c r="U19" s="1148">
        <v>7070</v>
      </c>
      <c r="V19" s="1238">
        <v>70</v>
      </c>
      <c r="W19" s="1239"/>
      <c r="X19" s="1173"/>
      <c r="Y19" s="1172"/>
      <c r="Z19" s="38"/>
      <c r="AA19" s="1172"/>
      <c r="AB19" s="1173" t="s">
        <v>46</v>
      </c>
      <c r="AC19" s="1172"/>
      <c r="AD19" s="1240"/>
      <c r="AE19" s="2060" t="s">
        <v>255</v>
      </c>
      <c r="AF19" s="2201" t="s">
        <v>276</v>
      </c>
      <c r="AG19" s="1972" t="s">
        <v>255</v>
      </c>
      <c r="AH19" s="2203" t="s">
        <v>276</v>
      </c>
      <c r="AI19" s="1972"/>
      <c r="AJ19" s="1299" t="s">
        <v>283</v>
      </c>
      <c r="AK19" s="1972" t="s">
        <v>31</v>
      </c>
      <c r="AL19" s="2334">
        <v>50</v>
      </c>
      <c r="AM19" s="1972" t="s">
        <v>31</v>
      </c>
      <c r="AN19" s="2205">
        <v>1040</v>
      </c>
      <c r="AO19" s="1972" t="s">
        <v>255</v>
      </c>
      <c r="AP19" s="2207">
        <v>10</v>
      </c>
      <c r="AQ19" s="1972" t="s">
        <v>31</v>
      </c>
      <c r="AR19" s="1241">
        <v>570</v>
      </c>
      <c r="AS19" s="1972" t="s">
        <v>255</v>
      </c>
      <c r="AT19" s="1241">
        <v>5</v>
      </c>
      <c r="AU19" s="1972" t="s">
        <v>255</v>
      </c>
      <c r="AV19" s="1241">
        <v>100</v>
      </c>
      <c r="AW19" s="1972" t="s">
        <v>255</v>
      </c>
      <c r="AX19" s="1241">
        <v>1</v>
      </c>
      <c r="AY19" s="2338"/>
      <c r="AZ19" s="1300" t="s">
        <v>1094</v>
      </c>
      <c r="BA19" s="1293"/>
      <c r="BB19" s="1243">
        <v>235</v>
      </c>
      <c r="BC19" s="1972" t="s">
        <v>78</v>
      </c>
      <c r="BD19" s="1244">
        <v>1500</v>
      </c>
      <c r="BE19" s="1972" t="s">
        <v>78</v>
      </c>
      <c r="BF19" s="1244">
        <v>5660</v>
      </c>
      <c r="BG19" s="1972" t="s">
        <v>78</v>
      </c>
      <c r="BH19" s="1244">
        <v>4060</v>
      </c>
      <c r="BI19" s="1294"/>
      <c r="BJ19" s="1295"/>
    </row>
    <row r="20" spans="1:62" ht="31.5">
      <c r="A20" s="2335"/>
      <c r="B20" s="2213"/>
      <c r="C20" s="2215"/>
      <c r="D20" s="1126" t="s">
        <v>556</v>
      </c>
      <c r="E20" s="1123"/>
      <c r="F20" s="1177">
        <v>34700</v>
      </c>
      <c r="G20" s="1178"/>
      <c r="H20" s="1144" t="s">
        <v>255</v>
      </c>
      <c r="I20" s="1163">
        <v>320</v>
      </c>
      <c r="J20" s="1179"/>
      <c r="K20" s="1180" t="s">
        <v>1073</v>
      </c>
      <c r="L20" s="1972"/>
      <c r="M20" s="2206"/>
      <c r="N20" s="1972"/>
      <c r="O20" s="2230"/>
      <c r="P20" s="1972"/>
      <c r="Q20" s="2206"/>
      <c r="R20" s="1972"/>
      <c r="S20" s="2208"/>
      <c r="T20" s="1144" t="s">
        <v>255</v>
      </c>
      <c r="U20" s="1163">
        <v>7070</v>
      </c>
      <c r="V20" s="1245">
        <v>70</v>
      </c>
      <c r="W20" s="1246" t="s">
        <v>255</v>
      </c>
      <c r="X20" s="1250">
        <v>49520</v>
      </c>
      <c r="Y20" s="1172" t="s">
        <v>31</v>
      </c>
      <c r="Z20" s="1248">
        <v>490</v>
      </c>
      <c r="AA20" s="1249" t="s">
        <v>255</v>
      </c>
      <c r="AB20" s="1250">
        <v>42450</v>
      </c>
      <c r="AC20" s="1249" t="s">
        <v>31</v>
      </c>
      <c r="AD20" s="1248">
        <v>420</v>
      </c>
      <c r="AE20" s="1972"/>
      <c r="AF20" s="2202"/>
      <c r="AG20" s="1972"/>
      <c r="AH20" s="2204"/>
      <c r="AI20" s="1972"/>
      <c r="AJ20" s="1296">
        <v>5650</v>
      </c>
      <c r="AK20" s="1972"/>
      <c r="AL20" s="2334"/>
      <c r="AM20" s="1972"/>
      <c r="AN20" s="2206"/>
      <c r="AO20" s="1972"/>
      <c r="AP20" s="2208"/>
      <c r="AQ20" s="1972"/>
      <c r="AR20" s="1251" t="s">
        <v>1089</v>
      </c>
      <c r="AS20" s="1972"/>
      <c r="AT20" s="1251" t="s">
        <v>1075</v>
      </c>
      <c r="AU20" s="1972"/>
      <c r="AV20" s="1251" t="s">
        <v>1089</v>
      </c>
      <c r="AW20" s="1972"/>
      <c r="AX20" s="1251" t="s">
        <v>1075</v>
      </c>
      <c r="AY20" s="2338"/>
      <c r="AZ20" s="1297">
        <v>6130</v>
      </c>
      <c r="BA20" s="1293"/>
      <c r="BB20" s="1252" t="s">
        <v>302</v>
      </c>
      <c r="BC20" s="1972"/>
      <c r="BD20" s="1298">
        <v>10</v>
      </c>
      <c r="BE20" s="1972"/>
      <c r="BF20" s="1253">
        <v>50</v>
      </c>
      <c r="BG20" s="1972"/>
      <c r="BH20" s="1253">
        <v>40</v>
      </c>
      <c r="BI20" s="1294"/>
      <c r="BJ20" s="1295"/>
    </row>
    <row r="21" spans="1:62" ht="21" customHeight="1">
      <c r="A21" s="2335"/>
      <c r="B21" s="2212" t="s">
        <v>562</v>
      </c>
      <c r="C21" s="2214" t="s">
        <v>553</v>
      </c>
      <c r="D21" s="1122" t="s">
        <v>554</v>
      </c>
      <c r="E21" s="1123"/>
      <c r="F21" s="1142">
        <v>26100</v>
      </c>
      <c r="G21" s="1143">
        <v>33170</v>
      </c>
      <c r="H21" s="1144" t="s">
        <v>255</v>
      </c>
      <c r="I21" s="1145">
        <v>240</v>
      </c>
      <c r="J21" s="1146">
        <v>310</v>
      </c>
      <c r="K21" s="1147" t="s">
        <v>1073</v>
      </c>
      <c r="L21" s="1972" t="s">
        <v>255</v>
      </c>
      <c r="M21" s="2205">
        <v>1080</v>
      </c>
      <c r="N21" s="1972" t="s">
        <v>255</v>
      </c>
      <c r="O21" s="2229">
        <v>10</v>
      </c>
      <c r="P21" s="1972" t="s">
        <v>255</v>
      </c>
      <c r="Q21" s="2205">
        <v>4710</v>
      </c>
      <c r="R21" s="1972" t="s">
        <v>31</v>
      </c>
      <c r="S21" s="2207">
        <v>40</v>
      </c>
      <c r="T21" s="1144" t="s">
        <v>255</v>
      </c>
      <c r="U21" s="1148">
        <v>7070</v>
      </c>
      <c r="V21" s="1238">
        <v>70</v>
      </c>
      <c r="W21" s="1239"/>
      <c r="X21" s="1173"/>
      <c r="Y21" s="1172"/>
      <c r="Z21" s="38"/>
      <c r="AA21" s="1172"/>
      <c r="AB21" s="1173" t="s">
        <v>46</v>
      </c>
      <c r="AC21" s="1172"/>
      <c r="AD21" s="1240"/>
      <c r="AE21" s="2060" t="s">
        <v>255</v>
      </c>
      <c r="AF21" s="2201" t="s">
        <v>276</v>
      </c>
      <c r="AG21" s="1972" t="s">
        <v>255</v>
      </c>
      <c r="AH21" s="2203" t="s">
        <v>276</v>
      </c>
      <c r="AI21" s="1972"/>
      <c r="AJ21" s="1299" t="s">
        <v>284</v>
      </c>
      <c r="AK21" s="1972" t="s">
        <v>31</v>
      </c>
      <c r="AL21" s="2334">
        <v>40</v>
      </c>
      <c r="AM21" s="1972" t="s">
        <v>31</v>
      </c>
      <c r="AN21" s="2205">
        <v>860</v>
      </c>
      <c r="AO21" s="1972" t="s">
        <v>255</v>
      </c>
      <c r="AP21" s="2207">
        <v>8</v>
      </c>
      <c r="AQ21" s="1972" t="s">
        <v>31</v>
      </c>
      <c r="AR21" s="1241">
        <v>500</v>
      </c>
      <c r="AS21" s="1972" t="s">
        <v>255</v>
      </c>
      <c r="AT21" s="1241">
        <v>5</v>
      </c>
      <c r="AU21" s="1972" t="s">
        <v>255</v>
      </c>
      <c r="AV21" s="1241">
        <v>80</v>
      </c>
      <c r="AW21" s="1972" t="s">
        <v>255</v>
      </c>
      <c r="AX21" s="1241">
        <v>1</v>
      </c>
      <c r="AY21" s="2338"/>
      <c r="AZ21" s="1300" t="s">
        <v>1095</v>
      </c>
      <c r="BA21" s="1293"/>
      <c r="BB21" s="1243">
        <v>235</v>
      </c>
      <c r="BC21" s="1972" t="s">
        <v>78</v>
      </c>
      <c r="BD21" s="1244">
        <v>1250</v>
      </c>
      <c r="BE21" s="1972" t="s">
        <v>78</v>
      </c>
      <c r="BF21" s="1244">
        <v>4710</v>
      </c>
      <c r="BG21" s="1972" t="s">
        <v>78</v>
      </c>
      <c r="BH21" s="1244">
        <v>3380</v>
      </c>
      <c r="BI21" s="1294"/>
      <c r="BJ21" s="1295"/>
    </row>
    <row r="22" spans="1:62" ht="31.5">
      <c r="A22" s="2335"/>
      <c r="B22" s="2213"/>
      <c r="C22" s="2215"/>
      <c r="D22" s="1126" t="s">
        <v>556</v>
      </c>
      <c r="E22" s="1123"/>
      <c r="F22" s="1177">
        <v>33170</v>
      </c>
      <c r="G22" s="1178"/>
      <c r="H22" s="1144" t="s">
        <v>255</v>
      </c>
      <c r="I22" s="1163">
        <v>310</v>
      </c>
      <c r="J22" s="1179"/>
      <c r="K22" s="1180" t="s">
        <v>1073</v>
      </c>
      <c r="L22" s="1972"/>
      <c r="M22" s="2206"/>
      <c r="N22" s="1972"/>
      <c r="O22" s="2230"/>
      <c r="P22" s="1972"/>
      <c r="Q22" s="2206"/>
      <c r="R22" s="1972"/>
      <c r="S22" s="2208"/>
      <c r="T22" s="1144" t="s">
        <v>255</v>
      </c>
      <c r="U22" s="1163">
        <v>7070</v>
      </c>
      <c r="V22" s="1245">
        <v>70</v>
      </c>
      <c r="W22" s="1246" t="s">
        <v>255</v>
      </c>
      <c r="X22" s="1250">
        <v>49520</v>
      </c>
      <c r="Y22" s="1172" t="s">
        <v>31</v>
      </c>
      <c r="Z22" s="1248">
        <v>490</v>
      </c>
      <c r="AA22" s="1249" t="s">
        <v>255</v>
      </c>
      <c r="AB22" s="1250">
        <v>42450</v>
      </c>
      <c r="AC22" s="1249" t="s">
        <v>31</v>
      </c>
      <c r="AD22" s="1248">
        <v>420</v>
      </c>
      <c r="AE22" s="1972"/>
      <c r="AF22" s="2202"/>
      <c r="AG22" s="1972"/>
      <c r="AH22" s="2204"/>
      <c r="AI22" s="1972"/>
      <c r="AJ22" s="1296">
        <v>4710</v>
      </c>
      <c r="AK22" s="1972"/>
      <c r="AL22" s="2334"/>
      <c r="AM22" s="1972"/>
      <c r="AN22" s="2206"/>
      <c r="AO22" s="1972"/>
      <c r="AP22" s="2208"/>
      <c r="AQ22" s="1972"/>
      <c r="AR22" s="1251" t="s">
        <v>1089</v>
      </c>
      <c r="AS22" s="1972"/>
      <c r="AT22" s="1251" t="s">
        <v>1075</v>
      </c>
      <c r="AU22" s="1972"/>
      <c r="AV22" s="1251" t="s">
        <v>1089</v>
      </c>
      <c r="AW22" s="1972"/>
      <c r="AX22" s="1251" t="s">
        <v>1075</v>
      </c>
      <c r="AY22" s="2338"/>
      <c r="AZ22" s="1297">
        <v>5220</v>
      </c>
      <c r="BA22" s="1293"/>
      <c r="BB22" s="1252" t="s">
        <v>302</v>
      </c>
      <c r="BC22" s="1972"/>
      <c r="BD22" s="1298">
        <v>10</v>
      </c>
      <c r="BE22" s="1972"/>
      <c r="BF22" s="1253">
        <v>40</v>
      </c>
      <c r="BG22" s="1972"/>
      <c r="BH22" s="1253">
        <v>30</v>
      </c>
      <c r="BI22" s="1294"/>
      <c r="BJ22" s="1295"/>
    </row>
    <row r="23" spans="1:62" ht="21" customHeight="1">
      <c r="A23" s="2335"/>
      <c r="B23" s="2212" t="s">
        <v>563</v>
      </c>
      <c r="C23" s="2214" t="s">
        <v>553</v>
      </c>
      <c r="D23" s="1122" t="s">
        <v>554</v>
      </c>
      <c r="E23" s="1123"/>
      <c r="F23" s="1142">
        <v>25670</v>
      </c>
      <c r="G23" s="1143">
        <v>32740</v>
      </c>
      <c r="H23" s="1144" t="s">
        <v>255</v>
      </c>
      <c r="I23" s="1145">
        <v>230</v>
      </c>
      <c r="J23" s="1146">
        <v>310</v>
      </c>
      <c r="K23" s="1147" t="s">
        <v>1073</v>
      </c>
      <c r="L23" s="1972" t="s">
        <v>255</v>
      </c>
      <c r="M23" s="2205">
        <v>920</v>
      </c>
      <c r="N23" s="1972" t="s">
        <v>255</v>
      </c>
      <c r="O23" s="2229">
        <v>9</v>
      </c>
      <c r="P23" s="1972" t="s">
        <v>255</v>
      </c>
      <c r="Q23" s="2205">
        <v>4040</v>
      </c>
      <c r="R23" s="1972" t="s">
        <v>31</v>
      </c>
      <c r="S23" s="2207">
        <v>40</v>
      </c>
      <c r="T23" s="1144" t="s">
        <v>255</v>
      </c>
      <c r="U23" s="1148">
        <v>7070</v>
      </c>
      <c r="V23" s="1238">
        <v>70</v>
      </c>
      <c r="W23" s="1239"/>
      <c r="X23" s="1173"/>
      <c r="Y23" s="1172"/>
      <c r="Z23" s="38"/>
      <c r="AA23" s="1172"/>
      <c r="AB23" s="1173" t="s">
        <v>46</v>
      </c>
      <c r="AC23" s="1172"/>
      <c r="AD23" s="1240"/>
      <c r="AE23" s="2060" t="s">
        <v>255</v>
      </c>
      <c r="AF23" s="2201" t="s">
        <v>276</v>
      </c>
      <c r="AG23" s="1972" t="s">
        <v>255</v>
      </c>
      <c r="AH23" s="2203" t="s">
        <v>276</v>
      </c>
      <c r="AI23" s="1972"/>
      <c r="AJ23" s="1299" t="s">
        <v>285</v>
      </c>
      <c r="AK23" s="1972" t="s">
        <v>31</v>
      </c>
      <c r="AL23" s="2334">
        <v>40</v>
      </c>
      <c r="AM23" s="1972" t="s">
        <v>31</v>
      </c>
      <c r="AN23" s="2205">
        <v>740</v>
      </c>
      <c r="AO23" s="1972" t="s">
        <v>255</v>
      </c>
      <c r="AP23" s="2207">
        <v>7</v>
      </c>
      <c r="AQ23" s="1972" t="s">
        <v>31</v>
      </c>
      <c r="AR23" s="1241">
        <v>440</v>
      </c>
      <c r="AS23" s="1972" t="s">
        <v>255</v>
      </c>
      <c r="AT23" s="1241">
        <v>4</v>
      </c>
      <c r="AU23" s="1972" t="s">
        <v>255</v>
      </c>
      <c r="AV23" s="1241">
        <v>80</v>
      </c>
      <c r="AW23" s="1972" t="s">
        <v>255</v>
      </c>
      <c r="AX23" s="1241">
        <v>1</v>
      </c>
      <c r="AY23" s="2338"/>
      <c r="AZ23" s="1300" t="s">
        <v>1096</v>
      </c>
      <c r="BA23" s="1293"/>
      <c r="BB23" s="1243">
        <v>235</v>
      </c>
      <c r="BC23" s="1972" t="s">
        <v>78</v>
      </c>
      <c r="BD23" s="1244">
        <v>1070</v>
      </c>
      <c r="BE23" s="1972" t="s">
        <v>78</v>
      </c>
      <c r="BF23" s="1244">
        <v>4040</v>
      </c>
      <c r="BG23" s="1972" t="s">
        <v>78</v>
      </c>
      <c r="BH23" s="1244">
        <v>2900</v>
      </c>
      <c r="BI23" s="1294"/>
      <c r="BJ23" s="1295"/>
    </row>
    <row r="24" spans="1:62" ht="31.5">
      <c r="A24" s="2335"/>
      <c r="B24" s="2213"/>
      <c r="C24" s="2215"/>
      <c r="D24" s="1126" t="s">
        <v>556</v>
      </c>
      <c r="E24" s="1123"/>
      <c r="F24" s="1177">
        <v>32740</v>
      </c>
      <c r="G24" s="1178"/>
      <c r="H24" s="1144" t="s">
        <v>255</v>
      </c>
      <c r="I24" s="1163">
        <v>310</v>
      </c>
      <c r="J24" s="1179"/>
      <c r="K24" s="1180" t="s">
        <v>1073</v>
      </c>
      <c r="L24" s="1972"/>
      <c r="M24" s="2206"/>
      <c r="N24" s="1972"/>
      <c r="O24" s="2230"/>
      <c r="P24" s="1972"/>
      <c r="Q24" s="2206"/>
      <c r="R24" s="1972"/>
      <c r="S24" s="2208"/>
      <c r="T24" s="1144" t="s">
        <v>255</v>
      </c>
      <c r="U24" s="1163">
        <v>7070</v>
      </c>
      <c r="V24" s="1245">
        <v>70</v>
      </c>
      <c r="W24" s="1246" t="s">
        <v>255</v>
      </c>
      <c r="X24" s="1250">
        <v>49520</v>
      </c>
      <c r="Y24" s="1172" t="s">
        <v>31</v>
      </c>
      <c r="Z24" s="1248">
        <v>490</v>
      </c>
      <c r="AA24" s="1249" t="s">
        <v>255</v>
      </c>
      <c r="AB24" s="1250">
        <v>42450</v>
      </c>
      <c r="AC24" s="1249" t="s">
        <v>31</v>
      </c>
      <c r="AD24" s="1248">
        <v>420</v>
      </c>
      <c r="AE24" s="1972"/>
      <c r="AF24" s="2202"/>
      <c r="AG24" s="1972"/>
      <c r="AH24" s="2204"/>
      <c r="AI24" s="1972"/>
      <c r="AJ24" s="1296">
        <v>4040</v>
      </c>
      <c r="AK24" s="1972"/>
      <c r="AL24" s="2334"/>
      <c r="AM24" s="1972"/>
      <c r="AN24" s="2206"/>
      <c r="AO24" s="1972"/>
      <c r="AP24" s="2208"/>
      <c r="AQ24" s="1972"/>
      <c r="AR24" s="1251" t="s">
        <v>1089</v>
      </c>
      <c r="AS24" s="1972"/>
      <c r="AT24" s="1251" t="s">
        <v>1075</v>
      </c>
      <c r="AU24" s="1972"/>
      <c r="AV24" s="1251" t="s">
        <v>1089</v>
      </c>
      <c r="AW24" s="1972"/>
      <c r="AX24" s="1251" t="s">
        <v>1075</v>
      </c>
      <c r="AY24" s="2338"/>
      <c r="AZ24" s="1297">
        <v>4660</v>
      </c>
      <c r="BA24" s="1293"/>
      <c r="BB24" s="1252" t="s">
        <v>302</v>
      </c>
      <c r="BC24" s="1972"/>
      <c r="BD24" s="1298">
        <v>10</v>
      </c>
      <c r="BE24" s="1972"/>
      <c r="BF24" s="1253">
        <v>40</v>
      </c>
      <c r="BG24" s="1972"/>
      <c r="BH24" s="1253">
        <v>20</v>
      </c>
      <c r="BI24" s="1294"/>
      <c r="BJ24" s="1295"/>
    </row>
    <row r="25" spans="1:62" ht="21" customHeight="1">
      <c r="A25" s="2335"/>
      <c r="B25" s="2212" t="s">
        <v>564</v>
      </c>
      <c r="C25" s="2214" t="s">
        <v>553</v>
      </c>
      <c r="D25" s="1122" t="s">
        <v>554</v>
      </c>
      <c r="E25" s="1123"/>
      <c r="F25" s="1142">
        <v>24790</v>
      </c>
      <c r="G25" s="1143">
        <v>31860</v>
      </c>
      <c r="H25" s="1144" t="s">
        <v>255</v>
      </c>
      <c r="I25" s="1145">
        <v>230</v>
      </c>
      <c r="J25" s="1146">
        <v>300</v>
      </c>
      <c r="K25" s="1147" t="s">
        <v>1073</v>
      </c>
      <c r="L25" s="1972" t="s">
        <v>255</v>
      </c>
      <c r="M25" s="2205">
        <v>810</v>
      </c>
      <c r="N25" s="1972" t="s">
        <v>255</v>
      </c>
      <c r="O25" s="2229">
        <v>8</v>
      </c>
      <c r="P25" s="1972" t="s">
        <v>255</v>
      </c>
      <c r="Q25" s="2205">
        <v>3530</v>
      </c>
      <c r="R25" s="1972" t="s">
        <v>31</v>
      </c>
      <c r="S25" s="2207">
        <v>30</v>
      </c>
      <c r="T25" s="1144" t="s">
        <v>255</v>
      </c>
      <c r="U25" s="1148">
        <v>7070</v>
      </c>
      <c r="V25" s="1238">
        <v>70</v>
      </c>
      <c r="W25" s="1239"/>
      <c r="X25" s="1173"/>
      <c r="Y25" s="1172"/>
      <c r="Z25" s="38"/>
      <c r="AA25" s="1172"/>
      <c r="AB25" s="1173" t="s">
        <v>46</v>
      </c>
      <c r="AC25" s="1172"/>
      <c r="AD25" s="1240"/>
      <c r="AE25" s="2060" t="s">
        <v>255</v>
      </c>
      <c r="AF25" s="2201" t="s">
        <v>276</v>
      </c>
      <c r="AG25" s="1972" t="s">
        <v>255</v>
      </c>
      <c r="AH25" s="2203" t="s">
        <v>276</v>
      </c>
      <c r="AI25" s="1972"/>
      <c r="AJ25" s="1299" t="s">
        <v>286</v>
      </c>
      <c r="AK25" s="1972" t="s">
        <v>31</v>
      </c>
      <c r="AL25" s="2334">
        <v>30</v>
      </c>
      <c r="AM25" s="1972" t="s">
        <v>31</v>
      </c>
      <c r="AN25" s="2205">
        <v>650</v>
      </c>
      <c r="AO25" s="1972" t="s">
        <v>255</v>
      </c>
      <c r="AP25" s="2207">
        <v>6</v>
      </c>
      <c r="AQ25" s="1972" t="s">
        <v>31</v>
      </c>
      <c r="AR25" s="1241">
        <v>410</v>
      </c>
      <c r="AS25" s="1972" t="s">
        <v>255</v>
      </c>
      <c r="AT25" s="1241">
        <v>4</v>
      </c>
      <c r="AU25" s="1972" t="s">
        <v>255</v>
      </c>
      <c r="AV25" s="1241">
        <v>70</v>
      </c>
      <c r="AW25" s="1972" t="s">
        <v>255</v>
      </c>
      <c r="AX25" s="1241">
        <v>1</v>
      </c>
      <c r="AY25" s="2338"/>
      <c r="AZ25" s="1300" t="s">
        <v>1097</v>
      </c>
      <c r="BA25" s="1293"/>
      <c r="BB25" s="1243">
        <v>235</v>
      </c>
      <c r="BC25" s="1972" t="s">
        <v>78</v>
      </c>
      <c r="BD25" s="1244">
        <v>930</v>
      </c>
      <c r="BE25" s="1972" t="s">
        <v>78</v>
      </c>
      <c r="BF25" s="1244">
        <v>3530</v>
      </c>
      <c r="BG25" s="1972" t="s">
        <v>78</v>
      </c>
      <c r="BH25" s="1244">
        <v>2530</v>
      </c>
      <c r="BI25" s="1294"/>
      <c r="BJ25" s="1295"/>
    </row>
    <row r="26" spans="1:62" ht="31.5">
      <c r="A26" s="2335"/>
      <c r="B26" s="2213"/>
      <c r="C26" s="2215"/>
      <c r="D26" s="1126" t="s">
        <v>556</v>
      </c>
      <c r="E26" s="1123"/>
      <c r="F26" s="1177">
        <v>31860</v>
      </c>
      <c r="G26" s="1178"/>
      <c r="H26" s="1144" t="s">
        <v>255</v>
      </c>
      <c r="I26" s="1163">
        <v>300</v>
      </c>
      <c r="J26" s="1179"/>
      <c r="K26" s="1180" t="s">
        <v>1073</v>
      </c>
      <c r="L26" s="1972"/>
      <c r="M26" s="2206"/>
      <c r="N26" s="1972"/>
      <c r="O26" s="2230"/>
      <c r="P26" s="1972"/>
      <c r="Q26" s="2206"/>
      <c r="R26" s="1972"/>
      <c r="S26" s="2208"/>
      <c r="T26" s="1144" t="s">
        <v>255</v>
      </c>
      <c r="U26" s="1163">
        <v>7070</v>
      </c>
      <c r="V26" s="1245">
        <v>70</v>
      </c>
      <c r="W26" s="1246" t="s">
        <v>255</v>
      </c>
      <c r="X26" s="1250">
        <v>49520</v>
      </c>
      <c r="Y26" s="1172" t="s">
        <v>31</v>
      </c>
      <c r="Z26" s="1248">
        <v>490</v>
      </c>
      <c r="AA26" s="1249" t="s">
        <v>255</v>
      </c>
      <c r="AB26" s="1250">
        <v>42450</v>
      </c>
      <c r="AC26" s="1249" t="s">
        <v>31</v>
      </c>
      <c r="AD26" s="1248">
        <v>420</v>
      </c>
      <c r="AE26" s="1972"/>
      <c r="AF26" s="2202"/>
      <c r="AG26" s="1972"/>
      <c r="AH26" s="2204"/>
      <c r="AI26" s="1972"/>
      <c r="AJ26" s="1296">
        <v>3530</v>
      </c>
      <c r="AK26" s="1972"/>
      <c r="AL26" s="2334"/>
      <c r="AM26" s="1972"/>
      <c r="AN26" s="2206"/>
      <c r="AO26" s="1972"/>
      <c r="AP26" s="2208"/>
      <c r="AQ26" s="1972"/>
      <c r="AR26" s="1251" t="s">
        <v>1089</v>
      </c>
      <c r="AS26" s="1972"/>
      <c r="AT26" s="1251" t="s">
        <v>1075</v>
      </c>
      <c r="AU26" s="1972"/>
      <c r="AV26" s="1251" t="s">
        <v>1089</v>
      </c>
      <c r="AW26" s="1972"/>
      <c r="AX26" s="1251" t="s">
        <v>1075</v>
      </c>
      <c r="AY26" s="2338"/>
      <c r="AZ26" s="1297">
        <v>4250</v>
      </c>
      <c r="BA26" s="1293"/>
      <c r="BB26" s="1252" t="s">
        <v>302</v>
      </c>
      <c r="BC26" s="1972"/>
      <c r="BD26" s="1298">
        <v>9</v>
      </c>
      <c r="BE26" s="1972"/>
      <c r="BF26" s="1253">
        <v>30</v>
      </c>
      <c r="BG26" s="1972"/>
      <c r="BH26" s="1253">
        <v>20</v>
      </c>
      <c r="BI26" s="1294"/>
      <c r="BJ26" s="1295"/>
    </row>
    <row r="27" spans="1:62" ht="21" customHeight="1">
      <c r="A27" s="2335"/>
      <c r="B27" s="2212" t="s">
        <v>565</v>
      </c>
      <c r="C27" s="2214" t="s">
        <v>553</v>
      </c>
      <c r="D27" s="1122" t="s">
        <v>554</v>
      </c>
      <c r="E27" s="1123"/>
      <c r="F27" s="1142">
        <v>24080</v>
      </c>
      <c r="G27" s="1143">
        <v>31150</v>
      </c>
      <c r="H27" s="1144" t="s">
        <v>255</v>
      </c>
      <c r="I27" s="1145">
        <v>220</v>
      </c>
      <c r="J27" s="1146">
        <v>290</v>
      </c>
      <c r="K27" s="1147" t="s">
        <v>1073</v>
      </c>
      <c r="L27" s="1972" t="s">
        <v>255</v>
      </c>
      <c r="M27" s="2205">
        <v>720</v>
      </c>
      <c r="N27" s="1972" t="s">
        <v>255</v>
      </c>
      <c r="O27" s="2229">
        <v>7</v>
      </c>
      <c r="P27" s="1972" t="s">
        <v>255</v>
      </c>
      <c r="Q27" s="2205">
        <v>3140</v>
      </c>
      <c r="R27" s="1972" t="s">
        <v>31</v>
      </c>
      <c r="S27" s="2207">
        <v>30</v>
      </c>
      <c r="T27" s="1144" t="s">
        <v>255</v>
      </c>
      <c r="U27" s="1148">
        <v>7070</v>
      </c>
      <c r="V27" s="1238">
        <v>70</v>
      </c>
      <c r="W27" s="1239"/>
      <c r="X27" s="1173"/>
      <c r="Y27" s="1172"/>
      <c r="Z27" s="38"/>
      <c r="AA27" s="1172"/>
      <c r="AB27" s="1173" t="s">
        <v>46</v>
      </c>
      <c r="AC27" s="1172"/>
      <c r="AD27" s="1240"/>
      <c r="AE27" s="2060" t="s">
        <v>255</v>
      </c>
      <c r="AF27" s="2201">
        <v>640</v>
      </c>
      <c r="AG27" s="1972" t="s">
        <v>255</v>
      </c>
      <c r="AH27" s="2203">
        <v>6</v>
      </c>
      <c r="AI27" s="1972"/>
      <c r="AJ27" s="1299" t="s">
        <v>287</v>
      </c>
      <c r="AK27" s="1972" t="s">
        <v>31</v>
      </c>
      <c r="AL27" s="2334">
        <v>30</v>
      </c>
      <c r="AM27" s="1972" t="s">
        <v>31</v>
      </c>
      <c r="AN27" s="2205">
        <v>570</v>
      </c>
      <c r="AO27" s="1972" t="s">
        <v>255</v>
      </c>
      <c r="AP27" s="2207">
        <v>5</v>
      </c>
      <c r="AQ27" s="1972" t="s">
        <v>31</v>
      </c>
      <c r="AR27" s="1241">
        <v>370</v>
      </c>
      <c r="AS27" s="1972" t="s">
        <v>255</v>
      </c>
      <c r="AT27" s="1241">
        <v>3</v>
      </c>
      <c r="AU27" s="1972" t="s">
        <v>255</v>
      </c>
      <c r="AV27" s="1241">
        <v>60</v>
      </c>
      <c r="AW27" s="1972" t="s">
        <v>255</v>
      </c>
      <c r="AX27" s="1241">
        <v>1</v>
      </c>
      <c r="AY27" s="2338"/>
      <c r="AZ27" s="1300" t="s">
        <v>1098</v>
      </c>
      <c r="BA27" s="1293"/>
      <c r="BB27" s="1243">
        <v>235</v>
      </c>
      <c r="BC27" s="1972" t="s">
        <v>78</v>
      </c>
      <c r="BD27" s="1244">
        <v>830</v>
      </c>
      <c r="BE27" s="1972" t="s">
        <v>78</v>
      </c>
      <c r="BF27" s="1244">
        <v>3140</v>
      </c>
      <c r="BG27" s="1972" t="s">
        <v>78</v>
      </c>
      <c r="BH27" s="1244">
        <v>2250</v>
      </c>
      <c r="BI27" s="1294"/>
      <c r="BJ27" s="1295"/>
    </row>
    <row r="28" spans="1:62" ht="31.5">
      <c r="A28" s="2335"/>
      <c r="B28" s="2213"/>
      <c r="C28" s="2215"/>
      <c r="D28" s="1126" t="s">
        <v>556</v>
      </c>
      <c r="E28" s="1123"/>
      <c r="F28" s="1177">
        <v>31150</v>
      </c>
      <c r="G28" s="1178"/>
      <c r="H28" s="1144" t="s">
        <v>255</v>
      </c>
      <c r="I28" s="1163">
        <v>290</v>
      </c>
      <c r="J28" s="1179"/>
      <c r="K28" s="1180" t="s">
        <v>1073</v>
      </c>
      <c r="L28" s="1972"/>
      <c r="M28" s="2206"/>
      <c r="N28" s="1972"/>
      <c r="O28" s="2230"/>
      <c r="P28" s="1972"/>
      <c r="Q28" s="2206"/>
      <c r="R28" s="1972"/>
      <c r="S28" s="2208"/>
      <c r="T28" s="1144" t="s">
        <v>255</v>
      </c>
      <c r="U28" s="1163">
        <v>7070</v>
      </c>
      <c r="V28" s="1245">
        <v>70</v>
      </c>
      <c r="W28" s="1246" t="s">
        <v>255</v>
      </c>
      <c r="X28" s="1250">
        <v>49520</v>
      </c>
      <c r="Y28" s="1172" t="s">
        <v>31</v>
      </c>
      <c r="Z28" s="1248">
        <v>490</v>
      </c>
      <c r="AA28" s="1249" t="s">
        <v>255</v>
      </c>
      <c r="AB28" s="1250">
        <v>42450</v>
      </c>
      <c r="AC28" s="1249" t="s">
        <v>31</v>
      </c>
      <c r="AD28" s="1248">
        <v>420</v>
      </c>
      <c r="AE28" s="1972"/>
      <c r="AF28" s="2202"/>
      <c r="AG28" s="1972"/>
      <c r="AH28" s="2204"/>
      <c r="AI28" s="1972"/>
      <c r="AJ28" s="1296">
        <v>3140</v>
      </c>
      <c r="AK28" s="1972"/>
      <c r="AL28" s="2334"/>
      <c r="AM28" s="1972"/>
      <c r="AN28" s="2206"/>
      <c r="AO28" s="1972"/>
      <c r="AP28" s="2208"/>
      <c r="AQ28" s="1972"/>
      <c r="AR28" s="1251" t="s">
        <v>1089</v>
      </c>
      <c r="AS28" s="1972"/>
      <c r="AT28" s="1251" t="s">
        <v>1075</v>
      </c>
      <c r="AU28" s="1972"/>
      <c r="AV28" s="1251" t="s">
        <v>1089</v>
      </c>
      <c r="AW28" s="1972"/>
      <c r="AX28" s="1251" t="s">
        <v>1075</v>
      </c>
      <c r="AY28" s="2338"/>
      <c r="AZ28" s="1297">
        <v>3920</v>
      </c>
      <c r="BA28" s="1293"/>
      <c r="BB28" s="1252" t="s">
        <v>302</v>
      </c>
      <c r="BC28" s="1972"/>
      <c r="BD28" s="1298">
        <v>8</v>
      </c>
      <c r="BE28" s="1972"/>
      <c r="BF28" s="1253">
        <v>30</v>
      </c>
      <c r="BG28" s="1972"/>
      <c r="BH28" s="1253">
        <v>20</v>
      </c>
      <c r="BI28" s="1294"/>
      <c r="BJ28" s="1295"/>
    </row>
    <row r="29" spans="1:62" ht="21" customHeight="1">
      <c r="A29" s="2335"/>
      <c r="B29" s="2212" t="s">
        <v>566</v>
      </c>
      <c r="C29" s="2214" t="s">
        <v>553</v>
      </c>
      <c r="D29" s="1122" t="s">
        <v>554</v>
      </c>
      <c r="E29" s="1123"/>
      <c r="F29" s="1142">
        <v>23540</v>
      </c>
      <c r="G29" s="1143">
        <v>30610</v>
      </c>
      <c r="H29" s="1144" t="s">
        <v>255</v>
      </c>
      <c r="I29" s="1145">
        <v>210</v>
      </c>
      <c r="J29" s="1146">
        <v>280</v>
      </c>
      <c r="K29" s="1147" t="s">
        <v>1073</v>
      </c>
      <c r="L29" s="1972" t="s">
        <v>255</v>
      </c>
      <c r="M29" s="2205">
        <v>650</v>
      </c>
      <c r="N29" s="1972" t="s">
        <v>255</v>
      </c>
      <c r="O29" s="2229">
        <v>6</v>
      </c>
      <c r="P29" s="1972" t="s">
        <v>255</v>
      </c>
      <c r="Q29" s="2205">
        <v>2820</v>
      </c>
      <c r="R29" s="1972" t="s">
        <v>31</v>
      </c>
      <c r="S29" s="2207">
        <v>20</v>
      </c>
      <c r="T29" s="1144" t="s">
        <v>255</v>
      </c>
      <c r="U29" s="1148">
        <v>7070</v>
      </c>
      <c r="V29" s="1238">
        <v>70</v>
      </c>
      <c r="W29" s="1239"/>
      <c r="X29" s="1173"/>
      <c r="Y29" s="1172"/>
      <c r="Z29" s="38"/>
      <c r="AA29" s="1172"/>
      <c r="AB29" s="1173" t="s">
        <v>46</v>
      </c>
      <c r="AC29" s="1172"/>
      <c r="AD29" s="1240"/>
      <c r="AE29" s="2060" t="s">
        <v>255</v>
      </c>
      <c r="AF29" s="2201">
        <v>570</v>
      </c>
      <c r="AG29" s="1972" t="s">
        <v>255</v>
      </c>
      <c r="AH29" s="2203">
        <v>5</v>
      </c>
      <c r="AI29" s="1972"/>
      <c r="AJ29" s="1299" t="s">
        <v>288</v>
      </c>
      <c r="AK29" s="1972" t="s">
        <v>31</v>
      </c>
      <c r="AL29" s="2334">
        <v>20</v>
      </c>
      <c r="AM29" s="1972" t="s">
        <v>31</v>
      </c>
      <c r="AN29" s="2205">
        <v>520</v>
      </c>
      <c r="AO29" s="1972" t="s">
        <v>255</v>
      </c>
      <c r="AP29" s="2207">
        <v>5</v>
      </c>
      <c r="AQ29" s="1972" t="s">
        <v>31</v>
      </c>
      <c r="AR29" s="1241">
        <v>350</v>
      </c>
      <c r="AS29" s="1972" t="s">
        <v>255</v>
      </c>
      <c r="AT29" s="1241">
        <v>3</v>
      </c>
      <c r="AU29" s="1972" t="s">
        <v>255</v>
      </c>
      <c r="AV29" s="1241">
        <v>60</v>
      </c>
      <c r="AW29" s="1972" t="s">
        <v>255</v>
      </c>
      <c r="AX29" s="1241">
        <v>1</v>
      </c>
      <c r="AY29" s="2338"/>
      <c r="AZ29" s="1300" t="s">
        <v>1099</v>
      </c>
      <c r="BA29" s="1293"/>
      <c r="BB29" s="1243">
        <v>235</v>
      </c>
      <c r="BC29" s="1972" t="s">
        <v>78</v>
      </c>
      <c r="BD29" s="1244">
        <v>750</v>
      </c>
      <c r="BE29" s="1972" t="s">
        <v>78</v>
      </c>
      <c r="BF29" s="1244">
        <v>2830</v>
      </c>
      <c r="BG29" s="1972" t="s">
        <v>78</v>
      </c>
      <c r="BH29" s="1244">
        <v>2030</v>
      </c>
      <c r="BI29" s="1294"/>
      <c r="BJ29" s="1295"/>
    </row>
    <row r="30" spans="1:62" ht="31.5">
      <c r="A30" s="2335"/>
      <c r="B30" s="2213"/>
      <c r="C30" s="2215"/>
      <c r="D30" s="1126" t="s">
        <v>556</v>
      </c>
      <c r="E30" s="1123"/>
      <c r="F30" s="1177">
        <v>30610</v>
      </c>
      <c r="G30" s="1178"/>
      <c r="H30" s="1144" t="s">
        <v>255</v>
      </c>
      <c r="I30" s="1163">
        <v>280</v>
      </c>
      <c r="J30" s="1179"/>
      <c r="K30" s="1180" t="s">
        <v>1073</v>
      </c>
      <c r="L30" s="1972"/>
      <c r="M30" s="2206"/>
      <c r="N30" s="1972"/>
      <c r="O30" s="2230"/>
      <c r="P30" s="1972"/>
      <c r="Q30" s="2206"/>
      <c r="R30" s="1972"/>
      <c r="S30" s="2208"/>
      <c r="T30" s="1144" t="s">
        <v>255</v>
      </c>
      <c r="U30" s="1163">
        <v>7070</v>
      </c>
      <c r="V30" s="1245">
        <v>70</v>
      </c>
      <c r="W30" s="1246" t="s">
        <v>255</v>
      </c>
      <c r="X30" s="1250">
        <v>49520</v>
      </c>
      <c r="Y30" s="1172" t="s">
        <v>31</v>
      </c>
      <c r="Z30" s="1248">
        <v>490</v>
      </c>
      <c r="AA30" s="1249" t="s">
        <v>255</v>
      </c>
      <c r="AB30" s="1250">
        <v>42450</v>
      </c>
      <c r="AC30" s="1249" t="s">
        <v>31</v>
      </c>
      <c r="AD30" s="1248">
        <v>420</v>
      </c>
      <c r="AE30" s="1972"/>
      <c r="AF30" s="2202"/>
      <c r="AG30" s="1972"/>
      <c r="AH30" s="2204"/>
      <c r="AI30" s="1972"/>
      <c r="AJ30" s="1296">
        <v>2820</v>
      </c>
      <c r="AK30" s="1972"/>
      <c r="AL30" s="2334"/>
      <c r="AM30" s="1972"/>
      <c r="AN30" s="2206"/>
      <c r="AO30" s="1972"/>
      <c r="AP30" s="2208"/>
      <c r="AQ30" s="1972"/>
      <c r="AR30" s="1251" t="s">
        <v>1089</v>
      </c>
      <c r="AS30" s="1972"/>
      <c r="AT30" s="1251" t="s">
        <v>1075</v>
      </c>
      <c r="AU30" s="1972"/>
      <c r="AV30" s="1251" t="s">
        <v>1089</v>
      </c>
      <c r="AW30" s="1972"/>
      <c r="AX30" s="1251" t="s">
        <v>1075</v>
      </c>
      <c r="AY30" s="2338"/>
      <c r="AZ30" s="1297">
        <v>3660</v>
      </c>
      <c r="BA30" s="1293"/>
      <c r="BB30" s="1252" t="s">
        <v>302</v>
      </c>
      <c r="BC30" s="1972"/>
      <c r="BD30" s="1298">
        <v>8</v>
      </c>
      <c r="BE30" s="1972"/>
      <c r="BF30" s="1253">
        <v>20</v>
      </c>
      <c r="BG30" s="1972"/>
      <c r="BH30" s="1253">
        <v>20</v>
      </c>
      <c r="BI30" s="1294"/>
      <c r="BJ30" s="1295"/>
    </row>
    <row r="31" spans="1:62" ht="21" customHeight="1">
      <c r="A31" s="2335"/>
      <c r="B31" s="2212" t="s">
        <v>567</v>
      </c>
      <c r="C31" s="2214" t="s">
        <v>553</v>
      </c>
      <c r="D31" s="1122" t="s">
        <v>554</v>
      </c>
      <c r="E31" s="1123"/>
      <c r="F31" s="1142">
        <v>22700</v>
      </c>
      <c r="G31" s="1143">
        <v>29770</v>
      </c>
      <c r="H31" s="1144" t="s">
        <v>255</v>
      </c>
      <c r="I31" s="1145">
        <v>200</v>
      </c>
      <c r="J31" s="1146">
        <v>280</v>
      </c>
      <c r="K31" s="1147" t="s">
        <v>1073</v>
      </c>
      <c r="L31" s="1972" t="s">
        <v>255</v>
      </c>
      <c r="M31" s="2205">
        <v>540</v>
      </c>
      <c r="N31" s="1972" t="s">
        <v>255</v>
      </c>
      <c r="O31" s="2229">
        <v>5</v>
      </c>
      <c r="P31" s="1972" t="s">
        <v>255</v>
      </c>
      <c r="Q31" s="2205">
        <v>2350</v>
      </c>
      <c r="R31" s="1972" t="s">
        <v>31</v>
      </c>
      <c r="S31" s="2207">
        <v>20</v>
      </c>
      <c r="T31" s="1144" t="s">
        <v>255</v>
      </c>
      <c r="U31" s="1148">
        <v>7070</v>
      </c>
      <c r="V31" s="1238">
        <v>70</v>
      </c>
      <c r="W31" s="1239"/>
      <c r="X31" s="1173"/>
      <c r="Y31" s="1172"/>
      <c r="Z31" s="38"/>
      <c r="AA31" s="1172"/>
      <c r="AB31" s="1173" t="s">
        <v>46</v>
      </c>
      <c r="AC31" s="1172"/>
      <c r="AD31" s="1240"/>
      <c r="AE31" s="2060" t="s">
        <v>255</v>
      </c>
      <c r="AF31" s="2201">
        <v>480</v>
      </c>
      <c r="AG31" s="1972" t="s">
        <v>255</v>
      </c>
      <c r="AH31" s="2203">
        <v>4</v>
      </c>
      <c r="AI31" s="1972"/>
      <c r="AJ31" s="1299" t="s">
        <v>289</v>
      </c>
      <c r="AK31" s="1972" t="s">
        <v>31</v>
      </c>
      <c r="AL31" s="2334">
        <v>20</v>
      </c>
      <c r="AM31" s="1972" t="s">
        <v>31</v>
      </c>
      <c r="AN31" s="2205">
        <v>500</v>
      </c>
      <c r="AO31" s="1972" t="s">
        <v>255</v>
      </c>
      <c r="AP31" s="2207">
        <v>5</v>
      </c>
      <c r="AQ31" s="1972" t="s">
        <v>31</v>
      </c>
      <c r="AR31" s="1241">
        <v>300</v>
      </c>
      <c r="AS31" s="1972" t="s">
        <v>255</v>
      </c>
      <c r="AT31" s="1241">
        <v>3</v>
      </c>
      <c r="AU31" s="1972" t="s">
        <v>255</v>
      </c>
      <c r="AV31" s="1241">
        <v>50</v>
      </c>
      <c r="AW31" s="1972" t="s">
        <v>255</v>
      </c>
      <c r="AX31" s="1241">
        <v>1</v>
      </c>
      <c r="AY31" s="2338"/>
      <c r="AZ31" s="1300" t="s">
        <v>1100</v>
      </c>
      <c r="BA31" s="1293"/>
      <c r="BB31" s="1243">
        <v>235</v>
      </c>
      <c r="BC31" s="1972" t="s">
        <v>78</v>
      </c>
      <c r="BD31" s="1244">
        <v>620</v>
      </c>
      <c r="BE31" s="1972" t="s">
        <v>78</v>
      </c>
      <c r="BF31" s="1244">
        <v>2350</v>
      </c>
      <c r="BG31" s="1972" t="s">
        <v>78</v>
      </c>
      <c r="BH31" s="1244">
        <v>1690</v>
      </c>
      <c r="BI31" s="1294"/>
      <c r="BJ31" s="1295"/>
    </row>
    <row r="32" spans="1:62" ht="31.5">
      <c r="A32" s="2335"/>
      <c r="B32" s="2213"/>
      <c r="C32" s="2215"/>
      <c r="D32" s="1126" t="s">
        <v>556</v>
      </c>
      <c r="E32" s="1123"/>
      <c r="F32" s="1177">
        <v>29770</v>
      </c>
      <c r="G32" s="1178"/>
      <c r="H32" s="1144" t="s">
        <v>255</v>
      </c>
      <c r="I32" s="1163">
        <v>280</v>
      </c>
      <c r="J32" s="1179"/>
      <c r="K32" s="1180" t="s">
        <v>1073</v>
      </c>
      <c r="L32" s="1972"/>
      <c r="M32" s="2206"/>
      <c r="N32" s="1972"/>
      <c r="O32" s="2230"/>
      <c r="P32" s="1972"/>
      <c r="Q32" s="2206"/>
      <c r="R32" s="1972"/>
      <c r="S32" s="2208"/>
      <c r="T32" s="1144" t="s">
        <v>255</v>
      </c>
      <c r="U32" s="1163">
        <v>7070</v>
      </c>
      <c r="V32" s="1245">
        <v>70</v>
      </c>
      <c r="W32" s="1246" t="s">
        <v>255</v>
      </c>
      <c r="X32" s="1250">
        <v>49520</v>
      </c>
      <c r="Y32" s="1172" t="s">
        <v>31</v>
      </c>
      <c r="Z32" s="1248">
        <v>490</v>
      </c>
      <c r="AA32" s="1249" t="s">
        <v>255</v>
      </c>
      <c r="AB32" s="1250">
        <v>42450</v>
      </c>
      <c r="AC32" s="1249" t="s">
        <v>31</v>
      </c>
      <c r="AD32" s="1248">
        <v>420</v>
      </c>
      <c r="AE32" s="1972"/>
      <c r="AF32" s="2202"/>
      <c r="AG32" s="1972"/>
      <c r="AH32" s="2204"/>
      <c r="AI32" s="1972"/>
      <c r="AJ32" s="1296">
        <v>2350</v>
      </c>
      <c r="AK32" s="1972"/>
      <c r="AL32" s="2334"/>
      <c r="AM32" s="1972"/>
      <c r="AN32" s="2206"/>
      <c r="AO32" s="1972"/>
      <c r="AP32" s="2208"/>
      <c r="AQ32" s="1972"/>
      <c r="AR32" s="1251" t="s">
        <v>1089</v>
      </c>
      <c r="AS32" s="1972"/>
      <c r="AT32" s="1251" t="s">
        <v>1075</v>
      </c>
      <c r="AU32" s="1972"/>
      <c r="AV32" s="1251" t="s">
        <v>1089</v>
      </c>
      <c r="AW32" s="1972"/>
      <c r="AX32" s="1251" t="s">
        <v>1075</v>
      </c>
      <c r="AY32" s="2338"/>
      <c r="AZ32" s="1297">
        <v>3160</v>
      </c>
      <c r="BA32" s="1293"/>
      <c r="BB32" s="1252" t="s">
        <v>302</v>
      </c>
      <c r="BC32" s="1972"/>
      <c r="BD32" s="1298">
        <v>6</v>
      </c>
      <c r="BE32" s="1972"/>
      <c r="BF32" s="1253">
        <v>20</v>
      </c>
      <c r="BG32" s="1972"/>
      <c r="BH32" s="1253">
        <v>10</v>
      </c>
      <c r="BI32" s="1294"/>
      <c r="BJ32" s="1295"/>
    </row>
    <row r="33" spans="1:62" ht="21" customHeight="1">
      <c r="A33" s="2335"/>
      <c r="B33" s="2212" t="s">
        <v>568</v>
      </c>
      <c r="C33" s="2214" t="s">
        <v>553</v>
      </c>
      <c r="D33" s="1122" t="s">
        <v>554</v>
      </c>
      <c r="E33" s="1123"/>
      <c r="F33" s="1142">
        <v>22090</v>
      </c>
      <c r="G33" s="1143">
        <v>29160</v>
      </c>
      <c r="H33" s="1144" t="s">
        <v>255</v>
      </c>
      <c r="I33" s="1145">
        <v>200</v>
      </c>
      <c r="J33" s="1146">
        <v>270</v>
      </c>
      <c r="K33" s="1147" t="s">
        <v>1073</v>
      </c>
      <c r="L33" s="1972" t="s">
        <v>255</v>
      </c>
      <c r="M33" s="2205">
        <v>460</v>
      </c>
      <c r="N33" s="1972" t="s">
        <v>255</v>
      </c>
      <c r="O33" s="2229">
        <v>4</v>
      </c>
      <c r="P33" s="1972" t="s">
        <v>255</v>
      </c>
      <c r="Q33" s="2205">
        <v>2020</v>
      </c>
      <c r="R33" s="1972" t="s">
        <v>31</v>
      </c>
      <c r="S33" s="2207">
        <v>20</v>
      </c>
      <c r="T33" s="1144" t="s">
        <v>255</v>
      </c>
      <c r="U33" s="1148">
        <v>7070</v>
      </c>
      <c r="V33" s="1238">
        <v>70</v>
      </c>
      <c r="W33" s="1239"/>
      <c r="X33" s="1173"/>
      <c r="Y33" s="1172"/>
      <c r="Z33" s="38"/>
      <c r="AA33" s="1172"/>
      <c r="AB33" s="1173" t="s">
        <v>46</v>
      </c>
      <c r="AC33" s="1172"/>
      <c r="AD33" s="1240"/>
      <c r="AE33" s="2060" t="s">
        <v>255</v>
      </c>
      <c r="AF33" s="2201">
        <v>410</v>
      </c>
      <c r="AG33" s="1972" t="s">
        <v>255</v>
      </c>
      <c r="AH33" s="2203">
        <v>4</v>
      </c>
      <c r="AI33" s="1972"/>
      <c r="AJ33" s="1299" t="s">
        <v>290</v>
      </c>
      <c r="AK33" s="1972" t="s">
        <v>31</v>
      </c>
      <c r="AL33" s="2334">
        <v>20</v>
      </c>
      <c r="AM33" s="1972" t="s">
        <v>31</v>
      </c>
      <c r="AN33" s="2205">
        <v>500</v>
      </c>
      <c r="AO33" s="1972" t="s">
        <v>255</v>
      </c>
      <c r="AP33" s="2207">
        <v>5</v>
      </c>
      <c r="AQ33" s="1972" t="s">
        <v>31</v>
      </c>
      <c r="AR33" s="1241">
        <v>270</v>
      </c>
      <c r="AS33" s="1972" t="s">
        <v>255</v>
      </c>
      <c r="AT33" s="1241">
        <v>2</v>
      </c>
      <c r="AU33" s="1972" t="s">
        <v>255</v>
      </c>
      <c r="AV33" s="1241">
        <v>40</v>
      </c>
      <c r="AW33" s="1972" t="s">
        <v>255</v>
      </c>
      <c r="AX33" s="1241">
        <v>1</v>
      </c>
      <c r="AY33" s="2338"/>
      <c r="AZ33" s="1300" t="s">
        <v>1101</v>
      </c>
      <c r="BA33" s="1293"/>
      <c r="BB33" s="1243">
        <v>235</v>
      </c>
      <c r="BC33" s="1972" t="s">
        <v>78</v>
      </c>
      <c r="BD33" s="1244">
        <v>530</v>
      </c>
      <c r="BE33" s="1972" t="s">
        <v>78</v>
      </c>
      <c r="BF33" s="1244">
        <v>2020</v>
      </c>
      <c r="BG33" s="1972" t="s">
        <v>78</v>
      </c>
      <c r="BH33" s="1244">
        <v>1450</v>
      </c>
      <c r="BI33" s="1294"/>
      <c r="BJ33" s="1295"/>
    </row>
    <row r="34" spans="1:62" ht="31.5">
      <c r="A34" s="2335"/>
      <c r="B34" s="2213"/>
      <c r="C34" s="2215"/>
      <c r="D34" s="1126" t="s">
        <v>556</v>
      </c>
      <c r="E34" s="1123"/>
      <c r="F34" s="1177">
        <v>29160</v>
      </c>
      <c r="G34" s="1178"/>
      <c r="H34" s="1144" t="s">
        <v>255</v>
      </c>
      <c r="I34" s="1163">
        <v>270</v>
      </c>
      <c r="J34" s="1179"/>
      <c r="K34" s="1180" t="s">
        <v>1073</v>
      </c>
      <c r="L34" s="1972"/>
      <c r="M34" s="2206"/>
      <c r="N34" s="1972"/>
      <c r="O34" s="2230"/>
      <c r="P34" s="1972"/>
      <c r="Q34" s="2206"/>
      <c r="R34" s="1972"/>
      <c r="S34" s="2208"/>
      <c r="T34" s="1144" t="s">
        <v>255</v>
      </c>
      <c r="U34" s="1163">
        <v>7070</v>
      </c>
      <c r="V34" s="1245">
        <v>70</v>
      </c>
      <c r="W34" s="1246" t="s">
        <v>255</v>
      </c>
      <c r="X34" s="1250">
        <v>49520</v>
      </c>
      <c r="Y34" s="1172" t="s">
        <v>31</v>
      </c>
      <c r="Z34" s="1248">
        <v>490</v>
      </c>
      <c r="AA34" s="1249" t="s">
        <v>255</v>
      </c>
      <c r="AB34" s="1250">
        <v>42450</v>
      </c>
      <c r="AC34" s="1249" t="s">
        <v>31</v>
      </c>
      <c r="AD34" s="1248">
        <v>420</v>
      </c>
      <c r="AE34" s="1972"/>
      <c r="AF34" s="2202"/>
      <c r="AG34" s="1972"/>
      <c r="AH34" s="2204"/>
      <c r="AI34" s="1972"/>
      <c r="AJ34" s="1296">
        <v>2020</v>
      </c>
      <c r="AK34" s="1972"/>
      <c r="AL34" s="2334"/>
      <c r="AM34" s="1972"/>
      <c r="AN34" s="2206"/>
      <c r="AO34" s="1972"/>
      <c r="AP34" s="2208"/>
      <c r="AQ34" s="1972"/>
      <c r="AR34" s="1251" t="s">
        <v>1089</v>
      </c>
      <c r="AS34" s="1972"/>
      <c r="AT34" s="1251" t="s">
        <v>1075</v>
      </c>
      <c r="AU34" s="1972"/>
      <c r="AV34" s="1251" t="s">
        <v>1089</v>
      </c>
      <c r="AW34" s="1972"/>
      <c r="AX34" s="1251" t="s">
        <v>1075</v>
      </c>
      <c r="AY34" s="2338"/>
      <c r="AZ34" s="1297">
        <v>2810</v>
      </c>
      <c r="BA34" s="1293"/>
      <c r="BB34" s="1252" t="s">
        <v>302</v>
      </c>
      <c r="BC34" s="1972"/>
      <c r="BD34" s="1298">
        <v>5</v>
      </c>
      <c r="BE34" s="1972"/>
      <c r="BF34" s="1253">
        <v>20</v>
      </c>
      <c r="BG34" s="1972"/>
      <c r="BH34" s="1253">
        <v>10</v>
      </c>
      <c r="BI34" s="1294"/>
      <c r="BJ34" s="1295"/>
    </row>
    <row r="35" spans="1:62" ht="21" customHeight="1">
      <c r="A35" s="2335"/>
      <c r="B35" s="2212" t="s">
        <v>569</v>
      </c>
      <c r="C35" s="2214" t="s">
        <v>553</v>
      </c>
      <c r="D35" s="1122" t="s">
        <v>554</v>
      </c>
      <c r="E35" s="1123"/>
      <c r="F35" s="1142">
        <v>21640</v>
      </c>
      <c r="G35" s="1143">
        <v>28710</v>
      </c>
      <c r="H35" s="1144" t="s">
        <v>255</v>
      </c>
      <c r="I35" s="1145">
        <v>190</v>
      </c>
      <c r="J35" s="1146">
        <v>260</v>
      </c>
      <c r="K35" s="1147" t="s">
        <v>1073</v>
      </c>
      <c r="L35" s="1972" t="s">
        <v>255</v>
      </c>
      <c r="M35" s="2205">
        <v>400</v>
      </c>
      <c r="N35" s="1972" t="s">
        <v>255</v>
      </c>
      <c r="O35" s="2229">
        <v>4</v>
      </c>
      <c r="P35" s="1972" t="s">
        <v>255</v>
      </c>
      <c r="Q35" s="2205">
        <v>1760</v>
      </c>
      <c r="R35" s="1972" t="s">
        <v>31</v>
      </c>
      <c r="S35" s="2207">
        <v>10</v>
      </c>
      <c r="T35" s="1144" t="s">
        <v>255</v>
      </c>
      <c r="U35" s="1148">
        <v>7070</v>
      </c>
      <c r="V35" s="1238">
        <v>70</v>
      </c>
      <c r="W35" s="1239"/>
      <c r="X35" s="1173"/>
      <c r="Y35" s="1172"/>
      <c r="Z35" s="38"/>
      <c r="AA35" s="1172"/>
      <c r="AB35" s="1173" t="s">
        <v>46</v>
      </c>
      <c r="AC35" s="1172"/>
      <c r="AD35" s="1240"/>
      <c r="AE35" s="2060" t="s">
        <v>255</v>
      </c>
      <c r="AF35" s="2201">
        <v>360</v>
      </c>
      <c r="AG35" s="1972" t="s">
        <v>255</v>
      </c>
      <c r="AH35" s="2203">
        <v>3</v>
      </c>
      <c r="AI35" s="1972"/>
      <c r="AJ35" s="1299" t="s">
        <v>291</v>
      </c>
      <c r="AK35" s="1972" t="s">
        <v>31</v>
      </c>
      <c r="AL35" s="2334">
        <v>10</v>
      </c>
      <c r="AM35" s="1972" t="s">
        <v>31</v>
      </c>
      <c r="AN35" s="2205">
        <v>500</v>
      </c>
      <c r="AO35" s="1972" t="s">
        <v>255</v>
      </c>
      <c r="AP35" s="2207">
        <v>5</v>
      </c>
      <c r="AQ35" s="1972" t="s">
        <v>31</v>
      </c>
      <c r="AR35" s="1241">
        <v>250</v>
      </c>
      <c r="AS35" s="1972" t="s">
        <v>255</v>
      </c>
      <c r="AT35" s="1241">
        <v>2</v>
      </c>
      <c r="AU35" s="1972" t="s">
        <v>255</v>
      </c>
      <c r="AV35" s="1241">
        <v>40</v>
      </c>
      <c r="AW35" s="1972" t="s">
        <v>255</v>
      </c>
      <c r="AX35" s="1241">
        <v>1</v>
      </c>
      <c r="AY35" s="2338"/>
      <c r="AZ35" s="1300" t="s">
        <v>1102</v>
      </c>
      <c r="BA35" s="1293"/>
      <c r="BB35" s="1243">
        <v>235</v>
      </c>
      <c r="BC35" s="1972" t="s">
        <v>78</v>
      </c>
      <c r="BD35" s="1244">
        <v>460</v>
      </c>
      <c r="BE35" s="1972" t="s">
        <v>78</v>
      </c>
      <c r="BF35" s="1244">
        <v>1760</v>
      </c>
      <c r="BG35" s="1972" t="s">
        <v>78</v>
      </c>
      <c r="BH35" s="1244">
        <v>1270</v>
      </c>
      <c r="BI35" s="1294"/>
      <c r="BJ35" s="1295"/>
    </row>
    <row r="36" spans="1:62" ht="31.5">
      <c r="A36" s="2335"/>
      <c r="B36" s="2213"/>
      <c r="C36" s="2215"/>
      <c r="D36" s="1126" t="s">
        <v>556</v>
      </c>
      <c r="E36" s="1123"/>
      <c r="F36" s="1177">
        <v>28710</v>
      </c>
      <c r="G36" s="1178"/>
      <c r="H36" s="1144" t="s">
        <v>255</v>
      </c>
      <c r="I36" s="1163">
        <v>260</v>
      </c>
      <c r="J36" s="1179"/>
      <c r="K36" s="1180" t="s">
        <v>1073</v>
      </c>
      <c r="L36" s="1972"/>
      <c r="M36" s="2206"/>
      <c r="N36" s="1972"/>
      <c r="O36" s="2230"/>
      <c r="P36" s="1972"/>
      <c r="Q36" s="2206"/>
      <c r="R36" s="1972"/>
      <c r="S36" s="2208"/>
      <c r="T36" s="1144" t="s">
        <v>255</v>
      </c>
      <c r="U36" s="1163">
        <v>7070</v>
      </c>
      <c r="V36" s="1245">
        <v>70</v>
      </c>
      <c r="W36" s="1246" t="s">
        <v>255</v>
      </c>
      <c r="X36" s="1250">
        <v>49520</v>
      </c>
      <c r="Y36" s="1172" t="s">
        <v>31</v>
      </c>
      <c r="Z36" s="1248">
        <v>490</v>
      </c>
      <c r="AA36" s="1249" t="s">
        <v>255</v>
      </c>
      <c r="AB36" s="1250">
        <v>42450</v>
      </c>
      <c r="AC36" s="1249" t="s">
        <v>31</v>
      </c>
      <c r="AD36" s="1248">
        <v>420</v>
      </c>
      <c r="AE36" s="1972"/>
      <c r="AF36" s="2202"/>
      <c r="AG36" s="1972"/>
      <c r="AH36" s="2204"/>
      <c r="AI36" s="1972"/>
      <c r="AJ36" s="1296">
        <v>1760</v>
      </c>
      <c r="AK36" s="1972"/>
      <c r="AL36" s="2334"/>
      <c r="AM36" s="1972"/>
      <c r="AN36" s="2206"/>
      <c r="AO36" s="1972"/>
      <c r="AP36" s="2208"/>
      <c r="AQ36" s="1972"/>
      <c r="AR36" s="1251" t="s">
        <v>1089</v>
      </c>
      <c r="AS36" s="1972"/>
      <c r="AT36" s="1251" t="s">
        <v>1075</v>
      </c>
      <c r="AU36" s="1972"/>
      <c r="AV36" s="1251" t="s">
        <v>1089</v>
      </c>
      <c r="AW36" s="1972"/>
      <c r="AX36" s="1251" t="s">
        <v>1075</v>
      </c>
      <c r="AY36" s="2338"/>
      <c r="AZ36" s="1297">
        <v>2540</v>
      </c>
      <c r="BA36" s="1293"/>
      <c r="BB36" s="1252" t="s">
        <v>302</v>
      </c>
      <c r="BC36" s="1972"/>
      <c r="BD36" s="1298">
        <v>5</v>
      </c>
      <c r="BE36" s="1972"/>
      <c r="BF36" s="1253">
        <v>10</v>
      </c>
      <c r="BG36" s="1972"/>
      <c r="BH36" s="1253">
        <v>10</v>
      </c>
      <c r="BI36" s="1294"/>
      <c r="BJ36" s="1295"/>
    </row>
    <row r="37" spans="1:62" ht="21" customHeight="1">
      <c r="A37" s="2335"/>
      <c r="B37" s="2212" t="s">
        <v>570</v>
      </c>
      <c r="C37" s="2214" t="s">
        <v>553</v>
      </c>
      <c r="D37" s="1122" t="s">
        <v>554</v>
      </c>
      <c r="E37" s="1123"/>
      <c r="F37" s="1142">
        <v>21290</v>
      </c>
      <c r="G37" s="1143">
        <v>28360</v>
      </c>
      <c r="H37" s="1144" t="s">
        <v>255</v>
      </c>
      <c r="I37" s="1145">
        <v>190</v>
      </c>
      <c r="J37" s="1146">
        <v>260</v>
      </c>
      <c r="K37" s="1147" t="s">
        <v>1073</v>
      </c>
      <c r="L37" s="1972" t="s">
        <v>255</v>
      </c>
      <c r="M37" s="2205">
        <v>360</v>
      </c>
      <c r="N37" s="1972" t="s">
        <v>255</v>
      </c>
      <c r="O37" s="2229">
        <v>3</v>
      </c>
      <c r="P37" s="1972" t="s">
        <v>255</v>
      </c>
      <c r="Q37" s="2205">
        <v>1570</v>
      </c>
      <c r="R37" s="1972" t="s">
        <v>31</v>
      </c>
      <c r="S37" s="2207">
        <v>10</v>
      </c>
      <c r="T37" s="1144" t="s">
        <v>255</v>
      </c>
      <c r="U37" s="1148">
        <v>7070</v>
      </c>
      <c r="V37" s="1238">
        <v>70</v>
      </c>
      <c r="W37" s="1239"/>
      <c r="X37" s="1173"/>
      <c r="Y37" s="1172"/>
      <c r="Z37" s="38"/>
      <c r="AA37" s="1172"/>
      <c r="AB37" s="1173" t="s">
        <v>46</v>
      </c>
      <c r="AC37" s="1172"/>
      <c r="AD37" s="1240"/>
      <c r="AE37" s="2060" t="s">
        <v>255</v>
      </c>
      <c r="AF37" s="2201">
        <v>320</v>
      </c>
      <c r="AG37" s="1972" t="s">
        <v>255</v>
      </c>
      <c r="AH37" s="2203">
        <v>3</v>
      </c>
      <c r="AI37" s="1972"/>
      <c r="AJ37" s="1299" t="s">
        <v>292</v>
      </c>
      <c r="AK37" s="1972" t="s">
        <v>31</v>
      </c>
      <c r="AL37" s="2334">
        <v>10</v>
      </c>
      <c r="AM37" s="1972" t="s">
        <v>31</v>
      </c>
      <c r="AN37" s="2205">
        <v>500</v>
      </c>
      <c r="AO37" s="1972" t="s">
        <v>255</v>
      </c>
      <c r="AP37" s="2207">
        <v>5</v>
      </c>
      <c r="AQ37" s="1972" t="s">
        <v>31</v>
      </c>
      <c r="AR37" s="1241">
        <v>220</v>
      </c>
      <c r="AS37" s="1972" t="s">
        <v>255</v>
      </c>
      <c r="AT37" s="1241">
        <v>2</v>
      </c>
      <c r="AU37" s="1972" t="s">
        <v>255</v>
      </c>
      <c r="AV37" s="1241">
        <v>40</v>
      </c>
      <c r="AW37" s="1972" t="s">
        <v>255</v>
      </c>
      <c r="AX37" s="1241">
        <v>1</v>
      </c>
      <c r="AY37" s="2338"/>
      <c r="AZ37" s="1300" t="s">
        <v>1103</v>
      </c>
      <c r="BA37" s="1293"/>
      <c r="BB37" s="1243">
        <v>235</v>
      </c>
      <c r="BC37" s="1972" t="s">
        <v>78</v>
      </c>
      <c r="BD37" s="1244">
        <v>410</v>
      </c>
      <c r="BE37" s="1972" t="s">
        <v>78</v>
      </c>
      <c r="BF37" s="1244">
        <v>1570</v>
      </c>
      <c r="BG37" s="1972" t="s">
        <v>78</v>
      </c>
      <c r="BH37" s="1244">
        <v>1120</v>
      </c>
      <c r="BI37" s="1294"/>
      <c r="BJ37" s="1295"/>
    </row>
    <row r="38" spans="1:62" ht="31.5">
      <c r="A38" s="2335"/>
      <c r="B38" s="2213"/>
      <c r="C38" s="2215"/>
      <c r="D38" s="1126" t="s">
        <v>556</v>
      </c>
      <c r="E38" s="1123"/>
      <c r="F38" s="1177">
        <v>28360</v>
      </c>
      <c r="G38" s="1178"/>
      <c r="H38" s="1144" t="s">
        <v>255</v>
      </c>
      <c r="I38" s="1163">
        <v>260</v>
      </c>
      <c r="J38" s="1179"/>
      <c r="K38" s="1180" t="s">
        <v>1073</v>
      </c>
      <c r="L38" s="1972"/>
      <c r="M38" s="2206"/>
      <c r="N38" s="1972"/>
      <c r="O38" s="2230"/>
      <c r="P38" s="1972"/>
      <c r="Q38" s="2206"/>
      <c r="R38" s="1972"/>
      <c r="S38" s="2208"/>
      <c r="T38" s="1144" t="s">
        <v>255</v>
      </c>
      <c r="U38" s="1163">
        <v>7070</v>
      </c>
      <c r="V38" s="1245">
        <v>70</v>
      </c>
      <c r="W38" s="1246" t="s">
        <v>255</v>
      </c>
      <c r="X38" s="1250">
        <v>49520</v>
      </c>
      <c r="Y38" s="1172" t="s">
        <v>31</v>
      </c>
      <c r="Z38" s="1248">
        <v>490</v>
      </c>
      <c r="AA38" s="1249" t="s">
        <v>255</v>
      </c>
      <c r="AB38" s="1250">
        <v>42450</v>
      </c>
      <c r="AC38" s="1249" t="s">
        <v>31</v>
      </c>
      <c r="AD38" s="1248">
        <v>420</v>
      </c>
      <c r="AE38" s="1972"/>
      <c r="AF38" s="2202"/>
      <c r="AG38" s="1972"/>
      <c r="AH38" s="2204"/>
      <c r="AI38" s="1972"/>
      <c r="AJ38" s="1296">
        <v>1570</v>
      </c>
      <c r="AK38" s="1972"/>
      <c r="AL38" s="2334"/>
      <c r="AM38" s="1972"/>
      <c r="AN38" s="2206"/>
      <c r="AO38" s="1972"/>
      <c r="AP38" s="2208"/>
      <c r="AQ38" s="1972"/>
      <c r="AR38" s="1251" t="s">
        <v>1089</v>
      </c>
      <c r="AS38" s="1972"/>
      <c r="AT38" s="1251" t="s">
        <v>1075</v>
      </c>
      <c r="AU38" s="1972"/>
      <c r="AV38" s="1251" t="s">
        <v>1089</v>
      </c>
      <c r="AW38" s="1972"/>
      <c r="AX38" s="1251" t="s">
        <v>1075</v>
      </c>
      <c r="AY38" s="2338"/>
      <c r="AZ38" s="1297">
        <v>2440</v>
      </c>
      <c r="BA38" s="1293"/>
      <c r="BB38" s="1252" t="s">
        <v>302</v>
      </c>
      <c r="BC38" s="1972"/>
      <c r="BD38" s="1298">
        <v>4</v>
      </c>
      <c r="BE38" s="1972"/>
      <c r="BF38" s="1253">
        <v>10</v>
      </c>
      <c r="BG38" s="1972"/>
      <c r="BH38" s="1253">
        <v>10</v>
      </c>
      <c r="BI38" s="1294"/>
      <c r="BJ38" s="1295"/>
    </row>
    <row r="39" spans="1:62" ht="21" customHeight="1">
      <c r="A39" s="2335"/>
      <c r="B39" s="2212" t="s">
        <v>571</v>
      </c>
      <c r="C39" s="2214" t="s">
        <v>553</v>
      </c>
      <c r="D39" s="1122" t="s">
        <v>554</v>
      </c>
      <c r="E39" s="1123"/>
      <c r="F39" s="1142">
        <v>21010</v>
      </c>
      <c r="G39" s="1143">
        <v>28080</v>
      </c>
      <c r="H39" s="1144" t="s">
        <v>255</v>
      </c>
      <c r="I39" s="1145">
        <v>190</v>
      </c>
      <c r="J39" s="1146">
        <v>260</v>
      </c>
      <c r="K39" s="1147" t="s">
        <v>1073</v>
      </c>
      <c r="L39" s="1972" t="s">
        <v>255</v>
      </c>
      <c r="M39" s="2205">
        <v>320</v>
      </c>
      <c r="N39" s="1972" t="s">
        <v>255</v>
      </c>
      <c r="O39" s="2229">
        <v>3</v>
      </c>
      <c r="P39" s="1972" t="s">
        <v>255</v>
      </c>
      <c r="Q39" s="2205">
        <v>1410</v>
      </c>
      <c r="R39" s="1972" t="s">
        <v>31</v>
      </c>
      <c r="S39" s="2207">
        <v>10</v>
      </c>
      <c r="T39" s="1144" t="s">
        <v>255</v>
      </c>
      <c r="U39" s="1148">
        <v>7070</v>
      </c>
      <c r="V39" s="1238">
        <v>70</v>
      </c>
      <c r="W39" s="1239"/>
      <c r="X39" s="1173"/>
      <c r="Y39" s="1172"/>
      <c r="Z39" s="38"/>
      <c r="AA39" s="1172"/>
      <c r="AB39" s="1173" t="s">
        <v>46</v>
      </c>
      <c r="AC39" s="1172"/>
      <c r="AD39" s="1240"/>
      <c r="AE39" s="2060" t="s">
        <v>255</v>
      </c>
      <c r="AF39" s="2201">
        <v>280</v>
      </c>
      <c r="AG39" s="1972" t="s">
        <v>255</v>
      </c>
      <c r="AH39" s="2203">
        <v>2</v>
      </c>
      <c r="AI39" s="1972"/>
      <c r="AJ39" s="1299" t="s">
        <v>293</v>
      </c>
      <c r="AK39" s="1972" t="s">
        <v>31</v>
      </c>
      <c r="AL39" s="2334">
        <v>10</v>
      </c>
      <c r="AM39" s="1972" t="s">
        <v>31</v>
      </c>
      <c r="AN39" s="2205">
        <v>500</v>
      </c>
      <c r="AO39" s="1972" t="s">
        <v>255</v>
      </c>
      <c r="AP39" s="2207">
        <v>5</v>
      </c>
      <c r="AQ39" s="1972" t="s">
        <v>31</v>
      </c>
      <c r="AR39" s="1241">
        <v>200</v>
      </c>
      <c r="AS39" s="1972" t="s">
        <v>255</v>
      </c>
      <c r="AT39" s="1241">
        <v>2</v>
      </c>
      <c r="AU39" s="1972" t="s">
        <v>255</v>
      </c>
      <c r="AV39" s="1241">
        <v>30</v>
      </c>
      <c r="AW39" s="1972" t="s">
        <v>255</v>
      </c>
      <c r="AX39" s="1241">
        <v>1</v>
      </c>
      <c r="AY39" s="2338"/>
      <c r="AZ39" s="1300" t="s">
        <v>1104</v>
      </c>
      <c r="BA39" s="1293"/>
      <c r="BB39" s="1243">
        <v>235</v>
      </c>
      <c r="BC39" s="1972" t="s">
        <v>78</v>
      </c>
      <c r="BD39" s="1244">
        <v>370</v>
      </c>
      <c r="BE39" s="1972" t="s">
        <v>78</v>
      </c>
      <c r="BF39" s="1244">
        <v>1410</v>
      </c>
      <c r="BG39" s="1972" t="s">
        <v>78</v>
      </c>
      <c r="BH39" s="1244">
        <v>1010</v>
      </c>
      <c r="BI39" s="1294"/>
      <c r="BJ39" s="1295"/>
    </row>
    <row r="40" spans="1:62" ht="31.5">
      <c r="A40" s="2335"/>
      <c r="B40" s="2213"/>
      <c r="C40" s="2215"/>
      <c r="D40" s="1126" t="s">
        <v>556</v>
      </c>
      <c r="E40" s="1123"/>
      <c r="F40" s="1177">
        <v>28080</v>
      </c>
      <c r="G40" s="1178"/>
      <c r="H40" s="1144" t="s">
        <v>255</v>
      </c>
      <c r="I40" s="1163">
        <v>260</v>
      </c>
      <c r="J40" s="1179"/>
      <c r="K40" s="1180" t="s">
        <v>1073</v>
      </c>
      <c r="L40" s="1972"/>
      <c r="M40" s="2206"/>
      <c r="N40" s="1972"/>
      <c r="O40" s="2230"/>
      <c r="P40" s="1972"/>
      <c r="Q40" s="2206"/>
      <c r="R40" s="1972"/>
      <c r="S40" s="2208"/>
      <c r="T40" s="1144" t="s">
        <v>255</v>
      </c>
      <c r="U40" s="1163">
        <v>7070</v>
      </c>
      <c r="V40" s="1245">
        <v>70</v>
      </c>
      <c r="W40" s="1246" t="s">
        <v>255</v>
      </c>
      <c r="X40" s="1250">
        <v>49520</v>
      </c>
      <c r="Y40" s="1172" t="s">
        <v>31</v>
      </c>
      <c r="Z40" s="1248">
        <v>490</v>
      </c>
      <c r="AA40" s="1249" t="s">
        <v>255</v>
      </c>
      <c r="AB40" s="1250">
        <v>42450</v>
      </c>
      <c r="AC40" s="1249" t="s">
        <v>31</v>
      </c>
      <c r="AD40" s="1248">
        <v>420</v>
      </c>
      <c r="AE40" s="1972"/>
      <c r="AF40" s="2202"/>
      <c r="AG40" s="1972"/>
      <c r="AH40" s="2204"/>
      <c r="AI40" s="1972"/>
      <c r="AJ40" s="1296">
        <v>1410</v>
      </c>
      <c r="AK40" s="1972"/>
      <c r="AL40" s="2334"/>
      <c r="AM40" s="1972"/>
      <c r="AN40" s="2206"/>
      <c r="AO40" s="1972"/>
      <c r="AP40" s="2208"/>
      <c r="AQ40" s="1972"/>
      <c r="AR40" s="1251" t="s">
        <v>1089</v>
      </c>
      <c r="AS40" s="1972"/>
      <c r="AT40" s="1251" t="s">
        <v>1075</v>
      </c>
      <c r="AU40" s="1972"/>
      <c r="AV40" s="1251" t="s">
        <v>1089</v>
      </c>
      <c r="AW40" s="1972"/>
      <c r="AX40" s="1251" t="s">
        <v>1075</v>
      </c>
      <c r="AY40" s="2338"/>
      <c r="AZ40" s="1297">
        <v>2360</v>
      </c>
      <c r="BA40" s="1293"/>
      <c r="BB40" s="1252" t="s">
        <v>302</v>
      </c>
      <c r="BC40" s="1972"/>
      <c r="BD40" s="1298">
        <v>4</v>
      </c>
      <c r="BE40" s="1972"/>
      <c r="BF40" s="1253">
        <v>10</v>
      </c>
      <c r="BG40" s="1972"/>
      <c r="BH40" s="1253">
        <v>10</v>
      </c>
      <c r="BI40" s="1294"/>
      <c r="BJ40" s="1295"/>
    </row>
    <row r="41" spans="1:62">
      <c r="A41" s="2335"/>
      <c r="B41" s="2212" t="s">
        <v>572</v>
      </c>
      <c r="C41" s="2214" t="s">
        <v>553</v>
      </c>
      <c r="D41" s="1122" t="s">
        <v>554</v>
      </c>
      <c r="E41" s="1123"/>
      <c r="F41" s="1142">
        <v>20790</v>
      </c>
      <c r="G41" s="1143">
        <v>27860</v>
      </c>
      <c r="H41" s="1144" t="s">
        <v>255</v>
      </c>
      <c r="I41" s="1145">
        <v>190</v>
      </c>
      <c r="J41" s="1146">
        <v>260</v>
      </c>
      <c r="K41" s="1147" t="s">
        <v>1073</v>
      </c>
      <c r="L41" s="1972" t="s">
        <v>255</v>
      </c>
      <c r="M41" s="2205">
        <v>290</v>
      </c>
      <c r="N41" s="1972" t="s">
        <v>255</v>
      </c>
      <c r="O41" s="2229">
        <v>2</v>
      </c>
      <c r="P41" s="2059"/>
      <c r="Q41" s="2336"/>
      <c r="R41" s="2059"/>
      <c r="S41" s="2339"/>
      <c r="T41" s="1144" t="s">
        <v>255</v>
      </c>
      <c r="U41" s="1148">
        <v>7070</v>
      </c>
      <c r="V41" s="1238">
        <v>70</v>
      </c>
      <c r="W41" s="1239"/>
      <c r="X41" s="1173"/>
      <c r="Y41" s="1172"/>
      <c r="Z41" s="38"/>
      <c r="AA41" s="1172"/>
      <c r="AB41" s="1173" t="s">
        <v>46</v>
      </c>
      <c r="AC41" s="1172"/>
      <c r="AD41" s="1240"/>
      <c r="AE41" s="2060" t="s">
        <v>255</v>
      </c>
      <c r="AF41" s="2201">
        <v>260</v>
      </c>
      <c r="AG41" s="1972" t="s">
        <v>255</v>
      </c>
      <c r="AH41" s="2203">
        <v>2</v>
      </c>
      <c r="AI41" s="1972"/>
      <c r="AJ41" s="1299" t="s">
        <v>294</v>
      </c>
      <c r="AK41" s="1972" t="s">
        <v>31</v>
      </c>
      <c r="AL41" s="2334">
        <v>10</v>
      </c>
      <c r="AM41" s="1972" t="s">
        <v>31</v>
      </c>
      <c r="AN41" s="2205">
        <v>500</v>
      </c>
      <c r="AO41" s="1972" t="s">
        <v>255</v>
      </c>
      <c r="AP41" s="2207">
        <v>5</v>
      </c>
      <c r="AQ41" s="1972" t="s">
        <v>31</v>
      </c>
      <c r="AR41" s="1241">
        <v>180</v>
      </c>
      <c r="AS41" s="1972" t="s">
        <v>255</v>
      </c>
      <c r="AT41" s="1241">
        <v>1</v>
      </c>
      <c r="AU41" s="1972" t="s">
        <v>255</v>
      </c>
      <c r="AV41" s="1241">
        <v>30</v>
      </c>
      <c r="AW41" s="1972" t="s">
        <v>255</v>
      </c>
      <c r="AX41" s="1241">
        <v>1</v>
      </c>
      <c r="AY41" s="2338"/>
      <c r="AZ41" s="1300" t="s">
        <v>1105</v>
      </c>
      <c r="BA41" s="1293"/>
      <c r="BB41" s="1243">
        <v>235</v>
      </c>
      <c r="BC41" s="1972" t="s">
        <v>78</v>
      </c>
      <c r="BD41" s="1244">
        <v>340</v>
      </c>
      <c r="BE41" s="1972" t="s">
        <v>78</v>
      </c>
      <c r="BF41" s="1244">
        <v>1280</v>
      </c>
      <c r="BG41" s="1972" t="s">
        <v>78</v>
      </c>
      <c r="BH41" s="1244">
        <v>920</v>
      </c>
      <c r="BI41" s="1294"/>
      <c r="BJ41" s="1295"/>
    </row>
    <row r="42" spans="1:62" ht="31.5">
      <c r="A42" s="2213"/>
      <c r="B42" s="2213"/>
      <c r="C42" s="2231"/>
      <c r="D42" s="1126" t="s">
        <v>556</v>
      </c>
      <c r="E42" s="1123"/>
      <c r="F42" s="1177">
        <v>27860</v>
      </c>
      <c r="G42" s="1178"/>
      <c r="H42" s="1144" t="s">
        <v>255</v>
      </c>
      <c r="I42" s="1163">
        <v>260</v>
      </c>
      <c r="J42" s="1179"/>
      <c r="K42" s="1180" t="s">
        <v>1073</v>
      </c>
      <c r="L42" s="1972"/>
      <c r="M42" s="2206"/>
      <c r="N42" s="1972"/>
      <c r="O42" s="2230"/>
      <c r="P42" s="2059"/>
      <c r="Q42" s="2336"/>
      <c r="R42" s="2059"/>
      <c r="S42" s="2339"/>
      <c r="T42" s="1144" t="s">
        <v>255</v>
      </c>
      <c r="U42" s="1163">
        <v>7070</v>
      </c>
      <c r="V42" s="1245">
        <v>70</v>
      </c>
      <c r="W42" s="1246" t="s">
        <v>255</v>
      </c>
      <c r="X42" s="1250">
        <v>49520</v>
      </c>
      <c r="Y42" s="1172" t="s">
        <v>31</v>
      </c>
      <c r="Z42" s="1248">
        <v>490</v>
      </c>
      <c r="AA42" s="1249" t="s">
        <v>255</v>
      </c>
      <c r="AB42" s="1250">
        <v>42450</v>
      </c>
      <c r="AC42" s="1249" t="s">
        <v>31</v>
      </c>
      <c r="AD42" s="1248">
        <v>420</v>
      </c>
      <c r="AE42" s="1972"/>
      <c r="AF42" s="2202"/>
      <c r="AG42" s="1972"/>
      <c r="AH42" s="2204"/>
      <c r="AI42" s="1972"/>
      <c r="AJ42" s="1296">
        <v>1280</v>
      </c>
      <c r="AK42" s="1972"/>
      <c r="AL42" s="2210"/>
      <c r="AM42" s="1972"/>
      <c r="AN42" s="2206"/>
      <c r="AO42" s="1972"/>
      <c r="AP42" s="2208"/>
      <c r="AQ42" s="1972"/>
      <c r="AR42" s="1251" t="s">
        <v>1089</v>
      </c>
      <c r="AS42" s="1972"/>
      <c r="AT42" s="1251" t="s">
        <v>1075</v>
      </c>
      <c r="AU42" s="1972"/>
      <c r="AV42" s="1251" t="s">
        <v>1089</v>
      </c>
      <c r="AW42" s="1972"/>
      <c r="AX42" s="1251" t="s">
        <v>1075</v>
      </c>
      <c r="AY42" s="2338"/>
      <c r="AZ42" s="1301">
        <v>2150</v>
      </c>
      <c r="BA42" s="1302"/>
      <c r="BB42" s="1252" t="s">
        <v>302</v>
      </c>
      <c r="BC42" s="1972"/>
      <c r="BD42" s="1298">
        <v>3</v>
      </c>
      <c r="BE42" s="1972"/>
      <c r="BF42" s="1253">
        <v>10</v>
      </c>
      <c r="BG42" s="1972"/>
      <c r="BH42" s="1253">
        <v>9</v>
      </c>
      <c r="BI42" s="1303"/>
      <c r="BJ42" s="1295"/>
    </row>
    <row r="44" spans="1:62" s="152" customFormat="1">
      <c r="A44" s="146"/>
      <c r="B44" s="146">
        <v>1</v>
      </c>
      <c r="C44" s="146">
        <v>2</v>
      </c>
      <c r="D44" s="146">
        <v>3</v>
      </c>
      <c r="E44" s="146">
        <v>4</v>
      </c>
      <c r="F44" s="146">
        <v>5</v>
      </c>
      <c r="G44" s="146">
        <v>6</v>
      </c>
      <c r="H44" s="146">
        <v>7</v>
      </c>
      <c r="I44" s="146">
        <v>8</v>
      </c>
      <c r="J44" s="146">
        <v>9</v>
      </c>
      <c r="K44" s="146">
        <v>10</v>
      </c>
      <c r="L44" s="146">
        <v>11</v>
      </c>
      <c r="M44" s="146">
        <v>12</v>
      </c>
      <c r="N44" s="146">
        <v>13</v>
      </c>
      <c r="O44" s="146">
        <v>14</v>
      </c>
      <c r="P44" s="146">
        <v>15</v>
      </c>
      <c r="Q44" s="146">
        <v>16</v>
      </c>
      <c r="R44" s="146">
        <v>17</v>
      </c>
      <c r="S44" s="146">
        <v>18</v>
      </c>
      <c r="T44" s="146">
        <v>19</v>
      </c>
      <c r="U44" s="146">
        <v>20</v>
      </c>
      <c r="V44" s="146">
        <v>21</v>
      </c>
      <c r="W44" s="146">
        <v>22</v>
      </c>
      <c r="X44" s="146">
        <v>23</v>
      </c>
      <c r="Y44" s="146">
        <v>24</v>
      </c>
      <c r="Z44" s="146">
        <v>25</v>
      </c>
      <c r="AA44" s="146">
        <v>26</v>
      </c>
      <c r="AB44" s="146">
        <v>27</v>
      </c>
      <c r="AC44" s="146">
        <v>28</v>
      </c>
      <c r="AD44" s="146">
        <v>29</v>
      </c>
      <c r="AE44" s="146">
        <v>30</v>
      </c>
      <c r="AF44" s="146">
        <v>31</v>
      </c>
      <c r="AG44" s="146">
        <v>32</v>
      </c>
      <c r="AH44" s="146">
        <v>33</v>
      </c>
      <c r="AI44" s="146">
        <v>34</v>
      </c>
      <c r="AJ44" s="146">
        <v>35</v>
      </c>
      <c r="AK44" s="146">
        <v>36</v>
      </c>
      <c r="AL44" s="146">
        <v>37</v>
      </c>
      <c r="AM44" s="146">
        <v>38</v>
      </c>
      <c r="AN44" s="146">
        <v>39</v>
      </c>
      <c r="AO44" s="146">
        <v>40</v>
      </c>
      <c r="AP44" s="146">
        <v>41</v>
      </c>
      <c r="AQ44" s="146">
        <v>42</v>
      </c>
      <c r="AR44" s="146">
        <v>43</v>
      </c>
      <c r="AS44" s="146">
        <v>44</v>
      </c>
      <c r="AT44" s="146">
        <v>45</v>
      </c>
      <c r="AU44" s="146">
        <v>46</v>
      </c>
      <c r="AV44" s="146">
        <v>47</v>
      </c>
      <c r="AW44" s="146">
        <v>48</v>
      </c>
      <c r="AX44" s="146">
        <v>49</v>
      </c>
      <c r="AY44" s="146">
        <v>50</v>
      </c>
      <c r="AZ44" s="146">
        <v>51</v>
      </c>
      <c r="BA44" s="146">
        <v>52</v>
      </c>
      <c r="BB44" s="146">
        <v>53</v>
      </c>
      <c r="BC44" s="146">
        <v>54</v>
      </c>
      <c r="BD44" s="146">
        <v>55</v>
      </c>
      <c r="BE44" s="146">
        <v>56</v>
      </c>
      <c r="BF44" s="146">
        <v>57</v>
      </c>
      <c r="BG44" s="146">
        <v>58</v>
      </c>
      <c r="BH44" s="146">
        <v>59</v>
      </c>
      <c r="BI44" s="146">
        <v>60</v>
      </c>
      <c r="BJ44" s="146">
        <v>61</v>
      </c>
    </row>
    <row r="45" spans="1:62" s="152" customFormat="1">
      <c r="A45" s="146"/>
      <c r="B45" s="146">
        <v>1</v>
      </c>
      <c r="C45" s="146"/>
      <c r="D45" s="146" t="str">
        <f>D9</f>
        <v>４歳以上児</v>
      </c>
      <c r="E45" s="146">
        <f t="shared" ref="E45:BI45" si="0">E9</f>
        <v>0</v>
      </c>
      <c r="F45" s="146">
        <f t="shared" si="0"/>
        <v>78110</v>
      </c>
      <c r="G45" s="146">
        <f t="shared" si="0"/>
        <v>85180</v>
      </c>
      <c r="H45" s="146" t="str">
        <f t="shared" si="0"/>
        <v>＋</v>
      </c>
      <c r="I45" s="146">
        <f t="shared" si="0"/>
        <v>760</v>
      </c>
      <c r="J45" s="146">
        <f t="shared" si="0"/>
        <v>830</v>
      </c>
      <c r="K45" s="146" t="str">
        <f t="shared" si="0"/>
        <v>×加算率</v>
      </c>
      <c r="L45" s="146" t="str">
        <f t="shared" si="0"/>
        <v>＋</v>
      </c>
      <c r="M45" s="146">
        <f t="shared" si="0"/>
        <v>6500</v>
      </c>
      <c r="N45" s="146" t="str">
        <f t="shared" si="0"/>
        <v>＋</v>
      </c>
      <c r="O45" s="146">
        <f t="shared" si="0"/>
        <v>60</v>
      </c>
      <c r="P45" s="146" t="str">
        <f t="shared" si="0"/>
        <v>＋</v>
      </c>
      <c r="Q45" s="146">
        <f t="shared" si="0"/>
        <v>28290</v>
      </c>
      <c r="R45" s="146" t="str">
        <f t="shared" si="0"/>
        <v>＋</v>
      </c>
      <c r="S45" s="146">
        <f t="shared" si="0"/>
        <v>280</v>
      </c>
      <c r="T45" s="146" t="str">
        <f t="shared" si="0"/>
        <v>＋</v>
      </c>
      <c r="U45" s="146">
        <f t="shared" si="0"/>
        <v>7070</v>
      </c>
      <c r="V45" s="146">
        <f t="shared" si="0"/>
        <v>70</v>
      </c>
      <c r="W45" s="146">
        <f t="shared" si="0"/>
        <v>0</v>
      </c>
      <c r="X45" s="146">
        <f t="shared" si="0"/>
        <v>0</v>
      </c>
      <c r="Y45" s="146">
        <f t="shared" si="0"/>
        <v>0</v>
      </c>
      <c r="Z45" s="146">
        <f t="shared" si="0"/>
        <v>0</v>
      </c>
      <c r="AA45" s="146">
        <f t="shared" si="0"/>
        <v>0</v>
      </c>
      <c r="AB45" s="146" t="str">
        <f t="shared" si="0"/>
        <v/>
      </c>
      <c r="AC45" s="146">
        <f t="shared" si="0"/>
        <v>0</v>
      </c>
      <c r="AD45" s="146">
        <f t="shared" si="0"/>
        <v>0</v>
      </c>
      <c r="AE45" s="146" t="str">
        <f t="shared" si="0"/>
        <v>＋</v>
      </c>
      <c r="AF45" s="146">
        <f>AF9</f>
        <v>5780</v>
      </c>
      <c r="AG45" s="146" t="str">
        <f>AG9</f>
        <v>＋</v>
      </c>
      <c r="AH45" s="146">
        <f>AH9</f>
        <v>50</v>
      </c>
      <c r="AI45" s="146" t="str">
        <f>AI9</f>
        <v>＋</v>
      </c>
      <c r="AJ45" s="146"/>
      <c r="AK45" s="146" t="str">
        <f t="shared" si="0"/>
        <v>＋</v>
      </c>
      <c r="AL45" s="146">
        <f t="shared" si="0"/>
        <v>280</v>
      </c>
      <c r="AM45" s="146" t="str">
        <f t="shared" si="0"/>
        <v>＋</v>
      </c>
      <c r="AN45" s="146">
        <f t="shared" si="0"/>
        <v>3640</v>
      </c>
      <c r="AO45" s="146" t="str">
        <f t="shared" si="0"/>
        <v>＋</v>
      </c>
      <c r="AP45" s="146">
        <f>AP9</f>
        <v>30</v>
      </c>
      <c r="AQ45" s="146" t="str">
        <f t="shared" si="0"/>
        <v>＋</v>
      </c>
      <c r="AR45" s="146">
        <f>AR9</f>
        <v>2730</v>
      </c>
      <c r="AS45" s="146" t="str">
        <f t="shared" si="0"/>
        <v>＋</v>
      </c>
      <c r="AT45" s="146">
        <f>AT9</f>
        <v>20</v>
      </c>
      <c r="AU45" s="146" t="str">
        <f t="shared" si="0"/>
        <v>＋</v>
      </c>
      <c r="AV45" s="146">
        <f>AV9</f>
        <v>480</v>
      </c>
      <c r="AW45" s="146" t="str">
        <f>AW9</f>
        <v>＋</v>
      </c>
      <c r="AX45" s="146">
        <f>AX9</f>
        <v>4</v>
      </c>
      <c r="AY45" s="146"/>
      <c r="AZ45" s="146" t="str">
        <f t="shared" si="0"/>
        <v xml:space="preserve"> 　　 ～　15人</v>
      </c>
      <c r="BA45" s="146">
        <f t="shared" si="0"/>
        <v>0</v>
      </c>
      <c r="BB45" s="146"/>
      <c r="BC45" s="146"/>
      <c r="BD45" s="146">
        <f>BD10</f>
        <v>70</v>
      </c>
      <c r="BE45" s="146" t="str">
        <f t="shared" si="0"/>
        <v>－</v>
      </c>
      <c r="BF45" s="146">
        <f>BF10</f>
        <v>280</v>
      </c>
      <c r="BG45" s="146" t="str">
        <f t="shared" si="0"/>
        <v>－</v>
      </c>
      <c r="BH45" s="146">
        <f>BH10</f>
        <v>200</v>
      </c>
      <c r="BI45" s="146">
        <f t="shared" si="0"/>
        <v>0</v>
      </c>
      <c r="BJ45" s="233">
        <f>BJ10</f>
        <v>0</v>
      </c>
    </row>
    <row r="46" spans="1:62" s="152" customFormat="1">
      <c r="A46" s="146"/>
      <c r="B46" s="146">
        <v>16</v>
      </c>
      <c r="C46" s="146"/>
      <c r="D46" s="146" t="str">
        <f>D11</f>
        <v>４歳以上児</v>
      </c>
      <c r="E46" s="146">
        <f t="shared" ref="E46:BI46" si="1">E11</f>
        <v>0</v>
      </c>
      <c r="F46" s="146">
        <f t="shared" si="1"/>
        <v>48590</v>
      </c>
      <c r="G46" s="146">
        <f t="shared" si="1"/>
        <v>55660</v>
      </c>
      <c r="H46" s="146" t="str">
        <f t="shared" si="1"/>
        <v>＋</v>
      </c>
      <c r="I46" s="146">
        <f t="shared" si="1"/>
        <v>460</v>
      </c>
      <c r="J46" s="146">
        <f t="shared" si="1"/>
        <v>530</v>
      </c>
      <c r="K46" s="146" t="str">
        <f t="shared" si="1"/>
        <v>×加算率</v>
      </c>
      <c r="L46" s="146" t="str">
        <f t="shared" si="1"/>
        <v>＋</v>
      </c>
      <c r="M46" s="146">
        <f t="shared" si="1"/>
        <v>3900</v>
      </c>
      <c r="N46" s="146" t="str">
        <f t="shared" si="1"/>
        <v>＋</v>
      </c>
      <c r="O46" s="146">
        <f t="shared" si="1"/>
        <v>30</v>
      </c>
      <c r="P46" s="146" t="str">
        <f t="shared" si="1"/>
        <v>＋</v>
      </c>
      <c r="Q46" s="146">
        <f t="shared" si="1"/>
        <v>16970</v>
      </c>
      <c r="R46" s="146" t="str">
        <f t="shared" si="1"/>
        <v>＋</v>
      </c>
      <c r="S46" s="146">
        <f t="shared" si="1"/>
        <v>160</v>
      </c>
      <c r="T46" s="146" t="str">
        <f t="shared" si="1"/>
        <v>＋</v>
      </c>
      <c r="U46" s="146">
        <f t="shared" si="1"/>
        <v>7070</v>
      </c>
      <c r="V46" s="146">
        <f t="shared" si="1"/>
        <v>70</v>
      </c>
      <c r="W46" s="146">
        <f t="shared" si="1"/>
        <v>0</v>
      </c>
      <c r="X46" s="146">
        <f t="shared" si="1"/>
        <v>0</v>
      </c>
      <c r="Y46" s="146">
        <f t="shared" si="1"/>
        <v>0</v>
      </c>
      <c r="Z46" s="146">
        <f t="shared" si="1"/>
        <v>0</v>
      </c>
      <c r="AA46" s="146">
        <f t="shared" si="1"/>
        <v>0</v>
      </c>
      <c r="AB46" s="146" t="str">
        <f t="shared" si="1"/>
        <v/>
      </c>
      <c r="AC46" s="146">
        <f t="shared" si="1"/>
        <v>0</v>
      </c>
      <c r="AD46" s="146">
        <f t="shared" si="1"/>
        <v>0</v>
      </c>
      <c r="AE46" s="146" t="str">
        <f t="shared" si="1"/>
        <v>＋</v>
      </c>
      <c r="AF46" s="146">
        <f>AF11</f>
        <v>3470</v>
      </c>
      <c r="AG46" s="146" t="str">
        <f>AG11</f>
        <v>＋</v>
      </c>
      <c r="AH46" s="146">
        <f>AH11</f>
        <v>30</v>
      </c>
      <c r="AI46" s="146">
        <f>AI11</f>
        <v>0</v>
      </c>
      <c r="AJ46" s="146"/>
      <c r="AK46" s="146" t="str">
        <f t="shared" si="1"/>
        <v>＋</v>
      </c>
      <c r="AL46" s="146">
        <f t="shared" si="1"/>
        <v>160</v>
      </c>
      <c r="AM46" s="146" t="str">
        <f t="shared" si="1"/>
        <v>＋</v>
      </c>
      <c r="AN46" s="146">
        <f t="shared" si="1"/>
        <v>2490</v>
      </c>
      <c r="AO46" s="146" t="str">
        <f t="shared" si="1"/>
        <v>＋</v>
      </c>
      <c r="AP46" s="146">
        <f t="shared" si="1"/>
        <v>20</v>
      </c>
      <c r="AQ46" s="146" t="str">
        <f t="shared" si="1"/>
        <v>＋</v>
      </c>
      <c r="AR46" s="146">
        <f t="shared" si="1"/>
        <v>1630</v>
      </c>
      <c r="AS46" s="146" t="str">
        <f t="shared" si="1"/>
        <v>＋</v>
      </c>
      <c r="AT46" s="146">
        <f t="shared" si="1"/>
        <v>10</v>
      </c>
      <c r="AU46" s="146" t="str">
        <f t="shared" si="1"/>
        <v>＋</v>
      </c>
      <c r="AV46" s="146">
        <f t="shared" si="1"/>
        <v>290</v>
      </c>
      <c r="AW46" s="146" t="str">
        <f t="shared" si="1"/>
        <v>＋</v>
      </c>
      <c r="AX46" s="146">
        <f t="shared" si="1"/>
        <v>2</v>
      </c>
      <c r="AY46" s="146"/>
      <c r="AZ46" s="146" t="str">
        <f t="shared" si="1"/>
        <v xml:space="preserve">  16人～　25人</v>
      </c>
      <c r="BA46" s="146">
        <f t="shared" si="1"/>
        <v>0</v>
      </c>
      <c r="BB46" s="146"/>
      <c r="BC46" s="146"/>
      <c r="BD46" s="146">
        <f>BD12</f>
        <v>40</v>
      </c>
      <c r="BE46" s="146" t="str">
        <f t="shared" si="1"/>
        <v>－</v>
      </c>
      <c r="BF46" s="146">
        <f>BF12</f>
        <v>170</v>
      </c>
      <c r="BG46" s="146" t="str">
        <f t="shared" si="1"/>
        <v>－</v>
      </c>
      <c r="BH46" s="146">
        <f>BH12</f>
        <v>120</v>
      </c>
      <c r="BI46" s="146">
        <f t="shared" si="1"/>
        <v>0</v>
      </c>
      <c r="BJ46" s="233">
        <f>BJ12</f>
        <v>0</v>
      </c>
    </row>
    <row r="47" spans="1:62" s="152" customFormat="1">
      <c r="A47" s="146"/>
      <c r="B47" s="146">
        <v>26</v>
      </c>
      <c r="C47" s="146"/>
      <c r="D47" s="146" t="str">
        <f>D13</f>
        <v>４歳以上児</v>
      </c>
      <c r="E47" s="146">
        <f t="shared" ref="E47:BI47" si="2">E13</f>
        <v>0</v>
      </c>
      <c r="F47" s="146">
        <f t="shared" si="2"/>
        <v>38000</v>
      </c>
      <c r="G47" s="146">
        <f t="shared" si="2"/>
        <v>45070</v>
      </c>
      <c r="H47" s="146" t="str">
        <f t="shared" si="2"/>
        <v>＋</v>
      </c>
      <c r="I47" s="146">
        <f t="shared" si="2"/>
        <v>360</v>
      </c>
      <c r="J47" s="146">
        <f t="shared" si="2"/>
        <v>430</v>
      </c>
      <c r="K47" s="146" t="str">
        <f t="shared" si="2"/>
        <v>×加算率</v>
      </c>
      <c r="L47" s="146" t="str">
        <f t="shared" si="2"/>
        <v>＋</v>
      </c>
      <c r="M47" s="146">
        <f t="shared" si="2"/>
        <v>2780</v>
      </c>
      <c r="N47" s="146" t="str">
        <f t="shared" si="2"/>
        <v>＋</v>
      </c>
      <c r="O47" s="146">
        <f t="shared" si="2"/>
        <v>20</v>
      </c>
      <c r="P47" s="146" t="str">
        <f t="shared" si="2"/>
        <v>＋</v>
      </c>
      <c r="Q47" s="146">
        <f t="shared" si="2"/>
        <v>12120</v>
      </c>
      <c r="R47" s="146" t="str">
        <f t="shared" si="2"/>
        <v>＋</v>
      </c>
      <c r="S47" s="146">
        <f t="shared" si="2"/>
        <v>120</v>
      </c>
      <c r="T47" s="146" t="str">
        <f t="shared" si="2"/>
        <v>＋</v>
      </c>
      <c r="U47" s="146">
        <f t="shared" si="2"/>
        <v>7070</v>
      </c>
      <c r="V47" s="146">
        <f t="shared" si="2"/>
        <v>70</v>
      </c>
      <c r="W47" s="146">
        <f t="shared" si="2"/>
        <v>0</v>
      </c>
      <c r="X47" s="146">
        <f t="shared" si="2"/>
        <v>0</v>
      </c>
      <c r="Y47" s="146">
        <f t="shared" si="2"/>
        <v>0</v>
      </c>
      <c r="Z47" s="146">
        <f t="shared" si="2"/>
        <v>0</v>
      </c>
      <c r="AA47" s="146">
        <f t="shared" si="2"/>
        <v>0</v>
      </c>
      <c r="AB47" s="146" t="str">
        <f t="shared" si="2"/>
        <v/>
      </c>
      <c r="AC47" s="146">
        <f t="shared" si="2"/>
        <v>0</v>
      </c>
      <c r="AD47" s="146">
        <f t="shared" si="2"/>
        <v>0</v>
      </c>
      <c r="AE47" s="146" t="str">
        <f t="shared" si="2"/>
        <v>＋</v>
      </c>
      <c r="AF47" s="146">
        <f>AF13</f>
        <v>2480</v>
      </c>
      <c r="AG47" s="146" t="str">
        <f>AG13</f>
        <v>＋</v>
      </c>
      <c r="AH47" s="146">
        <f>AH13</f>
        <v>20</v>
      </c>
      <c r="AI47" s="146">
        <f>AI13</f>
        <v>0</v>
      </c>
      <c r="AJ47" s="146"/>
      <c r="AK47" s="146" t="str">
        <f t="shared" si="2"/>
        <v>＋</v>
      </c>
      <c r="AL47" s="146">
        <f t="shared" si="2"/>
        <v>120</v>
      </c>
      <c r="AM47" s="146" t="str">
        <f t="shared" si="2"/>
        <v>＋</v>
      </c>
      <c r="AN47" s="146">
        <f t="shared" si="2"/>
        <v>2000</v>
      </c>
      <c r="AO47" s="146" t="str">
        <f t="shared" si="2"/>
        <v>＋</v>
      </c>
      <c r="AP47" s="146">
        <f t="shared" si="2"/>
        <v>20</v>
      </c>
      <c r="AQ47" s="146" t="str">
        <f t="shared" si="2"/>
        <v>＋</v>
      </c>
      <c r="AR47" s="146">
        <f t="shared" si="2"/>
        <v>1170</v>
      </c>
      <c r="AS47" s="146" t="str">
        <f t="shared" si="2"/>
        <v>＋</v>
      </c>
      <c r="AT47" s="146">
        <f t="shared" si="2"/>
        <v>10</v>
      </c>
      <c r="AU47" s="146" t="str">
        <f t="shared" si="2"/>
        <v>＋</v>
      </c>
      <c r="AV47" s="146">
        <f t="shared" si="2"/>
        <v>200</v>
      </c>
      <c r="AW47" s="146" t="str">
        <f t="shared" si="2"/>
        <v>＋</v>
      </c>
      <c r="AX47" s="146">
        <f t="shared" si="2"/>
        <v>2</v>
      </c>
      <c r="AY47" s="146"/>
      <c r="AZ47" s="146" t="str">
        <f t="shared" si="2"/>
        <v xml:space="preserve">  26人～　35人</v>
      </c>
      <c r="BA47" s="146">
        <f t="shared" si="2"/>
        <v>0</v>
      </c>
      <c r="BB47" s="146"/>
      <c r="BC47" s="146"/>
      <c r="BD47" s="146">
        <f>BD14</f>
        <v>30</v>
      </c>
      <c r="BE47" s="146" t="str">
        <f t="shared" si="2"/>
        <v>－</v>
      </c>
      <c r="BF47" s="146">
        <f>BF14</f>
        <v>120</v>
      </c>
      <c r="BG47" s="146" t="str">
        <f t="shared" si="2"/>
        <v>－</v>
      </c>
      <c r="BH47" s="146">
        <f>BH14</f>
        <v>80</v>
      </c>
      <c r="BI47" s="146">
        <f t="shared" si="2"/>
        <v>0</v>
      </c>
      <c r="BJ47" s="233">
        <f>BJ14</f>
        <v>0</v>
      </c>
    </row>
    <row r="48" spans="1:62" s="152" customFormat="1">
      <c r="A48" s="146"/>
      <c r="B48" s="146">
        <v>36</v>
      </c>
      <c r="C48" s="146"/>
      <c r="D48" s="146" t="str">
        <f>D15</f>
        <v>４歳以上児</v>
      </c>
      <c r="E48" s="146">
        <f t="shared" ref="E48:BI48" si="3">E15</f>
        <v>0</v>
      </c>
      <c r="F48" s="146">
        <f t="shared" si="3"/>
        <v>33710</v>
      </c>
      <c r="G48" s="146">
        <f t="shared" si="3"/>
        <v>40780</v>
      </c>
      <c r="H48" s="146" t="str">
        <f t="shared" si="3"/>
        <v>＋</v>
      </c>
      <c r="I48" s="146">
        <f t="shared" si="3"/>
        <v>310</v>
      </c>
      <c r="J48" s="146">
        <f t="shared" si="3"/>
        <v>390</v>
      </c>
      <c r="K48" s="146" t="str">
        <f t="shared" si="3"/>
        <v>×加算率</v>
      </c>
      <c r="L48" s="146" t="str">
        <f t="shared" si="3"/>
        <v>＋</v>
      </c>
      <c r="M48" s="146">
        <f t="shared" si="3"/>
        <v>2160</v>
      </c>
      <c r="N48" s="146" t="str">
        <f t="shared" si="3"/>
        <v>＋</v>
      </c>
      <c r="O48" s="146">
        <f t="shared" si="3"/>
        <v>20</v>
      </c>
      <c r="P48" s="146" t="str">
        <f t="shared" si="3"/>
        <v>＋</v>
      </c>
      <c r="Q48" s="146">
        <f t="shared" si="3"/>
        <v>9430</v>
      </c>
      <c r="R48" s="146" t="str">
        <f t="shared" si="3"/>
        <v>＋</v>
      </c>
      <c r="S48" s="146">
        <f t="shared" si="3"/>
        <v>90</v>
      </c>
      <c r="T48" s="146" t="str">
        <f t="shared" si="3"/>
        <v>＋</v>
      </c>
      <c r="U48" s="146">
        <f t="shared" si="3"/>
        <v>7070</v>
      </c>
      <c r="V48" s="146">
        <f t="shared" si="3"/>
        <v>70</v>
      </c>
      <c r="W48" s="146">
        <f t="shared" si="3"/>
        <v>0</v>
      </c>
      <c r="X48" s="146">
        <f t="shared" si="3"/>
        <v>0</v>
      </c>
      <c r="Y48" s="146">
        <f t="shared" si="3"/>
        <v>0</v>
      </c>
      <c r="Z48" s="146">
        <f t="shared" si="3"/>
        <v>0</v>
      </c>
      <c r="AA48" s="146">
        <f t="shared" si="3"/>
        <v>0</v>
      </c>
      <c r="AB48" s="146" t="str">
        <f t="shared" si="3"/>
        <v/>
      </c>
      <c r="AC48" s="146">
        <f t="shared" si="3"/>
        <v>0</v>
      </c>
      <c r="AD48" s="146">
        <f t="shared" si="3"/>
        <v>0</v>
      </c>
      <c r="AE48" s="146" t="str">
        <f t="shared" si="3"/>
        <v>＋</v>
      </c>
      <c r="AF48" s="146" t="str">
        <f>AF15</f>
        <v>－</v>
      </c>
      <c r="AG48" s="146" t="str">
        <f>AG15</f>
        <v>＋</v>
      </c>
      <c r="AH48" s="146" t="str">
        <f>AH15</f>
        <v>－</v>
      </c>
      <c r="AI48" s="146">
        <f>AI15</f>
        <v>0</v>
      </c>
      <c r="AJ48" s="146"/>
      <c r="AK48" s="146" t="str">
        <f t="shared" si="3"/>
        <v>＋</v>
      </c>
      <c r="AL48" s="146">
        <f t="shared" si="3"/>
        <v>90</v>
      </c>
      <c r="AM48" s="146" t="str">
        <f t="shared" si="3"/>
        <v>＋</v>
      </c>
      <c r="AN48" s="146">
        <f t="shared" si="3"/>
        <v>1730</v>
      </c>
      <c r="AO48" s="146" t="str">
        <f t="shared" si="3"/>
        <v>＋</v>
      </c>
      <c r="AP48" s="146">
        <f t="shared" si="3"/>
        <v>10</v>
      </c>
      <c r="AQ48" s="146" t="str">
        <f t="shared" si="3"/>
        <v>＋</v>
      </c>
      <c r="AR48" s="146">
        <f t="shared" si="3"/>
        <v>910</v>
      </c>
      <c r="AS48" s="146" t="str">
        <f t="shared" si="3"/>
        <v>＋</v>
      </c>
      <c r="AT48" s="146">
        <f t="shared" si="3"/>
        <v>9</v>
      </c>
      <c r="AU48" s="146" t="str">
        <f t="shared" si="3"/>
        <v>＋</v>
      </c>
      <c r="AV48" s="146">
        <f t="shared" si="3"/>
        <v>160</v>
      </c>
      <c r="AW48" s="146" t="str">
        <f t="shared" si="3"/>
        <v>＋</v>
      </c>
      <c r="AX48" s="146">
        <f t="shared" si="3"/>
        <v>1</v>
      </c>
      <c r="AY48" s="146"/>
      <c r="AZ48" s="146" t="str">
        <f t="shared" si="3"/>
        <v xml:space="preserve">  36人～　45人</v>
      </c>
      <c r="BA48" s="146">
        <f t="shared" si="3"/>
        <v>0</v>
      </c>
      <c r="BB48" s="146"/>
      <c r="BC48" s="146"/>
      <c r="BD48" s="146">
        <f>BD16</f>
        <v>20</v>
      </c>
      <c r="BE48" s="146" t="str">
        <f t="shared" si="3"/>
        <v>－</v>
      </c>
      <c r="BF48" s="146">
        <f>BF16</f>
        <v>90</v>
      </c>
      <c r="BG48" s="146" t="str">
        <f t="shared" si="3"/>
        <v>－</v>
      </c>
      <c r="BH48" s="146">
        <f>BH16</f>
        <v>60</v>
      </c>
      <c r="BI48" s="146">
        <f t="shared" si="3"/>
        <v>0</v>
      </c>
      <c r="BJ48" s="233">
        <f>BJ16</f>
        <v>0</v>
      </c>
    </row>
    <row r="49" spans="1:62" s="152" customFormat="1">
      <c r="A49" s="146"/>
      <c r="B49" s="146">
        <v>46</v>
      </c>
      <c r="C49" s="146"/>
      <c r="D49" s="146" t="str">
        <f>D17</f>
        <v>４歳以上児</v>
      </c>
      <c r="E49" s="146">
        <f t="shared" ref="E49:BI49" si="4">E17</f>
        <v>0</v>
      </c>
      <c r="F49" s="146">
        <f t="shared" si="4"/>
        <v>29890</v>
      </c>
      <c r="G49" s="146">
        <f t="shared" si="4"/>
        <v>36960</v>
      </c>
      <c r="H49" s="146" t="str">
        <f t="shared" si="4"/>
        <v>＋</v>
      </c>
      <c r="I49" s="146">
        <f t="shared" si="4"/>
        <v>280</v>
      </c>
      <c r="J49" s="146">
        <f t="shared" si="4"/>
        <v>350</v>
      </c>
      <c r="K49" s="146" t="str">
        <f t="shared" si="4"/>
        <v>×加算率</v>
      </c>
      <c r="L49" s="146" t="str">
        <f t="shared" si="4"/>
        <v>＋</v>
      </c>
      <c r="M49" s="146">
        <f t="shared" si="4"/>
        <v>1620</v>
      </c>
      <c r="N49" s="146" t="str">
        <f t="shared" si="4"/>
        <v>＋</v>
      </c>
      <c r="O49" s="146">
        <f t="shared" si="4"/>
        <v>10</v>
      </c>
      <c r="P49" s="146" t="str">
        <f t="shared" si="4"/>
        <v>＋</v>
      </c>
      <c r="Q49" s="146">
        <f t="shared" si="4"/>
        <v>7070</v>
      </c>
      <c r="R49" s="146" t="str">
        <f t="shared" si="4"/>
        <v>＋</v>
      </c>
      <c r="S49" s="146">
        <f t="shared" si="4"/>
        <v>70</v>
      </c>
      <c r="T49" s="146" t="str">
        <f t="shared" si="4"/>
        <v>＋</v>
      </c>
      <c r="U49" s="146">
        <f t="shared" si="4"/>
        <v>7070</v>
      </c>
      <c r="V49" s="146">
        <f t="shared" si="4"/>
        <v>70</v>
      </c>
      <c r="W49" s="146">
        <f t="shared" si="4"/>
        <v>0</v>
      </c>
      <c r="X49" s="146">
        <f t="shared" si="4"/>
        <v>0</v>
      </c>
      <c r="Y49" s="146">
        <f t="shared" si="4"/>
        <v>0</v>
      </c>
      <c r="Z49" s="146">
        <f t="shared" si="4"/>
        <v>0</v>
      </c>
      <c r="AA49" s="146">
        <f t="shared" si="4"/>
        <v>0</v>
      </c>
      <c r="AB49" s="146" t="str">
        <f t="shared" si="4"/>
        <v/>
      </c>
      <c r="AC49" s="146">
        <f t="shared" si="4"/>
        <v>0</v>
      </c>
      <c r="AD49" s="146">
        <f t="shared" si="4"/>
        <v>0</v>
      </c>
      <c r="AE49" s="146" t="str">
        <f t="shared" si="4"/>
        <v>＋</v>
      </c>
      <c r="AF49" s="146" t="str">
        <f>AF17</f>
        <v>－</v>
      </c>
      <c r="AG49" s="146" t="str">
        <f>AG17</f>
        <v>＋</v>
      </c>
      <c r="AH49" s="146" t="str">
        <f>AH17</f>
        <v>－</v>
      </c>
      <c r="AI49" s="146">
        <f>AI17</f>
        <v>0</v>
      </c>
      <c r="AJ49" s="146"/>
      <c r="AK49" s="146" t="str">
        <f t="shared" si="4"/>
        <v>＋</v>
      </c>
      <c r="AL49" s="146">
        <f t="shared" si="4"/>
        <v>70</v>
      </c>
      <c r="AM49" s="146" t="str">
        <f t="shared" si="4"/>
        <v>＋</v>
      </c>
      <c r="AN49" s="146">
        <f t="shared" si="4"/>
        <v>1300</v>
      </c>
      <c r="AO49" s="146" t="str">
        <f t="shared" si="4"/>
        <v>＋</v>
      </c>
      <c r="AP49" s="146">
        <f t="shared" si="4"/>
        <v>10</v>
      </c>
      <c r="AQ49" s="146" t="str">
        <f t="shared" si="4"/>
        <v>＋</v>
      </c>
      <c r="AR49" s="146">
        <f t="shared" si="4"/>
        <v>680</v>
      </c>
      <c r="AS49" s="146" t="str">
        <f t="shared" si="4"/>
        <v>＋</v>
      </c>
      <c r="AT49" s="146">
        <f t="shared" si="4"/>
        <v>6</v>
      </c>
      <c r="AU49" s="146" t="str">
        <f t="shared" si="4"/>
        <v>＋</v>
      </c>
      <c r="AV49" s="146">
        <f t="shared" si="4"/>
        <v>120</v>
      </c>
      <c r="AW49" s="146" t="str">
        <f t="shared" si="4"/>
        <v>＋</v>
      </c>
      <c r="AX49" s="146">
        <f t="shared" si="4"/>
        <v>1</v>
      </c>
      <c r="AY49" s="146"/>
      <c r="AZ49" s="146" t="str">
        <f t="shared" si="4"/>
        <v xml:space="preserve">  46人～　60人</v>
      </c>
      <c r="BA49" s="146">
        <f t="shared" si="4"/>
        <v>0</v>
      </c>
      <c r="BB49" s="146"/>
      <c r="BC49" s="146"/>
      <c r="BD49" s="146">
        <f>BD18</f>
        <v>10</v>
      </c>
      <c r="BE49" s="146" t="str">
        <f t="shared" si="4"/>
        <v>－</v>
      </c>
      <c r="BF49" s="146">
        <f>BF18</f>
        <v>70</v>
      </c>
      <c r="BG49" s="146" t="str">
        <f t="shared" si="4"/>
        <v>－</v>
      </c>
      <c r="BH49" s="146">
        <f>BH18</f>
        <v>50</v>
      </c>
      <c r="BI49" s="146">
        <f t="shared" si="4"/>
        <v>0</v>
      </c>
      <c r="BJ49" s="233">
        <f>BJ18</f>
        <v>0</v>
      </c>
    </row>
    <row r="50" spans="1:62" s="152" customFormat="1">
      <c r="A50" s="146"/>
      <c r="B50" s="146">
        <v>61</v>
      </c>
      <c r="C50" s="146"/>
      <c r="D50" s="146" t="str">
        <f>D19</f>
        <v>４歳以上児</v>
      </c>
      <c r="E50" s="146">
        <f t="shared" ref="E50:BI50" si="5">E19</f>
        <v>0</v>
      </c>
      <c r="F50" s="146">
        <f t="shared" si="5"/>
        <v>27630</v>
      </c>
      <c r="G50" s="146">
        <f t="shared" si="5"/>
        <v>34700</v>
      </c>
      <c r="H50" s="146" t="str">
        <f t="shared" si="5"/>
        <v>＋</v>
      </c>
      <c r="I50" s="146">
        <f t="shared" si="5"/>
        <v>250</v>
      </c>
      <c r="J50" s="146">
        <f t="shared" si="5"/>
        <v>320</v>
      </c>
      <c r="K50" s="146" t="str">
        <f t="shared" si="5"/>
        <v>×加算率</v>
      </c>
      <c r="L50" s="146" t="str">
        <f t="shared" si="5"/>
        <v>＋</v>
      </c>
      <c r="M50" s="146">
        <f t="shared" si="5"/>
        <v>1300</v>
      </c>
      <c r="N50" s="146" t="str">
        <f t="shared" si="5"/>
        <v>＋</v>
      </c>
      <c r="O50" s="146">
        <f t="shared" si="5"/>
        <v>10</v>
      </c>
      <c r="P50" s="146" t="str">
        <f t="shared" si="5"/>
        <v>＋</v>
      </c>
      <c r="Q50" s="146">
        <f t="shared" si="5"/>
        <v>5650</v>
      </c>
      <c r="R50" s="146" t="str">
        <f t="shared" si="5"/>
        <v>＋</v>
      </c>
      <c r="S50" s="146">
        <f t="shared" si="5"/>
        <v>50</v>
      </c>
      <c r="T50" s="146" t="str">
        <f t="shared" si="5"/>
        <v>＋</v>
      </c>
      <c r="U50" s="146">
        <f t="shared" si="5"/>
        <v>7070</v>
      </c>
      <c r="V50" s="146">
        <f t="shared" si="5"/>
        <v>70</v>
      </c>
      <c r="W50" s="146">
        <f t="shared" si="5"/>
        <v>0</v>
      </c>
      <c r="X50" s="146">
        <f t="shared" si="5"/>
        <v>0</v>
      </c>
      <c r="Y50" s="146">
        <f t="shared" si="5"/>
        <v>0</v>
      </c>
      <c r="Z50" s="146">
        <f t="shared" si="5"/>
        <v>0</v>
      </c>
      <c r="AA50" s="146">
        <f t="shared" si="5"/>
        <v>0</v>
      </c>
      <c r="AB50" s="146" t="str">
        <f t="shared" si="5"/>
        <v/>
      </c>
      <c r="AC50" s="146">
        <f t="shared" si="5"/>
        <v>0</v>
      </c>
      <c r="AD50" s="146">
        <f t="shared" si="5"/>
        <v>0</v>
      </c>
      <c r="AE50" s="146" t="str">
        <f t="shared" si="5"/>
        <v>＋</v>
      </c>
      <c r="AF50" s="146" t="str">
        <f>AF19</f>
        <v>－</v>
      </c>
      <c r="AG50" s="146" t="str">
        <f>AG19</f>
        <v>＋</v>
      </c>
      <c r="AH50" s="146" t="str">
        <f>AH19</f>
        <v>－</v>
      </c>
      <c r="AI50" s="146">
        <f>AI19</f>
        <v>0</v>
      </c>
      <c r="AJ50" s="146"/>
      <c r="AK50" s="146" t="str">
        <f t="shared" si="5"/>
        <v>＋</v>
      </c>
      <c r="AL50" s="146">
        <f t="shared" si="5"/>
        <v>50</v>
      </c>
      <c r="AM50" s="146" t="str">
        <f t="shared" si="5"/>
        <v>＋</v>
      </c>
      <c r="AN50" s="146">
        <f t="shared" si="5"/>
        <v>1040</v>
      </c>
      <c r="AO50" s="146" t="str">
        <f t="shared" si="5"/>
        <v>＋</v>
      </c>
      <c r="AP50" s="146">
        <f t="shared" si="5"/>
        <v>10</v>
      </c>
      <c r="AQ50" s="146" t="str">
        <f t="shared" si="5"/>
        <v>＋</v>
      </c>
      <c r="AR50" s="146">
        <f t="shared" si="5"/>
        <v>570</v>
      </c>
      <c r="AS50" s="146" t="str">
        <f t="shared" si="5"/>
        <v>＋</v>
      </c>
      <c r="AT50" s="146">
        <f t="shared" si="5"/>
        <v>5</v>
      </c>
      <c r="AU50" s="146" t="str">
        <f t="shared" si="5"/>
        <v>＋</v>
      </c>
      <c r="AV50" s="146">
        <f t="shared" si="5"/>
        <v>100</v>
      </c>
      <c r="AW50" s="146" t="str">
        <f t="shared" si="5"/>
        <v>＋</v>
      </c>
      <c r="AX50" s="146">
        <f t="shared" si="5"/>
        <v>1</v>
      </c>
      <c r="AY50" s="146"/>
      <c r="AZ50" s="146" t="str">
        <f t="shared" si="5"/>
        <v xml:space="preserve">  61人～　75人</v>
      </c>
      <c r="BA50" s="146">
        <f t="shared" si="5"/>
        <v>0</v>
      </c>
      <c r="BB50" s="146"/>
      <c r="BC50" s="146"/>
      <c r="BD50" s="146">
        <f>BD20</f>
        <v>10</v>
      </c>
      <c r="BE50" s="146" t="str">
        <f t="shared" si="5"/>
        <v>－</v>
      </c>
      <c r="BF50" s="146">
        <f>BF20</f>
        <v>50</v>
      </c>
      <c r="BG50" s="146" t="str">
        <f t="shared" si="5"/>
        <v>－</v>
      </c>
      <c r="BH50" s="146">
        <f>BH20</f>
        <v>40</v>
      </c>
      <c r="BI50" s="146">
        <f t="shared" si="5"/>
        <v>0</v>
      </c>
      <c r="BJ50" s="233">
        <f>BJ20</f>
        <v>0</v>
      </c>
    </row>
    <row r="51" spans="1:62" s="152" customFormat="1">
      <c r="A51" s="146"/>
      <c r="B51" s="146">
        <v>76</v>
      </c>
      <c r="C51" s="146"/>
      <c r="D51" s="146" t="str">
        <f>D21</f>
        <v>４歳以上児</v>
      </c>
      <c r="E51" s="146">
        <f t="shared" ref="E51:BI51" si="6">E21</f>
        <v>0</v>
      </c>
      <c r="F51" s="146">
        <f t="shared" si="6"/>
        <v>26100</v>
      </c>
      <c r="G51" s="146">
        <f t="shared" si="6"/>
        <v>33170</v>
      </c>
      <c r="H51" s="146" t="str">
        <f t="shared" si="6"/>
        <v>＋</v>
      </c>
      <c r="I51" s="146">
        <f t="shared" si="6"/>
        <v>240</v>
      </c>
      <c r="J51" s="146">
        <f t="shared" si="6"/>
        <v>310</v>
      </c>
      <c r="K51" s="146" t="str">
        <f t="shared" si="6"/>
        <v>×加算率</v>
      </c>
      <c r="L51" s="146" t="str">
        <f t="shared" si="6"/>
        <v>＋</v>
      </c>
      <c r="M51" s="146">
        <f t="shared" si="6"/>
        <v>1080</v>
      </c>
      <c r="N51" s="146" t="str">
        <f t="shared" si="6"/>
        <v>＋</v>
      </c>
      <c r="O51" s="146">
        <f t="shared" si="6"/>
        <v>10</v>
      </c>
      <c r="P51" s="146" t="str">
        <f t="shared" si="6"/>
        <v>＋</v>
      </c>
      <c r="Q51" s="146">
        <f t="shared" si="6"/>
        <v>4710</v>
      </c>
      <c r="R51" s="146" t="str">
        <f t="shared" si="6"/>
        <v>＋</v>
      </c>
      <c r="S51" s="146">
        <f t="shared" si="6"/>
        <v>40</v>
      </c>
      <c r="T51" s="146" t="str">
        <f t="shared" si="6"/>
        <v>＋</v>
      </c>
      <c r="U51" s="146">
        <f t="shared" si="6"/>
        <v>7070</v>
      </c>
      <c r="V51" s="146">
        <f t="shared" si="6"/>
        <v>70</v>
      </c>
      <c r="W51" s="146">
        <f t="shared" si="6"/>
        <v>0</v>
      </c>
      <c r="X51" s="146">
        <f t="shared" si="6"/>
        <v>0</v>
      </c>
      <c r="Y51" s="146">
        <f t="shared" si="6"/>
        <v>0</v>
      </c>
      <c r="Z51" s="146">
        <f t="shared" si="6"/>
        <v>0</v>
      </c>
      <c r="AA51" s="146">
        <f t="shared" si="6"/>
        <v>0</v>
      </c>
      <c r="AB51" s="146" t="str">
        <f t="shared" si="6"/>
        <v/>
      </c>
      <c r="AC51" s="146">
        <f t="shared" si="6"/>
        <v>0</v>
      </c>
      <c r="AD51" s="146">
        <f t="shared" si="6"/>
        <v>0</v>
      </c>
      <c r="AE51" s="146" t="str">
        <f t="shared" si="6"/>
        <v>＋</v>
      </c>
      <c r="AF51" s="146" t="str">
        <f>AF21</f>
        <v>－</v>
      </c>
      <c r="AG51" s="146" t="str">
        <f>AG21</f>
        <v>＋</v>
      </c>
      <c r="AH51" s="146" t="str">
        <f>AH21</f>
        <v>－</v>
      </c>
      <c r="AI51" s="146">
        <f>AI21</f>
        <v>0</v>
      </c>
      <c r="AJ51" s="146"/>
      <c r="AK51" s="146" t="str">
        <f t="shared" si="6"/>
        <v>＋</v>
      </c>
      <c r="AL51" s="146">
        <f t="shared" si="6"/>
        <v>40</v>
      </c>
      <c r="AM51" s="146" t="str">
        <f t="shared" si="6"/>
        <v>＋</v>
      </c>
      <c r="AN51" s="146">
        <f t="shared" si="6"/>
        <v>860</v>
      </c>
      <c r="AO51" s="146" t="str">
        <f t="shared" si="6"/>
        <v>＋</v>
      </c>
      <c r="AP51" s="146">
        <f t="shared" si="6"/>
        <v>8</v>
      </c>
      <c r="AQ51" s="146" t="str">
        <f t="shared" si="6"/>
        <v>＋</v>
      </c>
      <c r="AR51" s="146">
        <f t="shared" si="6"/>
        <v>500</v>
      </c>
      <c r="AS51" s="146" t="str">
        <f t="shared" si="6"/>
        <v>＋</v>
      </c>
      <c r="AT51" s="146">
        <f t="shared" si="6"/>
        <v>5</v>
      </c>
      <c r="AU51" s="146" t="str">
        <f t="shared" si="6"/>
        <v>＋</v>
      </c>
      <c r="AV51" s="146">
        <f t="shared" si="6"/>
        <v>80</v>
      </c>
      <c r="AW51" s="146" t="str">
        <f t="shared" si="6"/>
        <v>＋</v>
      </c>
      <c r="AX51" s="146">
        <f t="shared" si="6"/>
        <v>1</v>
      </c>
      <c r="AY51" s="146"/>
      <c r="AZ51" s="146" t="str">
        <f t="shared" si="6"/>
        <v xml:space="preserve">  76人～　90人</v>
      </c>
      <c r="BA51" s="146">
        <f t="shared" si="6"/>
        <v>0</v>
      </c>
      <c r="BB51" s="146"/>
      <c r="BC51" s="146"/>
      <c r="BD51" s="146">
        <f>BD22</f>
        <v>10</v>
      </c>
      <c r="BE51" s="146" t="str">
        <f t="shared" si="6"/>
        <v>－</v>
      </c>
      <c r="BF51" s="146">
        <f>BF22</f>
        <v>40</v>
      </c>
      <c r="BG51" s="146" t="str">
        <f t="shared" si="6"/>
        <v>－</v>
      </c>
      <c r="BH51" s="146">
        <f>BH22</f>
        <v>30</v>
      </c>
      <c r="BI51" s="146">
        <f t="shared" si="6"/>
        <v>0</v>
      </c>
      <c r="BJ51" s="233">
        <f>BJ22</f>
        <v>0</v>
      </c>
    </row>
    <row r="52" spans="1:62" s="152" customFormat="1">
      <c r="A52" s="146"/>
      <c r="B52" s="146">
        <v>91</v>
      </c>
      <c r="C52" s="146"/>
      <c r="D52" s="146" t="str">
        <f>D23</f>
        <v>４歳以上児</v>
      </c>
      <c r="E52" s="146">
        <f t="shared" ref="E52:BI52" si="7">E23</f>
        <v>0</v>
      </c>
      <c r="F52" s="146">
        <f t="shared" si="7"/>
        <v>25670</v>
      </c>
      <c r="G52" s="146">
        <f t="shared" si="7"/>
        <v>32740</v>
      </c>
      <c r="H52" s="146" t="str">
        <f t="shared" si="7"/>
        <v>＋</v>
      </c>
      <c r="I52" s="146">
        <f t="shared" si="7"/>
        <v>230</v>
      </c>
      <c r="J52" s="146">
        <f t="shared" si="7"/>
        <v>310</v>
      </c>
      <c r="K52" s="146" t="str">
        <f t="shared" si="7"/>
        <v>×加算率</v>
      </c>
      <c r="L52" s="146" t="str">
        <f t="shared" si="7"/>
        <v>＋</v>
      </c>
      <c r="M52" s="146">
        <f t="shared" si="7"/>
        <v>920</v>
      </c>
      <c r="N52" s="146" t="str">
        <f t="shared" si="7"/>
        <v>＋</v>
      </c>
      <c r="O52" s="146">
        <f t="shared" si="7"/>
        <v>9</v>
      </c>
      <c r="P52" s="146" t="str">
        <f t="shared" si="7"/>
        <v>＋</v>
      </c>
      <c r="Q52" s="146">
        <f t="shared" si="7"/>
        <v>4040</v>
      </c>
      <c r="R52" s="146" t="str">
        <f t="shared" si="7"/>
        <v>＋</v>
      </c>
      <c r="S52" s="146">
        <f t="shared" si="7"/>
        <v>40</v>
      </c>
      <c r="T52" s="146" t="str">
        <f t="shared" si="7"/>
        <v>＋</v>
      </c>
      <c r="U52" s="146">
        <f t="shared" si="7"/>
        <v>7070</v>
      </c>
      <c r="V52" s="146">
        <f t="shared" si="7"/>
        <v>70</v>
      </c>
      <c r="W52" s="146">
        <f t="shared" si="7"/>
        <v>0</v>
      </c>
      <c r="X52" s="146">
        <f t="shared" si="7"/>
        <v>0</v>
      </c>
      <c r="Y52" s="146">
        <f t="shared" si="7"/>
        <v>0</v>
      </c>
      <c r="Z52" s="146">
        <f t="shared" si="7"/>
        <v>0</v>
      </c>
      <c r="AA52" s="146">
        <f t="shared" si="7"/>
        <v>0</v>
      </c>
      <c r="AB52" s="146" t="str">
        <f t="shared" si="7"/>
        <v/>
      </c>
      <c r="AC52" s="146">
        <f t="shared" si="7"/>
        <v>0</v>
      </c>
      <c r="AD52" s="146">
        <f t="shared" si="7"/>
        <v>0</v>
      </c>
      <c r="AE52" s="146" t="str">
        <f t="shared" si="7"/>
        <v>＋</v>
      </c>
      <c r="AF52" s="146" t="str">
        <f>AF23</f>
        <v>－</v>
      </c>
      <c r="AG52" s="146" t="str">
        <f>AG23</f>
        <v>＋</v>
      </c>
      <c r="AH52" s="146" t="str">
        <f>AH23</f>
        <v>－</v>
      </c>
      <c r="AI52" s="146">
        <f>AI23</f>
        <v>0</v>
      </c>
      <c r="AJ52" s="146"/>
      <c r="AK52" s="146" t="str">
        <f t="shared" si="7"/>
        <v>＋</v>
      </c>
      <c r="AL52" s="146">
        <f t="shared" si="7"/>
        <v>40</v>
      </c>
      <c r="AM52" s="146" t="str">
        <f t="shared" si="7"/>
        <v>＋</v>
      </c>
      <c r="AN52" s="146">
        <f t="shared" si="7"/>
        <v>740</v>
      </c>
      <c r="AO52" s="146" t="str">
        <f t="shared" si="7"/>
        <v>＋</v>
      </c>
      <c r="AP52" s="146">
        <f t="shared" si="7"/>
        <v>7</v>
      </c>
      <c r="AQ52" s="146" t="str">
        <f t="shared" si="7"/>
        <v>＋</v>
      </c>
      <c r="AR52" s="146">
        <f t="shared" si="7"/>
        <v>440</v>
      </c>
      <c r="AS52" s="146" t="str">
        <f t="shared" si="7"/>
        <v>＋</v>
      </c>
      <c r="AT52" s="146">
        <f t="shared" si="7"/>
        <v>4</v>
      </c>
      <c r="AU52" s="146" t="str">
        <f t="shared" si="7"/>
        <v>＋</v>
      </c>
      <c r="AV52" s="146">
        <f t="shared" si="7"/>
        <v>80</v>
      </c>
      <c r="AW52" s="146" t="str">
        <f t="shared" si="7"/>
        <v>＋</v>
      </c>
      <c r="AX52" s="146">
        <f t="shared" si="7"/>
        <v>1</v>
      </c>
      <c r="AY52" s="146"/>
      <c r="AZ52" s="146" t="str">
        <f t="shared" si="7"/>
        <v xml:space="preserve">  91人～ 105人</v>
      </c>
      <c r="BA52" s="146">
        <f t="shared" si="7"/>
        <v>0</v>
      </c>
      <c r="BB52" s="146"/>
      <c r="BC52" s="146"/>
      <c r="BD52" s="146">
        <f>BD24</f>
        <v>10</v>
      </c>
      <c r="BE52" s="146" t="str">
        <f t="shared" si="7"/>
        <v>－</v>
      </c>
      <c r="BF52" s="146">
        <f>BF24</f>
        <v>40</v>
      </c>
      <c r="BG52" s="146" t="str">
        <f t="shared" si="7"/>
        <v>－</v>
      </c>
      <c r="BH52" s="146">
        <f>BH24</f>
        <v>20</v>
      </c>
      <c r="BI52" s="146">
        <f t="shared" si="7"/>
        <v>0</v>
      </c>
      <c r="BJ52" s="233">
        <f>BJ24</f>
        <v>0</v>
      </c>
    </row>
    <row r="53" spans="1:62" s="152" customFormat="1">
      <c r="A53" s="146"/>
      <c r="B53" s="146">
        <v>106</v>
      </c>
      <c r="C53" s="146"/>
      <c r="D53" s="146" t="str">
        <f>D25</f>
        <v>４歳以上児</v>
      </c>
      <c r="E53" s="146">
        <f t="shared" ref="E53:BI53" si="8">E25</f>
        <v>0</v>
      </c>
      <c r="F53" s="146">
        <f t="shared" si="8"/>
        <v>24790</v>
      </c>
      <c r="G53" s="146">
        <f t="shared" si="8"/>
        <v>31860</v>
      </c>
      <c r="H53" s="146" t="str">
        <f t="shared" si="8"/>
        <v>＋</v>
      </c>
      <c r="I53" s="146">
        <f t="shared" si="8"/>
        <v>230</v>
      </c>
      <c r="J53" s="146">
        <f t="shared" si="8"/>
        <v>300</v>
      </c>
      <c r="K53" s="146" t="str">
        <f t="shared" si="8"/>
        <v>×加算率</v>
      </c>
      <c r="L53" s="146" t="str">
        <f t="shared" si="8"/>
        <v>＋</v>
      </c>
      <c r="M53" s="146">
        <f t="shared" si="8"/>
        <v>810</v>
      </c>
      <c r="N53" s="146" t="str">
        <f t="shared" si="8"/>
        <v>＋</v>
      </c>
      <c r="O53" s="146">
        <f t="shared" si="8"/>
        <v>8</v>
      </c>
      <c r="P53" s="146" t="str">
        <f t="shared" si="8"/>
        <v>＋</v>
      </c>
      <c r="Q53" s="146">
        <f t="shared" si="8"/>
        <v>3530</v>
      </c>
      <c r="R53" s="146" t="str">
        <f t="shared" si="8"/>
        <v>＋</v>
      </c>
      <c r="S53" s="146">
        <f t="shared" si="8"/>
        <v>30</v>
      </c>
      <c r="T53" s="146" t="str">
        <f t="shared" si="8"/>
        <v>＋</v>
      </c>
      <c r="U53" s="146">
        <f t="shared" si="8"/>
        <v>7070</v>
      </c>
      <c r="V53" s="146">
        <f t="shared" si="8"/>
        <v>70</v>
      </c>
      <c r="W53" s="146">
        <f t="shared" si="8"/>
        <v>0</v>
      </c>
      <c r="X53" s="146">
        <f t="shared" si="8"/>
        <v>0</v>
      </c>
      <c r="Y53" s="146">
        <f t="shared" si="8"/>
        <v>0</v>
      </c>
      <c r="Z53" s="146">
        <f t="shared" si="8"/>
        <v>0</v>
      </c>
      <c r="AA53" s="146">
        <f t="shared" si="8"/>
        <v>0</v>
      </c>
      <c r="AB53" s="146" t="str">
        <f t="shared" si="8"/>
        <v/>
      </c>
      <c r="AC53" s="146">
        <f t="shared" si="8"/>
        <v>0</v>
      </c>
      <c r="AD53" s="146">
        <f t="shared" si="8"/>
        <v>0</v>
      </c>
      <c r="AE53" s="146" t="str">
        <f t="shared" si="8"/>
        <v>＋</v>
      </c>
      <c r="AF53" s="146" t="str">
        <f>AF25</f>
        <v>－</v>
      </c>
      <c r="AG53" s="146" t="str">
        <f>AG25</f>
        <v>＋</v>
      </c>
      <c r="AH53" s="146" t="str">
        <f>AH25</f>
        <v>－</v>
      </c>
      <c r="AI53" s="146">
        <f>AI25</f>
        <v>0</v>
      </c>
      <c r="AJ53" s="146"/>
      <c r="AK53" s="146" t="str">
        <f t="shared" si="8"/>
        <v>＋</v>
      </c>
      <c r="AL53" s="146">
        <f t="shared" si="8"/>
        <v>30</v>
      </c>
      <c r="AM53" s="146" t="str">
        <f t="shared" si="8"/>
        <v>＋</v>
      </c>
      <c r="AN53" s="146">
        <f t="shared" si="8"/>
        <v>650</v>
      </c>
      <c r="AO53" s="146" t="str">
        <f t="shared" si="8"/>
        <v>＋</v>
      </c>
      <c r="AP53" s="146">
        <f t="shared" si="8"/>
        <v>6</v>
      </c>
      <c r="AQ53" s="146" t="str">
        <f t="shared" si="8"/>
        <v>＋</v>
      </c>
      <c r="AR53" s="146">
        <f t="shared" si="8"/>
        <v>410</v>
      </c>
      <c r="AS53" s="146" t="str">
        <f t="shared" si="8"/>
        <v>＋</v>
      </c>
      <c r="AT53" s="146">
        <f t="shared" si="8"/>
        <v>4</v>
      </c>
      <c r="AU53" s="146" t="str">
        <f t="shared" si="8"/>
        <v>＋</v>
      </c>
      <c r="AV53" s="146">
        <f t="shared" si="8"/>
        <v>70</v>
      </c>
      <c r="AW53" s="146" t="str">
        <f t="shared" si="8"/>
        <v>＋</v>
      </c>
      <c r="AX53" s="146">
        <f t="shared" si="8"/>
        <v>1</v>
      </c>
      <c r="AY53" s="146"/>
      <c r="AZ53" s="146" t="str">
        <f t="shared" si="8"/>
        <v xml:space="preserve"> 106人～ 120人</v>
      </c>
      <c r="BA53" s="146">
        <f t="shared" si="8"/>
        <v>0</v>
      </c>
      <c r="BB53" s="146"/>
      <c r="BC53" s="146"/>
      <c r="BD53" s="146">
        <f>BD26</f>
        <v>9</v>
      </c>
      <c r="BE53" s="146" t="str">
        <f t="shared" si="8"/>
        <v>－</v>
      </c>
      <c r="BF53" s="146">
        <f>BF26</f>
        <v>30</v>
      </c>
      <c r="BG53" s="146" t="str">
        <f t="shared" si="8"/>
        <v>－</v>
      </c>
      <c r="BH53" s="146">
        <f>BH26</f>
        <v>20</v>
      </c>
      <c r="BI53" s="146">
        <f t="shared" si="8"/>
        <v>0</v>
      </c>
      <c r="BJ53" s="233">
        <f>BJ26</f>
        <v>0</v>
      </c>
    </row>
    <row r="54" spans="1:62" s="152" customFormat="1">
      <c r="A54" s="146"/>
      <c r="B54" s="146">
        <v>121</v>
      </c>
      <c r="C54" s="146"/>
      <c r="D54" s="146" t="str">
        <f>D27</f>
        <v>４歳以上児</v>
      </c>
      <c r="E54" s="146">
        <f t="shared" ref="E54:BI54" si="9">E27</f>
        <v>0</v>
      </c>
      <c r="F54" s="146">
        <f t="shared" si="9"/>
        <v>24080</v>
      </c>
      <c r="G54" s="146">
        <f t="shared" si="9"/>
        <v>31150</v>
      </c>
      <c r="H54" s="146" t="str">
        <f t="shared" si="9"/>
        <v>＋</v>
      </c>
      <c r="I54" s="146">
        <f t="shared" si="9"/>
        <v>220</v>
      </c>
      <c r="J54" s="146">
        <f t="shared" si="9"/>
        <v>290</v>
      </c>
      <c r="K54" s="146" t="str">
        <f t="shared" si="9"/>
        <v>×加算率</v>
      </c>
      <c r="L54" s="146" t="str">
        <f t="shared" si="9"/>
        <v>＋</v>
      </c>
      <c r="M54" s="146">
        <f t="shared" si="9"/>
        <v>720</v>
      </c>
      <c r="N54" s="146" t="str">
        <f t="shared" si="9"/>
        <v>＋</v>
      </c>
      <c r="O54" s="146">
        <f t="shared" si="9"/>
        <v>7</v>
      </c>
      <c r="P54" s="146" t="str">
        <f t="shared" si="9"/>
        <v>＋</v>
      </c>
      <c r="Q54" s="146">
        <f t="shared" si="9"/>
        <v>3140</v>
      </c>
      <c r="R54" s="146" t="str">
        <f t="shared" si="9"/>
        <v>＋</v>
      </c>
      <c r="S54" s="146">
        <f t="shared" si="9"/>
        <v>30</v>
      </c>
      <c r="T54" s="146" t="str">
        <f t="shared" si="9"/>
        <v>＋</v>
      </c>
      <c r="U54" s="146">
        <f t="shared" si="9"/>
        <v>7070</v>
      </c>
      <c r="V54" s="146">
        <f t="shared" si="9"/>
        <v>70</v>
      </c>
      <c r="W54" s="146">
        <f t="shared" si="9"/>
        <v>0</v>
      </c>
      <c r="X54" s="146">
        <f t="shared" si="9"/>
        <v>0</v>
      </c>
      <c r="Y54" s="146">
        <f t="shared" si="9"/>
        <v>0</v>
      </c>
      <c r="Z54" s="146">
        <f t="shared" si="9"/>
        <v>0</v>
      </c>
      <c r="AA54" s="146">
        <f t="shared" si="9"/>
        <v>0</v>
      </c>
      <c r="AB54" s="146" t="str">
        <f t="shared" si="9"/>
        <v/>
      </c>
      <c r="AC54" s="146">
        <f t="shared" si="9"/>
        <v>0</v>
      </c>
      <c r="AD54" s="146">
        <f t="shared" si="9"/>
        <v>0</v>
      </c>
      <c r="AE54" s="146" t="str">
        <f t="shared" si="9"/>
        <v>＋</v>
      </c>
      <c r="AF54" s="146">
        <f>AF27</f>
        <v>640</v>
      </c>
      <c r="AG54" s="146" t="str">
        <f>AG27</f>
        <v>＋</v>
      </c>
      <c r="AH54" s="146">
        <f>AH27</f>
        <v>6</v>
      </c>
      <c r="AI54" s="146">
        <f>AI27</f>
        <v>0</v>
      </c>
      <c r="AJ54" s="146"/>
      <c r="AK54" s="146" t="str">
        <f t="shared" si="9"/>
        <v>＋</v>
      </c>
      <c r="AL54" s="146">
        <f t="shared" si="9"/>
        <v>30</v>
      </c>
      <c r="AM54" s="146" t="str">
        <f t="shared" si="9"/>
        <v>＋</v>
      </c>
      <c r="AN54" s="146">
        <f t="shared" si="9"/>
        <v>570</v>
      </c>
      <c r="AO54" s="146" t="str">
        <f t="shared" si="9"/>
        <v>＋</v>
      </c>
      <c r="AP54" s="146">
        <f t="shared" si="9"/>
        <v>5</v>
      </c>
      <c r="AQ54" s="146" t="str">
        <f t="shared" si="9"/>
        <v>＋</v>
      </c>
      <c r="AR54" s="146">
        <f t="shared" si="9"/>
        <v>370</v>
      </c>
      <c r="AS54" s="146" t="str">
        <f t="shared" si="9"/>
        <v>＋</v>
      </c>
      <c r="AT54" s="146">
        <f t="shared" si="9"/>
        <v>3</v>
      </c>
      <c r="AU54" s="146" t="str">
        <f t="shared" si="9"/>
        <v>＋</v>
      </c>
      <c r="AV54" s="146">
        <f t="shared" si="9"/>
        <v>60</v>
      </c>
      <c r="AW54" s="146" t="str">
        <f t="shared" si="9"/>
        <v>＋</v>
      </c>
      <c r="AX54" s="146">
        <f t="shared" si="9"/>
        <v>1</v>
      </c>
      <c r="AY54" s="146"/>
      <c r="AZ54" s="146" t="str">
        <f t="shared" si="9"/>
        <v xml:space="preserve"> 121人～ 135人</v>
      </c>
      <c r="BA54" s="146">
        <f t="shared" si="9"/>
        <v>0</v>
      </c>
      <c r="BB54" s="146"/>
      <c r="BC54" s="146"/>
      <c r="BD54" s="146">
        <f>BD28</f>
        <v>8</v>
      </c>
      <c r="BE54" s="146" t="str">
        <f t="shared" si="9"/>
        <v>－</v>
      </c>
      <c r="BF54" s="146">
        <f>BF28</f>
        <v>30</v>
      </c>
      <c r="BG54" s="146" t="str">
        <f t="shared" si="9"/>
        <v>－</v>
      </c>
      <c r="BH54" s="146">
        <f>BH28</f>
        <v>20</v>
      </c>
      <c r="BI54" s="146">
        <f t="shared" si="9"/>
        <v>0</v>
      </c>
      <c r="BJ54" s="233">
        <f>BJ28</f>
        <v>0</v>
      </c>
    </row>
    <row r="55" spans="1:62" s="152" customFormat="1">
      <c r="A55" s="146"/>
      <c r="B55" s="146">
        <v>136</v>
      </c>
      <c r="C55" s="146"/>
      <c r="D55" s="146" t="str">
        <f>D29</f>
        <v>４歳以上児</v>
      </c>
      <c r="E55" s="146">
        <f t="shared" ref="E55:BI55" si="10">E29</f>
        <v>0</v>
      </c>
      <c r="F55" s="146">
        <f t="shared" si="10"/>
        <v>23540</v>
      </c>
      <c r="G55" s="146">
        <f t="shared" si="10"/>
        <v>30610</v>
      </c>
      <c r="H55" s="146" t="str">
        <f t="shared" si="10"/>
        <v>＋</v>
      </c>
      <c r="I55" s="146">
        <f t="shared" si="10"/>
        <v>210</v>
      </c>
      <c r="J55" s="146">
        <f t="shared" si="10"/>
        <v>280</v>
      </c>
      <c r="K55" s="146" t="str">
        <f t="shared" si="10"/>
        <v>×加算率</v>
      </c>
      <c r="L55" s="146" t="str">
        <f t="shared" si="10"/>
        <v>＋</v>
      </c>
      <c r="M55" s="146">
        <f t="shared" si="10"/>
        <v>650</v>
      </c>
      <c r="N55" s="146" t="str">
        <f t="shared" si="10"/>
        <v>＋</v>
      </c>
      <c r="O55" s="146">
        <f t="shared" si="10"/>
        <v>6</v>
      </c>
      <c r="P55" s="146" t="str">
        <f t="shared" si="10"/>
        <v>＋</v>
      </c>
      <c r="Q55" s="146">
        <f t="shared" si="10"/>
        <v>2820</v>
      </c>
      <c r="R55" s="146" t="str">
        <f t="shared" si="10"/>
        <v>＋</v>
      </c>
      <c r="S55" s="146">
        <f t="shared" si="10"/>
        <v>20</v>
      </c>
      <c r="T55" s="146" t="str">
        <f t="shared" si="10"/>
        <v>＋</v>
      </c>
      <c r="U55" s="146">
        <f t="shared" si="10"/>
        <v>7070</v>
      </c>
      <c r="V55" s="146">
        <f t="shared" si="10"/>
        <v>70</v>
      </c>
      <c r="W55" s="146">
        <f t="shared" si="10"/>
        <v>0</v>
      </c>
      <c r="X55" s="146">
        <f t="shared" si="10"/>
        <v>0</v>
      </c>
      <c r="Y55" s="146">
        <f t="shared" si="10"/>
        <v>0</v>
      </c>
      <c r="Z55" s="146">
        <f t="shared" si="10"/>
        <v>0</v>
      </c>
      <c r="AA55" s="146">
        <f t="shared" si="10"/>
        <v>0</v>
      </c>
      <c r="AB55" s="146" t="str">
        <f t="shared" si="10"/>
        <v/>
      </c>
      <c r="AC55" s="146">
        <f t="shared" si="10"/>
        <v>0</v>
      </c>
      <c r="AD55" s="146">
        <f t="shared" si="10"/>
        <v>0</v>
      </c>
      <c r="AE55" s="146" t="str">
        <f t="shared" si="10"/>
        <v>＋</v>
      </c>
      <c r="AF55" s="146">
        <f>AF29</f>
        <v>570</v>
      </c>
      <c r="AG55" s="146" t="str">
        <f>AG29</f>
        <v>＋</v>
      </c>
      <c r="AH55" s="146">
        <f>AH29</f>
        <v>5</v>
      </c>
      <c r="AI55" s="146">
        <f>AI29</f>
        <v>0</v>
      </c>
      <c r="AJ55" s="146"/>
      <c r="AK55" s="146" t="str">
        <f t="shared" si="10"/>
        <v>＋</v>
      </c>
      <c r="AL55" s="146">
        <f t="shared" si="10"/>
        <v>20</v>
      </c>
      <c r="AM55" s="146" t="str">
        <f t="shared" si="10"/>
        <v>＋</v>
      </c>
      <c r="AN55" s="146">
        <f t="shared" si="10"/>
        <v>520</v>
      </c>
      <c r="AO55" s="146" t="str">
        <f t="shared" si="10"/>
        <v>＋</v>
      </c>
      <c r="AP55" s="146">
        <f t="shared" si="10"/>
        <v>5</v>
      </c>
      <c r="AQ55" s="146" t="str">
        <f t="shared" si="10"/>
        <v>＋</v>
      </c>
      <c r="AR55" s="146">
        <f t="shared" si="10"/>
        <v>350</v>
      </c>
      <c r="AS55" s="146" t="str">
        <f t="shared" si="10"/>
        <v>＋</v>
      </c>
      <c r="AT55" s="146">
        <f t="shared" si="10"/>
        <v>3</v>
      </c>
      <c r="AU55" s="146" t="str">
        <f t="shared" si="10"/>
        <v>＋</v>
      </c>
      <c r="AV55" s="146">
        <f t="shared" si="10"/>
        <v>60</v>
      </c>
      <c r="AW55" s="146" t="str">
        <f t="shared" si="10"/>
        <v>＋</v>
      </c>
      <c r="AX55" s="146">
        <f t="shared" si="10"/>
        <v>1</v>
      </c>
      <c r="AY55" s="146"/>
      <c r="AZ55" s="146" t="str">
        <f t="shared" si="10"/>
        <v xml:space="preserve"> 136人～ 150人</v>
      </c>
      <c r="BA55" s="146">
        <f t="shared" si="10"/>
        <v>0</v>
      </c>
      <c r="BB55" s="146"/>
      <c r="BC55" s="146"/>
      <c r="BD55" s="146">
        <f>BD30</f>
        <v>8</v>
      </c>
      <c r="BE55" s="146" t="str">
        <f t="shared" si="10"/>
        <v>－</v>
      </c>
      <c r="BF55" s="146">
        <f>BF30</f>
        <v>20</v>
      </c>
      <c r="BG55" s="146" t="str">
        <f t="shared" si="10"/>
        <v>－</v>
      </c>
      <c r="BH55" s="146">
        <f>BH30</f>
        <v>20</v>
      </c>
      <c r="BI55" s="146">
        <f t="shared" si="10"/>
        <v>0</v>
      </c>
      <c r="BJ55" s="233">
        <f>BJ30</f>
        <v>0</v>
      </c>
    </row>
    <row r="56" spans="1:62" s="152" customFormat="1">
      <c r="A56" s="146"/>
      <c r="B56" s="146">
        <v>151</v>
      </c>
      <c r="C56" s="146"/>
      <c r="D56" s="146" t="str">
        <f>D31</f>
        <v>４歳以上児</v>
      </c>
      <c r="E56" s="146">
        <f t="shared" ref="E56:BI56" si="11">E31</f>
        <v>0</v>
      </c>
      <c r="F56" s="146">
        <f t="shared" si="11"/>
        <v>22700</v>
      </c>
      <c r="G56" s="146">
        <f t="shared" si="11"/>
        <v>29770</v>
      </c>
      <c r="H56" s="146" t="str">
        <f t="shared" si="11"/>
        <v>＋</v>
      </c>
      <c r="I56" s="146">
        <f t="shared" si="11"/>
        <v>200</v>
      </c>
      <c r="J56" s="146">
        <f t="shared" si="11"/>
        <v>280</v>
      </c>
      <c r="K56" s="146" t="str">
        <f t="shared" si="11"/>
        <v>×加算率</v>
      </c>
      <c r="L56" s="146" t="str">
        <f t="shared" si="11"/>
        <v>＋</v>
      </c>
      <c r="M56" s="146">
        <f t="shared" si="11"/>
        <v>540</v>
      </c>
      <c r="N56" s="146" t="str">
        <f t="shared" si="11"/>
        <v>＋</v>
      </c>
      <c r="O56" s="146">
        <f t="shared" si="11"/>
        <v>5</v>
      </c>
      <c r="P56" s="146" t="str">
        <f t="shared" si="11"/>
        <v>＋</v>
      </c>
      <c r="Q56" s="146">
        <f t="shared" si="11"/>
        <v>2350</v>
      </c>
      <c r="R56" s="146" t="str">
        <f t="shared" si="11"/>
        <v>＋</v>
      </c>
      <c r="S56" s="146">
        <f t="shared" si="11"/>
        <v>20</v>
      </c>
      <c r="T56" s="146" t="str">
        <f t="shared" si="11"/>
        <v>＋</v>
      </c>
      <c r="U56" s="146">
        <f t="shared" si="11"/>
        <v>7070</v>
      </c>
      <c r="V56" s="146">
        <f t="shared" si="11"/>
        <v>70</v>
      </c>
      <c r="W56" s="146">
        <f t="shared" si="11"/>
        <v>0</v>
      </c>
      <c r="X56" s="146">
        <f t="shared" si="11"/>
        <v>0</v>
      </c>
      <c r="Y56" s="146">
        <f t="shared" si="11"/>
        <v>0</v>
      </c>
      <c r="Z56" s="146">
        <f t="shared" si="11"/>
        <v>0</v>
      </c>
      <c r="AA56" s="146">
        <f t="shared" si="11"/>
        <v>0</v>
      </c>
      <c r="AB56" s="146" t="str">
        <f t="shared" si="11"/>
        <v/>
      </c>
      <c r="AC56" s="146">
        <f t="shared" si="11"/>
        <v>0</v>
      </c>
      <c r="AD56" s="146">
        <f t="shared" si="11"/>
        <v>0</v>
      </c>
      <c r="AE56" s="146" t="str">
        <f t="shared" si="11"/>
        <v>＋</v>
      </c>
      <c r="AF56" s="146">
        <f>AF31</f>
        <v>480</v>
      </c>
      <c r="AG56" s="146" t="str">
        <f>AG31</f>
        <v>＋</v>
      </c>
      <c r="AH56" s="146">
        <f>AH31</f>
        <v>4</v>
      </c>
      <c r="AI56" s="146">
        <f>AI31</f>
        <v>0</v>
      </c>
      <c r="AJ56" s="146"/>
      <c r="AK56" s="146" t="str">
        <f t="shared" si="11"/>
        <v>＋</v>
      </c>
      <c r="AL56" s="146">
        <f t="shared" si="11"/>
        <v>20</v>
      </c>
      <c r="AM56" s="146" t="str">
        <f t="shared" si="11"/>
        <v>＋</v>
      </c>
      <c r="AN56" s="146">
        <f t="shared" si="11"/>
        <v>500</v>
      </c>
      <c r="AO56" s="146" t="str">
        <f t="shared" si="11"/>
        <v>＋</v>
      </c>
      <c r="AP56" s="146">
        <f t="shared" si="11"/>
        <v>5</v>
      </c>
      <c r="AQ56" s="146" t="str">
        <f t="shared" si="11"/>
        <v>＋</v>
      </c>
      <c r="AR56" s="146">
        <f t="shared" si="11"/>
        <v>300</v>
      </c>
      <c r="AS56" s="146" t="str">
        <f t="shared" si="11"/>
        <v>＋</v>
      </c>
      <c r="AT56" s="146">
        <f t="shared" si="11"/>
        <v>3</v>
      </c>
      <c r="AU56" s="146" t="str">
        <f t="shared" si="11"/>
        <v>＋</v>
      </c>
      <c r="AV56" s="146">
        <f t="shared" si="11"/>
        <v>50</v>
      </c>
      <c r="AW56" s="146" t="str">
        <f t="shared" si="11"/>
        <v>＋</v>
      </c>
      <c r="AX56" s="146">
        <f t="shared" si="11"/>
        <v>1</v>
      </c>
      <c r="AY56" s="146"/>
      <c r="AZ56" s="146" t="str">
        <f t="shared" si="11"/>
        <v xml:space="preserve"> 151人～ 180人</v>
      </c>
      <c r="BA56" s="146">
        <f t="shared" si="11"/>
        <v>0</v>
      </c>
      <c r="BB56" s="146"/>
      <c r="BC56" s="146"/>
      <c r="BD56" s="146">
        <f>BD32</f>
        <v>6</v>
      </c>
      <c r="BE56" s="146" t="str">
        <f t="shared" si="11"/>
        <v>－</v>
      </c>
      <c r="BF56" s="146">
        <f>BF32</f>
        <v>20</v>
      </c>
      <c r="BG56" s="146" t="str">
        <f t="shared" si="11"/>
        <v>－</v>
      </c>
      <c r="BH56" s="146">
        <f>BH32</f>
        <v>10</v>
      </c>
      <c r="BI56" s="146">
        <f t="shared" si="11"/>
        <v>0</v>
      </c>
      <c r="BJ56" s="233">
        <f>BJ32</f>
        <v>0</v>
      </c>
    </row>
    <row r="57" spans="1:62" s="152" customFormat="1">
      <c r="A57" s="146"/>
      <c r="B57" s="146">
        <v>181</v>
      </c>
      <c r="C57" s="146"/>
      <c r="D57" s="146" t="str">
        <f>D33</f>
        <v>４歳以上児</v>
      </c>
      <c r="E57" s="146">
        <f t="shared" ref="E57:BI57" si="12">E33</f>
        <v>0</v>
      </c>
      <c r="F57" s="146">
        <f t="shared" si="12"/>
        <v>22090</v>
      </c>
      <c r="G57" s="146">
        <f t="shared" si="12"/>
        <v>29160</v>
      </c>
      <c r="H57" s="146" t="str">
        <f t="shared" si="12"/>
        <v>＋</v>
      </c>
      <c r="I57" s="146">
        <f t="shared" si="12"/>
        <v>200</v>
      </c>
      <c r="J57" s="146">
        <f t="shared" si="12"/>
        <v>270</v>
      </c>
      <c r="K57" s="146" t="str">
        <f t="shared" si="12"/>
        <v>×加算率</v>
      </c>
      <c r="L57" s="146" t="str">
        <f t="shared" si="12"/>
        <v>＋</v>
      </c>
      <c r="M57" s="146">
        <f t="shared" si="12"/>
        <v>460</v>
      </c>
      <c r="N57" s="146" t="str">
        <f t="shared" si="12"/>
        <v>＋</v>
      </c>
      <c r="O57" s="146">
        <f t="shared" si="12"/>
        <v>4</v>
      </c>
      <c r="P57" s="146" t="str">
        <f t="shared" si="12"/>
        <v>＋</v>
      </c>
      <c r="Q57" s="146">
        <f t="shared" si="12"/>
        <v>2020</v>
      </c>
      <c r="R57" s="146" t="str">
        <f t="shared" si="12"/>
        <v>＋</v>
      </c>
      <c r="S57" s="146">
        <f t="shared" si="12"/>
        <v>20</v>
      </c>
      <c r="T57" s="146" t="str">
        <f t="shared" si="12"/>
        <v>＋</v>
      </c>
      <c r="U57" s="146">
        <f t="shared" si="12"/>
        <v>7070</v>
      </c>
      <c r="V57" s="146">
        <f t="shared" si="12"/>
        <v>70</v>
      </c>
      <c r="W57" s="146">
        <f t="shared" si="12"/>
        <v>0</v>
      </c>
      <c r="X57" s="146">
        <f t="shared" si="12"/>
        <v>0</v>
      </c>
      <c r="Y57" s="146">
        <f t="shared" si="12"/>
        <v>0</v>
      </c>
      <c r="Z57" s="146">
        <f t="shared" si="12"/>
        <v>0</v>
      </c>
      <c r="AA57" s="146">
        <f t="shared" si="12"/>
        <v>0</v>
      </c>
      <c r="AB57" s="146" t="str">
        <f t="shared" si="12"/>
        <v/>
      </c>
      <c r="AC57" s="146">
        <f t="shared" si="12"/>
        <v>0</v>
      </c>
      <c r="AD57" s="146">
        <f t="shared" si="12"/>
        <v>0</v>
      </c>
      <c r="AE57" s="146" t="str">
        <f t="shared" si="12"/>
        <v>＋</v>
      </c>
      <c r="AF57" s="146">
        <f>AF33</f>
        <v>410</v>
      </c>
      <c r="AG57" s="146" t="str">
        <f>AG33</f>
        <v>＋</v>
      </c>
      <c r="AH57" s="146">
        <f>AH33</f>
        <v>4</v>
      </c>
      <c r="AI57" s="146">
        <f>AI33</f>
        <v>0</v>
      </c>
      <c r="AJ57" s="146"/>
      <c r="AK57" s="146" t="str">
        <f t="shared" si="12"/>
        <v>＋</v>
      </c>
      <c r="AL57" s="146">
        <f t="shared" si="12"/>
        <v>20</v>
      </c>
      <c r="AM57" s="146" t="str">
        <f t="shared" si="12"/>
        <v>＋</v>
      </c>
      <c r="AN57" s="146">
        <f t="shared" si="12"/>
        <v>500</v>
      </c>
      <c r="AO57" s="146" t="str">
        <f t="shared" si="12"/>
        <v>＋</v>
      </c>
      <c r="AP57" s="146">
        <f t="shared" si="12"/>
        <v>5</v>
      </c>
      <c r="AQ57" s="146" t="str">
        <f t="shared" si="12"/>
        <v>＋</v>
      </c>
      <c r="AR57" s="146">
        <f t="shared" si="12"/>
        <v>270</v>
      </c>
      <c r="AS57" s="146" t="str">
        <f t="shared" si="12"/>
        <v>＋</v>
      </c>
      <c r="AT57" s="146">
        <f t="shared" si="12"/>
        <v>2</v>
      </c>
      <c r="AU57" s="146" t="str">
        <f t="shared" si="12"/>
        <v>＋</v>
      </c>
      <c r="AV57" s="146">
        <f t="shared" si="12"/>
        <v>40</v>
      </c>
      <c r="AW57" s="146" t="str">
        <f t="shared" si="12"/>
        <v>＋</v>
      </c>
      <c r="AX57" s="146">
        <f t="shared" si="12"/>
        <v>1</v>
      </c>
      <c r="AY57" s="146"/>
      <c r="AZ57" s="146" t="str">
        <f t="shared" si="12"/>
        <v xml:space="preserve"> 181人～ 210人</v>
      </c>
      <c r="BA57" s="146">
        <f t="shared" si="12"/>
        <v>0</v>
      </c>
      <c r="BB57" s="146"/>
      <c r="BC57" s="146"/>
      <c r="BD57" s="146">
        <f>BD34</f>
        <v>5</v>
      </c>
      <c r="BE57" s="146" t="str">
        <f t="shared" si="12"/>
        <v>－</v>
      </c>
      <c r="BF57" s="146">
        <f>BF34</f>
        <v>20</v>
      </c>
      <c r="BG57" s="146" t="str">
        <f t="shared" si="12"/>
        <v>－</v>
      </c>
      <c r="BH57" s="146">
        <f>BH34</f>
        <v>10</v>
      </c>
      <c r="BI57" s="146">
        <f t="shared" si="12"/>
        <v>0</v>
      </c>
      <c r="BJ57" s="233">
        <f>BJ34</f>
        <v>0</v>
      </c>
    </row>
    <row r="58" spans="1:62" s="152" customFormat="1">
      <c r="A58" s="146"/>
      <c r="B58" s="146">
        <v>211</v>
      </c>
      <c r="C58" s="146"/>
      <c r="D58" s="146" t="str">
        <f>D35</f>
        <v>４歳以上児</v>
      </c>
      <c r="E58" s="146">
        <f t="shared" ref="E58:BI58" si="13">E35</f>
        <v>0</v>
      </c>
      <c r="F58" s="146">
        <f t="shared" si="13"/>
        <v>21640</v>
      </c>
      <c r="G58" s="146">
        <f t="shared" si="13"/>
        <v>28710</v>
      </c>
      <c r="H58" s="146" t="str">
        <f t="shared" si="13"/>
        <v>＋</v>
      </c>
      <c r="I58" s="146">
        <f t="shared" si="13"/>
        <v>190</v>
      </c>
      <c r="J58" s="146">
        <f t="shared" si="13"/>
        <v>260</v>
      </c>
      <c r="K58" s="146" t="str">
        <f t="shared" si="13"/>
        <v>×加算率</v>
      </c>
      <c r="L58" s="146" t="str">
        <f t="shared" si="13"/>
        <v>＋</v>
      </c>
      <c r="M58" s="146">
        <f t="shared" si="13"/>
        <v>400</v>
      </c>
      <c r="N58" s="146" t="str">
        <f t="shared" si="13"/>
        <v>＋</v>
      </c>
      <c r="O58" s="146">
        <f t="shared" si="13"/>
        <v>4</v>
      </c>
      <c r="P58" s="146" t="str">
        <f t="shared" si="13"/>
        <v>＋</v>
      </c>
      <c r="Q58" s="146">
        <f t="shared" si="13"/>
        <v>1760</v>
      </c>
      <c r="R58" s="146" t="str">
        <f t="shared" si="13"/>
        <v>＋</v>
      </c>
      <c r="S58" s="146">
        <f t="shared" si="13"/>
        <v>10</v>
      </c>
      <c r="T58" s="146" t="str">
        <f t="shared" si="13"/>
        <v>＋</v>
      </c>
      <c r="U58" s="146">
        <f t="shared" si="13"/>
        <v>7070</v>
      </c>
      <c r="V58" s="146">
        <f t="shared" si="13"/>
        <v>70</v>
      </c>
      <c r="W58" s="146">
        <f t="shared" si="13"/>
        <v>0</v>
      </c>
      <c r="X58" s="146">
        <f t="shared" si="13"/>
        <v>0</v>
      </c>
      <c r="Y58" s="146">
        <f t="shared" si="13"/>
        <v>0</v>
      </c>
      <c r="Z58" s="146">
        <f t="shared" si="13"/>
        <v>0</v>
      </c>
      <c r="AA58" s="146">
        <f t="shared" si="13"/>
        <v>0</v>
      </c>
      <c r="AB58" s="146" t="str">
        <f t="shared" si="13"/>
        <v/>
      </c>
      <c r="AC58" s="146">
        <f t="shared" si="13"/>
        <v>0</v>
      </c>
      <c r="AD58" s="146">
        <f t="shared" si="13"/>
        <v>0</v>
      </c>
      <c r="AE58" s="146" t="str">
        <f t="shared" si="13"/>
        <v>＋</v>
      </c>
      <c r="AF58" s="146">
        <f>AF35</f>
        <v>360</v>
      </c>
      <c r="AG58" s="146" t="str">
        <f>AG35</f>
        <v>＋</v>
      </c>
      <c r="AH58" s="146">
        <f>AH35</f>
        <v>3</v>
      </c>
      <c r="AI58" s="146">
        <f>AI35</f>
        <v>0</v>
      </c>
      <c r="AJ58" s="146"/>
      <c r="AK58" s="146" t="str">
        <f t="shared" si="13"/>
        <v>＋</v>
      </c>
      <c r="AL58" s="146">
        <f t="shared" si="13"/>
        <v>10</v>
      </c>
      <c r="AM58" s="146" t="str">
        <f t="shared" si="13"/>
        <v>＋</v>
      </c>
      <c r="AN58" s="146">
        <f t="shared" si="13"/>
        <v>500</v>
      </c>
      <c r="AO58" s="146" t="str">
        <f t="shared" si="13"/>
        <v>＋</v>
      </c>
      <c r="AP58" s="146">
        <f t="shared" si="13"/>
        <v>5</v>
      </c>
      <c r="AQ58" s="146" t="str">
        <f t="shared" si="13"/>
        <v>＋</v>
      </c>
      <c r="AR58" s="146">
        <f t="shared" si="13"/>
        <v>250</v>
      </c>
      <c r="AS58" s="146" t="str">
        <f t="shared" si="13"/>
        <v>＋</v>
      </c>
      <c r="AT58" s="146">
        <f t="shared" si="13"/>
        <v>2</v>
      </c>
      <c r="AU58" s="146" t="str">
        <f t="shared" si="13"/>
        <v>＋</v>
      </c>
      <c r="AV58" s="146">
        <f t="shared" si="13"/>
        <v>40</v>
      </c>
      <c r="AW58" s="146" t="str">
        <f t="shared" si="13"/>
        <v>＋</v>
      </c>
      <c r="AX58" s="146">
        <f t="shared" si="13"/>
        <v>1</v>
      </c>
      <c r="AY58" s="146"/>
      <c r="AZ58" s="146" t="str">
        <f t="shared" si="13"/>
        <v xml:space="preserve"> 211人～ 240人</v>
      </c>
      <c r="BA58" s="146">
        <f t="shared" si="13"/>
        <v>0</v>
      </c>
      <c r="BB58" s="146"/>
      <c r="BC58" s="146"/>
      <c r="BD58" s="146">
        <f>BD36</f>
        <v>5</v>
      </c>
      <c r="BE58" s="146" t="str">
        <f t="shared" si="13"/>
        <v>－</v>
      </c>
      <c r="BF58" s="146">
        <f>BF36</f>
        <v>10</v>
      </c>
      <c r="BG58" s="146" t="str">
        <f t="shared" si="13"/>
        <v>－</v>
      </c>
      <c r="BH58" s="146">
        <f>BH36</f>
        <v>10</v>
      </c>
      <c r="BI58" s="146">
        <f t="shared" si="13"/>
        <v>0</v>
      </c>
      <c r="BJ58" s="233">
        <f>BJ36</f>
        <v>0</v>
      </c>
    </row>
    <row r="59" spans="1:62" s="152" customFormat="1">
      <c r="A59" s="146"/>
      <c r="B59" s="146">
        <v>241</v>
      </c>
      <c r="C59" s="146"/>
      <c r="D59" s="146" t="str">
        <f>D37</f>
        <v>４歳以上児</v>
      </c>
      <c r="E59" s="146">
        <f t="shared" ref="E59:BI59" si="14">E37</f>
        <v>0</v>
      </c>
      <c r="F59" s="146">
        <f t="shared" si="14"/>
        <v>21290</v>
      </c>
      <c r="G59" s="146">
        <f t="shared" si="14"/>
        <v>28360</v>
      </c>
      <c r="H59" s="146" t="str">
        <f t="shared" si="14"/>
        <v>＋</v>
      </c>
      <c r="I59" s="146">
        <f t="shared" si="14"/>
        <v>190</v>
      </c>
      <c r="J59" s="146">
        <f t="shared" si="14"/>
        <v>260</v>
      </c>
      <c r="K59" s="146" t="str">
        <f t="shared" si="14"/>
        <v>×加算率</v>
      </c>
      <c r="L59" s="146" t="str">
        <f t="shared" si="14"/>
        <v>＋</v>
      </c>
      <c r="M59" s="146">
        <f t="shared" si="14"/>
        <v>360</v>
      </c>
      <c r="N59" s="146" t="str">
        <f t="shared" si="14"/>
        <v>＋</v>
      </c>
      <c r="O59" s="146">
        <f t="shared" si="14"/>
        <v>3</v>
      </c>
      <c r="P59" s="146" t="str">
        <f t="shared" si="14"/>
        <v>＋</v>
      </c>
      <c r="Q59" s="146">
        <f t="shared" si="14"/>
        <v>1570</v>
      </c>
      <c r="R59" s="146" t="str">
        <f t="shared" si="14"/>
        <v>＋</v>
      </c>
      <c r="S59" s="146">
        <f t="shared" si="14"/>
        <v>10</v>
      </c>
      <c r="T59" s="146" t="str">
        <f t="shared" si="14"/>
        <v>＋</v>
      </c>
      <c r="U59" s="146">
        <f t="shared" si="14"/>
        <v>7070</v>
      </c>
      <c r="V59" s="146">
        <f t="shared" si="14"/>
        <v>70</v>
      </c>
      <c r="W59" s="146">
        <f t="shared" si="14"/>
        <v>0</v>
      </c>
      <c r="X59" s="146">
        <f t="shared" si="14"/>
        <v>0</v>
      </c>
      <c r="Y59" s="146">
        <f t="shared" si="14"/>
        <v>0</v>
      </c>
      <c r="Z59" s="146">
        <f t="shared" si="14"/>
        <v>0</v>
      </c>
      <c r="AA59" s="146">
        <f t="shared" si="14"/>
        <v>0</v>
      </c>
      <c r="AB59" s="146" t="str">
        <f t="shared" si="14"/>
        <v/>
      </c>
      <c r="AC59" s="146">
        <f t="shared" si="14"/>
        <v>0</v>
      </c>
      <c r="AD59" s="146">
        <f t="shared" si="14"/>
        <v>0</v>
      </c>
      <c r="AE59" s="146" t="str">
        <f t="shared" si="14"/>
        <v>＋</v>
      </c>
      <c r="AF59" s="146">
        <f>AF37</f>
        <v>320</v>
      </c>
      <c r="AG59" s="146" t="str">
        <f>AG37</f>
        <v>＋</v>
      </c>
      <c r="AH59" s="146">
        <f>AH37</f>
        <v>3</v>
      </c>
      <c r="AI59" s="146">
        <f>AI37</f>
        <v>0</v>
      </c>
      <c r="AJ59" s="146"/>
      <c r="AK59" s="146" t="str">
        <f t="shared" si="14"/>
        <v>＋</v>
      </c>
      <c r="AL59" s="146">
        <f t="shared" si="14"/>
        <v>10</v>
      </c>
      <c r="AM59" s="146" t="str">
        <f t="shared" si="14"/>
        <v>＋</v>
      </c>
      <c r="AN59" s="146">
        <f t="shared" si="14"/>
        <v>500</v>
      </c>
      <c r="AO59" s="146" t="str">
        <f t="shared" si="14"/>
        <v>＋</v>
      </c>
      <c r="AP59" s="146">
        <f t="shared" si="14"/>
        <v>5</v>
      </c>
      <c r="AQ59" s="146" t="str">
        <f t="shared" si="14"/>
        <v>＋</v>
      </c>
      <c r="AR59" s="146">
        <f t="shared" si="14"/>
        <v>220</v>
      </c>
      <c r="AS59" s="146" t="str">
        <f t="shared" si="14"/>
        <v>＋</v>
      </c>
      <c r="AT59" s="146">
        <f t="shared" si="14"/>
        <v>2</v>
      </c>
      <c r="AU59" s="146" t="str">
        <f t="shared" si="14"/>
        <v>＋</v>
      </c>
      <c r="AV59" s="146">
        <f t="shared" si="14"/>
        <v>40</v>
      </c>
      <c r="AW59" s="146" t="str">
        <f t="shared" si="14"/>
        <v>＋</v>
      </c>
      <c r="AX59" s="146">
        <f t="shared" si="14"/>
        <v>1</v>
      </c>
      <c r="AY59" s="146"/>
      <c r="AZ59" s="146" t="str">
        <f t="shared" si="14"/>
        <v xml:space="preserve"> 241人～ 270人</v>
      </c>
      <c r="BA59" s="146">
        <f t="shared" si="14"/>
        <v>0</v>
      </c>
      <c r="BB59" s="146"/>
      <c r="BC59" s="146"/>
      <c r="BD59" s="146">
        <f>BD38</f>
        <v>4</v>
      </c>
      <c r="BE59" s="146" t="str">
        <f t="shared" si="14"/>
        <v>－</v>
      </c>
      <c r="BF59" s="146">
        <f>BF38</f>
        <v>10</v>
      </c>
      <c r="BG59" s="146" t="str">
        <f t="shared" si="14"/>
        <v>－</v>
      </c>
      <c r="BH59" s="146">
        <f>BH38</f>
        <v>10</v>
      </c>
      <c r="BI59" s="146">
        <f t="shared" si="14"/>
        <v>0</v>
      </c>
      <c r="BJ59" s="233">
        <f>BJ38</f>
        <v>0</v>
      </c>
    </row>
    <row r="60" spans="1:62" s="152" customFormat="1">
      <c r="A60" s="146"/>
      <c r="B60" s="146">
        <v>271</v>
      </c>
      <c r="C60" s="146"/>
      <c r="D60" s="146" t="str">
        <f>D39</f>
        <v>４歳以上児</v>
      </c>
      <c r="E60" s="146">
        <f t="shared" ref="E60:BI60" si="15">E39</f>
        <v>0</v>
      </c>
      <c r="F60" s="146">
        <f t="shared" si="15"/>
        <v>21010</v>
      </c>
      <c r="G60" s="146">
        <f t="shared" si="15"/>
        <v>28080</v>
      </c>
      <c r="H60" s="146" t="str">
        <f t="shared" si="15"/>
        <v>＋</v>
      </c>
      <c r="I60" s="146">
        <f t="shared" si="15"/>
        <v>190</v>
      </c>
      <c r="J60" s="146">
        <f t="shared" si="15"/>
        <v>260</v>
      </c>
      <c r="K60" s="146" t="str">
        <f t="shared" si="15"/>
        <v>×加算率</v>
      </c>
      <c r="L60" s="146" t="str">
        <f t="shared" si="15"/>
        <v>＋</v>
      </c>
      <c r="M60" s="146">
        <f t="shared" si="15"/>
        <v>320</v>
      </c>
      <c r="N60" s="146" t="str">
        <f t="shared" si="15"/>
        <v>＋</v>
      </c>
      <c r="O60" s="146">
        <f t="shared" si="15"/>
        <v>3</v>
      </c>
      <c r="P60" s="146" t="str">
        <f t="shared" si="15"/>
        <v>＋</v>
      </c>
      <c r="Q60" s="146">
        <f t="shared" si="15"/>
        <v>1410</v>
      </c>
      <c r="R60" s="146" t="str">
        <f t="shared" si="15"/>
        <v>＋</v>
      </c>
      <c r="S60" s="146">
        <f t="shared" si="15"/>
        <v>10</v>
      </c>
      <c r="T60" s="146" t="str">
        <f t="shared" si="15"/>
        <v>＋</v>
      </c>
      <c r="U60" s="146">
        <f t="shared" si="15"/>
        <v>7070</v>
      </c>
      <c r="V60" s="146">
        <f t="shared" si="15"/>
        <v>70</v>
      </c>
      <c r="W60" s="146">
        <f t="shared" si="15"/>
        <v>0</v>
      </c>
      <c r="X60" s="146">
        <f t="shared" si="15"/>
        <v>0</v>
      </c>
      <c r="Y60" s="146">
        <f t="shared" si="15"/>
        <v>0</v>
      </c>
      <c r="Z60" s="146">
        <f t="shared" si="15"/>
        <v>0</v>
      </c>
      <c r="AA60" s="146">
        <f t="shared" si="15"/>
        <v>0</v>
      </c>
      <c r="AB60" s="146" t="str">
        <f t="shared" si="15"/>
        <v/>
      </c>
      <c r="AC60" s="146">
        <f t="shared" si="15"/>
        <v>0</v>
      </c>
      <c r="AD60" s="146">
        <f t="shared" si="15"/>
        <v>0</v>
      </c>
      <c r="AE60" s="146" t="str">
        <f t="shared" si="15"/>
        <v>＋</v>
      </c>
      <c r="AF60" s="146">
        <f>AF39</f>
        <v>280</v>
      </c>
      <c r="AG60" s="146" t="str">
        <f>AG39</f>
        <v>＋</v>
      </c>
      <c r="AH60" s="146">
        <f>AH39</f>
        <v>2</v>
      </c>
      <c r="AI60" s="146">
        <f>AI39</f>
        <v>0</v>
      </c>
      <c r="AJ60" s="146"/>
      <c r="AK60" s="146" t="str">
        <f t="shared" si="15"/>
        <v>＋</v>
      </c>
      <c r="AL60" s="146">
        <f t="shared" si="15"/>
        <v>10</v>
      </c>
      <c r="AM60" s="146" t="str">
        <f t="shared" si="15"/>
        <v>＋</v>
      </c>
      <c r="AN60" s="146">
        <f t="shared" si="15"/>
        <v>500</v>
      </c>
      <c r="AO60" s="146" t="str">
        <f t="shared" si="15"/>
        <v>＋</v>
      </c>
      <c r="AP60" s="146">
        <f t="shared" si="15"/>
        <v>5</v>
      </c>
      <c r="AQ60" s="146" t="str">
        <f t="shared" si="15"/>
        <v>＋</v>
      </c>
      <c r="AR60" s="146">
        <f t="shared" si="15"/>
        <v>200</v>
      </c>
      <c r="AS60" s="146" t="str">
        <f t="shared" si="15"/>
        <v>＋</v>
      </c>
      <c r="AT60" s="146">
        <f t="shared" si="15"/>
        <v>2</v>
      </c>
      <c r="AU60" s="146" t="str">
        <f t="shared" si="15"/>
        <v>＋</v>
      </c>
      <c r="AV60" s="146">
        <f t="shared" si="15"/>
        <v>30</v>
      </c>
      <c r="AW60" s="146" t="str">
        <f t="shared" si="15"/>
        <v>＋</v>
      </c>
      <c r="AX60" s="146">
        <f t="shared" si="15"/>
        <v>1</v>
      </c>
      <c r="AY60" s="146"/>
      <c r="AZ60" s="146" t="str">
        <f t="shared" si="15"/>
        <v xml:space="preserve"> 271人～ 300人</v>
      </c>
      <c r="BA60" s="146">
        <f t="shared" si="15"/>
        <v>0</v>
      </c>
      <c r="BB60" s="146"/>
      <c r="BC60" s="146"/>
      <c r="BD60" s="146">
        <f>BD40</f>
        <v>4</v>
      </c>
      <c r="BE60" s="146" t="str">
        <f t="shared" si="15"/>
        <v>－</v>
      </c>
      <c r="BF60" s="146">
        <f>BF40</f>
        <v>10</v>
      </c>
      <c r="BG60" s="146" t="str">
        <f t="shared" si="15"/>
        <v>－</v>
      </c>
      <c r="BH60" s="146">
        <f>BH40</f>
        <v>10</v>
      </c>
      <c r="BI60" s="146">
        <f t="shared" si="15"/>
        <v>0</v>
      </c>
      <c r="BJ60" s="233">
        <f>BJ40</f>
        <v>0</v>
      </c>
    </row>
    <row r="61" spans="1:62" s="152" customFormat="1">
      <c r="A61" s="146"/>
      <c r="B61" s="146">
        <v>301</v>
      </c>
      <c r="C61" s="146"/>
      <c r="D61" s="146" t="str">
        <f>D41</f>
        <v>４歳以上児</v>
      </c>
      <c r="E61" s="146">
        <f t="shared" ref="E61:BI61" si="16">E41</f>
        <v>0</v>
      </c>
      <c r="F61" s="146">
        <f t="shared" si="16"/>
        <v>20790</v>
      </c>
      <c r="G61" s="146">
        <f t="shared" si="16"/>
        <v>27860</v>
      </c>
      <c r="H61" s="146" t="str">
        <f t="shared" si="16"/>
        <v>＋</v>
      </c>
      <c r="I61" s="146">
        <f t="shared" si="16"/>
        <v>190</v>
      </c>
      <c r="J61" s="146">
        <f t="shared" si="16"/>
        <v>260</v>
      </c>
      <c r="K61" s="146" t="str">
        <f t="shared" si="16"/>
        <v>×加算率</v>
      </c>
      <c r="L61" s="146" t="str">
        <f t="shared" si="16"/>
        <v>＋</v>
      </c>
      <c r="M61" s="146">
        <f t="shared" si="16"/>
        <v>290</v>
      </c>
      <c r="N61" s="146" t="str">
        <f t="shared" si="16"/>
        <v>＋</v>
      </c>
      <c r="O61" s="146">
        <f t="shared" si="16"/>
        <v>2</v>
      </c>
      <c r="P61" s="146">
        <f t="shared" si="16"/>
        <v>0</v>
      </c>
      <c r="Q61" s="146">
        <f t="shared" si="16"/>
        <v>0</v>
      </c>
      <c r="R61" s="146">
        <f t="shared" si="16"/>
        <v>0</v>
      </c>
      <c r="S61" s="146">
        <f t="shared" si="16"/>
        <v>0</v>
      </c>
      <c r="T61" s="146" t="str">
        <f t="shared" si="16"/>
        <v>＋</v>
      </c>
      <c r="U61" s="146">
        <f t="shared" si="16"/>
        <v>7070</v>
      </c>
      <c r="V61" s="146">
        <f t="shared" si="16"/>
        <v>70</v>
      </c>
      <c r="W61" s="146">
        <f t="shared" si="16"/>
        <v>0</v>
      </c>
      <c r="X61" s="146">
        <f t="shared" si="16"/>
        <v>0</v>
      </c>
      <c r="Y61" s="146">
        <f t="shared" si="16"/>
        <v>0</v>
      </c>
      <c r="Z61" s="146">
        <f t="shared" si="16"/>
        <v>0</v>
      </c>
      <c r="AA61" s="146">
        <f t="shared" si="16"/>
        <v>0</v>
      </c>
      <c r="AB61" s="146" t="str">
        <f t="shared" si="16"/>
        <v/>
      </c>
      <c r="AC61" s="146">
        <f t="shared" si="16"/>
        <v>0</v>
      </c>
      <c r="AD61" s="146">
        <f t="shared" si="16"/>
        <v>0</v>
      </c>
      <c r="AE61" s="146" t="str">
        <f t="shared" si="16"/>
        <v>＋</v>
      </c>
      <c r="AF61" s="146">
        <f>AF41</f>
        <v>260</v>
      </c>
      <c r="AG61" s="146" t="str">
        <f>AG41</f>
        <v>＋</v>
      </c>
      <c r="AH61" s="146">
        <f>AH41</f>
        <v>2</v>
      </c>
      <c r="AI61" s="146">
        <f>AI41</f>
        <v>0</v>
      </c>
      <c r="AJ61" s="146"/>
      <c r="AK61" s="146" t="str">
        <f t="shared" si="16"/>
        <v>＋</v>
      </c>
      <c r="AL61" s="146">
        <f t="shared" si="16"/>
        <v>10</v>
      </c>
      <c r="AM61" s="146" t="str">
        <f t="shared" si="16"/>
        <v>＋</v>
      </c>
      <c r="AN61" s="146">
        <f t="shared" si="16"/>
        <v>500</v>
      </c>
      <c r="AO61" s="146" t="str">
        <f t="shared" si="16"/>
        <v>＋</v>
      </c>
      <c r="AP61" s="146">
        <f t="shared" si="16"/>
        <v>5</v>
      </c>
      <c r="AQ61" s="146" t="str">
        <f t="shared" si="16"/>
        <v>＋</v>
      </c>
      <c r="AR61" s="146">
        <f t="shared" si="16"/>
        <v>180</v>
      </c>
      <c r="AS61" s="146" t="str">
        <f t="shared" si="16"/>
        <v>＋</v>
      </c>
      <c r="AT61" s="146">
        <f t="shared" si="16"/>
        <v>1</v>
      </c>
      <c r="AU61" s="146" t="str">
        <f t="shared" si="16"/>
        <v>＋</v>
      </c>
      <c r="AV61" s="146">
        <f t="shared" si="16"/>
        <v>30</v>
      </c>
      <c r="AW61" s="146" t="str">
        <f t="shared" si="16"/>
        <v>＋</v>
      </c>
      <c r="AX61" s="146">
        <f t="shared" si="16"/>
        <v>1</v>
      </c>
      <c r="AY61" s="146"/>
      <c r="AZ61" s="146" t="str">
        <f t="shared" si="16"/>
        <v xml:space="preserve"> 301人～</v>
      </c>
      <c r="BA61" s="146">
        <f t="shared" si="16"/>
        <v>0</v>
      </c>
      <c r="BB61" s="146"/>
      <c r="BC61" s="146"/>
      <c r="BD61" s="146">
        <f>BD42</f>
        <v>3</v>
      </c>
      <c r="BE61" s="146" t="str">
        <f t="shared" si="16"/>
        <v>－</v>
      </c>
      <c r="BF61" s="146">
        <f>BF42</f>
        <v>10</v>
      </c>
      <c r="BG61" s="146" t="str">
        <f t="shared" si="16"/>
        <v>－</v>
      </c>
      <c r="BH61" s="146">
        <f>BH42</f>
        <v>9</v>
      </c>
      <c r="BI61" s="146">
        <f t="shared" si="16"/>
        <v>0</v>
      </c>
      <c r="BJ61" s="233">
        <f>BJ42</f>
        <v>0</v>
      </c>
    </row>
    <row r="62" spans="1:62" s="152" customFormat="1">
      <c r="A62" s="146"/>
      <c r="B62" s="146"/>
      <c r="C62" s="146"/>
      <c r="D62" s="146"/>
      <c r="E62" s="209"/>
      <c r="F62" s="147"/>
      <c r="G62" s="148"/>
      <c r="H62" s="236"/>
      <c r="I62" s="147"/>
      <c r="J62" s="148"/>
      <c r="K62" s="149"/>
      <c r="L62" s="149"/>
      <c r="M62" s="45"/>
      <c r="N62" s="236"/>
      <c r="O62" s="150"/>
      <c r="P62" s="149"/>
      <c r="Q62" s="45"/>
      <c r="R62" s="236"/>
      <c r="S62" s="147"/>
      <c r="T62" s="236"/>
      <c r="U62" s="147"/>
      <c r="V62" s="151"/>
      <c r="W62" s="149"/>
      <c r="X62" s="45"/>
      <c r="Y62" s="236"/>
      <c r="Z62" s="150"/>
      <c r="AA62" s="149"/>
      <c r="AB62" s="45"/>
      <c r="AC62" s="236"/>
      <c r="AD62" s="150"/>
      <c r="AE62" s="149"/>
      <c r="AF62" s="45"/>
      <c r="AG62" s="236"/>
      <c r="AH62" s="147"/>
      <c r="AI62" s="149"/>
      <c r="AJ62" s="45"/>
      <c r="AK62" s="236"/>
      <c r="AL62" s="147"/>
      <c r="AM62" s="149"/>
      <c r="AN62" s="45"/>
      <c r="AO62" s="236"/>
      <c r="AP62" s="147"/>
      <c r="AQ62" s="147"/>
      <c r="AR62" s="45"/>
      <c r="AS62" s="236"/>
      <c r="AT62" s="147"/>
      <c r="AU62" s="147"/>
      <c r="AV62" s="45"/>
      <c r="AW62" s="236"/>
      <c r="AX62" s="147"/>
      <c r="AY62" s="147"/>
      <c r="AZ62" s="45"/>
      <c r="BA62" s="147"/>
      <c r="BB62" s="147"/>
      <c r="BC62" s="147"/>
      <c r="BD62" s="147"/>
      <c r="BE62" s="147"/>
      <c r="BF62" s="147"/>
      <c r="BG62" s="147"/>
      <c r="BH62" s="147"/>
      <c r="BI62" s="149"/>
    </row>
    <row r="63" spans="1:62" s="152" customFormat="1">
      <c r="A63" s="146"/>
      <c r="B63" s="146"/>
      <c r="C63" s="146"/>
      <c r="D63" s="146"/>
      <c r="E63" s="209"/>
      <c r="F63" s="147"/>
      <c r="G63" s="148"/>
      <c r="H63" s="236"/>
      <c r="I63" s="147"/>
      <c r="J63" s="148"/>
      <c r="K63" s="149"/>
      <c r="L63" s="149"/>
      <c r="M63" s="45"/>
      <c r="N63" s="236"/>
      <c r="O63" s="150"/>
      <c r="P63" s="149"/>
      <c r="Q63" s="45"/>
      <c r="R63" s="236"/>
      <c r="S63" s="147"/>
      <c r="T63" s="236"/>
      <c r="U63" s="147"/>
      <c r="V63" s="151"/>
      <c r="W63" s="149"/>
      <c r="X63" s="45"/>
      <c r="Y63" s="236"/>
      <c r="Z63" s="150"/>
      <c r="AA63" s="149"/>
      <c r="AB63" s="45"/>
      <c r="AC63" s="236"/>
      <c r="AD63" s="150"/>
      <c r="AE63" s="149"/>
      <c r="AF63" s="45"/>
      <c r="AG63" s="236"/>
      <c r="AH63" s="147"/>
      <c r="AI63" s="149"/>
      <c r="AJ63" s="45"/>
      <c r="AK63" s="236"/>
      <c r="AL63" s="147"/>
      <c r="AM63" s="149"/>
      <c r="AN63" s="45"/>
      <c r="AO63" s="236"/>
      <c r="AP63" s="147"/>
      <c r="AQ63" s="147"/>
      <c r="AR63" s="45"/>
      <c r="AS63" s="236"/>
      <c r="AT63" s="147"/>
      <c r="AU63" s="147"/>
      <c r="AV63" s="45"/>
      <c r="AW63" s="236"/>
      <c r="AX63" s="147"/>
      <c r="AY63" s="147"/>
      <c r="AZ63" s="45"/>
      <c r="BA63" s="147"/>
      <c r="BB63" s="147"/>
      <c r="BC63" s="147"/>
      <c r="BD63" s="147"/>
      <c r="BE63" s="147"/>
      <c r="BF63" s="147"/>
      <c r="BG63" s="147"/>
      <c r="BH63" s="147"/>
      <c r="BI63" s="149"/>
    </row>
    <row r="64" spans="1:62" s="152" customFormat="1">
      <c r="A64" s="146"/>
      <c r="B64" s="146">
        <v>1</v>
      </c>
      <c r="C64" s="146"/>
      <c r="D64" s="146" t="str">
        <f>D10</f>
        <v>３歳児</v>
      </c>
      <c r="E64" s="146">
        <f t="shared" ref="E64:BI64" si="17">E10</f>
        <v>0</v>
      </c>
      <c r="F64" s="146">
        <f t="shared" si="17"/>
        <v>85180</v>
      </c>
      <c r="G64" s="146">
        <f t="shared" si="17"/>
        <v>0</v>
      </c>
      <c r="H64" s="146" t="str">
        <f t="shared" si="17"/>
        <v>＋</v>
      </c>
      <c r="I64" s="146">
        <f t="shared" si="17"/>
        <v>830</v>
      </c>
      <c r="J64" s="146">
        <f t="shared" si="17"/>
        <v>0</v>
      </c>
      <c r="K64" s="146" t="str">
        <f t="shared" si="17"/>
        <v>×加算率</v>
      </c>
      <c r="L64" s="146">
        <f t="shared" si="17"/>
        <v>0</v>
      </c>
      <c r="M64" s="146">
        <f t="shared" si="17"/>
        <v>0</v>
      </c>
      <c r="N64" s="146">
        <f t="shared" si="17"/>
        <v>0</v>
      </c>
      <c r="O64" s="146">
        <f t="shared" si="17"/>
        <v>0</v>
      </c>
      <c r="P64" s="146">
        <f t="shared" si="17"/>
        <v>0</v>
      </c>
      <c r="Q64" s="146">
        <f t="shared" si="17"/>
        <v>0</v>
      </c>
      <c r="R64" s="146">
        <f t="shared" si="17"/>
        <v>0</v>
      </c>
      <c r="S64" s="146">
        <f t="shared" si="17"/>
        <v>0</v>
      </c>
      <c r="T64" s="146" t="str">
        <f t="shared" si="17"/>
        <v>＋</v>
      </c>
      <c r="U64" s="146">
        <f t="shared" si="17"/>
        <v>7070</v>
      </c>
      <c r="V64" s="146">
        <f t="shared" si="17"/>
        <v>70</v>
      </c>
      <c r="W64" s="146" t="str">
        <f t="shared" si="17"/>
        <v>＋</v>
      </c>
      <c r="X64" s="146">
        <f t="shared" si="17"/>
        <v>49520</v>
      </c>
      <c r="Y64" s="146" t="str">
        <f t="shared" si="17"/>
        <v>＋</v>
      </c>
      <c r="Z64" s="146">
        <f t="shared" si="17"/>
        <v>490</v>
      </c>
      <c r="AA64" s="146" t="str">
        <f t="shared" si="17"/>
        <v>＋</v>
      </c>
      <c r="AB64" s="146">
        <f t="shared" si="17"/>
        <v>42450</v>
      </c>
      <c r="AC64" s="146" t="str">
        <f t="shared" si="17"/>
        <v>＋</v>
      </c>
      <c r="AD64" s="146">
        <f t="shared" si="17"/>
        <v>420</v>
      </c>
      <c r="AE64" s="146">
        <f t="shared" si="17"/>
        <v>0</v>
      </c>
      <c r="AF64" s="146">
        <f>AF10</f>
        <v>0</v>
      </c>
      <c r="AG64" s="146">
        <f>AG10</f>
        <v>0</v>
      </c>
      <c r="AH64" s="146">
        <f>AH10</f>
        <v>0</v>
      </c>
      <c r="AI64" s="146">
        <f>AI10</f>
        <v>0</v>
      </c>
      <c r="AJ64" s="146"/>
      <c r="AK64" s="146">
        <f t="shared" si="17"/>
        <v>0</v>
      </c>
      <c r="AL64" s="146">
        <f t="shared" si="17"/>
        <v>0</v>
      </c>
      <c r="AM64" s="146">
        <f t="shared" si="17"/>
        <v>0</v>
      </c>
      <c r="AN64" s="146">
        <f t="shared" si="17"/>
        <v>0</v>
      </c>
      <c r="AO64" s="146">
        <f t="shared" si="17"/>
        <v>0</v>
      </c>
      <c r="AP64" s="146">
        <f t="shared" si="17"/>
        <v>0</v>
      </c>
      <c r="AQ64" s="146">
        <f t="shared" si="17"/>
        <v>0</v>
      </c>
      <c r="AR64" s="146"/>
      <c r="AS64" s="146">
        <f t="shared" si="17"/>
        <v>0</v>
      </c>
      <c r="AT64" s="146"/>
      <c r="AU64" s="146">
        <f t="shared" si="17"/>
        <v>0</v>
      </c>
      <c r="AV64" s="146"/>
      <c r="AW64" s="146">
        <f>AW10</f>
        <v>0</v>
      </c>
      <c r="AX64" s="146"/>
      <c r="AY64" s="146"/>
      <c r="AZ64" s="146">
        <f t="shared" si="17"/>
        <v>27330</v>
      </c>
      <c r="BA64" s="146">
        <f t="shared" si="17"/>
        <v>0</v>
      </c>
      <c r="BB64" s="146"/>
      <c r="BC64" s="146"/>
      <c r="BD64" s="147"/>
      <c r="BE64" s="146">
        <f t="shared" si="17"/>
        <v>0</v>
      </c>
      <c r="BF64" s="147"/>
      <c r="BG64" s="146">
        <f t="shared" si="17"/>
        <v>0</v>
      </c>
      <c r="BH64" s="147"/>
      <c r="BI64" s="146">
        <f t="shared" si="17"/>
        <v>0</v>
      </c>
    </row>
    <row r="65" spans="1:61" s="152" customFormat="1">
      <c r="A65" s="146"/>
      <c r="B65" s="146">
        <v>16</v>
      </c>
      <c r="C65" s="146"/>
      <c r="D65" s="146" t="str">
        <f>D12</f>
        <v>３歳児</v>
      </c>
      <c r="E65" s="146">
        <f t="shared" ref="E65:BI65" si="18">E12</f>
        <v>0</v>
      </c>
      <c r="F65" s="146">
        <f t="shared" si="18"/>
        <v>55660</v>
      </c>
      <c r="G65" s="146">
        <f t="shared" si="18"/>
        <v>0</v>
      </c>
      <c r="H65" s="146" t="str">
        <f t="shared" si="18"/>
        <v>＋</v>
      </c>
      <c r="I65" s="146">
        <f t="shared" si="18"/>
        <v>530</v>
      </c>
      <c r="J65" s="146">
        <f t="shared" si="18"/>
        <v>0</v>
      </c>
      <c r="K65" s="146" t="str">
        <f t="shared" si="18"/>
        <v>×加算率</v>
      </c>
      <c r="L65" s="146">
        <f t="shared" si="18"/>
        <v>0</v>
      </c>
      <c r="M65" s="146">
        <f t="shared" si="18"/>
        <v>0</v>
      </c>
      <c r="N65" s="146">
        <f t="shared" si="18"/>
        <v>0</v>
      </c>
      <c r="O65" s="146">
        <f t="shared" si="18"/>
        <v>0</v>
      </c>
      <c r="P65" s="146">
        <f t="shared" si="18"/>
        <v>0</v>
      </c>
      <c r="Q65" s="146">
        <f t="shared" si="18"/>
        <v>0</v>
      </c>
      <c r="R65" s="146">
        <f t="shared" si="18"/>
        <v>0</v>
      </c>
      <c r="S65" s="146">
        <f t="shared" si="18"/>
        <v>0</v>
      </c>
      <c r="T65" s="146" t="str">
        <f t="shared" si="18"/>
        <v>＋</v>
      </c>
      <c r="U65" s="146">
        <f t="shared" si="18"/>
        <v>7070</v>
      </c>
      <c r="V65" s="146">
        <f t="shared" si="18"/>
        <v>70</v>
      </c>
      <c r="W65" s="146" t="str">
        <f t="shared" si="18"/>
        <v>＋</v>
      </c>
      <c r="X65" s="146">
        <f t="shared" si="18"/>
        <v>49520</v>
      </c>
      <c r="Y65" s="146" t="str">
        <f t="shared" si="18"/>
        <v>＋</v>
      </c>
      <c r="Z65" s="146">
        <f t="shared" si="18"/>
        <v>490</v>
      </c>
      <c r="AA65" s="146" t="str">
        <f t="shared" si="18"/>
        <v>＋</v>
      </c>
      <c r="AB65" s="146">
        <f t="shared" si="18"/>
        <v>42450</v>
      </c>
      <c r="AC65" s="146" t="str">
        <f t="shared" si="18"/>
        <v>＋</v>
      </c>
      <c r="AD65" s="146">
        <f t="shared" si="18"/>
        <v>420</v>
      </c>
      <c r="AE65" s="146">
        <f t="shared" si="18"/>
        <v>0</v>
      </c>
      <c r="AF65" s="146">
        <f>AF12</f>
        <v>0</v>
      </c>
      <c r="AG65" s="146">
        <f>AG12</f>
        <v>0</v>
      </c>
      <c r="AH65" s="146">
        <f>AH12</f>
        <v>0</v>
      </c>
      <c r="AI65" s="146">
        <f>AI12</f>
        <v>0</v>
      </c>
      <c r="AJ65" s="146"/>
      <c r="AK65" s="146">
        <f t="shared" si="18"/>
        <v>0</v>
      </c>
      <c r="AL65" s="146">
        <f t="shared" si="18"/>
        <v>0</v>
      </c>
      <c r="AM65" s="146">
        <f t="shared" si="18"/>
        <v>0</v>
      </c>
      <c r="AN65" s="146">
        <f t="shared" si="18"/>
        <v>0</v>
      </c>
      <c r="AO65" s="146">
        <f t="shared" si="18"/>
        <v>0</v>
      </c>
      <c r="AP65" s="146">
        <f t="shared" si="18"/>
        <v>0</v>
      </c>
      <c r="AQ65" s="146">
        <f t="shared" si="18"/>
        <v>0</v>
      </c>
      <c r="AR65" s="146"/>
      <c r="AS65" s="146">
        <f t="shared" si="18"/>
        <v>0</v>
      </c>
      <c r="AT65" s="146"/>
      <c r="AU65" s="146">
        <f t="shared" si="18"/>
        <v>0</v>
      </c>
      <c r="AV65" s="146"/>
      <c r="AW65" s="146">
        <f>AW12</f>
        <v>0</v>
      </c>
      <c r="AX65" s="146"/>
      <c r="AY65" s="146"/>
      <c r="AZ65" s="146">
        <f t="shared" si="18"/>
        <v>16800</v>
      </c>
      <c r="BA65" s="146">
        <f t="shared" si="18"/>
        <v>0</v>
      </c>
      <c r="BB65" s="146"/>
      <c r="BC65" s="146"/>
      <c r="BD65" s="147"/>
      <c r="BE65" s="146">
        <f t="shared" si="18"/>
        <v>0</v>
      </c>
      <c r="BF65" s="147"/>
      <c r="BG65" s="146">
        <f t="shared" si="18"/>
        <v>0</v>
      </c>
      <c r="BH65" s="147"/>
      <c r="BI65" s="146">
        <f t="shared" si="18"/>
        <v>0</v>
      </c>
    </row>
    <row r="66" spans="1:61" s="152" customFormat="1">
      <c r="A66" s="146"/>
      <c r="B66" s="146">
        <v>26</v>
      </c>
      <c r="C66" s="146"/>
      <c r="D66" s="146" t="str">
        <f>D14</f>
        <v>３歳児</v>
      </c>
      <c r="E66" s="146">
        <f t="shared" ref="E66:BI66" si="19">E14</f>
        <v>0</v>
      </c>
      <c r="F66" s="146">
        <f t="shared" si="19"/>
        <v>45070</v>
      </c>
      <c r="G66" s="146">
        <f t="shared" si="19"/>
        <v>0</v>
      </c>
      <c r="H66" s="146" t="str">
        <f t="shared" si="19"/>
        <v>＋</v>
      </c>
      <c r="I66" s="146">
        <f t="shared" si="19"/>
        <v>430</v>
      </c>
      <c r="J66" s="146">
        <f t="shared" si="19"/>
        <v>0</v>
      </c>
      <c r="K66" s="146" t="str">
        <f t="shared" si="19"/>
        <v>×加算率</v>
      </c>
      <c r="L66" s="146">
        <f t="shared" si="19"/>
        <v>0</v>
      </c>
      <c r="M66" s="146">
        <f t="shared" si="19"/>
        <v>0</v>
      </c>
      <c r="N66" s="146">
        <f t="shared" si="19"/>
        <v>0</v>
      </c>
      <c r="O66" s="146">
        <f t="shared" si="19"/>
        <v>0</v>
      </c>
      <c r="P66" s="146">
        <f t="shared" si="19"/>
        <v>0</v>
      </c>
      <c r="Q66" s="146">
        <f t="shared" si="19"/>
        <v>0</v>
      </c>
      <c r="R66" s="146">
        <f t="shared" si="19"/>
        <v>0</v>
      </c>
      <c r="S66" s="146">
        <f t="shared" si="19"/>
        <v>0</v>
      </c>
      <c r="T66" s="146" t="str">
        <f t="shared" si="19"/>
        <v>＋</v>
      </c>
      <c r="U66" s="146">
        <f t="shared" si="19"/>
        <v>7070</v>
      </c>
      <c r="V66" s="146">
        <f t="shared" si="19"/>
        <v>70</v>
      </c>
      <c r="W66" s="146" t="str">
        <f t="shared" si="19"/>
        <v>＋</v>
      </c>
      <c r="X66" s="146">
        <f t="shared" si="19"/>
        <v>49520</v>
      </c>
      <c r="Y66" s="146" t="str">
        <f t="shared" si="19"/>
        <v>＋</v>
      </c>
      <c r="Z66" s="146">
        <f t="shared" si="19"/>
        <v>490</v>
      </c>
      <c r="AA66" s="146" t="str">
        <f t="shared" si="19"/>
        <v>＋</v>
      </c>
      <c r="AB66" s="146">
        <f t="shared" si="19"/>
        <v>42450</v>
      </c>
      <c r="AC66" s="146" t="str">
        <f t="shared" si="19"/>
        <v>＋</v>
      </c>
      <c r="AD66" s="146">
        <f t="shared" si="19"/>
        <v>420</v>
      </c>
      <c r="AE66" s="146">
        <f t="shared" si="19"/>
        <v>0</v>
      </c>
      <c r="AF66" s="146">
        <f>AF14</f>
        <v>0</v>
      </c>
      <c r="AG66" s="146">
        <f>AG14</f>
        <v>0</v>
      </c>
      <c r="AH66" s="146">
        <f>AH14</f>
        <v>0</v>
      </c>
      <c r="AI66" s="146">
        <f>AI14</f>
        <v>0</v>
      </c>
      <c r="AJ66" s="146"/>
      <c r="AK66" s="146">
        <f t="shared" si="19"/>
        <v>0</v>
      </c>
      <c r="AL66" s="146">
        <f t="shared" si="19"/>
        <v>0</v>
      </c>
      <c r="AM66" s="146">
        <f t="shared" si="19"/>
        <v>0</v>
      </c>
      <c r="AN66" s="146">
        <f t="shared" si="19"/>
        <v>0</v>
      </c>
      <c r="AO66" s="146">
        <f t="shared" si="19"/>
        <v>0</v>
      </c>
      <c r="AP66" s="146">
        <f t="shared" si="19"/>
        <v>0</v>
      </c>
      <c r="AQ66" s="146">
        <f t="shared" si="19"/>
        <v>0</v>
      </c>
      <c r="AR66" s="146"/>
      <c r="AS66" s="146">
        <f t="shared" si="19"/>
        <v>0</v>
      </c>
      <c r="AT66" s="146"/>
      <c r="AU66" s="146">
        <f t="shared" si="19"/>
        <v>0</v>
      </c>
      <c r="AV66" s="146"/>
      <c r="AW66" s="146">
        <f>AW14</f>
        <v>0</v>
      </c>
      <c r="AX66" s="146"/>
      <c r="AY66" s="146"/>
      <c r="AZ66" s="146">
        <f t="shared" si="19"/>
        <v>12280</v>
      </c>
      <c r="BA66" s="146">
        <f t="shared" si="19"/>
        <v>0</v>
      </c>
      <c r="BB66" s="146"/>
      <c r="BC66" s="146"/>
      <c r="BD66" s="147"/>
      <c r="BE66" s="146">
        <f t="shared" si="19"/>
        <v>0</v>
      </c>
      <c r="BF66" s="147"/>
      <c r="BG66" s="146">
        <f t="shared" si="19"/>
        <v>0</v>
      </c>
      <c r="BH66" s="147"/>
      <c r="BI66" s="146">
        <f t="shared" si="19"/>
        <v>0</v>
      </c>
    </row>
    <row r="67" spans="1:61" s="152" customFormat="1">
      <c r="A67" s="146"/>
      <c r="B67" s="146">
        <v>36</v>
      </c>
      <c r="C67" s="146"/>
      <c r="D67" s="146" t="str">
        <f>D16</f>
        <v>３歳児</v>
      </c>
      <c r="E67" s="146">
        <f t="shared" ref="E67:BI67" si="20">E16</f>
        <v>0</v>
      </c>
      <c r="F67" s="146">
        <f t="shared" si="20"/>
        <v>40780</v>
      </c>
      <c r="G67" s="146">
        <f t="shared" si="20"/>
        <v>0</v>
      </c>
      <c r="H67" s="146" t="str">
        <f t="shared" si="20"/>
        <v>＋</v>
      </c>
      <c r="I67" s="146">
        <f t="shared" si="20"/>
        <v>390</v>
      </c>
      <c r="J67" s="146">
        <f t="shared" si="20"/>
        <v>0</v>
      </c>
      <c r="K67" s="146" t="str">
        <f t="shared" si="20"/>
        <v>×加算率</v>
      </c>
      <c r="L67" s="146">
        <f t="shared" si="20"/>
        <v>0</v>
      </c>
      <c r="M67" s="146">
        <f t="shared" si="20"/>
        <v>0</v>
      </c>
      <c r="N67" s="146">
        <f t="shared" si="20"/>
        <v>0</v>
      </c>
      <c r="O67" s="146">
        <f t="shared" si="20"/>
        <v>0</v>
      </c>
      <c r="P67" s="146">
        <f t="shared" si="20"/>
        <v>0</v>
      </c>
      <c r="Q67" s="146">
        <f t="shared" si="20"/>
        <v>0</v>
      </c>
      <c r="R67" s="146">
        <f t="shared" si="20"/>
        <v>0</v>
      </c>
      <c r="S67" s="146">
        <f t="shared" si="20"/>
        <v>0</v>
      </c>
      <c r="T67" s="146" t="str">
        <f t="shared" si="20"/>
        <v>＋</v>
      </c>
      <c r="U67" s="146">
        <f t="shared" si="20"/>
        <v>7070</v>
      </c>
      <c r="V67" s="146">
        <f t="shared" si="20"/>
        <v>70</v>
      </c>
      <c r="W67" s="146" t="str">
        <f t="shared" si="20"/>
        <v>＋</v>
      </c>
      <c r="X67" s="146">
        <f t="shared" si="20"/>
        <v>49520</v>
      </c>
      <c r="Y67" s="146" t="str">
        <f t="shared" si="20"/>
        <v>＋</v>
      </c>
      <c r="Z67" s="146">
        <f t="shared" si="20"/>
        <v>490</v>
      </c>
      <c r="AA67" s="146" t="str">
        <f t="shared" si="20"/>
        <v>＋</v>
      </c>
      <c r="AB67" s="146">
        <f t="shared" si="20"/>
        <v>42450</v>
      </c>
      <c r="AC67" s="146" t="str">
        <f t="shared" si="20"/>
        <v>＋</v>
      </c>
      <c r="AD67" s="146">
        <f t="shared" si="20"/>
        <v>420</v>
      </c>
      <c r="AE67" s="146">
        <f t="shared" si="20"/>
        <v>0</v>
      </c>
      <c r="AF67" s="146">
        <f>AF16</f>
        <v>0</v>
      </c>
      <c r="AG67" s="146">
        <f>AG16</f>
        <v>0</v>
      </c>
      <c r="AH67" s="146">
        <f>AH16</f>
        <v>0</v>
      </c>
      <c r="AI67" s="146">
        <f>AI16</f>
        <v>0</v>
      </c>
      <c r="AJ67" s="146"/>
      <c r="AK67" s="146">
        <f t="shared" si="20"/>
        <v>0</v>
      </c>
      <c r="AL67" s="146">
        <f t="shared" si="20"/>
        <v>0</v>
      </c>
      <c r="AM67" s="146">
        <f t="shared" si="20"/>
        <v>0</v>
      </c>
      <c r="AN67" s="146">
        <f t="shared" si="20"/>
        <v>0</v>
      </c>
      <c r="AO67" s="146">
        <f t="shared" si="20"/>
        <v>0</v>
      </c>
      <c r="AP67" s="146">
        <f t="shared" si="20"/>
        <v>0</v>
      </c>
      <c r="AQ67" s="146">
        <f t="shared" si="20"/>
        <v>0</v>
      </c>
      <c r="AR67" s="146"/>
      <c r="AS67" s="146">
        <f t="shared" si="20"/>
        <v>0</v>
      </c>
      <c r="AT67" s="146"/>
      <c r="AU67" s="146">
        <f t="shared" si="20"/>
        <v>0</v>
      </c>
      <c r="AV67" s="146"/>
      <c r="AW67" s="146">
        <f>AW16</f>
        <v>0</v>
      </c>
      <c r="AX67" s="146"/>
      <c r="AY67" s="146"/>
      <c r="AZ67" s="146">
        <f t="shared" si="20"/>
        <v>9770</v>
      </c>
      <c r="BA67" s="146">
        <f t="shared" si="20"/>
        <v>0</v>
      </c>
      <c r="BB67" s="146"/>
      <c r="BC67" s="146"/>
      <c r="BD67" s="147"/>
      <c r="BE67" s="146">
        <f t="shared" si="20"/>
        <v>0</v>
      </c>
      <c r="BF67" s="147"/>
      <c r="BG67" s="146">
        <f t="shared" si="20"/>
        <v>0</v>
      </c>
      <c r="BH67" s="147"/>
      <c r="BI67" s="146">
        <f t="shared" si="20"/>
        <v>0</v>
      </c>
    </row>
    <row r="68" spans="1:61" s="152" customFormat="1">
      <c r="A68" s="146"/>
      <c r="B68" s="146">
        <v>46</v>
      </c>
      <c r="C68" s="146"/>
      <c r="D68" s="146" t="str">
        <f>D18</f>
        <v>３歳児</v>
      </c>
      <c r="E68" s="146">
        <f t="shared" ref="E68:BI68" si="21">E18</f>
        <v>0</v>
      </c>
      <c r="F68" s="146">
        <f t="shared" si="21"/>
        <v>36960</v>
      </c>
      <c r="G68" s="146">
        <f t="shared" si="21"/>
        <v>0</v>
      </c>
      <c r="H68" s="146" t="str">
        <f t="shared" si="21"/>
        <v>＋</v>
      </c>
      <c r="I68" s="146">
        <f t="shared" si="21"/>
        <v>350</v>
      </c>
      <c r="J68" s="146">
        <f t="shared" si="21"/>
        <v>0</v>
      </c>
      <c r="K68" s="146" t="str">
        <f t="shared" si="21"/>
        <v>×加算率</v>
      </c>
      <c r="L68" s="146">
        <f t="shared" si="21"/>
        <v>0</v>
      </c>
      <c r="M68" s="146">
        <f t="shared" si="21"/>
        <v>0</v>
      </c>
      <c r="N68" s="146">
        <f t="shared" si="21"/>
        <v>0</v>
      </c>
      <c r="O68" s="146">
        <f t="shared" si="21"/>
        <v>0</v>
      </c>
      <c r="P68" s="146">
        <f t="shared" si="21"/>
        <v>0</v>
      </c>
      <c r="Q68" s="146">
        <f t="shared" si="21"/>
        <v>0</v>
      </c>
      <c r="R68" s="146">
        <f t="shared" si="21"/>
        <v>0</v>
      </c>
      <c r="S68" s="146">
        <f t="shared" si="21"/>
        <v>0</v>
      </c>
      <c r="T68" s="146" t="str">
        <f t="shared" si="21"/>
        <v>＋</v>
      </c>
      <c r="U68" s="146">
        <f t="shared" si="21"/>
        <v>7070</v>
      </c>
      <c r="V68" s="146">
        <f t="shared" si="21"/>
        <v>70</v>
      </c>
      <c r="W68" s="146" t="str">
        <f t="shared" si="21"/>
        <v>＋</v>
      </c>
      <c r="X68" s="146">
        <f t="shared" si="21"/>
        <v>49520</v>
      </c>
      <c r="Y68" s="146" t="str">
        <f t="shared" si="21"/>
        <v>＋</v>
      </c>
      <c r="Z68" s="146">
        <f t="shared" si="21"/>
        <v>490</v>
      </c>
      <c r="AA68" s="146" t="str">
        <f t="shared" si="21"/>
        <v>＋</v>
      </c>
      <c r="AB68" s="146">
        <f t="shared" si="21"/>
        <v>42450</v>
      </c>
      <c r="AC68" s="146" t="str">
        <f t="shared" si="21"/>
        <v>＋</v>
      </c>
      <c r="AD68" s="146">
        <f t="shared" si="21"/>
        <v>420</v>
      </c>
      <c r="AE68" s="146">
        <f t="shared" si="21"/>
        <v>0</v>
      </c>
      <c r="AF68" s="146">
        <f>AF18</f>
        <v>0</v>
      </c>
      <c r="AG68" s="146">
        <f>AG18</f>
        <v>0</v>
      </c>
      <c r="AH68" s="146">
        <f>AH18</f>
        <v>0</v>
      </c>
      <c r="AI68" s="146">
        <f>AI18</f>
        <v>0</v>
      </c>
      <c r="AJ68" s="146"/>
      <c r="AK68" s="146">
        <f t="shared" si="21"/>
        <v>0</v>
      </c>
      <c r="AL68" s="146">
        <f t="shared" si="21"/>
        <v>0</v>
      </c>
      <c r="AM68" s="146">
        <f t="shared" si="21"/>
        <v>0</v>
      </c>
      <c r="AN68" s="146">
        <f t="shared" si="21"/>
        <v>0</v>
      </c>
      <c r="AO68" s="146">
        <f t="shared" si="21"/>
        <v>0</v>
      </c>
      <c r="AP68" s="146">
        <f t="shared" si="21"/>
        <v>0</v>
      </c>
      <c r="AQ68" s="146">
        <f t="shared" si="21"/>
        <v>0</v>
      </c>
      <c r="AR68" s="146"/>
      <c r="AS68" s="146">
        <f t="shared" si="21"/>
        <v>0</v>
      </c>
      <c r="AT68" s="146"/>
      <c r="AU68" s="146">
        <f t="shared" si="21"/>
        <v>0</v>
      </c>
      <c r="AV68" s="146"/>
      <c r="AW68" s="146">
        <f>AW18</f>
        <v>0</v>
      </c>
      <c r="AX68" s="146"/>
      <c r="AY68" s="146"/>
      <c r="AZ68" s="146">
        <f t="shared" si="21"/>
        <v>7500</v>
      </c>
      <c r="BA68" s="146">
        <f t="shared" si="21"/>
        <v>0</v>
      </c>
      <c r="BB68" s="146"/>
      <c r="BC68" s="146"/>
      <c r="BD68" s="147"/>
      <c r="BE68" s="146">
        <f t="shared" si="21"/>
        <v>0</v>
      </c>
      <c r="BF68" s="147"/>
      <c r="BG68" s="146">
        <f t="shared" si="21"/>
        <v>0</v>
      </c>
      <c r="BH68" s="147"/>
      <c r="BI68" s="146">
        <f t="shared" si="21"/>
        <v>0</v>
      </c>
    </row>
    <row r="69" spans="1:61" s="152" customFormat="1">
      <c r="A69" s="146"/>
      <c r="B69" s="146">
        <v>61</v>
      </c>
      <c r="C69" s="146"/>
      <c r="D69" s="146" t="str">
        <f>D20</f>
        <v>３歳児</v>
      </c>
      <c r="E69" s="146">
        <f t="shared" ref="E69:BI69" si="22">E20</f>
        <v>0</v>
      </c>
      <c r="F69" s="146">
        <f t="shared" si="22"/>
        <v>34700</v>
      </c>
      <c r="G69" s="146">
        <f t="shared" si="22"/>
        <v>0</v>
      </c>
      <c r="H69" s="146" t="str">
        <f t="shared" si="22"/>
        <v>＋</v>
      </c>
      <c r="I69" s="146">
        <f t="shared" si="22"/>
        <v>320</v>
      </c>
      <c r="J69" s="146">
        <f t="shared" si="22"/>
        <v>0</v>
      </c>
      <c r="K69" s="146" t="str">
        <f t="shared" si="22"/>
        <v>×加算率</v>
      </c>
      <c r="L69" s="146">
        <f t="shared" si="22"/>
        <v>0</v>
      </c>
      <c r="M69" s="146">
        <f t="shared" si="22"/>
        <v>0</v>
      </c>
      <c r="N69" s="146">
        <f t="shared" si="22"/>
        <v>0</v>
      </c>
      <c r="O69" s="146">
        <f t="shared" si="22"/>
        <v>0</v>
      </c>
      <c r="P69" s="146">
        <f t="shared" si="22"/>
        <v>0</v>
      </c>
      <c r="Q69" s="146">
        <f t="shared" si="22"/>
        <v>0</v>
      </c>
      <c r="R69" s="146">
        <f t="shared" si="22"/>
        <v>0</v>
      </c>
      <c r="S69" s="146">
        <f t="shared" si="22"/>
        <v>0</v>
      </c>
      <c r="T69" s="146" t="str">
        <f t="shared" si="22"/>
        <v>＋</v>
      </c>
      <c r="U69" s="146">
        <f t="shared" si="22"/>
        <v>7070</v>
      </c>
      <c r="V69" s="146">
        <f t="shared" si="22"/>
        <v>70</v>
      </c>
      <c r="W69" s="146" t="str">
        <f t="shared" si="22"/>
        <v>＋</v>
      </c>
      <c r="X69" s="146">
        <f t="shared" si="22"/>
        <v>49520</v>
      </c>
      <c r="Y69" s="146" t="str">
        <f t="shared" si="22"/>
        <v>＋</v>
      </c>
      <c r="Z69" s="146">
        <f t="shared" si="22"/>
        <v>490</v>
      </c>
      <c r="AA69" s="146" t="str">
        <f t="shared" si="22"/>
        <v>＋</v>
      </c>
      <c r="AB69" s="146">
        <f t="shared" si="22"/>
        <v>42450</v>
      </c>
      <c r="AC69" s="146" t="str">
        <f t="shared" si="22"/>
        <v>＋</v>
      </c>
      <c r="AD69" s="146">
        <f t="shared" si="22"/>
        <v>420</v>
      </c>
      <c r="AE69" s="146">
        <f t="shared" si="22"/>
        <v>0</v>
      </c>
      <c r="AF69" s="146">
        <f>AF20</f>
        <v>0</v>
      </c>
      <c r="AG69" s="146">
        <f>AG20</f>
        <v>0</v>
      </c>
      <c r="AH69" s="146">
        <f>AH20</f>
        <v>0</v>
      </c>
      <c r="AI69" s="146">
        <f>AI20</f>
        <v>0</v>
      </c>
      <c r="AJ69" s="146"/>
      <c r="AK69" s="146">
        <f t="shared" si="22"/>
        <v>0</v>
      </c>
      <c r="AL69" s="146">
        <f t="shared" si="22"/>
        <v>0</v>
      </c>
      <c r="AM69" s="146">
        <f t="shared" si="22"/>
        <v>0</v>
      </c>
      <c r="AN69" s="146">
        <f t="shared" si="22"/>
        <v>0</v>
      </c>
      <c r="AO69" s="146">
        <f t="shared" si="22"/>
        <v>0</v>
      </c>
      <c r="AP69" s="146">
        <f t="shared" si="22"/>
        <v>0</v>
      </c>
      <c r="AQ69" s="146">
        <f t="shared" si="22"/>
        <v>0</v>
      </c>
      <c r="AR69" s="146"/>
      <c r="AS69" s="146">
        <f t="shared" si="22"/>
        <v>0</v>
      </c>
      <c r="AT69" s="146"/>
      <c r="AU69" s="146">
        <f t="shared" si="22"/>
        <v>0</v>
      </c>
      <c r="AV69" s="146"/>
      <c r="AW69" s="146">
        <f>AW20</f>
        <v>0</v>
      </c>
      <c r="AX69" s="146"/>
      <c r="AY69" s="146"/>
      <c r="AZ69" s="146">
        <f t="shared" si="22"/>
        <v>6130</v>
      </c>
      <c r="BA69" s="146">
        <f t="shared" si="22"/>
        <v>0</v>
      </c>
      <c r="BB69" s="146"/>
      <c r="BC69" s="146"/>
      <c r="BD69" s="147"/>
      <c r="BE69" s="146">
        <f t="shared" si="22"/>
        <v>0</v>
      </c>
      <c r="BF69" s="147"/>
      <c r="BG69" s="146">
        <f t="shared" si="22"/>
        <v>0</v>
      </c>
      <c r="BH69" s="147"/>
      <c r="BI69" s="146">
        <f t="shared" si="22"/>
        <v>0</v>
      </c>
    </row>
    <row r="70" spans="1:61" s="152" customFormat="1">
      <c r="A70" s="146"/>
      <c r="B70" s="146">
        <v>76</v>
      </c>
      <c r="C70" s="146"/>
      <c r="D70" s="146" t="str">
        <f>D22</f>
        <v>３歳児</v>
      </c>
      <c r="E70" s="146">
        <f t="shared" ref="E70:BI70" si="23">E22</f>
        <v>0</v>
      </c>
      <c r="F70" s="146">
        <f t="shared" si="23"/>
        <v>33170</v>
      </c>
      <c r="G70" s="146">
        <f t="shared" si="23"/>
        <v>0</v>
      </c>
      <c r="H70" s="146" t="str">
        <f t="shared" si="23"/>
        <v>＋</v>
      </c>
      <c r="I70" s="146">
        <f t="shared" si="23"/>
        <v>310</v>
      </c>
      <c r="J70" s="146">
        <f t="shared" si="23"/>
        <v>0</v>
      </c>
      <c r="K70" s="146" t="str">
        <f t="shared" si="23"/>
        <v>×加算率</v>
      </c>
      <c r="L70" s="146">
        <f t="shared" si="23"/>
        <v>0</v>
      </c>
      <c r="M70" s="146">
        <f t="shared" si="23"/>
        <v>0</v>
      </c>
      <c r="N70" s="146">
        <f t="shared" si="23"/>
        <v>0</v>
      </c>
      <c r="O70" s="146">
        <f t="shared" si="23"/>
        <v>0</v>
      </c>
      <c r="P70" s="146">
        <f t="shared" si="23"/>
        <v>0</v>
      </c>
      <c r="Q70" s="146">
        <f t="shared" si="23"/>
        <v>0</v>
      </c>
      <c r="R70" s="146">
        <f t="shared" si="23"/>
        <v>0</v>
      </c>
      <c r="S70" s="146">
        <f t="shared" si="23"/>
        <v>0</v>
      </c>
      <c r="T70" s="146" t="str">
        <f t="shared" si="23"/>
        <v>＋</v>
      </c>
      <c r="U70" s="146">
        <f t="shared" si="23"/>
        <v>7070</v>
      </c>
      <c r="V70" s="146">
        <f t="shared" si="23"/>
        <v>70</v>
      </c>
      <c r="W70" s="146" t="str">
        <f t="shared" si="23"/>
        <v>＋</v>
      </c>
      <c r="X70" s="146">
        <f t="shared" si="23"/>
        <v>49520</v>
      </c>
      <c r="Y70" s="146" t="str">
        <f t="shared" si="23"/>
        <v>＋</v>
      </c>
      <c r="Z70" s="146">
        <f t="shared" si="23"/>
        <v>490</v>
      </c>
      <c r="AA70" s="146" t="str">
        <f t="shared" si="23"/>
        <v>＋</v>
      </c>
      <c r="AB70" s="146">
        <f t="shared" si="23"/>
        <v>42450</v>
      </c>
      <c r="AC70" s="146" t="str">
        <f t="shared" si="23"/>
        <v>＋</v>
      </c>
      <c r="AD70" s="146">
        <f t="shared" si="23"/>
        <v>420</v>
      </c>
      <c r="AE70" s="146">
        <f t="shared" si="23"/>
        <v>0</v>
      </c>
      <c r="AF70" s="146">
        <f>AF22</f>
        <v>0</v>
      </c>
      <c r="AG70" s="146">
        <f>AG22</f>
        <v>0</v>
      </c>
      <c r="AH70" s="146">
        <f>AH22</f>
        <v>0</v>
      </c>
      <c r="AI70" s="146">
        <f>AI22</f>
        <v>0</v>
      </c>
      <c r="AJ70" s="146"/>
      <c r="AK70" s="146">
        <f t="shared" si="23"/>
        <v>0</v>
      </c>
      <c r="AL70" s="146">
        <f t="shared" si="23"/>
        <v>0</v>
      </c>
      <c r="AM70" s="146">
        <f t="shared" si="23"/>
        <v>0</v>
      </c>
      <c r="AN70" s="146">
        <f t="shared" si="23"/>
        <v>0</v>
      </c>
      <c r="AO70" s="146">
        <f t="shared" si="23"/>
        <v>0</v>
      </c>
      <c r="AP70" s="146">
        <f t="shared" si="23"/>
        <v>0</v>
      </c>
      <c r="AQ70" s="146">
        <f t="shared" si="23"/>
        <v>0</v>
      </c>
      <c r="AR70" s="146"/>
      <c r="AS70" s="146">
        <f t="shared" si="23"/>
        <v>0</v>
      </c>
      <c r="AT70" s="146"/>
      <c r="AU70" s="146">
        <f t="shared" si="23"/>
        <v>0</v>
      </c>
      <c r="AV70" s="146"/>
      <c r="AW70" s="146">
        <f>AW22</f>
        <v>0</v>
      </c>
      <c r="AX70" s="146"/>
      <c r="AY70" s="146"/>
      <c r="AZ70" s="146">
        <f t="shared" si="23"/>
        <v>5220</v>
      </c>
      <c r="BA70" s="146">
        <f t="shared" si="23"/>
        <v>0</v>
      </c>
      <c r="BB70" s="146"/>
      <c r="BC70" s="146"/>
      <c r="BD70" s="147"/>
      <c r="BE70" s="146">
        <f t="shared" si="23"/>
        <v>0</v>
      </c>
      <c r="BF70" s="147"/>
      <c r="BG70" s="146">
        <f t="shared" si="23"/>
        <v>0</v>
      </c>
      <c r="BH70" s="147"/>
      <c r="BI70" s="146">
        <f t="shared" si="23"/>
        <v>0</v>
      </c>
    </row>
    <row r="71" spans="1:61" s="152" customFormat="1">
      <c r="A71" s="146"/>
      <c r="B71" s="146">
        <v>91</v>
      </c>
      <c r="C71" s="146"/>
      <c r="D71" s="146" t="str">
        <f>D24</f>
        <v>３歳児</v>
      </c>
      <c r="E71" s="146">
        <f t="shared" ref="E71:BI71" si="24">E24</f>
        <v>0</v>
      </c>
      <c r="F71" s="146">
        <f t="shared" si="24"/>
        <v>32740</v>
      </c>
      <c r="G71" s="146">
        <f t="shared" si="24"/>
        <v>0</v>
      </c>
      <c r="H71" s="146" t="str">
        <f t="shared" si="24"/>
        <v>＋</v>
      </c>
      <c r="I71" s="146">
        <f t="shared" si="24"/>
        <v>310</v>
      </c>
      <c r="J71" s="146">
        <f t="shared" si="24"/>
        <v>0</v>
      </c>
      <c r="K71" s="146" t="str">
        <f t="shared" si="24"/>
        <v>×加算率</v>
      </c>
      <c r="L71" s="146">
        <f t="shared" si="24"/>
        <v>0</v>
      </c>
      <c r="M71" s="146">
        <f t="shared" si="24"/>
        <v>0</v>
      </c>
      <c r="N71" s="146">
        <f t="shared" si="24"/>
        <v>0</v>
      </c>
      <c r="O71" s="146">
        <f t="shared" si="24"/>
        <v>0</v>
      </c>
      <c r="P71" s="146">
        <f t="shared" si="24"/>
        <v>0</v>
      </c>
      <c r="Q71" s="146">
        <f t="shared" si="24"/>
        <v>0</v>
      </c>
      <c r="R71" s="146">
        <f t="shared" si="24"/>
        <v>0</v>
      </c>
      <c r="S71" s="146">
        <f t="shared" si="24"/>
        <v>0</v>
      </c>
      <c r="T71" s="146" t="str">
        <f t="shared" si="24"/>
        <v>＋</v>
      </c>
      <c r="U71" s="146">
        <f t="shared" si="24"/>
        <v>7070</v>
      </c>
      <c r="V71" s="146">
        <f t="shared" si="24"/>
        <v>70</v>
      </c>
      <c r="W71" s="146" t="str">
        <f t="shared" si="24"/>
        <v>＋</v>
      </c>
      <c r="X71" s="146">
        <f t="shared" si="24"/>
        <v>49520</v>
      </c>
      <c r="Y71" s="146" t="str">
        <f t="shared" si="24"/>
        <v>＋</v>
      </c>
      <c r="Z71" s="146">
        <f t="shared" si="24"/>
        <v>490</v>
      </c>
      <c r="AA71" s="146" t="str">
        <f t="shared" si="24"/>
        <v>＋</v>
      </c>
      <c r="AB71" s="146">
        <f t="shared" si="24"/>
        <v>42450</v>
      </c>
      <c r="AC71" s="146" t="str">
        <f t="shared" si="24"/>
        <v>＋</v>
      </c>
      <c r="AD71" s="146">
        <f t="shared" si="24"/>
        <v>420</v>
      </c>
      <c r="AE71" s="146">
        <f t="shared" si="24"/>
        <v>0</v>
      </c>
      <c r="AF71" s="146">
        <f>AF24</f>
        <v>0</v>
      </c>
      <c r="AG71" s="146">
        <f>AG24</f>
        <v>0</v>
      </c>
      <c r="AH71" s="146">
        <f>AH24</f>
        <v>0</v>
      </c>
      <c r="AI71" s="146">
        <f>AI24</f>
        <v>0</v>
      </c>
      <c r="AJ71" s="146"/>
      <c r="AK71" s="146">
        <f t="shared" si="24"/>
        <v>0</v>
      </c>
      <c r="AL71" s="146">
        <f t="shared" si="24"/>
        <v>0</v>
      </c>
      <c r="AM71" s="146">
        <f t="shared" si="24"/>
        <v>0</v>
      </c>
      <c r="AN71" s="146">
        <f t="shared" si="24"/>
        <v>0</v>
      </c>
      <c r="AO71" s="146">
        <f t="shared" si="24"/>
        <v>0</v>
      </c>
      <c r="AP71" s="146">
        <f t="shared" si="24"/>
        <v>0</v>
      </c>
      <c r="AQ71" s="146">
        <f t="shared" si="24"/>
        <v>0</v>
      </c>
      <c r="AR71" s="146"/>
      <c r="AS71" s="146">
        <f t="shared" si="24"/>
        <v>0</v>
      </c>
      <c r="AT71" s="146"/>
      <c r="AU71" s="146">
        <f t="shared" si="24"/>
        <v>0</v>
      </c>
      <c r="AV71" s="146"/>
      <c r="AW71" s="146">
        <f>AW24</f>
        <v>0</v>
      </c>
      <c r="AX71" s="146"/>
      <c r="AY71" s="146"/>
      <c r="AZ71" s="146">
        <f t="shared" si="24"/>
        <v>4660</v>
      </c>
      <c r="BA71" s="146">
        <f t="shared" si="24"/>
        <v>0</v>
      </c>
      <c r="BB71" s="146"/>
      <c r="BC71" s="146"/>
      <c r="BD71" s="147"/>
      <c r="BE71" s="146">
        <f t="shared" si="24"/>
        <v>0</v>
      </c>
      <c r="BF71" s="147"/>
      <c r="BG71" s="146">
        <f t="shared" si="24"/>
        <v>0</v>
      </c>
      <c r="BH71" s="147"/>
      <c r="BI71" s="146">
        <f t="shared" si="24"/>
        <v>0</v>
      </c>
    </row>
    <row r="72" spans="1:61" s="152" customFormat="1">
      <c r="A72" s="146"/>
      <c r="B72" s="146">
        <v>106</v>
      </c>
      <c r="C72" s="146"/>
      <c r="D72" s="146" t="str">
        <f>D26</f>
        <v>３歳児</v>
      </c>
      <c r="E72" s="146">
        <f t="shared" ref="E72:BI72" si="25">E26</f>
        <v>0</v>
      </c>
      <c r="F72" s="146">
        <f t="shared" si="25"/>
        <v>31860</v>
      </c>
      <c r="G72" s="146">
        <f t="shared" si="25"/>
        <v>0</v>
      </c>
      <c r="H72" s="146" t="str">
        <f t="shared" si="25"/>
        <v>＋</v>
      </c>
      <c r="I72" s="146">
        <f t="shared" si="25"/>
        <v>300</v>
      </c>
      <c r="J72" s="146">
        <f t="shared" si="25"/>
        <v>0</v>
      </c>
      <c r="K72" s="146" t="str">
        <f t="shared" si="25"/>
        <v>×加算率</v>
      </c>
      <c r="L72" s="146">
        <f t="shared" si="25"/>
        <v>0</v>
      </c>
      <c r="M72" s="146">
        <f t="shared" si="25"/>
        <v>0</v>
      </c>
      <c r="N72" s="146">
        <f t="shared" si="25"/>
        <v>0</v>
      </c>
      <c r="O72" s="146">
        <f t="shared" si="25"/>
        <v>0</v>
      </c>
      <c r="P72" s="146">
        <f t="shared" si="25"/>
        <v>0</v>
      </c>
      <c r="Q72" s="146">
        <f t="shared" si="25"/>
        <v>0</v>
      </c>
      <c r="R72" s="146">
        <f t="shared" si="25"/>
        <v>0</v>
      </c>
      <c r="S72" s="146">
        <f t="shared" si="25"/>
        <v>0</v>
      </c>
      <c r="T72" s="146" t="str">
        <f t="shared" si="25"/>
        <v>＋</v>
      </c>
      <c r="U72" s="146">
        <f t="shared" si="25"/>
        <v>7070</v>
      </c>
      <c r="V72" s="146">
        <f t="shared" si="25"/>
        <v>70</v>
      </c>
      <c r="W72" s="146" t="str">
        <f t="shared" si="25"/>
        <v>＋</v>
      </c>
      <c r="X72" s="146">
        <f t="shared" si="25"/>
        <v>49520</v>
      </c>
      <c r="Y72" s="146" t="str">
        <f t="shared" si="25"/>
        <v>＋</v>
      </c>
      <c r="Z72" s="146">
        <f t="shared" si="25"/>
        <v>490</v>
      </c>
      <c r="AA72" s="146" t="str">
        <f t="shared" si="25"/>
        <v>＋</v>
      </c>
      <c r="AB72" s="146">
        <f t="shared" si="25"/>
        <v>42450</v>
      </c>
      <c r="AC72" s="146" t="str">
        <f t="shared" si="25"/>
        <v>＋</v>
      </c>
      <c r="AD72" s="146">
        <f t="shared" si="25"/>
        <v>420</v>
      </c>
      <c r="AE72" s="146">
        <f t="shared" si="25"/>
        <v>0</v>
      </c>
      <c r="AF72" s="146">
        <f>AF26</f>
        <v>0</v>
      </c>
      <c r="AG72" s="146">
        <f>AG26</f>
        <v>0</v>
      </c>
      <c r="AH72" s="146">
        <f>AH26</f>
        <v>0</v>
      </c>
      <c r="AI72" s="146">
        <f>AI26</f>
        <v>0</v>
      </c>
      <c r="AJ72" s="146"/>
      <c r="AK72" s="146">
        <f t="shared" si="25"/>
        <v>0</v>
      </c>
      <c r="AL72" s="146">
        <f t="shared" si="25"/>
        <v>0</v>
      </c>
      <c r="AM72" s="146">
        <f t="shared" si="25"/>
        <v>0</v>
      </c>
      <c r="AN72" s="146">
        <f t="shared" si="25"/>
        <v>0</v>
      </c>
      <c r="AO72" s="146">
        <f t="shared" si="25"/>
        <v>0</v>
      </c>
      <c r="AP72" s="146">
        <f t="shared" si="25"/>
        <v>0</v>
      </c>
      <c r="AQ72" s="146">
        <f t="shared" si="25"/>
        <v>0</v>
      </c>
      <c r="AR72" s="146"/>
      <c r="AS72" s="146">
        <f t="shared" si="25"/>
        <v>0</v>
      </c>
      <c r="AT72" s="146"/>
      <c r="AU72" s="146">
        <f t="shared" si="25"/>
        <v>0</v>
      </c>
      <c r="AV72" s="146"/>
      <c r="AW72" s="146">
        <f>AW26</f>
        <v>0</v>
      </c>
      <c r="AX72" s="146"/>
      <c r="AY72" s="146"/>
      <c r="AZ72" s="146">
        <f t="shared" si="25"/>
        <v>4250</v>
      </c>
      <c r="BA72" s="146">
        <f t="shared" si="25"/>
        <v>0</v>
      </c>
      <c r="BB72" s="146"/>
      <c r="BC72" s="146"/>
      <c r="BD72" s="147"/>
      <c r="BE72" s="146">
        <f t="shared" si="25"/>
        <v>0</v>
      </c>
      <c r="BF72" s="147"/>
      <c r="BG72" s="146">
        <f t="shared" si="25"/>
        <v>0</v>
      </c>
      <c r="BH72" s="147"/>
      <c r="BI72" s="146">
        <f t="shared" si="25"/>
        <v>0</v>
      </c>
    </row>
    <row r="73" spans="1:61" s="152" customFormat="1">
      <c r="A73" s="146"/>
      <c r="B73" s="146">
        <v>121</v>
      </c>
      <c r="C73" s="146"/>
      <c r="D73" s="146" t="str">
        <f>D28</f>
        <v>３歳児</v>
      </c>
      <c r="E73" s="146">
        <f t="shared" ref="E73:BI73" si="26">E28</f>
        <v>0</v>
      </c>
      <c r="F73" s="146">
        <f t="shared" si="26"/>
        <v>31150</v>
      </c>
      <c r="G73" s="146">
        <f t="shared" si="26"/>
        <v>0</v>
      </c>
      <c r="H73" s="146" t="str">
        <f t="shared" si="26"/>
        <v>＋</v>
      </c>
      <c r="I73" s="146">
        <f t="shared" si="26"/>
        <v>290</v>
      </c>
      <c r="J73" s="146">
        <f t="shared" si="26"/>
        <v>0</v>
      </c>
      <c r="K73" s="146" t="str">
        <f t="shared" si="26"/>
        <v>×加算率</v>
      </c>
      <c r="L73" s="146">
        <f t="shared" si="26"/>
        <v>0</v>
      </c>
      <c r="M73" s="146">
        <f t="shared" si="26"/>
        <v>0</v>
      </c>
      <c r="N73" s="146">
        <f t="shared" si="26"/>
        <v>0</v>
      </c>
      <c r="O73" s="146">
        <f t="shared" si="26"/>
        <v>0</v>
      </c>
      <c r="P73" s="146">
        <f t="shared" si="26"/>
        <v>0</v>
      </c>
      <c r="Q73" s="146">
        <f t="shared" si="26"/>
        <v>0</v>
      </c>
      <c r="R73" s="146">
        <f t="shared" si="26"/>
        <v>0</v>
      </c>
      <c r="S73" s="146">
        <f t="shared" si="26"/>
        <v>0</v>
      </c>
      <c r="T73" s="146" t="str">
        <f t="shared" si="26"/>
        <v>＋</v>
      </c>
      <c r="U73" s="146">
        <f t="shared" si="26"/>
        <v>7070</v>
      </c>
      <c r="V73" s="146">
        <f t="shared" si="26"/>
        <v>70</v>
      </c>
      <c r="W73" s="146" t="str">
        <f t="shared" si="26"/>
        <v>＋</v>
      </c>
      <c r="X73" s="146">
        <f t="shared" si="26"/>
        <v>49520</v>
      </c>
      <c r="Y73" s="146" t="str">
        <f t="shared" si="26"/>
        <v>＋</v>
      </c>
      <c r="Z73" s="146">
        <f t="shared" si="26"/>
        <v>490</v>
      </c>
      <c r="AA73" s="146" t="str">
        <f t="shared" si="26"/>
        <v>＋</v>
      </c>
      <c r="AB73" s="146">
        <f t="shared" si="26"/>
        <v>42450</v>
      </c>
      <c r="AC73" s="146" t="str">
        <f t="shared" si="26"/>
        <v>＋</v>
      </c>
      <c r="AD73" s="146">
        <f t="shared" si="26"/>
        <v>420</v>
      </c>
      <c r="AE73" s="146">
        <f t="shared" si="26"/>
        <v>0</v>
      </c>
      <c r="AF73" s="146">
        <f>AF28</f>
        <v>0</v>
      </c>
      <c r="AG73" s="146">
        <f>AG28</f>
        <v>0</v>
      </c>
      <c r="AH73" s="146">
        <f>AH28</f>
        <v>0</v>
      </c>
      <c r="AI73" s="146">
        <f>AI28</f>
        <v>0</v>
      </c>
      <c r="AJ73" s="146"/>
      <c r="AK73" s="146">
        <f t="shared" si="26"/>
        <v>0</v>
      </c>
      <c r="AL73" s="146">
        <f t="shared" si="26"/>
        <v>0</v>
      </c>
      <c r="AM73" s="146">
        <f t="shared" si="26"/>
        <v>0</v>
      </c>
      <c r="AN73" s="146">
        <f t="shared" si="26"/>
        <v>0</v>
      </c>
      <c r="AO73" s="146">
        <f t="shared" si="26"/>
        <v>0</v>
      </c>
      <c r="AP73" s="146">
        <f t="shared" si="26"/>
        <v>0</v>
      </c>
      <c r="AQ73" s="146">
        <f t="shared" si="26"/>
        <v>0</v>
      </c>
      <c r="AR73" s="146"/>
      <c r="AS73" s="146">
        <f t="shared" si="26"/>
        <v>0</v>
      </c>
      <c r="AT73" s="146"/>
      <c r="AU73" s="146">
        <f t="shared" si="26"/>
        <v>0</v>
      </c>
      <c r="AV73" s="146"/>
      <c r="AW73" s="146">
        <f>AW28</f>
        <v>0</v>
      </c>
      <c r="AX73" s="146"/>
      <c r="AY73" s="146"/>
      <c r="AZ73" s="146">
        <f t="shared" si="26"/>
        <v>3920</v>
      </c>
      <c r="BA73" s="146">
        <f t="shared" si="26"/>
        <v>0</v>
      </c>
      <c r="BB73" s="146"/>
      <c r="BC73" s="146"/>
      <c r="BD73" s="147"/>
      <c r="BE73" s="146">
        <f t="shared" si="26"/>
        <v>0</v>
      </c>
      <c r="BF73" s="147"/>
      <c r="BG73" s="146">
        <f t="shared" si="26"/>
        <v>0</v>
      </c>
      <c r="BH73" s="147"/>
      <c r="BI73" s="146">
        <f t="shared" si="26"/>
        <v>0</v>
      </c>
    </row>
    <row r="74" spans="1:61" s="152" customFormat="1">
      <c r="A74" s="146"/>
      <c r="B74" s="146">
        <v>136</v>
      </c>
      <c r="C74" s="146"/>
      <c r="D74" s="146" t="str">
        <f>D30</f>
        <v>３歳児</v>
      </c>
      <c r="E74" s="146">
        <f t="shared" ref="E74:BI74" si="27">E30</f>
        <v>0</v>
      </c>
      <c r="F74" s="146">
        <f t="shared" si="27"/>
        <v>30610</v>
      </c>
      <c r="G74" s="146">
        <f t="shared" si="27"/>
        <v>0</v>
      </c>
      <c r="H74" s="146" t="str">
        <f t="shared" si="27"/>
        <v>＋</v>
      </c>
      <c r="I74" s="146">
        <f t="shared" si="27"/>
        <v>280</v>
      </c>
      <c r="J74" s="146">
        <f t="shared" si="27"/>
        <v>0</v>
      </c>
      <c r="K74" s="146" t="str">
        <f t="shared" si="27"/>
        <v>×加算率</v>
      </c>
      <c r="L74" s="146">
        <f t="shared" si="27"/>
        <v>0</v>
      </c>
      <c r="M74" s="146">
        <f t="shared" si="27"/>
        <v>0</v>
      </c>
      <c r="N74" s="146">
        <f t="shared" si="27"/>
        <v>0</v>
      </c>
      <c r="O74" s="146">
        <f t="shared" si="27"/>
        <v>0</v>
      </c>
      <c r="P74" s="146">
        <f t="shared" si="27"/>
        <v>0</v>
      </c>
      <c r="Q74" s="146">
        <f t="shared" si="27"/>
        <v>0</v>
      </c>
      <c r="R74" s="146">
        <f t="shared" si="27"/>
        <v>0</v>
      </c>
      <c r="S74" s="146">
        <f t="shared" si="27"/>
        <v>0</v>
      </c>
      <c r="T74" s="146" t="str">
        <f t="shared" si="27"/>
        <v>＋</v>
      </c>
      <c r="U74" s="146">
        <f t="shared" si="27"/>
        <v>7070</v>
      </c>
      <c r="V74" s="146">
        <f t="shared" si="27"/>
        <v>70</v>
      </c>
      <c r="W74" s="146" t="str">
        <f t="shared" si="27"/>
        <v>＋</v>
      </c>
      <c r="X74" s="146">
        <f t="shared" si="27"/>
        <v>49520</v>
      </c>
      <c r="Y74" s="146" t="str">
        <f t="shared" si="27"/>
        <v>＋</v>
      </c>
      <c r="Z74" s="146">
        <f t="shared" si="27"/>
        <v>490</v>
      </c>
      <c r="AA74" s="146" t="str">
        <f t="shared" si="27"/>
        <v>＋</v>
      </c>
      <c r="AB74" s="146">
        <f t="shared" si="27"/>
        <v>42450</v>
      </c>
      <c r="AC74" s="146" t="str">
        <f t="shared" si="27"/>
        <v>＋</v>
      </c>
      <c r="AD74" s="146">
        <f t="shared" si="27"/>
        <v>420</v>
      </c>
      <c r="AE74" s="146">
        <f t="shared" si="27"/>
        <v>0</v>
      </c>
      <c r="AF74" s="146">
        <f>AF30</f>
        <v>0</v>
      </c>
      <c r="AG74" s="146">
        <f>AG30</f>
        <v>0</v>
      </c>
      <c r="AH74" s="146">
        <f>AH30</f>
        <v>0</v>
      </c>
      <c r="AI74" s="146">
        <f>AI30</f>
        <v>0</v>
      </c>
      <c r="AJ74" s="146"/>
      <c r="AK74" s="146">
        <f t="shared" si="27"/>
        <v>0</v>
      </c>
      <c r="AL74" s="146">
        <f t="shared" si="27"/>
        <v>0</v>
      </c>
      <c r="AM74" s="146">
        <f t="shared" si="27"/>
        <v>0</v>
      </c>
      <c r="AN74" s="146">
        <f t="shared" si="27"/>
        <v>0</v>
      </c>
      <c r="AO74" s="146">
        <f t="shared" si="27"/>
        <v>0</v>
      </c>
      <c r="AP74" s="146">
        <f t="shared" si="27"/>
        <v>0</v>
      </c>
      <c r="AQ74" s="146">
        <f t="shared" si="27"/>
        <v>0</v>
      </c>
      <c r="AR74" s="146"/>
      <c r="AS74" s="146">
        <f t="shared" si="27"/>
        <v>0</v>
      </c>
      <c r="AT74" s="146"/>
      <c r="AU74" s="146">
        <f t="shared" si="27"/>
        <v>0</v>
      </c>
      <c r="AV74" s="146"/>
      <c r="AW74" s="146">
        <f>AW30</f>
        <v>0</v>
      </c>
      <c r="AX74" s="146"/>
      <c r="AY74" s="146"/>
      <c r="AZ74" s="146">
        <f t="shared" si="27"/>
        <v>3660</v>
      </c>
      <c r="BA74" s="146">
        <f t="shared" si="27"/>
        <v>0</v>
      </c>
      <c r="BB74" s="146"/>
      <c r="BC74" s="146"/>
      <c r="BD74" s="147"/>
      <c r="BE74" s="146">
        <f t="shared" si="27"/>
        <v>0</v>
      </c>
      <c r="BF74" s="147"/>
      <c r="BG74" s="146">
        <f t="shared" si="27"/>
        <v>0</v>
      </c>
      <c r="BH74" s="147"/>
      <c r="BI74" s="146">
        <f t="shared" si="27"/>
        <v>0</v>
      </c>
    </row>
    <row r="75" spans="1:61" s="152" customFormat="1">
      <c r="A75" s="146"/>
      <c r="B75" s="146">
        <v>151</v>
      </c>
      <c r="C75" s="146"/>
      <c r="D75" s="146" t="str">
        <f>D32</f>
        <v>３歳児</v>
      </c>
      <c r="E75" s="146">
        <f t="shared" ref="E75:BI75" si="28">E32</f>
        <v>0</v>
      </c>
      <c r="F75" s="146">
        <f t="shared" si="28"/>
        <v>29770</v>
      </c>
      <c r="G75" s="146">
        <f t="shared" si="28"/>
        <v>0</v>
      </c>
      <c r="H75" s="146" t="str">
        <f t="shared" si="28"/>
        <v>＋</v>
      </c>
      <c r="I75" s="146">
        <f t="shared" si="28"/>
        <v>280</v>
      </c>
      <c r="J75" s="146">
        <f t="shared" si="28"/>
        <v>0</v>
      </c>
      <c r="K75" s="146" t="str">
        <f t="shared" si="28"/>
        <v>×加算率</v>
      </c>
      <c r="L75" s="146">
        <f t="shared" si="28"/>
        <v>0</v>
      </c>
      <c r="M75" s="146">
        <f t="shared" si="28"/>
        <v>0</v>
      </c>
      <c r="N75" s="146">
        <f t="shared" si="28"/>
        <v>0</v>
      </c>
      <c r="O75" s="146">
        <f t="shared" si="28"/>
        <v>0</v>
      </c>
      <c r="P75" s="146">
        <f t="shared" si="28"/>
        <v>0</v>
      </c>
      <c r="Q75" s="146">
        <f t="shared" si="28"/>
        <v>0</v>
      </c>
      <c r="R75" s="146">
        <f t="shared" si="28"/>
        <v>0</v>
      </c>
      <c r="S75" s="146">
        <f t="shared" si="28"/>
        <v>0</v>
      </c>
      <c r="T75" s="146" t="str">
        <f t="shared" si="28"/>
        <v>＋</v>
      </c>
      <c r="U75" s="146">
        <f t="shared" si="28"/>
        <v>7070</v>
      </c>
      <c r="V75" s="146">
        <f t="shared" si="28"/>
        <v>70</v>
      </c>
      <c r="W75" s="146" t="str">
        <f t="shared" si="28"/>
        <v>＋</v>
      </c>
      <c r="X75" s="146">
        <f t="shared" si="28"/>
        <v>49520</v>
      </c>
      <c r="Y75" s="146" t="str">
        <f t="shared" si="28"/>
        <v>＋</v>
      </c>
      <c r="Z75" s="146">
        <f t="shared" si="28"/>
        <v>490</v>
      </c>
      <c r="AA75" s="146" t="str">
        <f t="shared" si="28"/>
        <v>＋</v>
      </c>
      <c r="AB75" s="146">
        <f t="shared" si="28"/>
        <v>42450</v>
      </c>
      <c r="AC75" s="146" t="str">
        <f t="shared" si="28"/>
        <v>＋</v>
      </c>
      <c r="AD75" s="146">
        <f t="shared" si="28"/>
        <v>420</v>
      </c>
      <c r="AE75" s="146">
        <f t="shared" si="28"/>
        <v>0</v>
      </c>
      <c r="AF75" s="146">
        <f>AF32</f>
        <v>0</v>
      </c>
      <c r="AG75" s="146">
        <f>AG32</f>
        <v>0</v>
      </c>
      <c r="AH75" s="146">
        <f>AH32</f>
        <v>0</v>
      </c>
      <c r="AI75" s="146">
        <f>AI32</f>
        <v>0</v>
      </c>
      <c r="AJ75" s="146"/>
      <c r="AK75" s="146">
        <f t="shared" si="28"/>
        <v>0</v>
      </c>
      <c r="AL75" s="146">
        <f t="shared" si="28"/>
        <v>0</v>
      </c>
      <c r="AM75" s="146">
        <f t="shared" si="28"/>
        <v>0</v>
      </c>
      <c r="AN75" s="146">
        <f t="shared" si="28"/>
        <v>0</v>
      </c>
      <c r="AO75" s="146">
        <f t="shared" si="28"/>
        <v>0</v>
      </c>
      <c r="AP75" s="146">
        <f t="shared" si="28"/>
        <v>0</v>
      </c>
      <c r="AQ75" s="146">
        <f t="shared" si="28"/>
        <v>0</v>
      </c>
      <c r="AR75" s="146"/>
      <c r="AS75" s="146">
        <f t="shared" si="28"/>
        <v>0</v>
      </c>
      <c r="AT75" s="146"/>
      <c r="AU75" s="146">
        <f t="shared" si="28"/>
        <v>0</v>
      </c>
      <c r="AV75" s="146"/>
      <c r="AW75" s="146">
        <f>AW32</f>
        <v>0</v>
      </c>
      <c r="AX75" s="146"/>
      <c r="AY75" s="146"/>
      <c r="AZ75" s="146">
        <f t="shared" si="28"/>
        <v>3160</v>
      </c>
      <c r="BA75" s="146">
        <f t="shared" si="28"/>
        <v>0</v>
      </c>
      <c r="BB75" s="146"/>
      <c r="BC75" s="146"/>
      <c r="BD75" s="147"/>
      <c r="BE75" s="146">
        <f t="shared" si="28"/>
        <v>0</v>
      </c>
      <c r="BF75" s="147"/>
      <c r="BG75" s="146">
        <f t="shared" si="28"/>
        <v>0</v>
      </c>
      <c r="BH75" s="147"/>
      <c r="BI75" s="146">
        <f t="shared" si="28"/>
        <v>0</v>
      </c>
    </row>
    <row r="76" spans="1:61" s="152" customFormat="1">
      <c r="A76" s="146"/>
      <c r="B76" s="146">
        <v>181</v>
      </c>
      <c r="C76" s="146"/>
      <c r="D76" s="146" t="str">
        <f>D34</f>
        <v>３歳児</v>
      </c>
      <c r="E76" s="146">
        <f t="shared" ref="E76:BI76" si="29">E34</f>
        <v>0</v>
      </c>
      <c r="F76" s="146">
        <f t="shared" si="29"/>
        <v>29160</v>
      </c>
      <c r="G76" s="146">
        <f t="shared" si="29"/>
        <v>0</v>
      </c>
      <c r="H76" s="146" t="str">
        <f t="shared" si="29"/>
        <v>＋</v>
      </c>
      <c r="I76" s="146">
        <f t="shared" si="29"/>
        <v>270</v>
      </c>
      <c r="J76" s="146">
        <f t="shared" si="29"/>
        <v>0</v>
      </c>
      <c r="K76" s="146" t="str">
        <f t="shared" si="29"/>
        <v>×加算率</v>
      </c>
      <c r="L76" s="146">
        <f t="shared" si="29"/>
        <v>0</v>
      </c>
      <c r="M76" s="146">
        <f t="shared" si="29"/>
        <v>0</v>
      </c>
      <c r="N76" s="146">
        <f t="shared" si="29"/>
        <v>0</v>
      </c>
      <c r="O76" s="146">
        <f t="shared" si="29"/>
        <v>0</v>
      </c>
      <c r="P76" s="146">
        <f t="shared" si="29"/>
        <v>0</v>
      </c>
      <c r="Q76" s="146">
        <f t="shared" si="29"/>
        <v>0</v>
      </c>
      <c r="R76" s="146">
        <f t="shared" si="29"/>
        <v>0</v>
      </c>
      <c r="S76" s="146">
        <f t="shared" si="29"/>
        <v>0</v>
      </c>
      <c r="T76" s="146" t="str">
        <f t="shared" si="29"/>
        <v>＋</v>
      </c>
      <c r="U76" s="146">
        <f t="shared" si="29"/>
        <v>7070</v>
      </c>
      <c r="V76" s="146">
        <f t="shared" si="29"/>
        <v>70</v>
      </c>
      <c r="W76" s="146" t="str">
        <f t="shared" si="29"/>
        <v>＋</v>
      </c>
      <c r="X76" s="146">
        <f t="shared" si="29"/>
        <v>49520</v>
      </c>
      <c r="Y76" s="146" t="str">
        <f t="shared" si="29"/>
        <v>＋</v>
      </c>
      <c r="Z76" s="146">
        <f t="shared" si="29"/>
        <v>490</v>
      </c>
      <c r="AA76" s="146" t="str">
        <f t="shared" si="29"/>
        <v>＋</v>
      </c>
      <c r="AB76" s="146">
        <f t="shared" si="29"/>
        <v>42450</v>
      </c>
      <c r="AC76" s="146" t="str">
        <f t="shared" si="29"/>
        <v>＋</v>
      </c>
      <c r="AD76" s="146">
        <f t="shared" si="29"/>
        <v>420</v>
      </c>
      <c r="AE76" s="146">
        <f t="shared" si="29"/>
        <v>0</v>
      </c>
      <c r="AF76" s="146">
        <f>AF34</f>
        <v>0</v>
      </c>
      <c r="AG76" s="146">
        <f>AG34</f>
        <v>0</v>
      </c>
      <c r="AH76" s="146">
        <f>AH34</f>
        <v>0</v>
      </c>
      <c r="AI76" s="146">
        <f>AI34</f>
        <v>0</v>
      </c>
      <c r="AJ76" s="146"/>
      <c r="AK76" s="146">
        <f t="shared" si="29"/>
        <v>0</v>
      </c>
      <c r="AL76" s="146">
        <f t="shared" si="29"/>
        <v>0</v>
      </c>
      <c r="AM76" s="146">
        <f t="shared" si="29"/>
        <v>0</v>
      </c>
      <c r="AN76" s="146">
        <f t="shared" si="29"/>
        <v>0</v>
      </c>
      <c r="AO76" s="146">
        <f t="shared" si="29"/>
        <v>0</v>
      </c>
      <c r="AP76" s="146">
        <f t="shared" si="29"/>
        <v>0</v>
      </c>
      <c r="AQ76" s="146">
        <f t="shared" si="29"/>
        <v>0</v>
      </c>
      <c r="AR76" s="146"/>
      <c r="AS76" s="146">
        <f t="shared" si="29"/>
        <v>0</v>
      </c>
      <c r="AT76" s="146"/>
      <c r="AU76" s="146">
        <f t="shared" si="29"/>
        <v>0</v>
      </c>
      <c r="AV76" s="146"/>
      <c r="AW76" s="146">
        <f>AW34</f>
        <v>0</v>
      </c>
      <c r="AX76" s="146"/>
      <c r="AY76" s="146"/>
      <c r="AZ76" s="146">
        <f t="shared" si="29"/>
        <v>2810</v>
      </c>
      <c r="BA76" s="146">
        <f t="shared" si="29"/>
        <v>0</v>
      </c>
      <c r="BB76" s="146"/>
      <c r="BC76" s="146"/>
      <c r="BD76" s="147"/>
      <c r="BE76" s="146">
        <f t="shared" si="29"/>
        <v>0</v>
      </c>
      <c r="BF76" s="147"/>
      <c r="BG76" s="146">
        <f t="shared" si="29"/>
        <v>0</v>
      </c>
      <c r="BH76" s="147"/>
      <c r="BI76" s="146">
        <f t="shared" si="29"/>
        <v>0</v>
      </c>
    </row>
    <row r="77" spans="1:61" s="152" customFormat="1">
      <c r="A77" s="146"/>
      <c r="B77" s="146">
        <v>211</v>
      </c>
      <c r="C77" s="146"/>
      <c r="D77" s="146" t="str">
        <f>D36</f>
        <v>３歳児</v>
      </c>
      <c r="E77" s="146">
        <f t="shared" ref="E77:BI77" si="30">E36</f>
        <v>0</v>
      </c>
      <c r="F77" s="146">
        <f t="shared" si="30"/>
        <v>28710</v>
      </c>
      <c r="G77" s="146">
        <f t="shared" si="30"/>
        <v>0</v>
      </c>
      <c r="H77" s="146" t="str">
        <f t="shared" si="30"/>
        <v>＋</v>
      </c>
      <c r="I77" s="146">
        <f t="shared" si="30"/>
        <v>260</v>
      </c>
      <c r="J77" s="146">
        <f t="shared" si="30"/>
        <v>0</v>
      </c>
      <c r="K77" s="146" t="str">
        <f t="shared" si="30"/>
        <v>×加算率</v>
      </c>
      <c r="L77" s="146">
        <f t="shared" si="30"/>
        <v>0</v>
      </c>
      <c r="M77" s="146">
        <f t="shared" si="30"/>
        <v>0</v>
      </c>
      <c r="N77" s="146">
        <f t="shared" si="30"/>
        <v>0</v>
      </c>
      <c r="O77" s="146">
        <f t="shared" si="30"/>
        <v>0</v>
      </c>
      <c r="P77" s="146">
        <f t="shared" si="30"/>
        <v>0</v>
      </c>
      <c r="Q77" s="146">
        <f t="shared" si="30"/>
        <v>0</v>
      </c>
      <c r="R77" s="146">
        <f t="shared" si="30"/>
        <v>0</v>
      </c>
      <c r="S77" s="146">
        <f t="shared" si="30"/>
        <v>0</v>
      </c>
      <c r="T77" s="146" t="str">
        <f t="shared" si="30"/>
        <v>＋</v>
      </c>
      <c r="U77" s="146">
        <f t="shared" si="30"/>
        <v>7070</v>
      </c>
      <c r="V77" s="146">
        <f t="shared" si="30"/>
        <v>70</v>
      </c>
      <c r="W77" s="146" t="str">
        <f t="shared" si="30"/>
        <v>＋</v>
      </c>
      <c r="X77" s="146">
        <f t="shared" si="30"/>
        <v>49520</v>
      </c>
      <c r="Y77" s="146" t="str">
        <f t="shared" si="30"/>
        <v>＋</v>
      </c>
      <c r="Z77" s="146">
        <f t="shared" si="30"/>
        <v>490</v>
      </c>
      <c r="AA77" s="146" t="str">
        <f t="shared" si="30"/>
        <v>＋</v>
      </c>
      <c r="AB77" s="146">
        <f t="shared" si="30"/>
        <v>42450</v>
      </c>
      <c r="AC77" s="146" t="str">
        <f t="shared" si="30"/>
        <v>＋</v>
      </c>
      <c r="AD77" s="146">
        <f t="shared" si="30"/>
        <v>420</v>
      </c>
      <c r="AE77" s="146">
        <f t="shared" si="30"/>
        <v>0</v>
      </c>
      <c r="AF77" s="146">
        <f>AF36</f>
        <v>0</v>
      </c>
      <c r="AG77" s="146">
        <f>AG36</f>
        <v>0</v>
      </c>
      <c r="AH77" s="146">
        <f>AH36</f>
        <v>0</v>
      </c>
      <c r="AI77" s="146">
        <f>AI36</f>
        <v>0</v>
      </c>
      <c r="AJ77" s="146"/>
      <c r="AK77" s="146">
        <f t="shared" si="30"/>
        <v>0</v>
      </c>
      <c r="AL77" s="146">
        <f t="shared" si="30"/>
        <v>0</v>
      </c>
      <c r="AM77" s="146">
        <f t="shared" si="30"/>
        <v>0</v>
      </c>
      <c r="AN77" s="146">
        <f t="shared" si="30"/>
        <v>0</v>
      </c>
      <c r="AO77" s="146">
        <f t="shared" si="30"/>
        <v>0</v>
      </c>
      <c r="AP77" s="146">
        <f t="shared" si="30"/>
        <v>0</v>
      </c>
      <c r="AQ77" s="146">
        <f t="shared" si="30"/>
        <v>0</v>
      </c>
      <c r="AR77" s="146"/>
      <c r="AS77" s="146">
        <f t="shared" si="30"/>
        <v>0</v>
      </c>
      <c r="AT77" s="146"/>
      <c r="AU77" s="146">
        <f t="shared" si="30"/>
        <v>0</v>
      </c>
      <c r="AV77" s="146"/>
      <c r="AW77" s="146">
        <f>AW36</f>
        <v>0</v>
      </c>
      <c r="AX77" s="146"/>
      <c r="AY77" s="146"/>
      <c r="AZ77" s="146">
        <f t="shared" si="30"/>
        <v>2540</v>
      </c>
      <c r="BA77" s="146">
        <f t="shared" si="30"/>
        <v>0</v>
      </c>
      <c r="BB77" s="146"/>
      <c r="BC77" s="146"/>
      <c r="BD77" s="147"/>
      <c r="BE77" s="146">
        <f t="shared" si="30"/>
        <v>0</v>
      </c>
      <c r="BF77" s="147"/>
      <c r="BG77" s="146">
        <f t="shared" si="30"/>
        <v>0</v>
      </c>
      <c r="BH77" s="147"/>
      <c r="BI77" s="146">
        <f t="shared" si="30"/>
        <v>0</v>
      </c>
    </row>
    <row r="78" spans="1:61" s="152" customFormat="1">
      <c r="A78" s="146"/>
      <c r="B78" s="146">
        <v>241</v>
      </c>
      <c r="C78" s="146"/>
      <c r="D78" s="146" t="str">
        <f>D38</f>
        <v>３歳児</v>
      </c>
      <c r="E78" s="146">
        <f t="shared" ref="E78:BI78" si="31">E38</f>
        <v>0</v>
      </c>
      <c r="F78" s="146">
        <f t="shared" si="31"/>
        <v>28360</v>
      </c>
      <c r="G78" s="146">
        <f t="shared" si="31"/>
        <v>0</v>
      </c>
      <c r="H78" s="146" t="str">
        <f t="shared" si="31"/>
        <v>＋</v>
      </c>
      <c r="I78" s="146">
        <f t="shared" si="31"/>
        <v>260</v>
      </c>
      <c r="J78" s="146">
        <f t="shared" si="31"/>
        <v>0</v>
      </c>
      <c r="K78" s="146" t="str">
        <f t="shared" si="31"/>
        <v>×加算率</v>
      </c>
      <c r="L78" s="146">
        <f t="shared" si="31"/>
        <v>0</v>
      </c>
      <c r="M78" s="146">
        <f t="shared" si="31"/>
        <v>0</v>
      </c>
      <c r="N78" s="146">
        <f t="shared" si="31"/>
        <v>0</v>
      </c>
      <c r="O78" s="146">
        <f t="shared" si="31"/>
        <v>0</v>
      </c>
      <c r="P78" s="146">
        <f t="shared" si="31"/>
        <v>0</v>
      </c>
      <c r="Q78" s="146">
        <f t="shared" si="31"/>
        <v>0</v>
      </c>
      <c r="R78" s="146">
        <f t="shared" si="31"/>
        <v>0</v>
      </c>
      <c r="S78" s="146">
        <f t="shared" si="31"/>
        <v>0</v>
      </c>
      <c r="T78" s="146" t="str">
        <f t="shared" si="31"/>
        <v>＋</v>
      </c>
      <c r="U78" s="146">
        <f t="shared" si="31"/>
        <v>7070</v>
      </c>
      <c r="V78" s="146">
        <f t="shared" si="31"/>
        <v>70</v>
      </c>
      <c r="W78" s="146" t="str">
        <f t="shared" si="31"/>
        <v>＋</v>
      </c>
      <c r="X78" s="146">
        <f t="shared" si="31"/>
        <v>49520</v>
      </c>
      <c r="Y78" s="146" t="str">
        <f t="shared" si="31"/>
        <v>＋</v>
      </c>
      <c r="Z78" s="146">
        <f t="shared" si="31"/>
        <v>490</v>
      </c>
      <c r="AA78" s="146" t="str">
        <f t="shared" si="31"/>
        <v>＋</v>
      </c>
      <c r="AB78" s="146">
        <f t="shared" si="31"/>
        <v>42450</v>
      </c>
      <c r="AC78" s="146" t="str">
        <f t="shared" si="31"/>
        <v>＋</v>
      </c>
      <c r="AD78" s="146">
        <f t="shared" si="31"/>
        <v>420</v>
      </c>
      <c r="AE78" s="146">
        <f t="shared" si="31"/>
        <v>0</v>
      </c>
      <c r="AF78" s="146">
        <f>AF38</f>
        <v>0</v>
      </c>
      <c r="AG78" s="146">
        <f>AG38</f>
        <v>0</v>
      </c>
      <c r="AH78" s="146">
        <f>AH38</f>
        <v>0</v>
      </c>
      <c r="AI78" s="146">
        <f>AI38</f>
        <v>0</v>
      </c>
      <c r="AJ78" s="146"/>
      <c r="AK78" s="146">
        <f t="shared" si="31"/>
        <v>0</v>
      </c>
      <c r="AL78" s="146">
        <f t="shared" si="31"/>
        <v>0</v>
      </c>
      <c r="AM78" s="146">
        <f t="shared" si="31"/>
        <v>0</v>
      </c>
      <c r="AN78" s="146">
        <f t="shared" si="31"/>
        <v>0</v>
      </c>
      <c r="AO78" s="146">
        <f t="shared" si="31"/>
        <v>0</v>
      </c>
      <c r="AP78" s="146">
        <f t="shared" si="31"/>
        <v>0</v>
      </c>
      <c r="AQ78" s="146">
        <f t="shared" si="31"/>
        <v>0</v>
      </c>
      <c r="AR78" s="146"/>
      <c r="AS78" s="146">
        <f t="shared" si="31"/>
        <v>0</v>
      </c>
      <c r="AT78" s="146"/>
      <c r="AU78" s="146">
        <f t="shared" si="31"/>
        <v>0</v>
      </c>
      <c r="AV78" s="146"/>
      <c r="AW78" s="146">
        <f>AW38</f>
        <v>0</v>
      </c>
      <c r="AX78" s="146"/>
      <c r="AY78" s="146"/>
      <c r="AZ78" s="146">
        <f t="shared" si="31"/>
        <v>2440</v>
      </c>
      <c r="BA78" s="146">
        <f t="shared" si="31"/>
        <v>0</v>
      </c>
      <c r="BB78" s="146"/>
      <c r="BC78" s="146"/>
      <c r="BD78" s="147"/>
      <c r="BE78" s="146">
        <f t="shared" si="31"/>
        <v>0</v>
      </c>
      <c r="BF78" s="147"/>
      <c r="BG78" s="146">
        <f t="shared" si="31"/>
        <v>0</v>
      </c>
      <c r="BH78" s="147"/>
      <c r="BI78" s="146">
        <f t="shared" si="31"/>
        <v>0</v>
      </c>
    </row>
    <row r="79" spans="1:61" s="152" customFormat="1">
      <c r="A79" s="146"/>
      <c r="B79" s="146">
        <v>271</v>
      </c>
      <c r="C79" s="146"/>
      <c r="D79" s="146" t="str">
        <f>D40</f>
        <v>３歳児</v>
      </c>
      <c r="E79" s="146">
        <f t="shared" ref="E79:BI79" si="32">E40</f>
        <v>0</v>
      </c>
      <c r="F79" s="146">
        <f t="shared" si="32"/>
        <v>28080</v>
      </c>
      <c r="G79" s="146">
        <f t="shared" si="32"/>
        <v>0</v>
      </c>
      <c r="H79" s="146" t="str">
        <f t="shared" si="32"/>
        <v>＋</v>
      </c>
      <c r="I79" s="146">
        <f t="shared" si="32"/>
        <v>260</v>
      </c>
      <c r="J79" s="146">
        <f t="shared" si="32"/>
        <v>0</v>
      </c>
      <c r="K79" s="146" t="str">
        <f t="shared" si="32"/>
        <v>×加算率</v>
      </c>
      <c r="L79" s="146">
        <f t="shared" si="32"/>
        <v>0</v>
      </c>
      <c r="M79" s="146">
        <f t="shared" si="32"/>
        <v>0</v>
      </c>
      <c r="N79" s="146">
        <f t="shared" si="32"/>
        <v>0</v>
      </c>
      <c r="O79" s="146">
        <f t="shared" si="32"/>
        <v>0</v>
      </c>
      <c r="P79" s="146">
        <f t="shared" si="32"/>
        <v>0</v>
      </c>
      <c r="Q79" s="146">
        <f t="shared" si="32"/>
        <v>0</v>
      </c>
      <c r="R79" s="146">
        <f t="shared" si="32"/>
        <v>0</v>
      </c>
      <c r="S79" s="146">
        <f t="shared" si="32"/>
        <v>0</v>
      </c>
      <c r="T79" s="146" t="str">
        <f t="shared" si="32"/>
        <v>＋</v>
      </c>
      <c r="U79" s="146">
        <f t="shared" si="32"/>
        <v>7070</v>
      </c>
      <c r="V79" s="146">
        <f t="shared" si="32"/>
        <v>70</v>
      </c>
      <c r="W79" s="146" t="str">
        <f t="shared" si="32"/>
        <v>＋</v>
      </c>
      <c r="X79" s="146">
        <f t="shared" si="32"/>
        <v>49520</v>
      </c>
      <c r="Y79" s="146" t="str">
        <f t="shared" si="32"/>
        <v>＋</v>
      </c>
      <c r="Z79" s="146">
        <f t="shared" si="32"/>
        <v>490</v>
      </c>
      <c r="AA79" s="146" t="str">
        <f t="shared" si="32"/>
        <v>＋</v>
      </c>
      <c r="AB79" s="146">
        <f t="shared" si="32"/>
        <v>42450</v>
      </c>
      <c r="AC79" s="146" t="str">
        <f t="shared" si="32"/>
        <v>＋</v>
      </c>
      <c r="AD79" s="146">
        <f t="shared" si="32"/>
        <v>420</v>
      </c>
      <c r="AE79" s="146">
        <f t="shared" si="32"/>
        <v>0</v>
      </c>
      <c r="AF79" s="146">
        <f>AF40</f>
        <v>0</v>
      </c>
      <c r="AG79" s="146">
        <f>AG40</f>
        <v>0</v>
      </c>
      <c r="AH79" s="146">
        <f>AH40</f>
        <v>0</v>
      </c>
      <c r="AI79" s="146">
        <f>AI40</f>
        <v>0</v>
      </c>
      <c r="AJ79" s="146"/>
      <c r="AK79" s="146">
        <f t="shared" si="32"/>
        <v>0</v>
      </c>
      <c r="AL79" s="146">
        <f t="shared" si="32"/>
        <v>0</v>
      </c>
      <c r="AM79" s="146">
        <f t="shared" si="32"/>
        <v>0</v>
      </c>
      <c r="AN79" s="146">
        <f t="shared" si="32"/>
        <v>0</v>
      </c>
      <c r="AO79" s="146">
        <f t="shared" si="32"/>
        <v>0</v>
      </c>
      <c r="AP79" s="146">
        <f t="shared" si="32"/>
        <v>0</v>
      </c>
      <c r="AQ79" s="146">
        <f t="shared" si="32"/>
        <v>0</v>
      </c>
      <c r="AR79" s="146"/>
      <c r="AS79" s="146">
        <f t="shared" si="32"/>
        <v>0</v>
      </c>
      <c r="AT79" s="146"/>
      <c r="AU79" s="146">
        <f t="shared" si="32"/>
        <v>0</v>
      </c>
      <c r="AV79" s="146"/>
      <c r="AW79" s="146">
        <f>AW40</f>
        <v>0</v>
      </c>
      <c r="AX79" s="146"/>
      <c r="AY79" s="146"/>
      <c r="AZ79" s="146">
        <f t="shared" si="32"/>
        <v>2360</v>
      </c>
      <c r="BA79" s="146">
        <f t="shared" si="32"/>
        <v>0</v>
      </c>
      <c r="BB79" s="146"/>
      <c r="BC79" s="146"/>
      <c r="BD79" s="147"/>
      <c r="BE79" s="146">
        <f t="shared" si="32"/>
        <v>0</v>
      </c>
      <c r="BF79" s="147"/>
      <c r="BG79" s="146">
        <f t="shared" si="32"/>
        <v>0</v>
      </c>
      <c r="BH79" s="147"/>
      <c r="BI79" s="146">
        <f t="shared" si="32"/>
        <v>0</v>
      </c>
    </row>
    <row r="80" spans="1:61" s="152" customFormat="1">
      <c r="A80" s="146"/>
      <c r="B80" s="146">
        <v>301</v>
      </c>
      <c r="C80" s="146"/>
      <c r="D80" s="146" t="str">
        <f>D42</f>
        <v>３歳児</v>
      </c>
      <c r="E80" s="146">
        <f t="shared" ref="E80:BI80" si="33">E42</f>
        <v>0</v>
      </c>
      <c r="F80" s="146">
        <f t="shared" si="33"/>
        <v>27860</v>
      </c>
      <c r="G80" s="146">
        <f t="shared" si="33"/>
        <v>0</v>
      </c>
      <c r="H80" s="146" t="str">
        <f t="shared" si="33"/>
        <v>＋</v>
      </c>
      <c r="I80" s="146">
        <f t="shared" si="33"/>
        <v>260</v>
      </c>
      <c r="J80" s="146">
        <f t="shared" si="33"/>
        <v>0</v>
      </c>
      <c r="K80" s="146" t="str">
        <f t="shared" si="33"/>
        <v>×加算率</v>
      </c>
      <c r="L80" s="146">
        <f t="shared" si="33"/>
        <v>0</v>
      </c>
      <c r="M80" s="146">
        <f t="shared" si="33"/>
        <v>0</v>
      </c>
      <c r="N80" s="146">
        <f t="shared" si="33"/>
        <v>0</v>
      </c>
      <c r="O80" s="146">
        <f t="shared" si="33"/>
        <v>0</v>
      </c>
      <c r="P80" s="146">
        <f t="shared" si="33"/>
        <v>0</v>
      </c>
      <c r="Q80" s="146">
        <f t="shared" si="33"/>
        <v>0</v>
      </c>
      <c r="R80" s="146">
        <f t="shared" si="33"/>
        <v>0</v>
      </c>
      <c r="S80" s="146">
        <f t="shared" si="33"/>
        <v>0</v>
      </c>
      <c r="T80" s="146" t="str">
        <f t="shared" si="33"/>
        <v>＋</v>
      </c>
      <c r="U80" s="146">
        <f t="shared" si="33"/>
        <v>7070</v>
      </c>
      <c r="V80" s="146">
        <f t="shared" si="33"/>
        <v>70</v>
      </c>
      <c r="W80" s="146" t="str">
        <f t="shared" si="33"/>
        <v>＋</v>
      </c>
      <c r="X80" s="146">
        <f t="shared" si="33"/>
        <v>49520</v>
      </c>
      <c r="Y80" s="146" t="str">
        <f t="shared" si="33"/>
        <v>＋</v>
      </c>
      <c r="Z80" s="146">
        <f t="shared" si="33"/>
        <v>490</v>
      </c>
      <c r="AA80" s="146" t="str">
        <f t="shared" si="33"/>
        <v>＋</v>
      </c>
      <c r="AB80" s="146">
        <f t="shared" si="33"/>
        <v>42450</v>
      </c>
      <c r="AC80" s="146" t="str">
        <f t="shared" si="33"/>
        <v>＋</v>
      </c>
      <c r="AD80" s="146">
        <f t="shared" si="33"/>
        <v>420</v>
      </c>
      <c r="AE80" s="146">
        <f t="shared" si="33"/>
        <v>0</v>
      </c>
      <c r="AF80" s="146">
        <f>AF42</f>
        <v>0</v>
      </c>
      <c r="AG80" s="146">
        <f>AG42</f>
        <v>0</v>
      </c>
      <c r="AH80" s="146">
        <f>AH42</f>
        <v>0</v>
      </c>
      <c r="AI80" s="146">
        <f>AI42</f>
        <v>0</v>
      </c>
      <c r="AJ80" s="146"/>
      <c r="AK80" s="146">
        <f t="shared" si="33"/>
        <v>0</v>
      </c>
      <c r="AL80" s="146">
        <f t="shared" si="33"/>
        <v>0</v>
      </c>
      <c r="AM80" s="146">
        <f t="shared" si="33"/>
        <v>0</v>
      </c>
      <c r="AN80" s="146">
        <f t="shared" si="33"/>
        <v>0</v>
      </c>
      <c r="AO80" s="146">
        <f t="shared" si="33"/>
        <v>0</v>
      </c>
      <c r="AP80" s="146">
        <f t="shared" si="33"/>
        <v>0</v>
      </c>
      <c r="AQ80" s="146">
        <f t="shared" si="33"/>
        <v>0</v>
      </c>
      <c r="AR80" s="146"/>
      <c r="AS80" s="146">
        <f t="shared" si="33"/>
        <v>0</v>
      </c>
      <c r="AT80" s="146"/>
      <c r="AU80" s="146">
        <f t="shared" si="33"/>
        <v>0</v>
      </c>
      <c r="AV80" s="146"/>
      <c r="AW80" s="146">
        <f>AW42</f>
        <v>0</v>
      </c>
      <c r="AX80" s="146"/>
      <c r="AY80" s="146"/>
      <c r="AZ80" s="146">
        <f t="shared" si="33"/>
        <v>2150</v>
      </c>
      <c r="BA80" s="146">
        <f t="shared" si="33"/>
        <v>0</v>
      </c>
      <c r="BB80" s="146"/>
      <c r="BC80" s="146"/>
      <c r="BD80" s="147"/>
      <c r="BE80" s="146">
        <f t="shared" si="33"/>
        <v>0</v>
      </c>
      <c r="BF80" s="147"/>
      <c r="BG80" s="146">
        <f t="shared" si="33"/>
        <v>0</v>
      </c>
      <c r="BH80" s="147"/>
      <c r="BI80" s="146">
        <f t="shared" si="33"/>
        <v>0</v>
      </c>
    </row>
    <row r="83" spans="1:4" ht="21">
      <c r="A83" s="231" t="s">
        <v>179</v>
      </c>
      <c r="B83" s="146">
        <v>1</v>
      </c>
      <c r="C83" s="222"/>
      <c r="D83" s="258">
        <f>AL9</f>
        <v>280</v>
      </c>
    </row>
    <row r="84" spans="1:4">
      <c r="A84" s="231"/>
      <c r="B84" s="146">
        <v>16</v>
      </c>
      <c r="C84" s="222"/>
      <c r="D84" s="258">
        <f>AL11</f>
        <v>160</v>
      </c>
    </row>
    <row r="85" spans="1:4">
      <c r="A85" s="28"/>
      <c r="B85" s="146">
        <v>26</v>
      </c>
      <c r="C85" s="222"/>
      <c r="D85" s="258">
        <f>AL13</f>
        <v>120</v>
      </c>
    </row>
    <row r="86" spans="1:4">
      <c r="A86" s="28"/>
      <c r="B86" s="146">
        <v>36</v>
      </c>
      <c r="C86" s="222"/>
      <c r="D86" s="258">
        <f>AL15</f>
        <v>90</v>
      </c>
    </row>
    <row r="87" spans="1:4">
      <c r="A87" s="28"/>
      <c r="B87" s="146">
        <v>46</v>
      </c>
      <c r="C87" s="222"/>
      <c r="D87" s="258">
        <f>AL17</f>
        <v>70</v>
      </c>
    </row>
    <row r="88" spans="1:4">
      <c r="B88" s="146">
        <v>61</v>
      </c>
      <c r="C88" s="27"/>
      <c r="D88" s="258">
        <f>AL19</f>
        <v>50</v>
      </c>
    </row>
    <row r="89" spans="1:4">
      <c r="B89" s="146">
        <v>76</v>
      </c>
      <c r="D89" s="258">
        <f>AL21</f>
        <v>40</v>
      </c>
    </row>
    <row r="90" spans="1:4">
      <c r="B90" s="146">
        <v>91</v>
      </c>
      <c r="D90" s="258">
        <f>AL23</f>
        <v>40</v>
      </c>
    </row>
    <row r="91" spans="1:4">
      <c r="B91" s="146">
        <v>106</v>
      </c>
      <c r="D91" s="258">
        <f>AL25</f>
        <v>30</v>
      </c>
    </row>
    <row r="92" spans="1:4">
      <c r="B92" s="146">
        <v>121</v>
      </c>
      <c r="D92" s="258">
        <f>AL27</f>
        <v>30</v>
      </c>
    </row>
    <row r="93" spans="1:4">
      <c r="B93" s="146">
        <v>136</v>
      </c>
      <c r="D93" s="258">
        <f>AL29</f>
        <v>20</v>
      </c>
    </row>
    <row r="94" spans="1:4">
      <c r="B94" s="146">
        <v>151</v>
      </c>
      <c r="D94" s="258">
        <f>AL31</f>
        <v>20</v>
      </c>
    </row>
    <row r="95" spans="1:4">
      <c r="B95" s="146">
        <v>181</v>
      </c>
      <c r="D95" s="258">
        <f>AL33</f>
        <v>20</v>
      </c>
    </row>
    <row r="96" spans="1:4">
      <c r="B96" s="146">
        <v>211</v>
      </c>
      <c r="D96" s="258">
        <f>AL35</f>
        <v>10</v>
      </c>
    </row>
    <row r="97" spans="1:4">
      <c r="B97" s="146">
        <v>241</v>
      </c>
      <c r="D97" s="258">
        <f>AL37</f>
        <v>10</v>
      </c>
    </row>
    <row r="98" spans="1:4">
      <c r="B98" s="146">
        <v>271</v>
      </c>
      <c r="D98" s="258">
        <f>AL39</f>
        <v>10</v>
      </c>
    </row>
    <row r="99" spans="1:4">
      <c r="B99" s="146">
        <v>301</v>
      </c>
      <c r="D99" s="258">
        <f>AL41</f>
        <v>10</v>
      </c>
    </row>
    <row r="100" spans="1:4">
      <c r="A100" s="223" t="s">
        <v>513</v>
      </c>
      <c r="B100" s="224">
        <f>SUM('入力（加算）認'!$D$7:$F$8)</f>
        <v>0</v>
      </c>
    </row>
  </sheetData>
  <sheetProtection algorithmName="SHA-512" hashValue="qi+neuMAYPMdjd5faGqLP9lSMYCHGcIzZapJ9lF/T+XToTOWrRjnoTBNbVJSYRinwRShNcaXyxJtX5Vws1J9EQ==" saltValue="Pw2nivPnrmoEl+BH9mB6dg==" spinCount="100000" sheet="1" objects="1" scenarios="1"/>
  <customSheetViews>
    <customSheetView guid="{2E52E5FF-9846-4DC5-A671-268FE925398C}" showPageBreaks="1" printArea="1" state="hidden" view="pageBreakPreview" topLeftCell="F1">
      <selection activeCell="X18" sqref="X18"/>
      <pageMargins left="0.7" right="0.7" top="0.75" bottom="0.75" header="0.3" footer="0.3"/>
      <pageSetup paperSize="9" orientation="portrait" r:id="rId1"/>
    </customSheetView>
    <customSheetView guid="{BADA99B3-B36A-4925-87A7-F72FC97D3DBA}" showPageBreaks="1" printArea="1" state="hidden" view="pageBreakPreview" topLeftCell="F1">
      <selection activeCell="X18" sqref="X18"/>
      <pageMargins left="0.7" right="0.7" top="0.75" bottom="0.75" header="0.3" footer="0.3"/>
      <pageSetup paperSize="9" orientation="portrait" r:id="rId2"/>
    </customSheetView>
  </customSheetViews>
  <mergeCells count="506">
    <mergeCell ref="BC39:BC40"/>
    <mergeCell ref="BE39:BE40"/>
    <mergeCell ref="BG39:BG40"/>
    <mergeCell ref="BC41:BC42"/>
    <mergeCell ref="BE41:BE42"/>
    <mergeCell ref="BG41:BG42"/>
    <mergeCell ref="BC33:BC34"/>
    <mergeCell ref="BE33:BE34"/>
    <mergeCell ref="BG33:BG34"/>
    <mergeCell ref="BC35:BC36"/>
    <mergeCell ref="BE35:BE36"/>
    <mergeCell ref="BG35:BG36"/>
    <mergeCell ref="BC37:BC38"/>
    <mergeCell ref="BE37:BE38"/>
    <mergeCell ref="BG37:BG38"/>
    <mergeCell ref="BC27:BC28"/>
    <mergeCell ref="BE27:BE28"/>
    <mergeCell ref="BG27:BG28"/>
    <mergeCell ref="BC29:BC30"/>
    <mergeCell ref="BE29:BE30"/>
    <mergeCell ref="BG29:BG30"/>
    <mergeCell ref="BC31:BC32"/>
    <mergeCell ref="BE31:BE32"/>
    <mergeCell ref="BG31:BG32"/>
    <mergeCell ref="BC21:BC22"/>
    <mergeCell ref="BE21:BE22"/>
    <mergeCell ref="BG21:BG22"/>
    <mergeCell ref="BC23:BC24"/>
    <mergeCell ref="BE23:BE24"/>
    <mergeCell ref="BG23:BG24"/>
    <mergeCell ref="BC25:BC26"/>
    <mergeCell ref="BE25:BE26"/>
    <mergeCell ref="BG25:BG26"/>
    <mergeCell ref="BC15:BC16"/>
    <mergeCell ref="BE15:BE16"/>
    <mergeCell ref="BG15:BG16"/>
    <mergeCell ref="BC17:BC18"/>
    <mergeCell ref="BE17:BE18"/>
    <mergeCell ref="BG17:BG18"/>
    <mergeCell ref="BC19:BC20"/>
    <mergeCell ref="BE19:BE20"/>
    <mergeCell ref="BG19:BG20"/>
    <mergeCell ref="BC9:BC10"/>
    <mergeCell ref="BE9:BE10"/>
    <mergeCell ref="BG9:BG10"/>
    <mergeCell ref="BC11:BC12"/>
    <mergeCell ref="BE11:BE12"/>
    <mergeCell ref="BG11:BG12"/>
    <mergeCell ref="BC13:BC14"/>
    <mergeCell ref="BE13:BE14"/>
    <mergeCell ref="BG13:BG14"/>
    <mergeCell ref="C33:C34"/>
    <mergeCell ref="S33:S34"/>
    <mergeCell ref="AY9:AY42"/>
    <mergeCell ref="AW39:AW40"/>
    <mergeCell ref="C41:C42"/>
    <mergeCell ref="S41:S42"/>
    <mergeCell ref="AQ41:AQ42"/>
    <mergeCell ref="AS41:AS42"/>
    <mergeCell ref="AU41:AU42"/>
    <mergeCell ref="AW41:AW42"/>
    <mergeCell ref="AW35:AW36"/>
    <mergeCell ref="C37:C38"/>
    <mergeCell ref="S37:S38"/>
    <mergeCell ref="AH37:AH38"/>
    <mergeCell ref="AQ37:AQ38"/>
    <mergeCell ref="AS37:AS38"/>
    <mergeCell ref="AU37:AU38"/>
    <mergeCell ref="AW37:AW38"/>
    <mergeCell ref="AQ33:AQ34"/>
    <mergeCell ref="AS33:AS34"/>
    <mergeCell ref="AU33:AU34"/>
    <mergeCell ref="AW33:AW34"/>
    <mergeCell ref="AW27:AW28"/>
    <mergeCell ref="O33:O34"/>
    <mergeCell ref="P33:P34"/>
    <mergeCell ref="Q33:Q34"/>
    <mergeCell ref="R33:R34"/>
    <mergeCell ref="AE33:AE34"/>
    <mergeCell ref="AU31:AU32"/>
    <mergeCell ref="AO29:AO30"/>
    <mergeCell ref="AP29:AP30"/>
    <mergeCell ref="AW31:AW32"/>
    <mergeCell ref="AU29:AU30"/>
    <mergeCell ref="AW29:AW30"/>
    <mergeCell ref="AN33:AN34"/>
    <mergeCell ref="AO33:AO34"/>
    <mergeCell ref="AP33:AP34"/>
    <mergeCell ref="AF33:AF34"/>
    <mergeCell ref="AG33:AG34"/>
    <mergeCell ref="AK33:AK34"/>
    <mergeCell ref="AL33:AL34"/>
    <mergeCell ref="AM33:AM34"/>
    <mergeCell ref="AW23:AW24"/>
    <mergeCell ref="C25:C26"/>
    <mergeCell ref="S25:S26"/>
    <mergeCell ref="AH25:AH26"/>
    <mergeCell ref="AQ25:AQ26"/>
    <mergeCell ref="AS25:AS26"/>
    <mergeCell ref="AU25:AU26"/>
    <mergeCell ref="AW25:AW26"/>
    <mergeCell ref="AW19:AW20"/>
    <mergeCell ref="C21:C22"/>
    <mergeCell ref="S21:S22"/>
    <mergeCell ref="AH21:AH22"/>
    <mergeCell ref="AQ21:AQ22"/>
    <mergeCell ref="AS21:AS22"/>
    <mergeCell ref="AU21:AU22"/>
    <mergeCell ref="AW21:AW22"/>
    <mergeCell ref="AN25:AN26"/>
    <mergeCell ref="AO25:AO26"/>
    <mergeCell ref="AP25:AP26"/>
    <mergeCell ref="AF25:AF26"/>
    <mergeCell ref="AG25:AG26"/>
    <mergeCell ref="AK25:AK26"/>
    <mergeCell ref="AL25:AL26"/>
    <mergeCell ref="AM25:AM26"/>
    <mergeCell ref="AW15:AW16"/>
    <mergeCell ref="C17:C18"/>
    <mergeCell ref="S17:S18"/>
    <mergeCell ref="AH17:AH18"/>
    <mergeCell ref="AQ17:AQ18"/>
    <mergeCell ref="AS17:AS18"/>
    <mergeCell ref="AU17:AU18"/>
    <mergeCell ref="AW17:AW18"/>
    <mergeCell ref="AQ13:AQ14"/>
    <mergeCell ref="AS13:AS14"/>
    <mergeCell ref="AU13:AU14"/>
    <mergeCell ref="AW13:AW14"/>
    <mergeCell ref="C15:C16"/>
    <mergeCell ref="S15:S16"/>
    <mergeCell ref="AH15:AH16"/>
    <mergeCell ref="AQ15:AQ16"/>
    <mergeCell ref="AS15:AS16"/>
    <mergeCell ref="AU15:AU16"/>
    <mergeCell ref="AN17:AN18"/>
    <mergeCell ref="AO17:AO18"/>
    <mergeCell ref="AP17:AP18"/>
    <mergeCell ref="AF17:AF18"/>
    <mergeCell ref="AG17:AG18"/>
    <mergeCell ref="AK17:AK18"/>
    <mergeCell ref="AW11:AW12"/>
    <mergeCell ref="C13:C14"/>
    <mergeCell ref="S13:S14"/>
    <mergeCell ref="AP13:AP14"/>
    <mergeCell ref="AL11:AL12"/>
    <mergeCell ref="AM11:AM12"/>
    <mergeCell ref="AN11:AN12"/>
    <mergeCell ref="AO11:AO12"/>
    <mergeCell ref="AP11:AP12"/>
    <mergeCell ref="R11:R12"/>
    <mergeCell ref="AE11:AE12"/>
    <mergeCell ref="AF11:AF12"/>
    <mergeCell ref="AG11:AG12"/>
    <mergeCell ref="AQ9:AQ10"/>
    <mergeCell ref="AS9:AS10"/>
    <mergeCell ref="AU9:AU10"/>
    <mergeCell ref="AW9:AW10"/>
    <mergeCell ref="AO41:AO42"/>
    <mergeCell ref="AP41:AP42"/>
    <mergeCell ref="M41:M42"/>
    <mergeCell ref="N41:N42"/>
    <mergeCell ref="AN39:AN40"/>
    <mergeCell ref="AO39:AO40"/>
    <mergeCell ref="AP39:AP40"/>
    <mergeCell ref="AQ39:AQ40"/>
    <mergeCell ref="AS39:AS40"/>
    <mergeCell ref="AU39:AU40"/>
    <mergeCell ref="AF39:AF40"/>
    <mergeCell ref="AG39:AG40"/>
    <mergeCell ref="AK39:AK40"/>
    <mergeCell ref="AL39:AL40"/>
    <mergeCell ref="AM39:AM40"/>
    <mergeCell ref="S11:S12"/>
    <mergeCell ref="AH11:AH12"/>
    <mergeCell ref="AQ11:AQ12"/>
    <mergeCell ref="AS11:AS12"/>
    <mergeCell ref="AU11:AU12"/>
    <mergeCell ref="AR7:AT7"/>
    <mergeCell ref="AV7:AX7"/>
    <mergeCell ref="BF3:BF4"/>
    <mergeCell ref="BH3:BH4"/>
    <mergeCell ref="BJ3:BJ4"/>
    <mergeCell ref="AV3:AX4"/>
    <mergeCell ref="AZ3:AZ6"/>
    <mergeCell ref="BB3:BB6"/>
    <mergeCell ref="BD3:BD4"/>
    <mergeCell ref="AX5:AX6"/>
    <mergeCell ref="AH5:AH6"/>
    <mergeCell ref="AL5:AL6"/>
    <mergeCell ref="AN3:AP4"/>
    <mergeCell ref="AR3:AT4"/>
    <mergeCell ref="AP5:AP6"/>
    <mergeCell ref="AT5:AT6"/>
    <mergeCell ref="Q3:S4"/>
    <mergeCell ref="U3:V4"/>
    <mergeCell ref="X3:Z4"/>
    <mergeCell ref="AB3:AD4"/>
    <mergeCell ref="AF3:AH4"/>
    <mergeCell ref="AJ3:AL4"/>
    <mergeCell ref="O41:O42"/>
    <mergeCell ref="P41:P42"/>
    <mergeCell ref="Q41:Q42"/>
    <mergeCell ref="R41:R42"/>
    <mergeCell ref="AE41:AE42"/>
    <mergeCell ref="B41:B42"/>
    <mergeCell ref="L41:L42"/>
    <mergeCell ref="O5:O6"/>
    <mergeCell ref="S5:S6"/>
    <mergeCell ref="V5:V6"/>
    <mergeCell ref="Z5:Z6"/>
    <mergeCell ref="AD5:AD6"/>
    <mergeCell ref="AB7:AD7"/>
    <mergeCell ref="C9:C10"/>
    <mergeCell ref="S9:S10"/>
    <mergeCell ref="C11:C12"/>
    <mergeCell ref="B39:B40"/>
    <mergeCell ref="L39:L40"/>
    <mergeCell ref="M39:M40"/>
    <mergeCell ref="N39:N40"/>
    <mergeCell ref="C39:C40"/>
    <mergeCell ref="R37:R38"/>
    <mergeCell ref="AE37:AE38"/>
    <mergeCell ref="R39:R40"/>
    <mergeCell ref="AM41:AM42"/>
    <mergeCell ref="AN41:AN42"/>
    <mergeCell ref="AF41:AF42"/>
    <mergeCell ref="AG41:AG42"/>
    <mergeCell ref="AH41:AH42"/>
    <mergeCell ref="AK41:AK42"/>
    <mergeCell ref="AL41:AL42"/>
    <mergeCell ref="AH13:AH14"/>
    <mergeCell ref="AH19:AH20"/>
    <mergeCell ref="AH23:AH24"/>
    <mergeCell ref="AI9:AI42"/>
    <mergeCell ref="AH33:AH34"/>
    <mergeCell ref="AH39:AH40"/>
    <mergeCell ref="AN27:AN28"/>
    <mergeCell ref="AL17:AL18"/>
    <mergeCell ref="AM17:AM18"/>
    <mergeCell ref="AN29:AN30"/>
    <mergeCell ref="AF29:AF30"/>
    <mergeCell ref="AG29:AG30"/>
    <mergeCell ref="AK29:AK30"/>
    <mergeCell ref="AL29:AL30"/>
    <mergeCell ref="AM29:AM30"/>
    <mergeCell ref="AH29:AH30"/>
    <mergeCell ref="A3:A6"/>
    <mergeCell ref="B3:B6"/>
    <mergeCell ref="C3:C6"/>
    <mergeCell ref="D3:D6"/>
    <mergeCell ref="F3:G5"/>
    <mergeCell ref="I3:K4"/>
    <mergeCell ref="M3:O4"/>
    <mergeCell ref="A9:A42"/>
    <mergeCell ref="Q37:Q38"/>
    <mergeCell ref="O39:O40"/>
    <mergeCell ref="P39:P40"/>
    <mergeCell ref="Q39:Q40"/>
    <mergeCell ref="Q29:Q30"/>
    <mergeCell ref="B29:B30"/>
    <mergeCell ref="L29:L30"/>
    <mergeCell ref="M29:M30"/>
    <mergeCell ref="N29:N30"/>
    <mergeCell ref="O29:O30"/>
    <mergeCell ref="P29:P30"/>
    <mergeCell ref="B25:B26"/>
    <mergeCell ref="L25:L26"/>
    <mergeCell ref="M25:M26"/>
    <mergeCell ref="N25:N26"/>
    <mergeCell ref="B23:B24"/>
    <mergeCell ref="AE39:AE40"/>
    <mergeCell ref="S39:S40"/>
    <mergeCell ref="B37:B38"/>
    <mergeCell ref="L37:L38"/>
    <mergeCell ref="M37:M38"/>
    <mergeCell ref="N37:N38"/>
    <mergeCell ref="AN35:AN36"/>
    <mergeCell ref="AO35:AO36"/>
    <mergeCell ref="AP35:AP36"/>
    <mergeCell ref="B35:B36"/>
    <mergeCell ref="L35:L36"/>
    <mergeCell ref="M35:M36"/>
    <mergeCell ref="N35:N36"/>
    <mergeCell ref="C35:C36"/>
    <mergeCell ref="AN37:AN38"/>
    <mergeCell ref="AO37:AO38"/>
    <mergeCell ref="AP37:AP38"/>
    <mergeCell ref="AF37:AF38"/>
    <mergeCell ref="AG37:AG38"/>
    <mergeCell ref="AK37:AK38"/>
    <mergeCell ref="AL37:AL38"/>
    <mergeCell ref="AM37:AM38"/>
    <mergeCell ref="O37:O38"/>
    <mergeCell ref="P37:P38"/>
    <mergeCell ref="AU35:AU36"/>
    <mergeCell ref="AF35:AF36"/>
    <mergeCell ref="AG35:AG36"/>
    <mergeCell ref="AK35:AK36"/>
    <mergeCell ref="AL35:AL36"/>
    <mergeCell ref="AM35:AM36"/>
    <mergeCell ref="AH35:AH36"/>
    <mergeCell ref="O35:O36"/>
    <mergeCell ref="P35:P36"/>
    <mergeCell ref="Q35:Q36"/>
    <mergeCell ref="R35:R36"/>
    <mergeCell ref="AE35:AE36"/>
    <mergeCell ref="S35:S36"/>
    <mergeCell ref="AQ35:AQ36"/>
    <mergeCell ref="AS35:AS36"/>
    <mergeCell ref="B33:B34"/>
    <mergeCell ref="L33:L34"/>
    <mergeCell ref="M33:M34"/>
    <mergeCell ref="N33:N34"/>
    <mergeCell ref="AN31:AN32"/>
    <mergeCell ref="AO31:AO32"/>
    <mergeCell ref="AP31:AP32"/>
    <mergeCell ref="O31:O32"/>
    <mergeCell ref="P31:P32"/>
    <mergeCell ref="Q31:Q32"/>
    <mergeCell ref="R31:R32"/>
    <mergeCell ref="AE31:AE32"/>
    <mergeCell ref="S31:S32"/>
    <mergeCell ref="B31:B32"/>
    <mergeCell ref="L31:L32"/>
    <mergeCell ref="M31:M32"/>
    <mergeCell ref="N31:N32"/>
    <mergeCell ref="C31:C32"/>
    <mergeCell ref="AF31:AF32"/>
    <mergeCell ref="AG31:AG32"/>
    <mergeCell ref="AK31:AK32"/>
    <mergeCell ref="AL31:AL32"/>
    <mergeCell ref="AM31:AM32"/>
    <mergeCell ref="AH31:AH32"/>
    <mergeCell ref="B27:B28"/>
    <mergeCell ref="L27:L28"/>
    <mergeCell ref="M27:M28"/>
    <mergeCell ref="N27:N28"/>
    <mergeCell ref="C27:C28"/>
    <mergeCell ref="R29:R30"/>
    <mergeCell ref="AE29:AE30"/>
    <mergeCell ref="AQ31:AQ32"/>
    <mergeCell ref="AS31:AS32"/>
    <mergeCell ref="C29:C30"/>
    <mergeCell ref="S29:S30"/>
    <mergeCell ref="AQ29:AQ30"/>
    <mergeCell ref="AS29:AS30"/>
    <mergeCell ref="AU27:AU28"/>
    <mergeCell ref="AF27:AF28"/>
    <mergeCell ref="AG27:AG28"/>
    <mergeCell ref="AK27:AK28"/>
    <mergeCell ref="AL27:AL28"/>
    <mergeCell ref="AM27:AM28"/>
    <mergeCell ref="AH27:AH28"/>
    <mergeCell ref="O27:O28"/>
    <mergeCell ref="P27:P28"/>
    <mergeCell ref="Q27:Q28"/>
    <mergeCell ref="R27:R28"/>
    <mergeCell ref="AE27:AE28"/>
    <mergeCell ref="S27:S28"/>
    <mergeCell ref="AO27:AO28"/>
    <mergeCell ref="AP27:AP28"/>
    <mergeCell ref="AQ27:AQ28"/>
    <mergeCell ref="AS27:AS28"/>
    <mergeCell ref="AS23:AS24"/>
    <mergeCell ref="AU23:AU24"/>
    <mergeCell ref="AF23:AF24"/>
    <mergeCell ref="AG23:AG24"/>
    <mergeCell ref="AK23:AK24"/>
    <mergeCell ref="AL23:AL24"/>
    <mergeCell ref="AM23:AM24"/>
    <mergeCell ref="O25:O26"/>
    <mergeCell ref="P25:P26"/>
    <mergeCell ref="Q25:Q26"/>
    <mergeCell ref="R25:R26"/>
    <mergeCell ref="AE25:AE26"/>
    <mergeCell ref="L23:L24"/>
    <mergeCell ref="M23:M24"/>
    <mergeCell ref="N23:N24"/>
    <mergeCell ref="C23:C24"/>
    <mergeCell ref="AN23:AN24"/>
    <mergeCell ref="AO23:AO24"/>
    <mergeCell ref="AP23:AP24"/>
    <mergeCell ref="AQ23:AQ24"/>
    <mergeCell ref="Q21:Q22"/>
    <mergeCell ref="R21:R22"/>
    <mergeCell ref="AE21:AE22"/>
    <mergeCell ref="O23:O24"/>
    <mergeCell ref="P23:P24"/>
    <mergeCell ref="Q23:Q24"/>
    <mergeCell ref="R23:R24"/>
    <mergeCell ref="AE23:AE24"/>
    <mergeCell ref="S23:S24"/>
    <mergeCell ref="B21:B22"/>
    <mergeCell ref="L21:L22"/>
    <mergeCell ref="M21:M22"/>
    <mergeCell ref="N21:N22"/>
    <mergeCell ref="AN19:AN20"/>
    <mergeCell ref="AO19:AO20"/>
    <mergeCell ref="AP19:AP20"/>
    <mergeCell ref="AQ19:AQ20"/>
    <mergeCell ref="AS19:AS20"/>
    <mergeCell ref="B19:B20"/>
    <mergeCell ref="L19:L20"/>
    <mergeCell ref="M19:M20"/>
    <mergeCell ref="N19:N20"/>
    <mergeCell ref="C19:C20"/>
    <mergeCell ref="AN21:AN22"/>
    <mergeCell ref="AO21:AO22"/>
    <mergeCell ref="AP21:AP22"/>
    <mergeCell ref="AF21:AF22"/>
    <mergeCell ref="AG21:AG22"/>
    <mergeCell ref="AK21:AK22"/>
    <mergeCell ref="AL21:AL22"/>
    <mergeCell ref="AM21:AM22"/>
    <mergeCell ref="O21:O22"/>
    <mergeCell ref="P21:P22"/>
    <mergeCell ref="AU19:AU20"/>
    <mergeCell ref="AF19:AF20"/>
    <mergeCell ref="AG19:AG20"/>
    <mergeCell ref="AK19:AK20"/>
    <mergeCell ref="AL19:AL20"/>
    <mergeCell ref="AM19:AM20"/>
    <mergeCell ref="O19:O20"/>
    <mergeCell ref="P19:P20"/>
    <mergeCell ref="Q19:Q20"/>
    <mergeCell ref="R19:R20"/>
    <mergeCell ref="AE19:AE20"/>
    <mergeCell ref="S19:S20"/>
    <mergeCell ref="O17:O18"/>
    <mergeCell ref="P17:P18"/>
    <mergeCell ref="Q17:Q18"/>
    <mergeCell ref="R17:R18"/>
    <mergeCell ref="AE17:AE18"/>
    <mergeCell ref="B17:B18"/>
    <mergeCell ref="L17:L18"/>
    <mergeCell ref="M17:M18"/>
    <mergeCell ref="N17:N18"/>
    <mergeCell ref="AP15:AP16"/>
    <mergeCell ref="AF15:AF16"/>
    <mergeCell ref="AG15:AG16"/>
    <mergeCell ref="AK15:AK16"/>
    <mergeCell ref="AL15:AL16"/>
    <mergeCell ref="AM15:AM16"/>
    <mergeCell ref="O15:O16"/>
    <mergeCell ref="P15:P16"/>
    <mergeCell ref="Q15:Q16"/>
    <mergeCell ref="R15:R16"/>
    <mergeCell ref="AE15:AE16"/>
    <mergeCell ref="B15:B16"/>
    <mergeCell ref="L15:L16"/>
    <mergeCell ref="M15:M16"/>
    <mergeCell ref="N15:N16"/>
    <mergeCell ref="AK13:AK14"/>
    <mergeCell ref="AL13:AL14"/>
    <mergeCell ref="AM13:AM14"/>
    <mergeCell ref="AN13:AN14"/>
    <mergeCell ref="AO13:AO14"/>
    <mergeCell ref="Q13:Q14"/>
    <mergeCell ref="R13:R14"/>
    <mergeCell ref="AE13:AE14"/>
    <mergeCell ref="AF13:AF14"/>
    <mergeCell ref="AG13:AG14"/>
    <mergeCell ref="B13:B14"/>
    <mergeCell ref="L13:L14"/>
    <mergeCell ref="M13:M14"/>
    <mergeCell ref="N13:N14"/>
    <mergeCell ref="O13:O14"/>
    <mergeCell ref="P13:P14"/>
    <mergeCell ref="AN15:AN16"/>
    <mergeCell ref="AO15:AO16"/>
    <mergeCell ref="B9:B10"/>
    <mergeCell ref="L9:L10"/>
    <mergeCell ref="M9:M10"/>
    <mergeCell ref="N9:N10"/>
    <mergeCell ref="O9:O10"/>
    <mergeCell ref="P9:P10"/>
    <mergeCell ref="AK9:AK10"/>
    <mergeCell ref="AL9:AL10"/>
    <mergeCell ref="B11:B12"/>
    <mergeCell ref="L11:L12"/>
    <mergeCell ref="M11:M12"/>
    <mergeCell ref="N11:N12"/>
    <mergeCell ref="O11:O12"/>
    <mergeCell ref="P11:P12"/>
    <mergeCell ref="Q11:Q12"/>
    <mergeCell ref="AK11:AK12"/>
    <mergeCell ref="AH9:AH10"/>
    <mergeCell ref="M7:O7"/>
    <mergeCell ref="Q7:S7"/>
    <mergeCell ref="U7:V7"/>
    <mergeCell ref="X7:Z7"/>
    <mergeCell ref="F7:G7"/>
    <mergeCell ref="I7:K7"/>
    <mergeCell ref="AO9:AO10"/>
    <mergeCell ref="AP9:AP10"/>
    <mergeCell ref="Q9:Q10"/>
    <mergeCell ref="R9:R10"/>
    <mergeCell ref="AE9:AE10"/>
    <mergeCell ref="AF9:AF10"/>
    <mergeCell ref="AG9:AG10"/>
    <mergeCell ref="AM9:AM10"/>
    <mergeCell ref="AN9:AN10"/>
    <mergeCell ref="AF7:AH7"/>
    <mergeCell ref="AJ7:AL7"/>
    <mergeCell ref="AN7:AP7"/>
  </mergeCells>
  <phoneticPr fontId="8"/>
  <conditionalFormatting sqref="AJ7:AL7">
    <cfRule type="expression" dxfId="304" priority="341">
      <formula>AJ7&lt;#REF!</formula>
    </cfRule>
    <cfRule type="expression" dxfId="303" priority="342">
      <formula>AJ7&gt;#REF!</formula>
    </cfRule>
  </conditionalFormatting>
  <conditionalFormatting sqref="AJ3:AL4">
    <cfRule type="expression" dxfId="302" priority="339">
      <formula>AJ3&lt;#REF!</formula>
    </cfRule>
    <cfRule type="expression" dxfId="301" priority="340">
      <formula>AJ3&gt;#REF!</formula>
    </cfRule>
  </conditionalFormatting>
  <conditionalFormatting sqref="AR3:AT4">
    <cfRule type="expression" dxfId="300" priority="337">
      <formula>AR3&lt;#REF!</formula>
    </cfRule>
    <cfRule type="expression" dxfId="299" priority="338">
      <formula>AR3&gt;#REF!</formula>
    </cfRule>
  </conditionalFormatting>
  <conditionalFormatting sqref="AN7:AP7">
    <cfRule type="expression" dxfId="298" priority="335">
      <formula>AN7&lt;#REF!</formula>
    </cfRule>
    <cfRule type="expression" dxfId="297" priority="336">
      <formula>AN7&gt;#REF!</formula>
    </cfRule>
  </conditionalFormatting>
  <conditionalFormatting sqref="AR7:AT7">
    <cfRule type="expression" dxfId="296" priority="333">
      <formula>AR7&lt;#REF!</formula>
    </cfRule>
    <cfRule type="expression" dxfId="295" priority="334">
      <formula>AR7&gt;#REF!</formula>
    </cfRule>
  </conditionalFormatting>
  <conditionalFormatting sqref="AV7:AY7">
    <cfRule type="expression" dxfId="294" priority="331">
      <formula>AV7&lt;#REF!</formula>
    </cfRule>
    <cfRule type="expression" dxfId="293" priority="332">
      <formula>AV7&gt;#REF!</formula>
    </cfRule>
  </conditionalFormatting>
  <conditionalFormatting sqref="AV3:AY4">
    <cfRule type="expression" dxfId="292" priority="329">
      <formula>AV3&lt;#REF!</formula>
    </cfRule>
    <cfRule type="expression" dxfId="291" priority="330">
      <formula>AV3&gt;#REF!</formula>
    </cfRule>
  </conditionalFormatting>
  <conditionalFormatting sqref="BB3:BB7">
    <cfRule type="expression" dxfId="290" priority="327">
      <formula>BB3&lt;#REF!</formula>
    </cfRule>
    <cfRule type="expression" dxfId="289" priority="328">
      <formula>BB3&gt;#REF!</formula>
    </cfRule>
  </conditionalFormatting>
  <conditionalFormatting sqref="AZ7">
    <cfRule type="expression" dxfId="288" priority="325">
      <formula>AZ7&lt;#REF!</formula>
    </cfRule>
    <cfRule type="expression" dxfId="287" priority="326">
      <formula>AZ7&gt;#REF!</formula>
    </cfRule>
  </conditionalFormatting>
  <conditionalFormatting sqref="BD7">
    <cfRule type="expression" dxfId="286" priority="323">
      <formula>BD7&lt;#REF!</formula>
    </cfRule>
    <cfRule type="expression" dxfId="285" priority="324">
      <formula>BD7&gt;#REF!</formula>
    </cfRule>
  </conditionalFormatting>
  <conditionalFormatting sqref="BF7">
    <cfRule type="expression" dxfId="284" priority="321">
      <formula>BF7&lt;#REF!</formula>
    </cfRule>
    <cfRule type="expression" dxfId="283" priority="322">
      <formula>BF7&gt;#REF!</formula>
    </cfRule>
  </conditionalFormatting>
  <conditionalFormatting sqref="BH7">
    <cfRule type="expression" dxfId="282" priority="319">
      <formula>BH7&lt;#REF!</formula>
    </cfRule>
    <cfRule type="expression" dxfId="281" priority="320">
      <formula>BH7&gt;#REF!</formula>
    </cfRule>
  </conditionalFormatting>
  <conditionalFormatting sqref="BJ7">
    <cfRule type="expression" dxfId="280" priority="317">
      <formula>BJ7&lt;#REF!</formula>
    </cfRule>
    <cfRule type="expression" dxfId="279" priority="318">
      <formula>BJ7&gt;#REF!</formula>
    </cfRule>
  </conditionalFormatting>
  <conditionalFormatting sqref="AM9:AQ42 B9:AI9 B10:AH42 BI9:BI42 BE9:BE42 BG9:BG42 AZ9:BB42">
    <cfRule type="expression" dxfId="278" priority="165">
      <formula>B9&lt;#REF!</formula>
    </cfRule>
    <cfRule type="expression" dxfId="277" priority="166">
      <formula>B9&gt;#REF!</formula>
    </cfRule>
  </conditionalFormatting>
  <conditionalFormatting sqref="AR9 AR11 AR13 AR15 AR17 AR19 AR21 AR23 AR25 AR27 AR29 AR31 AR33 AR35 AR37 AR39 AR41 AT41 AT39 AT37 AT35 AT33 AT31 AT29 AT27 AT25 AT23 AT21 AT19 AT17 AT15 AT13 AT11 AT9">
    <cfRule type="expression" dxfId="276" priority="163">
      <formula>AR9&lt;#REF!</formula>
    </cfRule>
    <cfRule type="expression" dxfId="275" priority="164">
      <formula>AR9&gt;#REF!</formula>
    </cfRule>
  </conditionalFormatting>
  <conditionalFormatting sqref="AV9 AV31 AV33 AV35 AV37 AV39 AV41 AV11 AV13 AV15 AV17 AV19 AV21 AV23 AV25 AV27 AV29 AX29 AX27 AX25 AX23 AX21 AX19 AX17 AX15 AX13 AX11 AX41 AX39 AX37 AX35 AX33 AX31 AX9">
    <cfRule type="expression" dxfId="274" priority="161">
      <formula>AV9&lt;#REF!</formula>
    </cfRule>
    <cfRule type="expression" dxfId="273" priority="162">
      <formula>AV9&gt;#REF!</formula>
    </cfRule>
  </conditionalFormatting>
  <conditionalFormatting sqref="AJ9:AL42">
    <cfRule type="expression" dxfId="272" priority="159">
      <formula>AJ9&lt;#REF!</formula>
    </cfRule>
    <cfRule type="expression" dxfId="271" priority="160">
      <formula>AJ9&gt;#REF!</formula>
    </cfRule>
  </conditionalFormatting>
  <conditionalFormatting sqref="AR10">
    <cfRule type="expression" dxfId="270" priority="157">
      <formula>AR10&lt;#REF!</formula>
    </cfRule>
    <cfRule type="expression" dxfId="269" priority="158">
      <formula>AR10&gt;#REF!</formula>
    </cfRule>
  </conditionalFormatting>
  <conditionalFormatting sqref="AT10">
    <cfRule type="expression" dxfId="268" priority="155">
      <formula>AT10&lt;#REF!</formula>
    </cfRule>
    <cfRule type="expression" dxfId="267" priority="156">
      <formula>AT10&gt;#REF!</formula>
    </cfRule>
  </conditionalFormatting>
  <conditionalFormatting sqref="AV10">
    <cfRule type="expression" dxfId="266" priority="153">
      <formula>AV10&lt;#REF!</formula>
    </cfRule>
    <cfRule type="expression" dxfId="265" priority="154">
      <formula>AV10&gt;#REF!</formula>
    </cfRule>
  </conditionalFormatting>
  <conditionalFormatting sqref="AX10">
    <cfRule type="expression" dxfId="264" priority="151">
      <formula>AX10&lt;#REF!</formula>
    </cfRule>
    <cfRule type="expression" dxfId="263" priority="152">
      <formula>AX10&gt;#REF!</formula>
    </cfRule>
  </conditionalFormatting>
  <conditionalFormatting sqref="AR12">
    <cfRule type="expression" dxfId="262" priority="149">
      <formula>AR12&lt;#REF!</formula>
    </cfRule>
    <cfRule type="expression" dxfId="261" priority="150">
      <formula>AR12&gt;#REF!</formula>
    </cfRule>
  </conditionalFormatting>
  <conditionalFormatting sqref="AT12">
    <cfRule type="expression" dxfId="260" priority="147">
      <formula>AT12&lt;#REF!</formula>
    </cfRule>
    <cfRule type="expression" dxfId="259" priority="148">
      <formula>AT12&gt;#REF!</formula>
    </cfRule>
  </conditionalFormatting>
  <conditionalFormatting sqref="AV12">
    <cfRule type="expression" dxfId="258" priority="145">
      <formula>AV12&lt;#REF!</formula>
    </cfRule>
    <cfRule type="expression" dxfId="257" priority="146">
      <formula>AV12&gt;#REF!</formula>
    </cfRule>
  </conditionalFormatting>
  <conditionalFormatting sqref="AX12">
    <cfRule type="expression" dxfId="256" priority="143">
      <formula>AX12&lt;#REF!</formula>
    </cfRule>
    <cfRule type="expression" dxfId="255" priority="144">
      <formula>AX12&gt;#REF!</formula>
    </cfRule>
  </conditionalFormatting>
  <conditionalFormatting sqref="AR14">
    <cfRule type="expression" dxfId="254" priority="141">
      <formula>AR14&lt;#REF!</formula>
    </cfRule>
    <cfRule type="expression" dxfId="253" priority="142">
      <formula>AR14&gt;#REF!</formula>
    </cfRule>
  </conditionalFormatting>
  <conditionalFormatting sqref="AT14">
    <cfRule type="expression" dxfId="252" priority="139">
      <formula>AT14&lt;#REF!</formula>
    </cfRule>
    <cfRule type="expression" dxfId="251" priority="140">
      <formula>AT14&gt;#REF!</formula>
    </cfRule>
  </conditionalFormatting>
  <conditionalFormatting sqref="AV14">
    <cfRule type="expression" dxfId="250" priority="137">
      <formula>AV14&lt;#REF!</formula>
    </cfRule>
    <cfRule type="expression" dxfId="249" priority="138">
      <formula>AV14&gt;#REF!</formula>
    </cfRule>
  </conditionalFormatting>
  <conditionalFormatting sqref="AX14">
    <cfRule type="expression" dxfId="248" priority="135">
      <formula>AX14&lt;#REF!</formula>
    </cfRule>
    <cfRule type="expression" dxfId="247" priority="136">
      <formula>AX14&gt;#REF!</formula>
    </cfRule>
  </conditionalFormatting>
  <conditionalFormatting sqref="AR16">
    <cfRule type="expression" dxfId="246" priority="133">
      <formula>AR16&lt;#REF!</formula>
    </cfRule>
    <cfRule type="expression" dxfId="245" priority="134">
      <formula>AR16&gt;#REF!</formula>
    </cfRule>
  </conditionalFormatting>
  <conditionalFormatting sqref="AT16">
    <cfRule type="expression" dxfId="244" priority="131">
      <formula>AT16&lt;#REF!</formula>
    </cfRule>
    <cfRule type="expression" dxfId="243" priority="132">
      <formula>AT16&gt;#REF!</formula>
    </cfRule>
  </conditionalFormatting>
  <conditionalFormatting sqref="AV16">
    <cfRule type="expression" dxfId="242" priority="129">
      <formula>AV16&lt;#REF!</formula>
    </cfRule>
    <cfRule type="expression" dxfId="241" priority="130">
      <formula>AV16&gt;#REF!</formula>
    </cfRule>
  </conditionalFormatting>
  <conditionalFormatting sqref="AX16">
    <cfRule type="expression" dxfId="240" priority="127">
      <formula>AX16&lt;#REF!</formula>
    </cfRule>
    <cfRule type="expression" dxfId="239" priority="128">
      <formula>AX16&gt;#REF!</formula>
    </cfRule>
  </conditionalFormatting>
  <conditionalFormatting sqref="AR18">
    <cfRule type="expression" dxfId="238" priority="125">
      <formula>AR18&lt;#REF!</formula>
    </cfRule>
    <cfRule type="expression" dxfId="237" priority="126">
      <formula>AR18&gt;#REF!</formula>
    </cfRule>
  </conditionalFormatting>
  <conditionalFormatting sqref="AT18">
    <cfRule type="expression" dxfId="236" priority="123">
      <formula>AT18&lt;#REF!</formula>
    </cfRule>
    <cfRule type="expression" dxfId="235" priority="124">
      <formula>AT18&gt;#REF!</formula>
    </cfRule>
  </conditionalFormatting>
  <conditionalFormatting sqref="AV18">
    <cfRule type="expression" dxfId="234" priority="121">
      <formula>AV18&lt;#REF!</formula>
    </cfRule>
    <cfRule type="expression" dxfId="233" priority="122">
      <formula>AV18&gt;#REF!</formula>
    </cfRule>
  </conditionalFormatting>
  <conditionalFormatting sqref="AX18">
    <cfRule type="expression" dxfId="232" priority="119">
      <formula>AX18&lt;#REF!</formula>
    </cfRule>
    <cfRule type="expression" dxfId="231" priority="120">
      <formula>AX18&gt;#REF!</formula>
    </cfRule>
  </conditionalFormatting>
  <conditionalFormatting sqref="AR20">
    <cfRule type="expression" dxfId="230" priority="117">
      <formula>AR20&lt;#REF!</formula>
    </cfRule>
    <cfRule type="expression" dxfId="229" priority="118">
      <formula>AR20&gt;#REF!</formula>
    </cfRule>
  </conditionalFormatting>
  <conditionalFormatting sqref="AT20">
    <cfRule type="expression" dxfId="228" priority="115">
      <formula>AT20&lt;#REF!</formula>
    </cfRule>
    <cfRule type="expression" dxfId="227" priority="116">
      <formula>AT20&gt;#REF!</formula>
    </cfRule>
  </conditionalFormatting>
  <conditionalFormatting sqref="AV20">
    <cfRule type="expression" dxfId="226" priority="113">
      <formula>AV20&lt;#REF!</formula>
    </cfRule>
    <cfRule type="expression" dxfId="225" priority="114">
      <formula>AV20&gt;#REF!</formula>
    </cfRule>
  </conditionalFormatting>
  <conditionalFormatting sqref="AX20">
    <cfRule type="expression" dxfId="224" priority="111">
      <formula>AX20&lt;#REF!</formula>
    </cfRule>
    <cfRule type="expression" dxfId="223" priority="112">
      <formula>AX20&gt;#REF!</formula>
    </cfRule>
  </conditionalFormatting>
  <conditionalFormatting sqref="AR22">
    <cfRule type="expression" dxfId="222" priority="109">
      <formula>AR22&lt;#REF!</formula>
    </cfRule>
    <cfRule type="expression" dxfId="221" priority="110">
      <formula>AR22&gt;#REF!</formula>
    </cfRule>
  </conditionalFormatting>
  <conditionalFormatting sqref="AT22">
    <cfRule type="expression" dxfId="220" priority="107">
      <formula>AT22&lt;#REF!</formula>
    </cfRule>
    <cfRule type="expression" dxfId="219" priority="108">
      <formula>AT22&gt;#REF!</formula>
    </cfRule>
  </conditionalFormatting>
  <conditionalFormatting sqref="AV22">
    <cfRule type="expression" dxfId="218" priority="105">
      <formula>AV22&lt;#REF!</formula>
    </cfRule>
    <cfRule type="expression" dxfId="217" priority="106">
      <formula>AV22&gt;#REF!</formula>
    </cfRule>
  </conditionalFormatting>
  <conditionalFormatting sqref="AX22">
    <cfRule type="expression" dxfId="216" priority="103">
      <formula>AX22&lt;#REF!</formula>
    </cfRule>
    <cfRule type="expression" dxfId="215" priority="104">
      <formula>AX22&gt;#REF!</formula>
    </cfRule>
  </conditionalFormatting>
  <conditionalFormatting sqref="AR24">
    <cfRule type="expression" dxfId="214" priority="101">
      <formula>AR24&lt;#REF!</formula>
    </cfRule>
    <cfRule type="expression" dxfId="213" priority="102">
      <formula>AR24&gt;#REF!</formula>
    </cfRule>
  </conditionalFormatting>
  <conditionalFormatting sqref="AT24">
    <cfRule type="expression" dxfId="212" priority="99">
      <formula>AT24&lt;#REF!</formula>
    </cfRule>
    <cfRule type="expression" dxfId="211" priority="100">
      <formula>AT24&gt;#REF!</formula>
    </cfRule>
  </conditionalFormatting>
  <conditionalFormatting sqref="AV24">
    <cfRule type="expression" dxfId="210" priority="97">
      <formula>AV24&lt;#REF!</formula>
    </cfRule>
    <cfRule type="expression" dxfId="209" priority="98">
      <formula>AV24&gt;#REF!</formula>
    </cfRule>
  </conditionalFormatting>
  <conditionalFormatting sqref="AX24">
    <cfRule type="expression" dxfId="208" priority="95">
      <formula>AX24&lt;#REF!</formula>
    </cfRule>
    <cfRule type="expression" dxfId="207" priority="96">
      <formula>AX24&gt;#REF!</formula>
    </cfRule>
  </conditionalFormatting>
  <conditionalFormatting sqref="AR26">
    <cfRule type="expression" dxfId="206" priority="93">
      <formula>AR26&lt;#REF!</formula>
    </cfRule>
    <cfRule type="expression" dxfId="205" priority="94">
      <formula>AR26&gt;#REF!</formula>
    </cfRule>
  </conditionalFormatting>
  <conditionalFormatting sqref="AT26">
    <cfRule type="expression" dxfId="204" priority="91">
      <formula>AT26&lt;#REF!</formula>
    </cfRule>
    <cfRule type="expression" dxfId="203" priority="92">
      <formula>AT26&gt;#REF!</formula>
    </cfRule>
  </conditionalFormatting>
  <conditionalFormatting sqref="AV26">
    <cfRule type="expression" dxfId="202" priority="89">
      <formula>AV26&lt;#REF!</formula>
    </cfRule>
    <cfRule type="expression" dxfId="201" priority="90">
      <formula>AV26&gt;#REF!</formula>
    </cfRule>
  </conditionalFormatting>
  <conditionalFormatting sqref="AX26">
    <cfRule type="expression" dxfId="200" priority="87">
      <formula>AX26&lt;#REF!</formula>
    </cfRule>
    <cfRule type="expression" dxfId="199" priority="88">
      <formula>AX26&gt;#REF!</formula>
    </cfRule>
  </conditionalFormatting>
  <conditionalFormatting sqref="AR28">
    <cfRule type="expression" dxfId="198" priority="85">
      <formula>AR28&lt;#REF!</formula>
    </cfRule>
    <cfRule type="expression" dxfId="197" priority="86">
      <formula>AR28&gt;#REF!</formula>
    </cfRule>
  </conditionalFormatting>
  <conditionalFormatting sqref="AT28">
    <cfRule type="expression" dxfId="196" priority="83">
      <formula>AT28&lt;#REF!</formula>
    </cfRule>
    <cfRule type="expression" dxfId="195" priority="84">
      <formula>AT28&gt;#REF!</formula>
    </cfRule>
  </conditionalFormatting>
  <conditionalFormatting sqref="AV28">
    <cfRule type="expression" dxfId="194" priority="81">
      <formula>AV28&lt;#REF!</formula>
    </cfRule>
    <cfRule type="expression" dxfId="193" priority="82">
      <formula>AV28&gt;#REF!</formula>
    </cfRule>
  </conditionalFormatting>
  <conditionalFormatting sqref="AX28">
    <cfRule type="expression" dxfId="192" priority="79">
      <formula>AX28&lt;#REF!</formula>
    </cfRule>
    <cfRule type="expression" dxfId="191" priority="80">
      <formula>AX28&gt;#REF!</formula>
    </cfRule>
  </conditionalFormatting>
  <conditionalFormatting sqref="AR30">
    <cfRule type="expression" dxfId="190" priority="77">
      <formula>AR30&lt;#REF!</formula>
    </cfRule>
    <cfRule type="expression" dxfId="189" priority="78">
      <formula>AR30&gt;#REF!</formula>
    </cfRule>
  </conditionalFormatting>
  <conditionalFormatting sqref="AT30">
    <cfRule type="expression" dxfId="188" priority="75">
      <formula>AT30&lt;#REF!</formula>
    </cfRule>
    <cfRule type="expression" dxfId="187" priority="76">
      <formula>AT30&gt;#REF!</formula>
    </cfRule>
  </conditionalFormatting>
  <conditionalFormatting sqref="AV30">
    <cfRule type="expression" dxfId="186" priority="73">
      <formula>AV30&lt;#REF!</formula>
    </cfRule>
    <cfRule type="expression" dxfId="185" priority="74">
      <formula>AV30&gt;#REF!</formula>
    </cfRule>
  </conditionalFormatting>
  <conditionalFormatting sqref="AX30">
    <cfRule type="expression" dxfId="184" priority="71">
      <formula>AX30&lt;#REF!</formula>
    </cfRule>
    <cfRule type="expression" dxfId="183" priority="72">
      <formula>AX30&gt;#REF!</formula>
    </cfRule>
  </conditionalFormatting>
  <conditionalFormatting sqref="AR32">
    <cfRule type="expression" dxfId="182" priority="69">
      <formula>AR32&lt;#REF!</formula>
    </cfRule>
    <cfRule type="expression" dxfId="181" priority="70">
      <formula>AR32&gt;#REF!</formula>
    </cfRule>
  </conditionalFormatting>
  <conditionalFormatting sqref="AT32">
    <cfRule type="expression" dxfId="180" priority="67">
      <formula>AT32&lt;#REF!</formula>
    </cfRule>
    <cfRule type="expression" dxfId="179" priority="68">
      <formula>AT32&gt;#REF!</formula>
    </cfRule>
  </conditionalFormatting>
  <conditionalFormatting sqref="AV32">
    <cfRule type="expression" dxfId="178" priority="65">
      <formula>AV32&lt;#REF!</formula>
    </cfRule>
    <cfRule type="expression" dxfId="177" priority="66">
      <formula>AV32&gt;#REF!</formula>
    </cfRule>
  </conditionalFormatting>
  <conditionalFormatting sqref="AX32">
    <cfRule type="expression" dxfId="176" priority="63">
      <formula>AX32&lt;#REF!</formula>
    </cfRule>
    <cfRule type="expression" dxfId="175" priority="64">
      <formula>AX32&gt;#REF!</formula>
    </cfRule>
  </conditionalFormatting>
  <conditionalFormatting sqref="AR34">
    <cfRule type="expression" dxfId="174" priority="61">
      <formula>AR34&lt;#REF!</formula>
    </cfRule>
    <cfRule type="expression" dxfId="173" priority="62">
      <formula>AR34&gt;#REF!</formula>
    </cfRule>
  </conditionalFormatting>
  <conditionalFormatting sqref="AT34">
    <cfRule type="expression" dxfId="172" priority="59">
      <formula>AT34&lt;#REF!</formula>
    </cfRule>
    <cfRule type="expression" dxfId="171" priority="60">
      <formula>AT34&gt;#REF!</formula>
    </cfRule>
  </conditionalFormatting>
  <conditionalFormatting sqref="AV34">
    <cfRule type="expression" dxfId="170" priority="57">
      <formula>AV34&lt;#REF!</formula>
    </cfRule>
    <cfRule type="expression" dxfId="169" priority="58">
      <formula>AV34&gt;#REF!</formula>
    </cfRule>
  </conditionalFormatting>
  <conditionalFormatting sqref="AX34">
    <cfRule type="expression" dxfId="168" priority="55">
      <formula>AX34&lt;#REF!</formula>
    </cfRule>
    <cfRule type="expression" dxfId="167" priority="56">
      <formula>AX34&gt;#REF!</formula>
    </cfRule>
  </conditionalFormatting>
  <conditionalFormatting sqref="AR36">
    <cfRule type="expression" dxfId="166" priority="53">
      <formula>AR36&lt;#REF!</formula>
    </cfRule>
    <cfRule type="expression" dxfId="165" priority="54">
      <formula>AR36&gt;#REF!</formula>
    </cfRule>
  </conditionalFormatting>
  <conditionalFormatting sqref="AT36">
    <cfRule type="expression" dxfId="164" priority="51">
      <formula>AT36&lt;#REF!</formula>
    </cfRule>
    <cfRule type="expression" dxfId="163" priority="52">
      <formula>AT36&gt;#REF!</formula>
    </cfRule>
  </conditionalFormatting>
  <conditionalFormatting sqref="AV36">
    <cfRule type="expression" dxfId="162" priority="49">
      <formula>AV36&lt;#REF!</formula>
    </cfRule>
    <cfRule type="expression" dxfId="161" priority="50">
      <formula>AV36&gt;#REF!</formula>
    </cfRule>
  </conditionalFormatting>
  <conditionalFormatting sqref="AX36">
    <cfRule type="expression" dxfId="160" priority="47">
      <formula>AX36&lt;#REF!</formula>
    </cfRule>
    <cfRule type="expression" dxfId="159" priority="48">
      <formula>AX36&gt;#REF!</formula>
    </cfRule>
  </conditionalFormatting>
  <conditionalFormatting sqref="AR38">
    <cfRule type="expression" dxfId="158" priority="45">
      <formula>AR38&lt;#REF!</formula>
    </cfRule>
    <cfRule type="expression" dxfId="157" priority="46">
      <formula>AR38&gt;#REF!</formula>
    </cfRule>
  </conditionalFormatting>
  <conditionalFormatting sqref="AT38">
    <cfRule type="expression" dxfId="156" priority="43">
      <formula>AT38&lt;#REF!</formula>
    </cfRule>
    <cfRule type="expression" dxfId="155" priority="44">
      <formula>AT38&gt;#REF!</formula>
    </cfRule>
  </conditionalFormatting>
  <conditionalFormatting sqref="AV38">
    <cfRule type="expression" dxfId="154" priority="41">
      <formula>AV38&lt;#REF!</formula>
    </cfRule>
    <cfRule type="expression" dxfId="153" priority="42">
      <formula>AV38&gt;#REF!</formula>
    </cfRule>
  </conditionalFormatting>
  <conditionalFormatting sqref="AX38">
    <cfRule type="expression" dxfId="152" priority="39">
      <formula>AX38&lt;#REF!</formula>
    </cfRule>
    <cfRule type="expression" dxfId="151" priority="40">
      <formula>AX38&gt;#REF!</formula>
    </cfRule>
  </conditionalFormatting>
  <conditionalFormatting sqref="AR40">
    <cfRule type="expression" dxfId="150" priority="37">
      <formula>AR40&lt;#REF!</formula>
    </cfRule>
    <cfRule type="expression" dxfId="149" priority="38">
      <formula>AR40&gt;#REF!</formula>
    </cfRule>
  </conditionalFormatting>
  <conditionalFormatting sqref="AT40">
    <cfRule type="expression" dxfId="148" priority="35">
      <formula>AT40&lt;#REF!</formula>
    </cfRule>
    <cfRule type="expression" dxfId="147" priority="36">
      <formula>AT40&gt;#REF!</formula>
    </cfRule>
  </conditionalFormatting>
  <conditionalFormatting sqref="AV40">
    <cfRule type="expression" dxfId="146" priority="33">
      <formula>AV40&lt;#REF!</formula>
    </cfRule>
    <cfRule type="expression" dxfId="145" priority="34">
      <formula>AV40&gt;#REF!</formula>
    </cfRule>
  </conditionalFormatting>
  <conditionalFormatting sqref="AX40">
    <cfRule type="expression" dxfId="144" priority="31">
      <formula>AX40&lt;#REF!</formula>
    </cfRule>
    <cfRule type="expression" dxfId="143" priority="32">
      <formula>AX40&gt;#REF!</formula>
    </cfRule>
  </conditionalFormatting>
  <conditionalFormatting sqref="AR42">
    <cfRule type="expression" dxfId="142" priority="29">
      <formula>AR42&lt;#REF!</formula>
    </cfRule>
    <cfRule type="expression" dxfId="141" priority="30">
      <formula>AR42&gt;#REF!</formula>
    </cfRule>
  </conditionalFormatting>
  <conditionalFormatting sqref="AT42">
    <cfRule type="expression" dxfId="140" priority="27">
      <formula>AT42&lt;#REF!</formula>
    </cfRule>
    <cfRule type="expression" dxfId="139" priority="28">
      <formula>AT42&gt;#REF!</formula>
    </cfRule>
  </conditionalFormatting>
  <conditionalFormatting sqref="AV42">
    <cfRule type="expression" dxfId="138" priority="25">
      <formula>AV42&lt;#REF!</formula>
    </cfRule>
    <cfRule type="expression" dxfId="137" priority="26">
      <formula>AV42&gt;#REF!</formula>
    </cfRule>
  </conditionalFormatting>
  <conditionalFormatting sqref="AX42">
    <cfRule type="expression" dxfId="136" priority="23">
      <formula>AX42&lt;#REF!</formula>
    </cfRule>
    <cfRule type="expression" dxfId="135" priority="24">
      <formula>AX42&gt;#REF!</formula>
    </cfRule>
  </conditionalFormatting>
  <conditionalFormatting sqref="AS9:AS42">
    <cfRule type="expression" dxfId="134" priority="21">
      <formula>AS9&lt;#REF!</formula>
    </cfRule>
    <cfRule type="expression" dxfId="133" priority="22">
      <formula>AS9&gt;#REF!</formula>
    </cfRule>
  </conditionalFormatting>
  <conditionalFormatting sqref="AU9:AU42">
    <cfRule type="expression" dxfId="132" priority="19">
      <formula>AU9&lt;#REF!</formula>
    </cfRule>
    <cfRule type="expression" dxfId="131" priority="20">
      <formula>AU9&gt;#REF!</formula>
    </cfRule>
  </conditionalFormatting>
  <conditionalFormatting sqref="AW9:AW42">
    <cfRule type="expression" dxfId="130" priority="17">
      <formula>AW9&lt;#REF!</formula>
    </cfRule>
    <cfRule type="expression" dxfId="129" priority="18">
      <formula>AW9&gt;#REF!</formula>
    </cfRule>
  </conditionalFormatting>
  <conditionalFormatting sqref="BJ9:BJ42">
    <cfRule type="expression" dxfId="128" priority="15">
      <formula>BJ9&lt;#REF!</formula>
    </cfRule>
    <cfRule type="expression" dxfId="127" priority="16">
      <formula>BJ9&gt;#REF!</formula>
    </cfRule>
  </conditionalFormatting>
  <conditionalFormatting sqref="BH9:BH42">
    <cfRule type="expression" dxfId="126" priority="13">
      <formula>BH9&lt;#REF!</formula>
    </cfRule>
    <cfRule type="expression" dxfId="125" priority="14">
      <formula>BH9&gt;#REF!</formula>
    </cfRule>
  </conditionalFormatting>
  <conditionalFormatting sqref="BD9:BD42">
    <cfRule type="expression" dxfId="124" priority="11">
      <formula>BD9&lt;#REF!</formula>
    </cfRule>
    <cfRule type="expression" dxfId="123" priority="12">
      <formula>BD9&gt;#REF!</formula>
    </cfRule>
  </conditionalFormatting>
  <conditionalFormatting sqref="BC9:BC42">
    <cfRule type="expression" dxfId="122" priority="9">
      <formula>BC9&lt;#REF!</formula>
    </cfRule>
    <cfRule type="expression" dxfId="121" priority="10">
      <formula>BC9&gt;#REF!</formula>
    </cfRule>
  </conditionalFormatting>
  <conditionalFormatting sqref="AY9:AY42">
    <cfRule type="expression" dxfId="120" priority="7">
      <formula>AY9&lt;#REF!</formula>
    </cfRule>
    <cfRule type="expression" dxfId="119" priority="8">
      <formula>AY9&gt;#REF!</formula>
    </cfRule>
  </conditionalFormatting>
  <conditionalFormatting sqref="BF41:BF42">
    <cfRule type="expression" dxfId="118" priority="5">
      <formula>BF41&lt;#REF!</formula>
    </cfRule>
    <cfRule type="expression" dxfId="117" priority="6">
      <formula>BF41&gt;#REF!</formula>
    </cfRule>
  </conditionalFormatting>
  <conditionalFormatting sqref="BF9:BF40">
    <cfRule type="expression" dxfId="116" priority="3">
      <formula>BF9&lt;#REF!</formula>
    </cfRule>
    <cfRule type="expression" dxfId="115" priority="4">
      <formula>BF9&gt;#REF!</formula>
    </cfRule>
  </conditionalFormatting>
  <conditionalFormatting sqref="D83:D99">
    <cfRule type="expression" dxfId="114" priority="1">
      <formula>D83&lt;#REF!</formula>
    </cfRule>
    <cfRule type="expression" dxfId="113" priority="2">
      <formula>D83&gt;#REF!</formula>
    </cfRule>
  </conditionalFormatting>
  <pageMargins left="0.7" right="0.7" top="0.75" bottom="0.75" header="0.3" footer="0.3"/>
  <pageSetup paperSize="9" orientation="portrait"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rgb="FFFFFF00"/>
  </sheetPr>
  <dimension ref="A1:W61"/>
  <sheetViews>
    <sheetView view="pageBreakPreview" topLeftCell="A30" zoomScale="85" zoomScaleNormal="100" zoomScaleSheetLayoutView="85" workbookViewId="0">
      <selection activeCell="AA52" sqref="Y6:AB78"/>
    </sheetView>
  </sheetViews>
  <sheetFormatPr defaultColWidth="2.5" defaultRowHeight="25.5" customHeight="1"/>
  <cols>
    <col min="1" max="1" width="23" style="52" customWidth="1"/>
    <col min="2" max="2" width="2.5" style="52" customWidth="1"/>
    <col min="3" max="21" width="2.625" style="52" customWidth="1"/>
    <col min="22" max="22" width="2.75" style="52" customWidth="1"/>
    <col min="23" max="23" width="57.375" style="58" customWidth="1"/>
    <col min="24" max="16384" width="2.5" style="52"/>
  </cols>
  <sheetData>
    <row r="1" spans="1:23" ht="25.5" customHeight="1">
      <c r="A1" s="50" t="s">
        <v>32</v>
      </c>
      <c r="B1" s="51"/>
      <c r="C1" s="51"/>
      <c r="D1" s="51"/>
      <c r="E1" s="51"/>
      <c r="F1" s="51"/>
      <c r="G1" s="51"/>
      <c r="H1" s="51"/>
      <c r="I1" s="51"/>
      <c r="J1" s="51"/>
      <c r="K1" s="51"/>
      <c r="L1" s="51"/>
      <c r="M1" s="51"/>
      <c r="N1" s="51"/>
      <c r="O1" s="51"/>
      <c r="P1" s="51"/>
      <c r="Q1" s="51"/>
      <c r="R1" s="51"/>
      <c r="S1" s="51"/>
      <c r="T1" s="51"/>
      <c r="U1" s="51"/>
      <c r="V1" s="51"/>
      <c r="W1" s="51"/>
    </row>
    <row r="3" spans="1:23" ht="20.25" hidden="1" customHeight="1">
      <c r="A3" s="2341" t="s">
        <v>47</v>
      </c>
      <c r="B3" s="2344" t="s">
        <v>79</v>
      </c>
      <c r="C3" s="2347"/>
      <c r="D3" s="68"/>
      <c r="E3" s="2350" t="s">
        <v>80</v>
      </c>
      <c r="F3" s="2350"/>
      <c r="G3" s="2350"/>
      <c r="H3" s="2350"/>
      <c r="I3" s="2350"/>
      <c r="J3" s="69"/>
      <c r="K3" s="2351" t="s">
        <v>26</v>
      </c>
      <c r="L3" s="2351"/>
      <c r="M3" s="2351"/>
      <c r="N3" s="2351"/>
      <c r="O3" s="2351"/>
      <c r="P3" s="2351"/>
      <c r="Q3" s="2351"/>
      <c r="R3" s="2351"/>
      <c r="S3" s="69"/>
      <c r="T3" s="69"/>
      <c r="U3" s="69"/>
      <c r="V3" s="70"/>
      <c r="W3" s="2352" t="s">
        <v>81</v>
      </c>
    </row>
    <row r="4" spans="1:23" ht="25.5" hidden="1" customHeight="1">
      <c r="A4" s="2342"/>
      <c r="B4" s="2345"/>
      <c r="C4" s="2348"/>
      <c r="D4" s="71" t="s">
        <v>82</v>
      </c>
      <c r="E4" s="2355">
        <v>108530</v>
      </c>
      <c r="F4" s="2355"/>
      <c r="G4" s="2355"/>
      <c r="H4" s="2355"/>
      <c r="I4" s="2355"/>
      <c r="J4" s="72" t="s">
        <v>83</v>
      </c>
      <c r="K4" s="2356">
        <v>1080</v>
      </c>
      <c r="L4" s="2356"/>
      <c r="M4" s="2356"/>
      <c r="N4" s="2356"/>
      <c r="O4" s="2356"/>
      <c r="P4" s="2356"/>
      <c r="Q4" s="2356"/>
      <c r="R4" s="2356"/>
      <c r="S4" s="66" t="s">
        <v>84</v>
      </c>
      <c r="T4" s="72"/>
      <c r="U4" s="72"/>
      <c r="V4" s="73"/>
      <c r="W4" s="2353"/>
    </row>
    <row r="5" spans="1:23" ht="20.25" hidden="1" customHeight="1">
      <c r="A5" s="2343"/>
      <c r="B5" s="2346"/>
      <c r="C5" s="2349"/>
      <c r="D5" s="74"/>
      <c r="E5" s="74"/>
      <c r="F5" s="74"/>
      <c r="G5" s="75"/>
      <c r="H5" s="75"/>
      <c r="I5" s="75"/>
      <c r="J5" s="75"/>
      <c r="K5" s="75"/>
      <c r="L5" s="75"/>
      <c r="M5" s="2357" t="s">
        <v>85</v>
      </c>
      <c r="N5" s="2357"/>
      <c r="O5" s="2357"/>
      <c r="P5" s="2357"/>
      <c r="Q5" s="2357"/>
      <c r="R5" s="2357"/>
      <c r="S5" s="2357"/>
      <c r="T5" s="2357"/>
      <c r="U5" s="2357"/>
      <c r="V5" s="2358"/>
      <c r="W5" s="2354"/>
    </row>
    <row r="6" spans="1:23" ht="25.5" hidden="1" customHeight="1">
      <c r="A6" s="53"/>
      <c r="B6" s="53"/>
      <c r="C6" s="53"/>
      <c r="D6" s="54"/>
      <c r="E6" s="54"/>
      <c r="F6" s="54"/>
      <c r="G6" s="54"/>
      <c r="H6" s="55"/>
      <c r="I6" s="55"/>
      <c r="J6" s="55"/>
      <c r="K6" s="55"/>
      <c r="L6" s="53"/>
      <c r="M6" s="55"/>
      <c r="N6" s="55"/>
      <c r="O6" s="55"/>
      <c r="P6" s="55"/>
      <c r="Q6" s="56"/>
      <c r="R6" s="56"/>
      <c r="S6" s="56"/>
      <c r="T6" s="56"/>
      <c r="U6" s="56"/>
      <c r="V6" s="56"/>
      <c r="W6" s="57"/>
    </row>
    <row r="7" spans="1:23" ht="20.25" customHeight="1">
      <c r="A7" s="2276" t="s">
        <v>17</v>
      </c>
      <c r="B7" s="2142" t="s">
        <v>1109</v>
      </c>
      <c r="C7" s="2301" t="s">
        <v>795</v>
      </c>
      <c r="D7" s="1254"/>
      <c r="E7" s="2069" t="s">
        <v>268</v>
      </c>
      <c r="F7" s="2069"/>
      <c r="G7" s="2069"/>
      <c r="H7" s="2069"/>
      <c r="I7" s="2069"/>
      <c r="J7" s="1255"/>
      <c r="K7" s="2079" t="s">
        <v>405</v>
      </c>
      <c r="L7" s="2079"/>
      <c r="M7" s="2079"/>
      <c r="N7" s="2079"/>
      <c r="O7" s="2079"/>
      <c r="P7" s="2079"/>
      <c r="Q7" s="2079"/>
      <c r="R7" s="2079"/>
      <c r="S7" s="1255"/>
      <c r="T7" s="1255"/>
      <c r="U7" s="1255"/>
      <c r="V7" s="1256"/>
      <c r="W7" s="2273" t="s">
        <v>1110</v>
      </c>
    </row>
    <row r="8" spans="1:23" ht="25.5" customHeight="1">
      <c r="A8" s="2277"/>
      <c r="B8" s="2143"/>
      <c r="C8" s="2302"/>
      <c r="D8" s="1257" t="s">
        <v>271</v>
      </c>
      <c r="E8" s="2258">
        <v>18280</v>
      </c>
      <c r="F8" s="2258"/>
      <c r="G8" s="2258"/>
      <c r="H8" s="2258"/>
      <c r="I8" s="2258"/>
      <c r="J8" s="1258" t="s">
        <v>272</v>
      </c>
      <c r="K8" s="2075">
        <v>180</v>
      </c>
      <c r="L8" s="2075"/>
      <c r="M8" s="2075"/>
      <c r="N8" s="2075"/>
      <c r="O8" s="2075"/>
      <c r="P8" s="2075"/>
      <c r="Q8" s="2075"/>
      <c r="R8" s="2075"/>
      <c r="S8" s="1224" t="s">
        <v>273</v>
      </c>
      <c r="T8" s="1258"/>
      <c r="U8" s="1258"/>
      <c r="V8" s="1259"/>
      <c r="W8" s="2273"/>
    </row>
    <row r="9" spans="1:23" ht="20.25" customHeight="1">
      <c r="A9" s="2277"/>
      <c r="B9" s="2143"/>
      <c r="C9" s="2303"/>
      <c r="D9" s="1260"/>
      <c r="E9" s="1260"/>
      <c r="F9" s="1260"/>
      <c r="G9" s="1261"/>
      <c r="H9" s="1261"/>
      <c r="I9" s="1261"/>
      <c r="J9" s="1261"/>
      <c r="K9" s="1261"/>
      <c r="L9" s="1261"/>
      <c r="M9" s="2236" t="s">
        <v>274</v>
      </c>
      <c r="N9" s="2236"/>
      <c r="O9" s="2236"/>
      <c r="P9" s="2236"/>
      <c r="Q9" s="2236"/>
      <c r="R9" s="2236"/>
      <c r="S9" s="2236"/>
      <c r="T9" s="2236"/>
      <c r="U9" s="2236"/>
      <c r="V9" s="2237"/>
      <c r="W9" s="2273"/>
    </row>
    <row r="10" spans="1:23" ht="20.25" customHeight="1">
      <c r="A10" s="2277"/>
      <c r="B10" s="2143"/>
      <c r="C10" s="2301" t="s">
        <v>796</v>
      </c>
      <c r="D10" s="1254"/>
      <c r="E10" s="2069" t="s">
        <v>268</v>
      </c>
      <c r="F10" s="2069"/>
      <c r="G10" s="2069"/>
      <c r="H10" s="2069"/>
      <c r="I10" s="2069"/>
      <c r="J10" s="1255"/>
      <c r="K10" s="2079" t="s">
        <v>405</v>
      </c>
      <c r="L10" s="2079"/>
      <c r="M10" s="2079"/>
      <c r="N10" s="2079"/>
      <c r="O10" s="2079"/>
      <c r="P10" s="2079"/>
      <c r="Q10" s="2079"/>
      <c r="R10" s="2079"/>
      <c r="S10" s="1255"/>
      <c r="T10" s="1255"/>
      <c r="U10" s="1255"/>
      <c r="V10" s="1256"/>
      <c r="W10" s="2273"/>
    </row>
    <row r="11" spans="1:23" ht="25.5" customHeight="1">
      <c r="A11" s="2277"/>
      <c r="B11" s="2143"/>
      <c r="C11" s="2302"/>
      <c r="D11" s="1257" t="s">
        <v>271</v>
      </c>
      <c r="E11" s="2258">
        <v>12190</v>
      </c>
      <c r="F11" s="2258"/>
      <c r="G11" s="2258"/>
      <c r="H11" s="2258"/>
      <c r="I11" s="2258"/>
      <c r="J11" s="1258" t="s">
        <v>272</v>
      </c>
      <c r="K11" s="2075">
        <v>120</v>
      </c>
      <c r="L11" s="2075"/>
      <c r="M11" s="2075"/>
      <c r="N11" s="2075"/>
      <c r="O11" s="2075"/>
      <c r="P11" s="2075"/>
      <c r="Q11" s="2075"/>
      <c r="R11" s="2075"/>
      <c r="S11" s="1224" t="s">
        <v>273</v>
      </c>
      <c r="T11" s="1258"/>
      <c r="U11" s="1258"/>
      <c r="V11" s="1259"/>
      <c r="W11" s="2273"/>
    </row>
    <row r="12" spans="1:23" ht="20.25" customHeight="1">
      <c r="A12" s="2278"/>
      <c r="B12" s="2144"/>
      <c r="C12" s="2303"/>
      <c r="D12" s="1260"/>
      <c r="E12" s="1260"/>
      <c r="F12" s="1260"/>
      <c r="G12" s="1261"/>
      <c r="H12" s="1261"/>
      <c r="I12" s="1261"/>
      <c r="J12" s="1261"/>
      <c r="K12" s="1261"/>
      <c r="L12" s="1261"/>
      <c r="M12" s="2299" t="s">
        <v>274</v>
      </c>
      <c r="N12" s="2299"/>
      <c r="O12" s="2299"/>
      <c r="P12" s="2299"/>
      <c r="Q12" s="2299"/>
      <c r="R12" s="2299"/>
      <c r="S12" s="2299"/>
      <c r="T12" s="2299"/>
      <c r="U12" s="2299"/>
      <c r="V12" s="2300"/>
      <c r="W12" s="2273"/>
    </row>
    <row r="13" spans="1:23" ht="25.5" customHeight="1">
      <c r="A13" s="1128"/>
      <c r="B13" s="1128"/>
      <c r="C13" s="1262"/>
      <c r="D13" s="1263"/>
      <c r="E13" s="1263"/>
      <c r="F13" s="1263"/>
      <c r="G13" s="1263"/>
      <c r="H13" s="1264"/>
      <c r="I13" s="1264"/>
      <c r="J13" s="1264"/>
      <c r="K13" s="1264"/>
      <c r="L13" s="1262"/>
      <c r="M13" s="1264"/>
      <c r="N13" s="1264"/>
      <c r="O13" s="1264"/>
      <c r="P13" s="1264"/>
      <c r="Q13" s="1258"/>
      <c r="R13" s="1258"/>
      <c r="S13" s="1258"/>
      <c r="T13" s="1258"/>
      <c r="U13" s="1258"/>
      <c r="V13" s="1258"/>
      <c r="W13" s="1265"/>
    </row>
    <row r="14" spans="1:23" ht="20.25" customHeight="1">
      <c r="A14" s="2287" t="s">
        <v>1077</v>
      </c>
      <c r="B14" s="2142" t="s">
        <v>166</v>
      </c>
      <c r="C14" s="2284"/>
      <c r="D14" s="1254"/>
      <c r="E14" s="2069" t="s">
        <v>268</v>
      </c>
      <c r="F14" s="2069"/>
      <c r="G14" s="2069"/>
      <c r="H14" s="2069"/>
      <c r="I14" s="2069"/>
      <c r="J14" s="1255"/>
      <c r="K14" s="2079" t="s">
        <v>405</v>
      </c>
      <c r="L14" s="2079"/>
      <c r="M14" s="2079"/>
      <c r="N14" s="2079"/>
      <c r="O14" s="2079"/>
      <c r="P14" s="2079"/>
      <c r="Q14" s="2079"/>
      <c r="R14" s="2079"/>
      <c r="S14" s="1255"/>
      <c r="T14" s="1255"/>
      <c r="U14" s="1255"/>
      <c r="V14" s="1256"/>
      <c r="W14" s="2296" t="s">
        <v>1111</v>
      </c>
    </row>
    <row r="15" spans="1:23" ht="25.5" customHeight="1">
      <c r="A15" s="2288"/>
      <c r="B15" s="2143"/>
      <c r="C15" s="2285"/>
      <c r="D15" s="1257" t="s">
        <v>271</v>
      </c>
      <c r="E15" s="2258">
        <v>78020</v>
      </c>
      <c r="F15" s="2258"/>
      <c r="G15" s="2258"/>
      <c r="H15" s="2258"/>
      <c r="I15" s="2258"/>
      <c r="J15" s="1258" t="s">
        <v>272</v>
      </c>
      <c r="K15" s="2075">
        <v>780</v>
      </c>
      <c r="L15" s="2075"/>
      <c r="M15" s="2075"/>
      <c r="N15" s="2075"/>
      <c r="O15" s="2075"/>
      <c r="P15" s="2075"/>
      <c r="Q15" s="2075"/>
      <c r="R15" s="2075"/>
      <c r="S15" s="1224" t="s">
        <v>273</v>
      </c>
      <c r="T15" s="1258"/>
      <c r="U15" s="1258"/>
      <c r="V15" s="1259"/>
      <c r="W15" s="2297"/>
    </row>
    <row r="16" spans="1:23" ht="20.25" customHeight="1">
      <c r="A16" s="2289"/>
      <c r="B16" s="2144"/>
      <c r="C16" s="2286"/>
      <c r="D16" s="1260"/>
      <c r="E16" s="1260"/>
      <c r="F16" s="1260"/>
      <c r="G16" s="1261"/>
      <c r="H16" s="1261"/>
      <c r="I16" s="1261"/>
      <c r="J16" s="1261"/>
      <c r="K16" s="1261"/>
      <c r="L16" s="1261"/>
      <c r="M16" s="2236" t="s">
        <v>274</v>
      </c>
      <c r="N16" s="2236"/>
      <c r="O16" s="2236"/>
      <c r="P16" s="2236"/>
      <c r="Q16" s="2236"/>
      <c r="R16" s="2236"/>
      <c r="S16" s="2236"/>
      <c r="T16" s="2236"/>
      <c r="U16" s="2236"/>
      <c r="V16" s="2237"/>
      <c r="W16" s="2298"/>
    </row>
    <row r="17" spans="1:23" ht="20.25" customHeight="1">
      <c r="A17" s="1128"/>
      <c r="B17" s="1128"/>
      <c r="C17" s="1262"/>
      <c r="D17" s="1263"/>
      <c r="E17" s="1263"/>
      <c r="F17" s="1263"/>
      <c r="G17" s="1263"/>
      <c r="H17" s="1264"/>
      <c r="I17" s="1264"/>
      <c r="J17" s="1264"/>
      <c r="K17" s="1264"/>
      <c r="L17" s="1262"/>
      <c r="M17" s="1264"/>
      <c r="N17" s="1264"/>
      <c r="O17" s="1264"/>
      <c r="P17" s="1264"/>
      <c r="Q17" s="1258"/>
      <c r="R17" s="1258"/>
      <c r="S17" s="1258"/>
      <c r="T17" s="1258"/>
      <c r="U17" s="1258"/>
      <c r="V17" s="1258"/>
      <c r="W17" s="1265"/>
    </row>
    <row r="18" spans="1:23" ht="20.25" customHeight="1">
      <c r="A18" s="2295" t="s">
        <v>1078</v>
      </c>
      <c r="B18" s="2290" t="s">
        <v>167</v>
      </c>
      <c r="C18" s="2284"/>
      <c r="D18" s="1254"/>
      <c r="E18" s="2069" t="s">
        <v>268</v>
      </c>
      <c r="F18" s="2069"/>
      <c r="G18" s="2069"/>
      <c r="H18" s="2069"/>
      <c r="I18" s="2069"/>
      <c r="J18" s="1255"/>
      <c r="K18" s="2079" t="s">
        <v>405</v>
      </c>
      <c r="L18" s="2079"/>
      <c r="M18" s="2079"/>
      <c r="N18" s="2079"/>
      <c r="O18" s="2079"/>
      <c r="P18" s="2079"/>
      <c r="Q18" s="2079"/>
      <c r="R18" s="2079"/>
      <c r="S18" s="1255"/>
      <c r="T18" s="1255"/>
      <c r="U18" s="1255"/>
      <c r="V18" s="1256"/>
      <c r="W18" s="2281" t="s">
        <v>81</v>
      </c>
    </row>
    <row r="19" spans="1:23" ht="25.5" customHeight="1">
      <c r="A19" s="2288"/>
      <c r="B19" s="2291"/>
      <c r="C19" s="2285"/>
      <c r="D19" s="1257" t="s">
        <v>271</v>
      </c>
      <c r="E19" s="2258">
        <v>82880</v>
      </c>
      <c r="F19" s="2258"/>
      <c r="G19" s="2258"/>
      <c r="H19" s="2258"/>
      <c r="I19" s="2258"/>
      <c r="J19" s="1258" t="s">
        <v>272</v>
      </c>
      <c r="K19" s="2075">
        <v>820</v>
      </c>
      <c r="L19" s="2075"/>
      <c r="M19" s="2075"/>
      <c r="N19" s="2075"/>
      <c r="O19" s="2075"/>
      <c r="P19" s="2075"/>
      <c r="Q19" s="2075"/>
      <c r="R19" s="2075"/>
      <c r="S19" s="1224" t="s">
        <v>273</v>
      </c>
      <c r="T19" s="1258"/>
      <c r="U19" s="1258"/>
      <c r="V19" s="1259"/>
      <c r="W19" s="2282"/>
    </row>
    <row r="20" spans="1:23" ht="20.25" customHeight="1">
      <c r="A20" s="2289"/>
      <c r="B20" s="2292"/>
      <c r="C20" s="2286"/>
      <c r="D20" s="1260"/>
      <c r="E20" s="1260"/>
      <c r="F20" s="1260"/>
      <c r="G20" s="1261"/>
      <c r="H20" s="1261"/>
      <c r="I20" s="1261"/>
      <c r="J20" s="1261"/>
      <c r="K20" s="1261"/>
      <c r="L20" s="1261"/>
      <c r="M20" s="2236" t="s">
        <v>274</v>
      </c>
      <c r="N20" s="2236"/>
      <c r="O20" s="2236"/>
      <c r="P20" s="2236"/>
      <c r="Q20" s="2236"/>
      <c r="R20" s="2236"/>
      <c r="S20" s="2236"/>
      <c r="T20" s="2236"/>
      <c r="U20" s="2236"/>
      <c r="V20" s="2237"/>
      <c r="W20" s="2283"/>
    </row>
    <row r="21" spans="1:23" ht="20.25" customHeight="1">
      <c r="A21" s="1128"/>
      <c r="B21" s="1128"/>
      <c r="C21" s="1262"/>
      <c r="D21" s="1263"/>
      <c r="E21" s="1263"/>
      <c r="F21" s="1263"/>
      <c r="G21" s="1263"/>
      <c r="H21" s="1264"/>
      <c r="I21" s="1264"/>
      <c r="J21" s="1264"/>
      <c r="K21" s="1264"/>
      <c r="L21" s="1262"/>
      <c r="M21" s="1264"/>
      <c r="N21" s="1264"/>
      <c r="O21" s="1264"/>
      <c r="P21" s="1264"/>
      <c r="Q21" s="1258"/>
      <c r="R21" s="1258"/>
      <c r="S21" s="1258"/>
      <c r="T21" s="1258"/>
      <c r="U21" s="1258"/>
      <c r="V21" s="1258"/>
      <c r="W21" s="1265"/>
    </row>
    <row r="22" spans="1:23" ht="20.25" customHeight="1">
      <c r="A22" s="2295" t="s">
        <v>1079</v>
      </c>
      <c r="B22" s="2142" t="s">
        <v>1112</v>
      </c>
      <c r="C22" s="2284"/>
      <c r="D22" s="1254"/>
      <c r="E22" s="2069" t="s">
        <v>268</v>
      </c>
      <c r="F22" s="2069"/>
      <c r="G22" s="2069"/>
      <c r="H22" s="2069"/>
      <c r="I22" s="2069"/>
      <c r="J22" s="1255"/>
      <c r="K22" s="2079" t="s">
        <v>405</v>
      </c>
      <c r="L22" s="2079"/>
      <c r="M22" s="2079"/>
      <c r="N22" s="2079"/>
      <c r="O22" s="2079"/>
      <c r="P22" s="2079"/>
      <c r="Q22" s="2079"/>
      <c r="R22" s="2079"/>
      <c r="S22" s="1255"/>
      <c r="T22" s="1255"/>
      <c r="U22" s="1255"/>
      <c r="V22" s="1256"/>
      <c r="W22" s="2281" t="s">
        <v>81</v>
      </c>
    </row>
    <row r="23" spans="1:23" ht="25.5" customHeight="1">
      <c r="A23" s="2288"/>
      <c r="B23" s="2143"/>
      <c r="C23" s="2285"/>
      <c r="D23" s="1257" t="s">
        <v>271</v>
      </c>
      <c r="E23" s="2258">
        <v>69060</v>
      </c>
      <c r="F23" s="2258"/>
      <c r="G23" s="2258"/>
      <c r="H23" s="2258"/>
      <c r="I23" s="2258"/>
      <c r="J23" s="1258" t="s">
        <v>272</v>
      </c>
      <c r="K23" s="2075">
        <v>690</v>
      </c>
      <c r="L23" s="2075"/>
      <c r="M23" s="2075"/>
      <c r="N23" s="2075"/>
      <c r="O23" s="2075"/>
      <c r="P23" s="2075"/>
      <c r="Q23" s="2075"/>
      <c r="R23" s="2075"/>
      <c r="S23" s="1224" t="s">
        <v>273</v>
      </c>
      <c r="T23" s="1258"/>
      <c r="U23" s="1258"/>
      <c r="V23" s="1259"/>
      <c r="W23" s="2282"/>
    </row>
    <row r="24" spans="1:23" ht="20.25" customHeight="1">
      <c r="A24" s="2289"/>
      <c r="B24" s="2144"/>
      <c r="C24" s="2286"/>
      <c r="D24" s="1260"/>
      <c r="E24" s="1260"/>
      <c r="F24" s="1260"/>
      <c r="G24" s="1261"/>
      <c r="H24" s="1261"/>
      <c r="I24" s="1261"/>
      <c r="J24" s="1261"/>
      <c r="K24" s="1261"/>
      <c r="L24" s="1261"/>
      <c r="M24" s="2236" t="s">
        <v>274</v>
      </c>
      <c r="N24" s="2236"/>
      <c r="O24" s="2236"/>
      <c r="P24" s="2236"/>
      <c r="Q24" s="2236"/>
      <c r="R24" s="2236"/>
      <c r="S24" s="2236"/>
      <c r="T24" s="2236"/>
      <c r="U24" s="2236"/>
      <c r="V24" s="2237"/>
      <c r="W24" s="2283"/>
    </row>
    <row r="25" spans="1:23" ht="25.5" customHeight="1">
      <c r="A25" s="1128"/>
      <c r="B25" s="1128"/>
      <c r="C25" s="1262"/>
      <c r="D25" s="1263"/>
      <c r="E25" s="1263"/>
      <c r="F25" s="1263"/>
      <c r="G25" s="1263"/>
      <c r="H25" s="1264"/>
      <c r="I25" s="1264"/>
      <c r="J25" s="1264"/>
      <c r="K25" s="1264"/>
      <c r="L25" s="1262"/>
      <c r="M25" s="1264"/>
      <c r="N25" s="1264"/>
      <c r="O25" s="1264"/>
      <c r="P25" s="1264"/>
      <c r="Q25" s="1258"/>
      <c r="R25" s="1258"/>
      <c r="S25" s="1258"/>
      <c r="T25" s="1258"/>
      <c r="U25" s="1258"/>
      <c r="V25" s="1258"/>
      <c r="W25" s="1265"/>
    </row>
    <row r="26" spans="1:23" ht="30" customHeight="1">
      <c r="A26" s="2080" t="s">
        <v>1113</v>
      </c>
      <c r="B26" s="2083" t="s">
        <v>214</v>
      </c>
      <c r="C26" s="2116" t="s">
        <v>463</v>
      </c>
      <c r="D26" s="2279"/>
      <c r="E26" s="2279"/>
      <c r="F26" s="2279"/>
      <c r="G26" s="2279"/>
      <c r="H26" s="2279"/>
      <c r="I26" s="2279"/>
      <c r="J26" s="2279"/>
      <c r="K26" s="2279"/>
      <c r="L26" s="2279"/>
      <c r="M26" s="2279"/>
      <c r="N26" s="2279"/>
      <c r="O26" s="2279"/>
      <c r="P26" s="2279"/>
      <c r="Q26" s="2279"/>
      <c r="R26" s="2279"/>
      <c r="S26" s="2279"/>
      <c r="T26" s="2279"/>
      <c r="U26" s="2279"/>
      <c r="V26" s="2280"/>
      <c r="W26" s="2359" t="s">
        <v>1114</v>
      </c>
    </row>
    <row r="27" spans="1:23" ht="30" customHeight="1">
      <c r="A27" s="2261"/>
      <c r="B27" s="2304"/>
      <c r="C27" s="2119" t="s">
        <v>465</v>
      </c>
      <c r="D27" s="2120"/>
      <c r="E27" s="2120"/>
      <c r="F27" s="2120"/>
      <c r="G27" s="2120"/>
      <c r="H27" s="2120"/>
      <c r="I27" s="2120"/>
      <c r="J27" s="2120"/>
      <c r="K27" s="2120"/>
      <c r="L27" s="2258">
        <v>50140</v>
      </c>
      <c r="M27" s="2258"/>
      <c r="N27" s="2258"/>
      <c r="O27" s="2258"/>
      <c r="P27" s="1258" t="s">
        <v>244</v>
      </c>
      <c r="Q27" s="2340" t="s">
        <v>917</v>
      </c>
      <c r="R27" s="2340"/>
      <c r="S27" s="2340"/>
      <c r="T27" s="1258" t="s">
        <v>244</v>
      </c>
      <c r="U27" s="2362" t="s">
        <v>1115</v>
      </c>
      <c r="V27" s="2363"/>
      <c r="W27" s="2360"/>
    </row>
    <row r="28" spans="1:23" ht="30" customHeight="1">
      <c r="A28" s="2262"/>
      <c r="B28" s="2305"/>
      <c r="C28" s="2111" t="s">
        <v>467</v>
      </c>
      <c r="D28" s="2112"/>
      <c r="E28" s="2112"/>
      <c r="F28" s="2112"/>
      <c r="G28" s="2112"/>
      <c r="H28" s="2112"/>
      <c r="I28" s="2112"/>
      <c r="J28" s="2112"/>
      <c r="K28" s="2112"/>
      <c r="L28" s="2234">
        <v>6270</v>
      </c>
      <c r="M28" s="2234"/>
      <c r="N28" s="2234"/>
      <c r="O28" s="2234"/>
      <c r="P28" s="1273" t="s">
        <v>244</v>
      </c>
      <c r="Q28" s="2366" t="s">
        <v>918</v>
      </c>
      <c r="R28" s="2366"/>
      <c r="S28" s="2366"/>
      <c r="T28" s="1273" t="s">
        <v>244</v>
      </c>
      <c r="U28" s="2364" t="s">
        <v>1115</v>
      </c>
      <c r="V28" s="2365"/>
      <c r="W28" s="2361"/>
    </row>
    <row r="29" spans="1:23" ht="25.5" customHeight="1">
      <c r="A29" s="1132"/>
      <c r="B29" s="1132"/>
      <c r="C29" s="1211"/>
      <c r="D29" s="1212"/>
      <c r="E29" s="1212"/>
      <c r="F29" s="1212"/>
      <c r="G29" s="1212"/>
      <c r="H29" s="1213"/>
      <c r="I29" s="1213"/>
      <c r="J29" s="1213"/>
      <c r="K29" s="1213"/>
      <c r="L29" s="1211"/>
      <c r="M29" s="1213"/>
      <c r="N29" s="1213"/>
      <c r="O29" s="1213"/>
      <c r="P29" s="1213"/>
      <c r="Q29" s="1208"/>
      <c r="R29" s="1208"/>
      <c r="S29" s="1208"/>
      <c r="T29" s="1208"/>
      <c r="U29" s="1208"/>
      <c r="V29" s="1208"/>
      <c r="W29" s="1274"/>
    </row>
    <row r="30" spans="1:23" ht="25.5" customHeight="1">
      <c r="A30" s="2116" t="s">
        <v>1183</v>
      </c>
      <c r="B30" s="2135" t="s">
        <v>1263</v>
      </c>
      <c r="C30" s="2106"/>
      <c r="D30" s="2137">
        <v>11280</v>
      </c>
      <c r="E30" s="2138"/>
      <c r="F30" s="2138"/>
      <c r="G30" s="2138"/>
      <c r="H30" s="2138"/>
      <c r="I30" s="2138"/>
      <c r="J30" s="1202" t="s">
        <v>1184</v>
      </c>
      <c r="K30" s="2139" t="s">
        <v>1264</v>
      </c>
      <c r="L30" s="2139"/>
      <c r="M30" s="2139"/>
      <c r="N30" s="2139"/>
      <c r="O30" s="2139"/>
      <c r="P30" s="2139"/>
      <c r="Q30" s="2139"/>
      <c r="R30" s="2139"/>
      <c r="S30" s="2139"/>
      <c r="T30" s="2139"/>
      <c r="U30" s="2139"/>
      <c r="V30" s="2140"/>
      <c r="W30" s="2133" t="s">
        <v>1186</v>
      </c>
    </row>
    <row r="31" spans="1:23" ht="25.5" customHeight="1">
      <c r="A31" s="2293"/>
      <c r="B31" s="2294"/>
      <c r="C31" s="2108"/>
      <c r="D31" s="1203"/>
      <c r="E31" s="1203"/>
      <c r="F31" s="1203"/>
      <c r="G31" s="1204"/>
      <c r="H31" s="1204"/>
      <c r="I31" s="1204"/>
      <c r="J31" s="1204"/>
      <c r="K31" s="1204"/>
      <c r="L31" s="1204"/>
      <c r="M31" s="2112" t="s">
        <v>274</v>
      </c>
      <c r="N31" s="2112"/>
      <c r="O31" s="2112"/>
      <c r="P31" s="2112"/>
      <c r="Q31" s="2112"/>
      <c r="R31" s="2112"/>
      <c r="S31" s="2112"/>
      <c r="T31" s="2112"/>
      <c r="U31" s="2112"/>
      <c r="V31" s="2115"/>
      <c r="W31" s="2133"/>
    </row>
    <row r="32" spans="1:23" ht="25.5" customHeight="1">
      <c r="A32" s="1132"/>
      <c r="B32" s="1132"/>
      <c r="C32" s="1211"/>
      <c r="D32" s="1304"/>
      <c r="E32" s="1304"/>
      <c r="F32" s="1304"/>
      <c r="G32" s="1304"/>
      <c r="H32" s="1304"/>
      <c r="I32" s="1304"/>
      <c r="J32" s="1304"/>
      <c r="K32" s="1304"/>
      <c r="L32" s="1304"/>
      <c r="M32" s="1304"/>
      <c r="N32" s="1304"/>
      <c r="O32" s="1304"/>
      <c r="P32" s="1304"/>
      <c r="Q32" s="1304"/>
      <c r="R32" s="1304"/>
      <c r="S32" s="1304"/>
      <c r="T32" s="1304"/>
      <c r="U32" s="1304"/>
      <c r="V32" s="1304"/>
      <c r="W32" s="1305"/>
    </row>
    <row r="33" spans="1:23" ht="30" customHeight="1">
      <c r="A33" s="2276" t="s">
        <v>469</v>
      </c>
      <c r="B33" s="2142" t="s">
        <v>1107</v>
      </c>
      <c r="C33" s="2274" t="s">
        <v>471</v>
      </c>
      <c r="D33" s="2275"/>
      <c r="E33" s="2275"/>
      <c r="F33" s="2275"/>
      <c r="G33" s="2275"/>
      <c r="H33" s="2271">
        <v>1840</v>
      </c>
      <c r="I33" s="2271"/>
      <c r="J33" s="2271"/>
      <c r="K33" s="2271"/>
      <c r="L33" s="2272"/>
      <c r="M33" s="2274" t="s">
        <v>472</v>
      </c>
      <c r="N33" s="2275"/>
      <c r="O33" s="2275"/>
      <c r="P33" s="2275"/>
      <c r="Q33" s="2275"/>
      <c r="R33" s="2271">
        <v>1270</v>
      </c>
      <c r="S33" s="2271"/>
      <c r="T33" s="2271"/>
      <c r="U33" s="2271"/>
      <c r="V33" s="2272"/>
      <c r="W33" s="2273" t="s">
        <v>473</v>
      </c>
    </row>
    <row r="34" spans="1:23" ht="25.5" customHeight="1">
      <c r="A34" s="2277"/>
      <c r="B34" s="2143"/>
      <c r="C34" s="2274" t="s">
        <v>474</v>
      </c>
      <c r="D34" s="2275"/>
      <c r="E34" s="2275"/>
      <c r="F34" s="2275"/>
      <c r="G34" s="2275"/>
      <c r="H34" s="2271">
        <v>1630</v>
      </c>
      <c r="I34" s="2271"/>
      <c r="J34" s="2271"/>
      <c r="K34" s="2271"/>
      <c r="L34" s="2272"/>
      <c r="M34" s="2274" t="s">
        <v>475</v>
      </c>
      <c r="N34" s="2275"/>
      <c r="O34" s="2275"/>
      <c r="P34" s="2275"/>
      <c r="Q34" s="2275"/>
      <c r="R34" s="2271">
        <v>110</v>
      </c>
      <c r="S34" s="2271"/>
      <c r="T34" s="2271"/>
      <c r="U34" s="2271"/>
      <c r="V34" s="2272"/>
      <c r="W34" s="2273"/>
    </row>
    <row r="35" spans="1:23" ht="30" customHeight="1">
      <c r="A35" s="2278"/>
      <c r="B35" s="2144"/>
      <c r="C35" s="2274" t="s">
        <v>476</v>
      </c>
      <c r="D35" s="2275"/>
      <c r="E35" s="2275"/>
      <c r="F35" s="2275"/>
      <c r="G35" s="2275"/>
      <c r="H35" s="2271">
        <v>1610</v>
      </c>
      <c r="I35" s="2271"/>
      <c r="J35" s="2271"/>
      <c r="K35" s="2271"/>
      <c r="L35" s="2272"/>
      <c r="M35" s="2263"/>
      <c r="N35" s="2264"/>
      <c r="O35" s="2264"/>
      <c r="P35" s="2264"/>
      <c r="Q35" s="2264"/>
      <c r="R35" s="2264"/>
      <c r="S35" s="2264"/>
      <c r="T35" s="2264"/>
      <c r="U35" s="2264"/>
      <c r="V35" s="2265"/>
      <c r="W35" s="2273"/>
    </row>
    <row r="36" spans="1:23" ht="25.5" customHeight="1">
      <c r="A36" s="1128"/>
      <c r="B36" s="1128"/>
      <c r="C36" s="1262"/>
      <c r="D36" s="1263"/>
      <c r="E36" s="1263"/>
      <c r="F36" s="1263"/>
      <c r="G36" s="1263"/>
      <c r="H36" s="1264"/>
      <c r="I36" s="1264"/>
      <c r="J36" s="1264"/>
      <c r="K36" s="1264"/>
      <c r="L36" s="1262"/>
      <c r="M36" s="1264"/>
      <c r="N36" s="1264"/>
      <c r="O36" s="1264"/>
      <c r="P36" s="1264"/>
      <c r="Q36" s="1258"/>
      <c r="R36" s="1258"/>
      <c r="S36" s="1258"/>
      <c r="T36" s="1258"/>
      <c r="U36" s="1258"/>
      <c r="V36" s="1258"/>
      <c r="W36" s="1265"/>
    </row>
    <row r="37" spans="1:23" ht="30" customHeight="1">
      <c r="A37" s="2238" t="s">
        <v>307</v>
      </c>
      <c r="B37" s="2241" t="s">
        <v>308</v>
      </c>
      <c r="C37" s="2257" t="s">
        <v>309</v>
      </c>
      <c r="D37" s="2247">
        <v>153010</v>
      </c>
      <c r="E37" s="2247"/>
      <c r="F37" s="2247"/>
      <c r="G37" s="2247"/>
      <c r="H37" s="2247"/>
      <c r="I37" s="2247"/>
      <c r="J37" s="2247"/>
      <c r="K37" s="2247"/>
      <c r="L37" s="2247"/>
      <c r="M37" s="2247"/>
      <c r="N37" s="2247"/>
      <c r="O37" s="2247"/>
      <c r="P37" s="2247"/>
      <c r="Q37" s="2247"/>
      <c r="R37" s="2247"/>
      <c r="S37" s="2247"/>
      <c r="T37" s="2247"/>
      <c r="U37" s="2247"/>
      <c r="V37" s="2248"/>
      <c r="W37" s="2252" t="s">
        <v>310</v>
      </c>
    </row>
    <row r="38" spans="1:23" ht="30" customHeight="1">
      <c r="A38" s="2239"/>
      <c r="B38" s="2242"/>
      <c r="C38" s="2257"/>
      <c r="D38" s="2250"/>
      <c r="E38" s="2250"/>
      <c r="F38" s="2250"/>
      <c r="G38" s="2250"/>
      <c r="H38" s="2250"/>
      <c r="I38" s="2250"/>
      <c r="J38" s="2250"/>
      <c r="K38" s="2250"/>
      <c r="L38" s="2250"/>
      <c r="M38" s="2250"/>
      <c r="N38" s="2250"/>
      <c r="O38" s="2250"/>
      <c r="P38" s="2250"/>
      <c r="Q38" s="2250"/>
      <c r="R38" s="2250"/>
      <c r="S38" s="2250"/>
      <c r="T38" s="2250"/>
      <c r="U38" s="2250"/>
      <c r="V38" s="2251"/>
      <c r="W38" s="2253"/>
    </row>
    <row r="39" spans="1:23" ht="30" customHeight="1">
      <c r="A39" s="2239"/>
      <c r="B39" s="2242"/>
      <c r="C39" s="2257" t="s">
        <v>311</v>
      </c>
      <c r="D39" s="2247">
        <v>30260</v>
      </c>
      <c r="E39" s="2247"/>
      <c r="F39" s="2247"/>
      <c r="G39" s="2247"/>
      <c r="H39" s="2247"/>
      <c r="I39" s="2247"/>
      <c r="J39" s="2247"/>
      <c r="K39" s="2247"/>
      <c r="L39" s="2247"/>
      <c r="M39" s="2247"/>
      <c r="N39" s="2247"/>
      <c r="O39" s="2247"/>
      <c r="P39" s="2247"/>
      <c r="Q39" s="2247"/>
      <c r="R39" s="2247"/>
      <c r="S39" s="2247"/>
      <c r="T39" s="2247"/>
      <c r="U39" s="2247"/>
      <c r="V39" s="2248"/>
      <c r="W39" s="2253"/>
    </row>
    <row r="40" spans="1:23" ht="30" customHeight="1">
      <c r="A40" s="2240"/>
      <c r="B40" s="2243"/>
      <c r="C40" s="2257"/>
      <c r="D40" s="2250"/>
      <c r="E40" s="2250"/>
      <c r="F40" s="2250"/>
      <c r="G40" s="2250"/>
      <c r="H40" s="2250"/>
      <c r="I40" s="2250"/>
      <c r="J40" s="2250"/>
      <c r="K40" s="2250"/>
      <c r="L40" s="2250"/>
      <c r="M40" s="2250"/>
      <c r="N40" s="2250"/>
      <c r="O40" s="2250"/>
      <c r="P40" s="2250"/>
      <c r="Q40" s="2250"/>
      <c r="R40" s="2250"/>
      <c r="S40" s="2250"/>
      <c r="T40" s="2250"/>
      <c r="U40" s="2250"/>
      <c r="V40" s="2251"/>
      <c r="W40" s="2254"/>
    </row>
    <row r="41" spans="1:23" ht="25.5" customHeight="1">
      <c r="A41" s="1128"/>
      <c r="B41" s="1128"/>
      <c r="C41" s="1262"/>
      <c r="D41" s="1263"/>
      <c r="E41" s="1263"/>
      <c r="F41" s="1263"/>
      <c r="G41" s="1263"/>
      <c r="H41" s="1264"/>
      <c r="I41" s="1264"/>
      <c r="J41" s="1264"/>
      <c r="K41" s="1264"/>
      <c r="L41" s="1262"/>
      <c r="M41" s="1264"/>
      <c r="N41" s="1264"/>
      <c r="O41" s="1264"/>
      <c r="P41" s="1264"/>
      <c r="Q41" s="1258"/>
      <c r="R41" s="1258"/>
      <c r="S41" s="1258"/>
      <c r="T41" s="1258"/>
      <c r="U41" s="1258"/>
      <c r="V41" s="1258"/>
      <c r="W41" s="1265"/>
    </row>
    <row r="42" spans="1:23" ht="30" customHeight="1">
      <c r="A42" s="1130" t="s">
        <v>477</v>
      </c>
      <c r="B42" s="1120" t="s">
        <v>1108</v>
      </c>
      <c r="C42" s="2259">
        <v>6180</v>
      </c>
      <c r="D42" s="2259"/>
      <c r="E42" s="2259"/>
      <c r="F42" s="2259"/>
      <c r="G42" s="2259"/>
      <c r="H42" s="2259"/>
      <c r="I42" s="2259"/>
      <c r="J42" s="2259"/>
      <c r="K42" s="2259"/>
      <c r="L42" s="2259"/>
      <c r="M42" s="2259"/>
      <c r="N42" s="2259"/>
      <c r="O42" s="2259"/>
      <c r="P42" s="2259"/>
      <c r="Q42" s="2259"/>
      <c r="R42" s="2259"/>
      <c r="S42" s="2259"/>
      <c r="T42" s="2259"/>
      <c r="U42" s="2259"/>
      <c r="V42" s="2260"/>
      <c r="W42" s="1275" t="s">
        <v>479</v>
      </c>
    </row>
    <row r="43" spans="1:23" ht="25.5" customHeight="1">
      <c r="A43" s="1128"/>
      <c r="B43" s="1128"/>
      <c r="C43" s="1262"/>
      <c r="D43" s="1263"/>
      <c r="E43" s="1263"/>
      <c r="F43" s="1263"/>
      <c r="G43" s="1263"/>
      <c r="H43" s="1264"/>
      <c r="I43" s="1264"/>
      <c r="J43" s="1264"/>
      <c r="K43" s="1264"/>
      <c r="L43" s="1262"/>
      <c r="M43" s="1264"/>
      <c r="N43" s="1264"/>
      <c r="O43" s="1264"/>
      <c r="P43" s="1264"/>
      <c r="Q43" s="1258"/>
      <c r="R43" s="1258"/>
      <c r="S43" s="1258"/>
      <c r="T43" s="1258"/>
      <c r="U43" s="1258"/>
      <c r="V43" s="1258"/>
      <c r="W43" s="1276"/>
    </row>
    <row r="44" spans="1:23" ht="30" customHeight="1">
      <c r="A44" s="1130" t="s">
        <v>480</v>
      </c>
      <c r="B44" s="1131" t="s">
        <v>1116</v>
      </c>
      <c r="C44" s="2255">
        <v>77930</v>
      </c>
      <c r="D44" s="2255"/>
      <c r="E44" s="2255"/>
      <c r="F44" s="2255"/>
      <c r="G44" s="2255"/>
      <c r="H44" s="2255"/>
      <c r="I44" s="2255"/>
      <c r="J44" s="2255"/>
      <c r="K44" s="2255"/>
      <c r="L44" s="2255"/>
      <c r="M44" s="2255"/>
      <c r="N44" s="2255"/>
      <c r="O44" s="2255"/>
      <c r="P44" s="2255"/>
      <c r="Q44" s="2255"/>
      <c r="R44" s="2255"/>
      <c r="S44" s="2255"/>
      <c r="T44" s="2255"/>
      <c r="U44" s="2255"/>
      <c r="V44" s="2256"/>
      <c r="W44" s="1275" t="s">
        <v>479</v>
      </c>
    </row>
    <row r="45" spans="1:23" ht="30" customHeight="1">
      <c r="A45" s="1128"/>
      <c r="B45" s="1121"/>
      <c r="C45" s="1266"/>
      <c r="D45" s="1263"/>
      <c r="E45" s="1263"/>
      <c r="F45" s="1263"/>
      <c r="G45" s="1263"/>
      <c r="H45" s="1264"/>
      <c r="I45" s="1264"/>
      <c r="J45" s="1264"/>
      <c r="K45" s="1264"/>
      <c r="L45" s="1262"/>
      <c r="M45" s="1264"/>
      <c r="N45" s="1264"/>
      <c r="O45" s="1264"/>
      <c r="P45" s="1264"/>
      <c r="Q45" s="1258"/>
      <c r="R45" s="1258"/>
      <c r="S45" s="1258"/>
      <c r="T45" s="1258"/>
      <c r="U45" s="1258"/>
      <c r="V45" s="1258"/>
      <c r="W45" s="1276"/>
    </row>
    <row r="46" spans="1:23" ht="30" customHeight="1">
      <c r="A46" s="2276" t="s">
        <v>1084</v>
      </c>
      <c r="B46" s="1108"/>
      <c r="C46" s="2312" t="s">
        <v>1062</v>
      </c>
      <c r="D46" s="2313"/>
      <c r="E46" s="2313"/>
      <c r="F46" s="2313"/>
      <c r="G46" s="2313"/>
      <c r="H46" s="2313"/>
      <c r="I46" s="2313"/>
      <c r="J46" s="2313"/>
      <c r="K46" s="2313"/>
      <c r="L46" s="2309">
        <v>456000</v>
      </c>
      <c r="M46" s="2309"/>
      <c r="N46" s="2309"/>
      <c r="O46" s="2309"/>
      <c r="P46" s="1277"/>
      <c r="Q46" s="1277"/>
      <c r="R46" s="1277"/>
      <c r="S46" s="1277"/>
      <c r="T46" s="1277"/>
      <c r="U46" s="1277"/>
      <c r="V46" s="1278"/>
      <c r="W46" s="2273" t="s">
        <v>1106</v>
      </c>
    </row>
    <row r="47" spans="1:23" ht="30" customHeight="1">
      <c r="A47" s="2277"/>
      <c r="B47" s="1108"/>
      <c r="C47" s="2314"/>
      <c r="D47" s="2315"/>
      <c r="E47" s="2315"/>
      <c r="F47" s="2315"/>
      <c r="G47" s="2315"/>
      <c r="H47" s="2315"/>
      <c r="I47" s="2315"/>
      <c r="J47" s="2315"/>
      <c r="K47" s="2315"/>
      <c r="L47" s="2310" t="s">
        <v>1063</v>
      </c>
      <c r="M47" s="2310"/>
      <c r="N47" s="2310"/>
      <c r="O47" s="2310"/>
      <c r="P47" s="2310"/>
      <c r="Q47" s="2310"/>
      <c r="R47" s="2310"/>
      <c r="S47" s="2310"/>
      <c r="T47" s="2310"/>
      <c r="U47" s="2310"/>
      <c r="V47" s="2311"/>
      <c r="W47" s="2273"/>
    </row>
    <row r="48" spans="1:23" ht="30" customHeight="1">
      <c r="A48" s="2277"/>
      <c r="B48" s="1108"/>
      <c r="C48" s="2312" t="s">
        <v>1064</v>
      </c>
      <c r="D48" s="2313"/>
      <c r="E48" s="2313"/>
      <c r="F48" s="2313"/>
      <c r="G48" s="2313"/>
      <c r="H48" s="2313"/>
      <c r="I48" s="2313"/>
      <c r="J48" s="2313"/>
      <c r="K48" s="2313"/>
      <c r="L48" s="2309">
        <v>760000</v>
      </c>
      <c r="M48" s="2309"/>
      <c r="N48" s="2309"/>
      <c r="O48" s="2309"/>
      <c r="P48" s="1277"/>
      <c r="Q48" s="1277"/>
      <c r="R48" s="1277"/>
      <c r="S48" s="1277"/>
      <c r="T48" s="1277"/>
      <c r="U48" s="1277"/>
      <c r="V48" s="1278"/>
      <c r="W48" s="2273"/>
    </row>
    <row r="49" spans="1:23" ht="30" customHeight="1">
      <c r="A49" s="2277"/>
      <c r="B49" s="1109"/>
      <c r="C49" s="2314"/>
      <c r="D49" s="2315"/>
      <c r="E49" s="2315"/>
      <c r="F49" s="2315"/>
      <c r="G49" s="2315"/>
      <c r="H49" s="2315"/>
      <c r="I49" s="2315"/>
      <c r="J49" s="2315"/>
      <c r="K49" s="2315"/>
      <c r="L49" s="2310" t="s">
        <v>1063</v>
      </c>
      <c r="M49" s="2310"/>
      <c r="N49" s="2310"/>
      <c r="O49" s="2310"/>
      <c r="P49" s="2310"/>
      <c r="Q49" s="2310"/>
      <c r="R49" s="2310"/>
      <c r="S49" s="2310"/>
      <c r="T49" s="2310"/>
      <c r="U49" s="2310"/>
      <c r="V49" s="2311"/>
      <c r="W49" s="2273"/>
    </row>
    <row r="50" spans="1:23" ht="30" customHeight="1">
      <c r="A50" s="2277"/>
      <c r="B50" s="1128"/>
      <c r="C50" s="2312" t="s">
        <v>1065</v>
      </c>
      <c r="D50" s="2313"/>
      <c r="E50" s="2313"/>
      <c r="F50" s="2313"/>
      <c r="G50" s="2313"/>
      <c r="H50" s="2313"/>
      <c r="I50" s="2313"/>
      <c r="J50" s="2313"/>
      <c r="K50" s="2313"/>
      <c r="L50" s="2309">
        <v>1065000</v>
      </c>
      <c r="M50" s="2309"/>
      <c r="N50" s="2309"/>
      <c r="O50" s="2309"/>
      <c r="P50" s="1277"/>
      <c r="Q50" s="1277"/>
      <c r="R50" s="1277"/>
      <c r="S50" s="1277"/>
      <c r="T50" s="1277"/>
      <c r="U50" s="1277"/>
      <c r="V50" s="1278"/>
      <c r="W50" s="2273"/>
    </row>
    <row r="51" spans="1:23" ht="30" customHeight="1">
      <c r="A51" s="2278"/>
      <c r="B51" s="1131" t="s">
        <v>1107</v>
      </c>
      <c r="C51" s="2314"/>
      <c r="D51" s="2315"/>
      <c r="E51" s="2315"/>
      <c r="F51" s="2315"/>
      <c r="G51" s="2315"/>
      <c r="H51" s="2315"/>
      <c r="I51" s="2315"/>
      <c r="J51" s="2315"/>
      <c r="K51" s="2315"/>
      <c r="L51" s="2310" t="s">
        <v>1063</v>
      </c>
      <c r="M51" s="2310"/>
      <c r="N51" s="2310"/>
      <c r="O51" s="2310"/>
      <c r="P51" s="2310"/>
      <c r="Q51" s="2310"/>
      <c r="R51" s="2310"/>
      <c r="S51" s="2310"/>
      <c r="T51" s="2310"/>
      <c r="U51" s="2310"/>
      <c r="V51" s="2311"/>
      <c r="W51" s="2273"/>
    </row>
    <row r="52" spans="1:23" ht="25.5" customHeight="1">
      <c r="A52" s="1128"/>
      <c r="B52" s="1128"/>
      <c r="C52" s="1262"/>
      <c r="D52" s="1263"/>
      <c r="E52" s="1263"/>
      <c r="F52" s="1263"/>
      <c r="G52" s="1263"/>
      <c r="H52" s="1264"/>
      <c r="I52" s="1264"/>
      <c r="J52" s="1264"/>
      <c r="K52" s="1264"/>
      <c r="L52" s="1262"/>
      <c r="M52" s="1258"/>
      <c r="N52" s="1264"/>
      <c r="O52" s="1264"/>
      <c r="P52" s="1264"/>
      <c r="Q52" s="1258"/>
      <c r="R52" s="1258"/>
      <c r="S52" s="1258"/>
      <c r="T52" s="1258"/>
      <c r="U52" s="1258"/>
      <c r="V52" s="1258"/>
      <c r="W52" s="1276"/>
    </row>
    <row r="53" spans="1:23" ht="25.5" customHeight="1">
      <c r="A53" s="1130" t="s">
        <v>482</v>
      </c>
      <c r="B53" s="1131" t="s">
        <v>1117</v>
      </c>
      <c r="C53" s="2307">
        <v>80000</v>
      </c>
      <c r="D53" s="2307"/>
      <c r="E53" s="2307"/>
      <c r="F53" s="2307"/>
      <c r="G53" s="2307"/>
      <c r="H53" s="2307"/>
      <c r="I53" s="2307"/>
      <c r="J53" s="2307"/>
      <c r="K53" s="2307"/>
      <c r="L53" s="2307"/>
      <c r="M53" s="2307"/>
      <c r="N53" s="2307"/>
      <c r="O53" s="2307"/>
      <c r="P53" s="2307"/>
      <c r="Q53" s="2307"/>
      <c r="R53" s="2307"/>
      <c r="S53" s="2307"/>
      <c r="T53" s="2307"/>
      <c r="U53" s="2307"/>
      <c r="V53" s="2308"/>
      <c r="W53" s="1275" t="s">
        <v>479</v>
      </c>
    </row>
    <row r="54" spans="1:23" ht="25.5" customHeight="1">
      <c r="A54" s="1128"/>
      <c r="B54" s="1128"/>
      <c r="C54" s="1262"/>
      <c r="D54" s="1263"/>
      <c r="E54" s="1263"/>
      <c r="F54" s="1263"/>
      <c r="G54" s="1263"/>
      <c r="H54" s="1264"/>
      <c r="I54" s="1264"/>
      <c r="J54" s="1264"/>
      <c r="K54" s="1264"/>
      <c r="L54" s="1262"/>
      <c r="M54" s="1258"/>
      <c r="N54" s="1264"/>
      <c r="O54" s="1264"/>
      <c r="P54" s="1264"/>
      <c r="Q54" s="1258"/>
      <c r="R54" s="1258"/>
      <c r="S54" s="1258"/>
      <c r="T54" s="1258"/>
      <c r="U54" s="1258"/>
      <c r="V54" s="1258"/>
      <c r="W54" s="1265"/>
    </row>
    <row r="55" spans="1:23" ht="25.5" customHeight="1">
      <c r="A55" s="1130" t="s">
        <v>1085</v>
      </c>
      <c r="B55" s="1131" t="s">
        <v>1118</v>
      </c>
      <c r="C55" s="2255">
        <v>48420</v>
      </c>
      <c r="D55" s="2255"/>
      <c r="E55" s="2255"/>
      <c r="F55" s="2255"/>
      <c r="G55" s="2255"/>
      <c r="H55" s="2255"/>
      <c r="I55" s="2255"/>
      <c r="J55" s="2255"/>
      <c r="K55" s="2255"/>
      <c r="L55" s="2255"/>
      <c r="M55" s="2255"/>
      <c r="N55" s="2255"/>
      <c r="O55" s="2255"/>
      <c r="P55" s="2255"/>
      <c r="Q55" s="2255"/>
      <c r="R55" s="2255"/>
      <c r="S55" s="2255"/>
      <c r="T55" s="2255"/>
      <c r="U55" s="2255"/>
      <c r="V55" s="2256"/>
      <c r="W55" s="1275" t="s">
        <v>479</v>
      </c>
    </row>
    <row r="56" spans="1:23" ht="25.5" customHeight="1">
      <c r="A56" s="1128"/>
      <c r="B56" s="1128"/>
      <c r="C56" s="1262"/>
      <c r="D56" s="1263"/>
      <c r="E56" s="1263"/>
      <c r="F56" s="1263"/>
      <c r="G56" s="1263"/>
      <c r="H56" s="1264"/>
      <c r="I56" s="1264"/>
      <c r="J56" s="1264"/>
      <c r="K56" s="1264"/>
      <c r="L56" s="1262"/>
      <c r="M56" s="1258"/>
      <c r="N56" s="1264"/>
      <c r="O56" s="1264"/>
      <c r="P56" s="1264"/>
      <c r="Q56" s="1258"/>
      <c r="R56" s="1258"/>
      <c r="S56" s="1258"/>
      <c r="T56" s="1258"/>
      <c r="U56" s="1258"/>
      <c r="V56" s="1258"/>
      <c r="W56" s="1265" t="s">
        <v>484</v>
      </c>
    </row>
    <row r="57" spans="1:23" ht="25.5" customHeight="1">
      <c r="A57" s="1130" t="s">
        <v>511</v>
      </c>
      <c r="B57" s="1131" t="s">
        <v>1108</v>
      </c>
      <c r="C57" s="2256">
        <v>120000</v>
      </c>
      <c r="D57" s="2367"/>
      <c r="E57" s="2367"/>
      <c r="F57" s="2367"/>
      <c r="G57" s="2367"/>
      <c r="H57" s="2367"/>
      <c r="I57" s="2367"/>
      <c r="J57" s="2367"/>
      <c r="K57" s="2367"/>
      <c r="L57" s="2367"/>
      <c r="M57" s="2367"/>
      <c r="N57" s="2367"/>
      <c r="O57" s="2367"/>
      <c r="P57" s="2367"/>
      <c r="Q57" s="2367"/>
      <c r="R57" s="2367"/>
      <c r="S57" s="2367"/>
      <c r="T57" s="2367"/>
      <c r="U57" s="2367"/>
      <c r="V57" s="2368"/>
      <c r="W57" s="1275" t="s">
        <v>479</v>
      </c>
    </row>
    <row r="58" spans="1:23" ht="25.5" customHeight="1">
      <c r="A58" s="1128"/>
      <c r="B58" s="1128"/>
      <c r="C58" s="1262"/>
      <c r="D58" s="1263"/>
      <c r="E58" s="1263"/>
      <c r="F58" s="1263"/>
      <c r="G58" s="1263"/>
      <c r="H58" s="1264"/>
      <c r="I58" s="1264"/>
      <c r="J58" s="1264"/>
      <c r="K58" s="1264"/>
      <c r="L58" s="1262"/>
      <c r="M58" s="1258"/>
      <c r="N58" s="1264"/>
      <c r="O58" s="1264"/>
      <c r="P58" s="1264"/>
      <c r="Q58" s="1258"/>
      <c r="R58" s="1258"/>
      <c r="S58" s="1258"/>
      <c r="T58" s="1258"/>
      <c r="U58" s="1258"/>
      <c r="V58" s="1258"/>
      <c r="W58" s="1265" t="s">
        <v>484</v>
      </c>
    </row>
    <row r="59" spans="1:23" ht="25.5" customHeight="1">
      <c r="A59" s="1130" t="s">
        <v>486</v>
      </c>
      <c r="B59" s="1120" t="s">
        <v>362</v>
      </c>
      <c r="C59" s="2255">
        <v>75000</v>
      </c>
      <c r="D59" s="2255"/>
      <c r="E59" s="2255"/>
      <c r="F59" s="2255"/>
      <c r="G59" s="2255"/>
      <c r="H59" s="2255"/>
      <c r="I59" s="2255"/>
      <c r="J59" s="2255"/>
      <c r="K59" s="2255"/>
      <c r="L59" s="2255"/>
      <c r="M59" s="2255"/>
      <c r="N59" s="2255"/>
      <c r="O59" s="2255"/>
      <c r="P59" s="2255"/>
      <c r="Q59" s="2255"/>
      <c r="R59" s="2255"/>
      <c r="S59" s="2255"/>
      <c r="T59" s="2255"/>
      <c r="U59" s="2255"/>
      <c r="V59" s="2256"/>
      <c r="W59" s="1275" t="s">
        <v>479</v>
      </c>
    </row>
    <row r="60" spans="1:23" ht="25.5" customHeight="1">
      <c r="A60" s="2306"/>
      <c r="B60" s="2306"/>
      <c r="C60" s="2306"/>
      <c r="D60" s="2306"/>
      <c r="E60" s="2306"/>
      <c r="F60" s="2306"/>
      <c r="G60" s="2306"/>
      <c r="H60" s="2306"/>
      <c r="I60" s="2306"/>
      <c r="J60" s="2306"/>
      <c r="K60" s="2306"/>
      <c r="L60" s="2306"/>
      <c r="M60" s="2306"/>
      <c r="N60" s="2306"/>
      <c r="O60" s="2306"/>
      <c r="P60" s="2306"/>
      <c r="Q60" s="2306"/>
      <c r="R60" s="2306"/>
      <c r="S60" s="2306"/>
      <c r="T60" s="2306"/>
      <c r="U60" s="2306"/>
      <c r="V60" s="2306"/>
      <c r="W60" s="2306"/>
    </row>
    <row r="61" spans="1:23" ht="25.5" customHeight="1">
      <c r="A61" s="2306" t="s">
        <v>215</v>
      </c>
      <c r="B61" s="2306"/>
      <c r="C61" s="2306"/>
      <c r="D61" s="2306"/>
      <c r="E61" s="2306"/>
      <c r="F61" s="2306"/>
      <c r="G61" s="2306"/>
      <c r="H61" s="2306"/>
      <c r="I61" s="2306"/>
      <c r="J61" s="2306"/>
      <c r="K61" s="2306"/>
      <c r="L61" s="2306"/>
      <c r="M61" s="2306"/>
      <c r="N61" s="2306"/>
      <c r="O61" s="2306"/>
      <c r="P61" s="2306"/>
      <c r="Q61" s="2306"/>
      <c r="R61" s="2306"/>
      <c r="S61" s="2306"/>
      <c r="T61" s="2306"/>
      <c r="U61" s="2306"/>
      <c r="V61" s="2306"/>
      <c r="W61" s="2306"/>
    </row>
  </sheetData>
  <sheetProtection algorithmName="SHA-512" hashValue="C78H0vH8fW9MjK28nr7jSkLqmMH+jqFWxLpu06rAxWeMwwdanSeacWpiAP+vFeKwrFGBkDyNbdiHbjcuvTtrGA==" saltValue="y8nwN0cxCRWwDDhVC3Rq+A==" spinCount="100000" sheet="1" objects="1" scenarios="1" selectLockedCells="1"/>
  <customSheetViews>
    <customSheetView guid="{2E52E5FF-9846-4DC5-A671-268FE925398C}" scale="85" showPageBreaks="1" printArea="1" hiddenRows="1" state="hidden" view="pageBreakPreview">
      <selection activeCell="K19" sqref="K19:R19"/>
      <pageMargins left="0.39370078740157483" right="0.39370078740157483" top="0.39370078740157483" bottom="0.39370078740157483" header="0.31496062992125984" footer="0.15748031496062992"/>
      <printOptions horizontalCentered="1"/>
      <pageSetup paperSize="9" scale="70" orientation="portrait" r:id="rId1"/>
      <headerFooter alignWithMargins="0"/>
    </customSheetView>
    <customSheetView guid="{BADA99B3-B36A-4925-87A7-F72FC97D3DBA}" scale="85" showPageBreaks="1" printArea="1" hiddenRows="1" state="hidden" view="pageBreakPreview">
      <selection activeCell="K19" sqref="K19:R19"/>
      <pageMargins left="0.39370078740157483" right="0.39370078740157483" top="0.39370078740157483" bottom="0.39370078740157483" header="0.31496062992125984" footer="0.15748031496062992"/>
      <printOptions horizontalCentered="1"/>
      <pageSetup paperSize="9" scale="70" orientation="portrait" r:id="rId2"/>
      <headerFooter alignWithMargins="0"/>
    </customSheetView>
  </customSheetViews>
  <mergeCells count="110">
    <mergeCell ref="W30:W31"/>
    <mergeCell ref="M31:V31"/>
    <mergeCell ref="A61:W61"/>
    <mergeCell ref="C53:V53"/>
    <mergeCell ref="C55:V55"/>
    <mergeCell ref="C59:V59"/>
    <mergeCell ref="A60:W60"/>
    <mergeCell ref="C57:V57"/>
    <mergeCell ref="A37:A40"/>
    <mergeCell ref="B37:B40"/>
    <mergeCell ref="C37:C38"/>
    <mergeCell ref="D37:V38"/>
    <mergeCell ref="W37:W40"/>
    <mergeCell ref="C39:C40"/>
    <mergeCell ref="D39:V40"/>
    <mergeCell ref="C42:V42"/>
    <mergeCell ref="C44:V44"/>
    <mergeCell ref="W46:W51"/>
    <mergeCell ref="W33:W35"/>
    <mergeCell ref="R33:V33"/>
    <mergeCell ref="A33:A35"/>
    <mergeCell ref="B33:B35"/>
    <mergeCell ref="C33:G33"/>
    <mergeCell ref="H33:L33"/>
    <mergeCell ref="W26:W28"/>
    <mergeCell ref="W22:W24"/>
    <mergeCell ref="E23:I23"/>
    <mergeCell ref="K23:R23"/>
    <mergeCell ref="M24:V24"/>
    <mergeCell ref="A18:A20"/>
    <mergeCell ref="B18:B20"/>
    <mergeCell ref="C18:C20"/>
    <mergeCell ref="B22:B24"/>
    <mergeCell ref="C22:C24"/>
    <mergeCell ref="A22:A24"/>
    <mergeCell ref="E22:I22"/>
    <mergeCell ref="K22:R22"/>
    <mergeCell ref="A26:A28"/>
    <mergeCell ref="B26:B28"/>
    <mergeCell ref="U27:V27"/>
    <mergeCell ref="C26:V26"/>
    <mergeCell ref="C27:K27"/>
    <mergeCell ref="U28:V28"/>
    <mergeCell ref="C28:K28"/>
    <mergeCell ref="L28:O28"/>
    <mergeCell ref="Q28:S28"/>
    <mergeCell ref="W14:W16"/>
    <mergeCell ref="E15:I15"/>
    <mergeCell ref="W18:W20"/>
    <mergeCell ref="E19:I19"/>
    <mergeCell ref="K19:R19"/>
    <mergeCell ref="M20:V20"/>
    <mergeCell ref="K15:R15"/>
    <mergeCell ref="M16:V16"/>
    <mergeCell ref="E18:I18"/>
    <mergeCell ref="K18:R18"/>
    <mergeCell ref="K3:R3"/>
    <mergeCell ref="W3:W5"/>
    <mergeCell ref="E4:I4"/>
    <mergeCell ref="K4:R4"/>
    <mergeCell ref="M5:V5"/>
    <mergeCell ref="W7:W12"/>
    <mergeCell ref="E8:I8"/>
    <mergeCell ref="K8:R8"/>
    <mergeCell ref="M9:V9"/>
    <mergeCell ref="K7:R7"/>
    <mergeCell ref="K10:R10"/>
    <mergeCell ref="K11:R11"/>
    <mergeCell ref="M12:V12"/>
    <mergeCell ref="C10:C12"/>
    <mergeCell ref="A7:A12"/>
    <mergeCell ref="B7:B12"/>
    <mergeCell ref="C7:C9"/>
    <mergeCell ref="E7:I7"/>
    <mergeCell ref="E10:I10"/>
    <mergeCell ref="E11:I11"/>
    <mergeCell ref="A3:A5"/>
    <mergeCell ref="B3:B5"/>
    <mergeCell ref="C3:C5"/>
    <mergeCell ref="E3:I3"/>
    <mergeCell ref="A14:A16"/>
    <mergeCell ref="B14:B16"/>
    <mergeCell ref="C14:C16"/>
    <mergeCell ref="E14:I14"/>
    <mergeCell ref="K14:R14"/>
    <mergeCell ref="L27:O27"/>
    <mergeCell ref="Q27:S27"/>
    <mergeCell ref="A30:A31"/>
    <mergeCell ref="B30:B31"/>
    <mergeCell ref="C30:C31"/>
    <mergeCell ref="D30:I30"/>
    <mergeCell ref="K30:V30"/>
    <mergeCell ref="M33:Q33"/>
    <mergeCell ref="C34:G34"/>
    <mergeCell ref="A46:A51"/>
    <mergeCell ref="C46:K47"/>
    <mergeCell ref="L46:O46"/>
    <mergeCell ref="L47:V47"/>
    <mergeCell ref="C48:K49"/>
    <mergeCell ref="L48:O48"/>
    <mergeCell ref="L49:V49"/>
    <mergeCell ref="C50:K51"/>
    <mergeCell ref="L50:O50"/>
    <mergeCell ref="L51:V51"/>
    <mergeCell ref="M35:V35"/>
    <mergeCell ref="H34:L34"/>
    <mergeCell ref="M34:Q34"/>
    <mergeCell ref="R34:V34"/>
    <mergeCell ref="C35:G35"/>
    <mergeCell ref="H35:L35"/>
  </mergeCells>
  <phoneticPr fontId="4"/>
  <conditionalFormatting sqref="A37:D37 A39:D39 W37:W40 A38:B38 A40:B40">
    <cfRule type="expression" dxfId="112" priority="1">
      <formula>A37&lt;A37</formula>
    </cfRule>
    <cfRule type="expression" dxfId="111" priority="2">
      <formula>A37&gt;A37</formula>
    </cfRule>
  </conditionalFormatting>
  <printOptions horizontalCentered="1"/>
  <pageMargins left="0.39370078740157483" right="0.39370078740157483" top="0.39370078740157483" bottom="0.39370078740157483" header="0.31496062992125984" footer="0.15748031496062992"/>
  <pageSetup paperSize="9" scale="70" orientation="portrait" r:id="rId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3C0EF-04D4-4E7A-A913-EB8CEE1FDD63}">
  <sheetPr>
    <tabColor rgb="FFFFFF00"/>
  </sheetPr>
  <dimension ref="A1:U279"/>
  <sheetViews>
    <sheetView view="pageBreakPreview" zoomScaleNormal="70" zoomScaleSheetLayoutView="100" workbookViewId="0">
      <selection activeCell="AA52" sqref="Y6:AB78"/>
    </sheetView>
  </sheetViews>
  <sheetFormatPr defaultRowHeight="13.5"/>
  <cols>
    <col min="1" max="1" width="5.625" style="1231" customWidth="1"/>
    <col min="2" max="2" width="8.375" style="1231" customWidth="1"/>
    <col min="3" max="3" width="4.5" style="1231" bestFit="1" customWidth="1"/>
    <col min="4" max="4" width="8.375" style="1231" customWidth="1"/>
    <col min="5" max="21" width="6.75" style="32" bestFit="1" customWidth="1"/>
    <col min="22" max="16384" width="9" style="1289"/>
  </cols>
  <sheetData>
    <row r="1" spans="1:21" ht="18.75">
      <c r="A1" s="1230" t="s">
        <v>1265</v>
      </c>
    </row>
    <row r="3" spans="1:21" s="1290" customFormat="1" ht="14.25">
      <c r="A3" s="2156" t="s">
        <v>1188</v>
      </c>
      <c r="B3" s="2156" t="s">
        <v>1189</v>
      </c>
      <c r="C3" s="2156" t="s">
        <v>1190</v>
      </c>
      <c r="D3" s="2156" t="s">
        <v>1191</v>
      </c>
      <c r="E3" s="2324" t="s">
        <v>1192</v>
      </c>
      <c r="F3" s="2325"/>
      <c r="G3" s="2325"/>
      <c r="H3" s="2325"/>
      <c r="I3" s="2325"/>
      <c r="J3" s="2325"/>
      <c r="K3" s="2325"/>
      <c r="L3" s="2325"/>
      <c r="M3" s="2325"/>
      <c r="N3" s="2325"/>
      <c r="O3" s="2325"/>
      <c r="P3" s="2325"/>
      <c r="Q3" s="2325"/>
      <c r="R3" s="2325"/>
      <c r="S3" s="2325"/>
      <c r="T3" s="2325"/>
      <c r="U3" s="2326"/>
    </row>
    <row r="4" spans="1:21" s="1290" customFormat="1" ht="15.75" customHeight="1">
      <c r="A4" s="2156"/>
      <c r="B4" s="2156"/>
      <c r="C4" s="2156"/>
      <c r="D4" s="2156"/>
      <c r="E4" s="1960" t="s">
        <v>1228</v>
      </c>
      <c r="F4" s="2321" t="s">
        <v>1229</v>
      </c>
      <c r="G4" s="2321" t="s">
        <v>1230</v>
      </c>
      <c r="H4" s="2321" t="s">
        <v>1231</v>
      </c>
      <c r="I4" s="2321" t="s">
        <v>1232</v>
      </c>
      <c r="J4" s="2321" t="s">
        <v>1233</v>
      </c>
      <c r="K4" s="2321" t="s">
        <v>1234</v>
      </c>
      <c r="L4" s="2321" t="s">
        <v>1235</v>
      </c>
      <c r="M4" s="2321" t="s">
        <v>1236</v>
      </c>
      <c r="N4" s="2321" t="s">
        <v>1237</v>
      </c>
      <c r="O4" s="2321" t="s">
        <v>1238</v>
      </c>
      <c r="P4" s="2321" t="s">
        <v>1239</v>
      </c>
      <c r="Q4" s="2321" t="s">
        <v>1240</v>
      </c>
      <c r="R4" s="2321" t="s">
        <v>1241</v>
      </c>
      <c r="S4" s="2321" t="s">
        <v>1242</v>
      </c>
      <c r="T4" s="2321" t="s">
        <v>1243</v>
      </c>
      <c r="U4" s="2318" t="s">
        <v>1244</v>
      </c>
    </row>
    <row r="5" spans="1:21" s="1290" customFormat="1" ht="15.75" customHeight="1">
      <c r="A5" s="2156"/>
      <c r="B5" s="2156"/>
      <c r="C5" s="2156"/>
      <c r="D5" s="2156"/>
      <c r="E5" s="1961"/>
      <c r="F5" s="2322"/>
      <c r="G5" s="2322"/>
      <c r="H5" s="2322"/>
      <c r="I5" s="2322"/>
      <c r="J5" s="2322"/>
      <c r="K5" s="2322"/>
      <c r="L5" s="2322"/>
      <c r="M5" s="2322"/>
      <c r="N5" s="2322"/>
      <c r="O5" s="2322"/>
      <c r="P5" s="2322"/>
      <c r="Q5" s="2322"/>
      <c r="R5" s="2322"/>
      <c r="S5" s="2322"/>
      <c r="T5" s="2322"/>
      <c r="U5" s="2319"/>
    </row>
    <row r="6" spans="1:21" s="1290" customFormat="1" ht="15.75" customHeight="1">
      <c r="A6" s="2157"/>
      <c r="B6" s="2157"/>
      <c r="C6" s="2157"/>
      <c r="D6" s="2157"/>
      <c r="E6" s="1962"/>
      <c r="F6" s="2323"/>
      <c r="G6" s="2323"/>
      <c r="H6" s="2323"/>
      <c r="I6" s="2323"/>
      <c r="J6" s="2323"/>
      <c r="K6" s="2323"/>
      <c r="L6" s="2323"/>
      <c r="M6" s="2323"/>
      <c r="N6" s="2323"/>
      <c r="O6" s="2323"/>
      <c r="P6" s="2323"/>
      <c r="Q6" s="2323"/>
      <c r="R6" s="2323"/>
      <c r="S6" s="2323"/>
      <c r="T6" s="2323"/>
      <c r="U6" s="2320"/>
    </row>
    <row r="7" spans="1:21" s="1290" customFormat="1" ht="3.75" customHeight="1">
      <c r="A7" s="6"/>
      <c r="B7" s="1233"/>
      <c r="C7" s="1233"/>
      <c r="D7" s="1233"/>
      <c r="E7" s="32"/>
      <c r="F7" s="32"/>
      <c r="G7" s="32"/>
      <c r="H7" s="32"/>
      <c r="I7" s="32"/>
      <c r="J7" s="32"/>
      <c r="K7" s="32"/>
      <c r="L7" s="32"/>
      <c r="M7" s="32"/>
      <c r="N7" s="32"/>
      <c r="O7" s="32"/>
      <c r="P7" s="32"/>
      <c r="Q7" s="32"/>
      <c r="R7" s="32"/>
      <c r="S7" s="32"/>
      <c r="T7" s="32"/>
      <c r="U7" s="32"/>
    </row>
    <row r="8" spans="1:21" s="1290" customFormat="1" ht="24" customHeight="1">
      <c r="A8" s="2157" t="s">
        <v>1210</v>
      </c>
      <c r="B8" s="2157" t="s">
        <v>1245</v>
      </c>
      <c r="C8" s="2168" t="s">
        <v>1246</v>
      </c>
      <c r="D8" s="1235" t="s">
        <v>1213</v>
      </c>
      <c r="E8" s="2329"/>
      <c r="F8" s="2369">
        <v>0.63</v>
      </c>
      <c r="G8" s="2369">
        <v>0.48510000000000003</v>
      </c>
      <c r="H8" s="2369">
        <v>0.417186</v>
      </c>
      <c r="I8" s="2369">
        <v>0.39632669999999998</v>
      </c>
      <c r="J8" s="2369">
        <v>0.352730763</v>
      </c>
      <c r="K8" s="2369">
        <v>0.32451230196000003</v>
      </c>
      <c r="L8" s="2369">
        <v>0.308286686862</v>
      </c>
      <c r="M8" s="2369">
        <v>0.29287235251889998</v>
      </c>
      <c r="N8" s="2369">
        <v>0.28115745841814399</v>
      </c>
      <c r="O8" s="2369">
        <v>0.27272273466559965</v>
      </c>
      <c r="P8" s="2369">
        <v>0.26999550731894367</v>
      </c>
      <c r="Q8" s="2369">
        <v>0.25919568702618589</v>
      </c>
      <c r="R8" s="2369">
        <v>0.25141981641540029</v>
      </c>
      <c r="S8" s="2369">
        <v>0.24639142008709228</v>
      </c>
      <c r="T8" s="2369">
        <v>0.24392750588622136</v>
      </c>
      <c r="U8" s="2371">
        <v>0.24148823082735915</v>
      </c>
    </row>
    <row r="9" spans="1:21" s="1290" customFormat="1" ht="24" customHeight="1">
      <c r="A9" s="2164"/>
      <c r="B9" s="2165"/>
      <c r="C9" s="2169"/>
      <c r="D9" s="1237" t="s">
        <v>1214</v>
      </c>
      <c r="E9" s="2329"/>
      <c r="F9" s="2370"/>
      <c r="G9" s="2370"/>
      <c r="H9" s="2370"/>
      <c r="I9" s="2370"/>
      <c r="J9" s="2370"/>
      <c r="K9" s="2370"/>
      <c r="L9" s="2370"/>
      <c r="M9" s="2370"/>
      <c r="N9" s="2370"/>
      <c r="O9" s="2370"/>
      <c r="P9" s="2370"/>
      <c r="Q9" s="2370"/>
      <c r="R9" s="2370"/>
      <c r="S9" s="2370"/>
      <c r="T9" s="2370"/>
      <c r="U9" s="2372"/>
    </row>
    <row r="10" spans="1:21" s="1290" customFormat="1" ht="24" customHeight="1">
      <c r="A10" s="2164"/>
      <c r="B10" s="2157" t="s">
        <v>1247</v>
      </c>
      <c r="C10" s="2168" t="s">
        <v>1246</v>
      </c>
      <c r="D10" s="1235" t="s">
        <v>1213</v>
      </c>
      <c r="E10" s="2329"/>
      <c r="F10" s="2330"/>
      <c r="G10" s="2369">
        <v>0.77</v>
      </c>
      <c r="H10" s="2369">
        <v>0.66220000000000001</v>
      </c>
      <c r="I10" s="2369">
        <v>0.62908999999999993</v>
      </c>
      <c r="J10" s="2369">
        <v>0.55989009999999995</v>
      </c>
      <c r="K10" s="2369">
        <v>0.51509889199999992</v>
      </c>
      <c r="L10" s="2369">
        <v>0.48934394739999992</v>
      </c>
      <c r="M10" s="2369">
        <v>0.4648767500299999</v>
      </c>
      <c r="N10" s="2369">
        <v>0.44628168002879987</v>
      </c>
      <c r="O10" s="2369">
        <v>0.43289322962793586</v>
      </c>
      <c r="P10" s="2369">
        <v>0.42856429733165652</v>
      </c>
      <c r="Q10" s="2369">
        <v>0.41142172543839023</v>
      </c>
      <c r="R10" s="2369">
        <v>0.39907907367523854</v>
      </c>
      <c r="S10" s="2369">
        <v>0.39109749220173379</v>
      </c>
      <c r="T10" s="2369">
        <v>0.38718651727971642</v>
      </c>
      <c r="U10" s="2371">
        <v>0.38331465210691923</v>
      </c>
    </row>
    <row r="11" spans="1:21" s="1290" customFormat="1" ht="24" customHeight="1">
      <c r="A11" s="2164"/>
      <c r="B11" s="2165"/>
      <c r="C11" s="2169"/>
      <c r="D11" s="1237" t="s">
        <v>1214</v>
      </c>
      <c r="E11" s="2329"/>
      <c r="F11" s="2330"/>
      <c r="G11" s="2370"/>
      <c r="H11" s="2370"/>
      <c r="I11" s="2370"/>
      <c r="J11" s="2370"/>
      <c r="K11" s="2370"/>
      <c r="L11" s="2370"/>
      <c r="M11" s="2370"/>
      <c r="N11" s="2370"/>
      <c r="O11" s="2370"/>
      <c r="P11" s="2370"/>
      <c r="Q11" s="2370"/>
      <c r="R11" s="2370"/>
      <c r="S11" s="2370"/>
      <c r="T11" s="2370"/>
      <c r="U11" s="2372"/>
    </row>
    <row r="12" spans="1:21" s="1290" customFormat="1" ht="24" customHeight="1">
      <c r="A12" s="2164"/>
      <c r="B12" s="2157" t="s">
        <v>1248</v>
      </c>
      <c r="C12" s="2168" t="s">
        <v>1246</v>
      </c>
      <c r="D12" s="1235" t="s">
        <v>1213</v>
      </c>
      <c r="E12" s="2329"/>
      <c r="F12" s="2330"/>
      <c r="G12" s="2330"/>
      <c r="H12" s="2369">
        <v>0.86</v>
      </c>
      <c r="I12" s="2369">
        <v>0.81699999999999995</v>
      </c>
      <c r="J12" s="2369">
        <v>0.72712999999999994</v>
      </c>
      <c r="K12" s="2369">
        <v>0.66895959999999999</v>
      </c>
      <c r="L12" s="2369">
        <v>0.63551161999999994</v>
      </c>
      <c r="M12" s="2369">
        <v>0.60373603899999995</v>
      </c>
      <c r="N12" s="2369">
        <v>0.57958659743999996</v>
      </c>
      <c r="O12" s="2369">
        <v>0.56219899951679997</v>
      </c>
      <c r="P12" s="2369">
        <v>0.55657700952163192</v>
      </c>
      <c r="Q12" s="2369">
        <v>0.53431392914076659</v>
      </c>
      <c r="R12" s="2369">
        <v>0.51828451126654362</v>
      </c>
      <c r="S12" s="2369">
        <v>0.50791882104121278</v>
      </c>
      <c r="T12" s="2369">
        <v>0.50283963283080069</v>
      </c>
      <c r="U12" s="2371">
        <v>0.49781123650249265</v>
      </c>
    </row>
    <row r="13" spans="1:21" s="1290" customFormat="1" ht="24" customHeight="1">
      <c r="A13" s="2164"/>
      <c r="B13" s="2165"/>
      <c r="C13" s="2169"/>
      <c r="D13" s="1237" t="s">
        <v>1214</v>
      </c>
      <c r="E13" s="2329"/>
      <c r="F13" s="2330"/>
      <c r="G13" s="2330"/>
      <c r="H13" s="2370"/>
      <c r="I13" s="2370"/>
      <c r="J13" s="2370"/>
      <c r="K13" s="2370"/>
      <c r="L13" s="2370"/>
      <c r="M13" s="2370"/>
      <c r="N13" s="2370"/>
      <c r="O13" s="2370"/>
      <c r="P13" s="2370"/>
      <c r="Q13" s="2370"/>
      <c r="R13" s="2370"/>
      <c r="S13" s="2370"/>
      <c r="T13" s="2370"/>
      <c r="U13" s="2372"/>
    </row>
    <row r="14" spans="1:21" s="1290" customFormat="1" ht="24" customHeight="1">
      <c r="A14" s="2164"/>
      <c r="B14" s="2157" t="s">
        <v>1249</v>
      </c>
      <c r="C14" s="2168" t="s">
        <v>1246</v>
      </c>
      <c r="D14" s="1235" t="s">
        <v>1213</v>
      </c>
      <c r="E14" s="2329"/>
      <c r="F14" s="2330"/>
      <c r="G14" s="2330"/>
      <c r="H14" s="2330"/>
      <c r="I14" s="2369">
        <v>0.95</v>
      </c>
      <c r="J14" s="2369">
        <v>0.84549999999999992</v>
      </c>
      <c r="K14" s="2369">
        <v>0.77786</v>
      </c>
      <c r="L14" s="2369">
        <v>0.73896699999999993</v>
      </c>
      <c r="M14" s="2369">
        <v>0.70201864999999986</v>
      </c>
      <c r="N14" s="2369">
        <v>0.67393790399999987</v>
      </c>
      <c r="O14" s="2369">
        <v>0.65371976687999989</v>
      </c>
      <c r="P14" s="2369">
        <v>0.64718256921119988</v>
      </c>
      <c r="Q14" s="2369">
        <v>0.6212952664427519</v>
      </c>
      <c r="R14" s="2369">
        <v>0.60265640844946933</v>
      </c>
      <c r="S14" s="2369">
        <v>0.59060328028047993</v>
      </c>
      <c r="T14" s="2369">
        <v>0.58469724747767515</v>
      </c>
      <c r="U14" s="2371">
        <v>0.57885027500289843</v>
      </c>
    </row>
    <row r="15" spans="1:21" s="1290" customFormat="1" ht="24" customHeight="1">
      <c r="A15" s="2164"/>
      <c r="B15" s="2165"/>
      <c r="C15" s="2169"/>
      <c r="D15" s="1237" t="s">
        <v>1214</v>
      </c>
      <c r="E15" s="2329"/>
      <c r="F15" s="2330"/>
      <c r="G15" s="2330"/>
      <c r="H15" s="2330"/>
      <c r="I15" s="2370"/>
      <c r="J15" s="2370"/>
      <c r="K15" s="2370"/>
      <c r="L15" s="2370"/>
      <c r="M15" s="2370"/>
      <c r="N15" s="2370"/>
      <c r="O15" s="2370"/>
      <c r="P15" s="2370"/>
      <c r="Q15" s="2370"/>
      <c r="R15" s="2370"/>
      <c r="S15" s="2370"/>
      <c r="T15" s="2370"/>
      <c r="U15" s="2372"/>
    </row>
    <row r="16" spans="1:21" s="1290" customFormat="1" ht="24" customHeight="1">
      <c r="A16" s="2164"/>
      <c r="B16" s="2157" t="s">
        <v>1250</v>
      </c>
      <c r="C16" s="2168" t="s">
        <v>1246</v>
      </c>
      <c r="D16" s="1235" t="s">
        <v>1213</v>
      </c>
      <c r="E16" s="2329"/>
      <c r="F16" s="2330"/>
      <c r="G16" s="2330"/>
      <c r="H16" s="2330"/>
      <c r="I16" s="2330"/>
      <c r="J16" s="2369">
        <v>0.89</v>
      </c>
      <c r="K16" s="2369">
        <v>0.81880000000000008</v>
      </c>
      <c r="L16" s="2369">
        <v>0.77786</v>
      </c>
      <c r="M16" s="2369">
        <v>0.73896699999999993</v>
      </c>
      <c r="N16" s="2369">
        <v>0.70940831999999987</v>
      </c>
      <c r="O16" s="2369">
        <v>0.68812607039999985</v>
      </c>
      <c r="P16" s="2369">
        <v>0.68124480969599988</v>
      </c>
      <c r="Q16" s="2369">
        <v>0.6539950173081599</v>
      </c>
      <c r="R16" s="2369">
        <v>0.63437516678891503</v>
      </c>
      <c r="S16" s="2369">
        <v>0.62168766345313675</v>
      </c>
      <c r="T16" s="2369">
        <v>0.61547078681860534</v>
      </c>
      <c r="U16" s="2371">
        <v>0.60931607895041928</v>
      </c>
    </row>
    <row r="17" spans="1:21" s="1290" customFormat="1" ht="24" customHeight="1">
      <c r="A17" s="2164"/>
      <c r="B17" s="2165"/>
      <c r="C17" s="2169"/>
      <c r="D17" s="1237" t="s">
        <v>1214</v>
      </c>
      <c r="E17" s="2329"/>
      <c r="F17" s="2330"/>
      <c r="G17" s="2330"/>
      <c r="H17" s="2330"/>
      <c r="I17" s="2330"/>
      <c r="J17" s="2370"/>
      <c r="K17" s="2370"/>
      <c r="L17" s="2370"/>
      <c r="M17" s="2370"/>
      <c r="N17" s="2370"/>
      <c r="O17" s="2370"/>
      <c r="P17" s="2370"/>
      <c r="Q17" s="2370"/>
      <c r="R17" s="2370"/>
      <c r="S17" s="2370"/>
      <c r="T17" s="2370"/>
      <c r="U17" s="2372"/>
    </row>
    <row r="18" spans="1:21" s="1290" customFormat="1" ht="24" customHeight="1">
      <c r="A18" s="2164"/>
      <c r="B18" s="2157" t="s">
        <v>1251</v>
      </c>
      <c r="C18" s="2168" t="s">
        <v>1246</v>
      </c>
      <c r="D18" s="1235" t="s">
        <v>1213</v>
      </c>
      <c r="E18" s="2329"/>
      <c r="F18" s="2330"/>
      <c r="G18" s="2330"/>
      <c r="H18" s="2330"/>
      <c r="I18" s="2330"/>
      <c r="J18" s="2330"/>
      <c r="K18" s="2369">
        <v>0.92</v>
      </c>
      <c r="L18" s="2369">
        <v>0.874</v>
      </c>
      <c r="M18" s="2369">
        <v>0.83029999999999993</v>
      </c>
      <c r="N18" s="2369">
        <v>0.79708799999999991</v>
      </c>
      <c r="O18" s="2369">
        <v>0.77317535999999987</v>
      </c>
      <c r="P18" s="2369">
        <v>0.76544360639999987</v>
      </c>
      <c r="Q18" s="2369">
        <v>0.73482586214399981</v>
      </c>
      <c r="R18" s="2369">
        <v>0.71278108627967984</v>
      </c>
      <c r="S18" s="2369">
        <v>0.69852546455408626</v>
      </c>
      <c r="T18" s="2369">
        <v>0.69154020990854537</v>
      </c>
      <c r="U18" s="2371">
        <v>0.68462480780945989</v>
      </c>
    </row>
    <row r="19" spans="1:21" s="1290" customFormat="1" ht="24" customHeight="1">
      <c r="A19" s="2164"/>
      <c r="B19" s="2165"/>
      <c r="C19" s="2169"/>
      <c r="D19" s="1237" t="s">
        <v>1214</v>
      </c>
      <c r="E19" s="2329"/>
      <c r="F19" s="2330"/>
      <c r="G19" s="2330"/>
      <c r="H19" s="2330"/>
      <c r="I19" s="2330"/>
      <c r="J19" s="2330"/>
      <c r="K19" s="2370"/>
      <c r="L19" s="2370"/>
      <c r="M19" s="2370"/>
      <c r="N19" s="2370"/>
      <c r="O19" s="2370"/>
      <c r="P19" s="2370"/>
      <c r="Q19" s="2370"/>
      <c r="R19" s="2370"/>
      <c r="S19" s="2370"/>
      <c r="T19" s="2370"/>
      <c r="U19" s="2372"/>
    </row>
    <row r="20" spans="1:21" s="1290" customFormat="1" ht="24" customHeight="1">
      <c r="A20" s="2164"/>
      <c r="B20" s="2157" t="s">
        <v>1252</v>
      </c>
      <c r="C20" s="2168" t="s">
        <v>1246</v>
      </c>
      <c r="D20" s="1235" t="s">
        <v>1213</v>
      </c>
      <c r="E20" s="2329"/>
      <c r="F20" s="2330"/>
      <c r="G20" s="2330"/>
      <c r="H20" s="2330"/>
      <c r="I20" s="2330"/>
      <c r="J20" s="2330"/>
      <c r="K20" s="2330"/>
      <c r="L20" s="2369">
        <v>0.95</v>
      </c>
      <c r="M20" s="2369">
        <v>0.90249999999999997</v>
      </c>
      <c r="N20" s="2369">
        <v>0.86639999999999995</v>
      </c>
      <c r="O20" s="2369">
        <v>0.84040799999999993</v>
      </c>
      <c r="P20" s="2369">
        <v>0.8320039199999999</v>
      </c>
      <c r="Q20" s="2369">
        <v>0.79872376319999983</v>
      </c>
      <c r="R20" s="2369">
        <v>0.77476205030399981</v>
      </c>
      <c r="S20" s="2369">
        <v>0.75926680929791979</v>
      </c>
      <c r="T20" s="2369">
        <v>0.75167414120494058</v>
      </c>
      <c r="U20" s="2371">
        <v>0.74415739979289119</v>
      </c>
    </row>
    <row r="21" spans="1:21" s="1290" customFormat="1" ht="24" customHeight="1">
      <c r="A21" s="2164"/>
      <c r="B21" s="2165"/>
      <c r="C21" s="2169"/>
      <c r="D21" s="1237" t="s">
        <v>1214</v>
      </c>
      <c r="E21" s="2329"/>
      <c r="F21" s="2330"/>
      <c r="G21" s="2330"/>
      <c r="H21" s="2330"/>
      <c r="I21" s="2330"/>
      <c r="J21" s="2330"/>
      <c r="K21" s="2330"/>
      <c r="L21" s="2370"/>
      <c r="M21" s="2370"/>
      <c r="N21" s="2370"/>
      <c r="O21" s="2370"/>
      <c r="P21" s="2370"/>
      <c r="Q21" s="2370"/>
      <c r="R21" s="2370"/>
      <c r="S21" s="2370"/>
      <c r="T21" s="2370"/>
      <c r="U21" s="2372"/>
    </row>
    <row r="22" spans="1:21" s="1290" customFormat="1" ht="24" customHeight="1">
      <c r="A22" s="2164"/>
      <c r="B22" s="2157" t="s">
        <v>1253</v>
      </c>
      <c r="C22" s="2168" t="s">
        <v>1246</v>
      </c>
      <c r="D22" s="1235" t="s">
        <v>1213</v>
      </c>
      <c r="E22" s="2329"/>
      <c r="F22" s="2330"/>
      <c r="G22" s="2330"/>
      <c r="H22" s="2330"/>
      <c r="I22" s="2330"/>
      <c r="J22" s="2330"/>
      <c r="K22" s="2330"/>
      <c r="L22" s="2330"/>
      <c r="M22" s="2369">
        <v>0.95</v>
      </c>
      <c r="N22" s="2369">
        <v>0.91199999999999992</v>
      </c>
      <c r="O22" s="2369">
        <v>0.88463999999999987</v>
      </c>
      <c r="P22" s="2369">
        <v>0.87579359999999984</v>
      </c>
      <c r="Q22" s="2369">
        <v>0.84076185599999986</v>
      </c>
      <c r="R22" s="2369">
        <v>0.81553900031999982</v>
      </c>
      <c r="S22" s="2369">
        <v>0.79922822031359986</v>
      </c>
      <c r="T22" s="2369">
        <v>0.79123593811046389</v>
      </c>
      <c r="U22" s="2371">
        <v>0.7833235787293592</v>
      </c>
    </row>
    <row r="23" spans="1:21" s="1290" customFormat="1" ht="24" customHeight="1">
      <c r="A23" s="2164"/>
      <c r="B23" s="2165"/>
      <c r="C23" s="2169"/>
      <c r="D23" s="1237" t="s">
        <v>1214</v>
      </c>
      <c r="E23" s="2329"/>
      <c r="F23" s="2330"/>
      <c r="G23" s="2330"/>
      <c r="H23" s="2330"/>
      <c r="I23" s="2330"/>
      <c r="J23" s="2330"/>
      <c r="K23" s="2330"/>
      <c r="L23" s="2330"/>
      <c r="M23" s="2370"/>
      <c r="N23" s="2370"/>
      <c r="O23" s="2370"/>
      <c r="P23" s="2370"/>
      <c r="Q23" s="2370"/>
      <c r="R23" s="2370"/>
      <c r="S23" s="2370"/>
      <c r="T23" s="2370"/>
      <c r="U23" s="2372"/>
    </row>
    <row r="24" spans="1:21" s="1290" customFormat="1" ht="24" customHeight="1">
      <c r="A24" s="2164"/>
      <c r="B24" s="2157" t="s">
        <v>1254</v>
      </c>
      <c r="C24" s="2168" t="s">
        <v>1246</v>
      </c>
      <c r="D24" s="1235" t="s">
        <v>1213</v>
      </c>
      <c r="E24" s="2329"/>
      <c r="F24" s="2330"/>
      <c r="G24" s="2330"/>
      <c r="H24" s="2330"/>
      <c r="I24" s="2330"/>
      <c r="J24" s="2330"/>
      <c r="K24" s="2330"/>
      <c r="L24" s="2330"/>
      <c r="M24" s="2330"/>
      <c r="N24" s="2369">
        <v>0.96</v>
      </c>
      <c r="O24" s="2369">
        <v>0.93119999999999992</v>
      </c>
      <c r="P24" s="2369">
        <v>0.92188799999999993</v>
      </c>
      <c r="Q24" s="2369">
        <v>0.88501247999999988</v>
      </c>
      <c r="R24" s="2369">
        <v>0.85846210559999991</v>
      </c>
      <c r="S24" s="2369">
        <v>0.84129286348799992</v>
      </c>
      <c r="T24" s="2369">
        <v>0.83287993485311995</v>
      </c>
      <c r="U24" s="2371">
        <v>0.82455113550458869</v>
      </c>
    </row>
    <row r="25" spans="1:21" s="1290" customFormat="1" ht="24" customHeight="1">
      <c r="A25" s="2164"/>
      <c r="B25" s="2165"/>
      <c r="C25" s="2169"/>
      <c r="D25" s="1237" t="s">
        <v>1214</v>
      </c>
      <c r="E25" s="2329"/>
      <c r="F25" s="2330"/>
      <c r="G25" s="2330"/>
      <c r="H25" s="2330"/>
      <c r="I25" s="2330"/>
      <c r="J25" s="2330"/>
      <c r="K25" s="2330"/>
      <c r="L25" s="2330"/>
      <c r="M25" s="2330"/>
      <c r="N25" s="2370"/>
      <c r="O25" s="2370"/>
      <c r="P25" s="2370"/>
      <c r="Q25" s="2370"/>
      <c r="R25" s="2370"/>
      <c r="S25" s="2370"/>
      <c r="T25" s="2370"/>
      <c r="U25" s="2372"/>
    </row>
    <row r="26" spans="1:21" s="1290" customFormat="1" ht="24" customHeight="1">
      <c r="A26" s="2164"/>
      <c r="B26" s="2157" t="s">
        <v>1255</v>
      </c>
      <c r="C26" s="2168" t="s">
        <v>1246</v>
      </c>
      <c r="D26" s="1235" t="s">
        <v>1213</v>
      </c>
      <c r="E26" s="2329"/>
      <c r="F26" s="2330"/>
      <c r="G26" s="2330"/>
      <c r="H26" s="2330"/>
      <c r="I26" s="2330"/>
      <c r="J26" s="2330"/>
      <c r="K26" s="2330"/>
      <c r="L26" s="2330"/>
      <c r="M26" s="2330"/>
      <c r="N26" s="2330"/>
      <c r="O26" s="2369">
        <v>0.97</v>
      </c>
      <c r="P26" s="2369">
        <v>0.96029999999999993</v>
      </c>
      <c r="Q26" s="2369">
        <v>0.92188799999999993</v>
      </c>
      <c r="R26" s="2369">
        <v>0.89423135999999992</v>
      </c>
      <c r="S26" s="2369">
        <v>0.87634673279999986</v>
      </c>
      <c r="T26" s="2369">
        <v>0.86758326547199982</v>
      </c>
      <c r="U26" s="2371">
        <v>0.85890743281727977</v>
      </c>
    </row>
    <row r="27" spans="1:21" s="1290" customFormat="1" ht="24" customHeight="1">
      <c r="A27" s="2164"/>
      <c r="B27" s="2165"/>
      <c r="C27" s="2169"/>
      <c r="D27" s="1237" t="s">
        <v>1214</v>
      </c>
      <c r="E27" s="2329"/>
      <c r="F27" s="2330"/>
      <c r="G27" s="2330"/>
      <c r="H27" s="2330"/>
      <c r="I27" s="2330"/>
      <c r="J27" s="2330"/>
      <c r="K27" s="2330"/>
      <c r="L27" s="2330"/>
      <c r="M27" s="2330"/>
      <c r="N27" s="2330"/>
      <c r="O27" s="2370"/>
      <c r="P27" s="2370"/>
      <c r="Q27" s="2370"/>
      <c r="R27" s="2370"/>
      <c r="S27" s="2370"/>
      <c r="T27" s="2370"/>
      <c r="U27" s="2372"/>
    </row>
    <row r="28" spans="1:21" s="1290" customFormat="1" ht="24" customHeight="1">
      <c r="A28" s="2164"/>
      <c r="B28" s="2157" t="s">
        <v>1256</v>
      </c>
      <c r="C28" s="2168" t="s">
        <v>1246</v>
      </c>
      <c r="D28" s="1235" t="s">
        <v>1213</v>
      </c>
      <c r="E28" s="2329"/>
      <c r="F28" s="2330"/>
      <c r="G28" s="2330"/>
      <c r="H28" s="2330"/>
      <c r="I28" s="2330"/>
      <c r="J28" s="2330"/>
      <c r="K28" s="2330"/>
      <c r="L28" s="2330"/>
      <c r="M28" s="2330"/>
      <c r="N28" s="2330"/>
      <c r="O28" s="2330"/>
      <c r="P28" s="2369">
        <v>0.99</v>
      </c>
      <c r="Q28" s="2369">
        <v>0.95039999999999991</v>
      </c>
      <c r="R28" s="2369">
        <v>0.92188799999999993</v>
      </c>
      <c r="S28" s="2369">
        <v>0.90345023999999996</v>
      </c>
      <c r="T28" s="2369">
        <v>0.89441573759999993</v>
      </c>
      <c r="U28" s="2371">
        <v>0.88547158022399997</v>
      </c>
    </row>
    <row r="29" spans="1:21" s="1290" customFormat="1" ht="24" customHeight="1">
      <c r="A29" s="2164"/>
      <c r="B29" s="2165"/>
      <c r="C29" s="2169"/>
      <c r="D29" s="1237" t="s">
        <v>1214</v>
      </c>
      <c r="E29" s="2329"/>
      <c r="F29" s="2330"/>
      <c r="G29" s="2330"/>
      <c r="H29" s="2330"/>
      <c r="I29" s="2330"/>
      <c r="J29" s="2330"/>
      <c r="K29" s="2330"/>
      <c r="L29" s="2330"/>
      <c r="M29" s="2330"/>
      <c r="N29" s="2330"/>
      <c r="O29" s="2330"/>
      <c r="P29" s="2370"/>
      <c r="Q29" s="2370"/>
      <c r="R29" s="2370"/>
      <c r="S29" s="2370"/>
      <c r="T29" s="2370"/>
      <c r="U29" s="2372"/>
    </row>
    <row r="30" spans="1:21" s="1290" customFormat="1" ht="24" customHeight="1">
      <c r="A30" s="2164"/>
      <c r="B30" s="2157" t="s">
        <v>1257</v>
      </c>
      <c r="C30" s="2168" t="s">
        <v>1246</v>
      </c>
      <c r="D30" s="1235" t="s">
        <v>1213</v>
      </c>
      <c r="E30" s="2329"/>
      <c r="F30" s="2330"/>
      <c r="G30" s="2330"/>
      <c r="H30" s="2330"/>
      <c r="I30" s="2330"/>
      <c r="J30" s="2330"/>
      <c r="K30" s="2330"/>
      <c r="L30" s="2330"/>
      <c r="M30" s="2330"/>
      <c r="N30" s="2330"/>
      <c r="O30" s="2330"/>
      <c r="P30" s="2330"/>
      <c r="Q30" s="2369">
        <v>0.96</v>
      </c>
      <c r="R30" s="2369">
        <v>0.93119999999999992</v>
      </c>
      <c r="S30" s="2369">
        <v>0.91257599999999994</v>
      </c>
      <c r="T30" s="2369">
        <v>0.90345023999999996</v>
      </c>
      <c r="U30" s="2371">
        <v>0.89441573759999993</v>
      </c>
    </row>
    <row r="31" spans="1:21" s="1290" customFormat="1" ht="24" customHeight="1">
      <c r="A31" s="2164"/>
      <c r="B31" s="2165"/>
      <c r="C31" s="2169"/>
      <c r="D31" s="1237" t="s">
        <v>1214</v>
      </c>
      <c r="E31" s="2329"/>
      <c r="F31" s="2330"/>
      <c r="G31" s="2330"/>
      <c r="H31" s="2330"/>
      <c r="I31" s="2330"/>
      <c r="J31" s="2330"/>
      <c r="K31" s="2330"/>
      <c r="L31" s="2330"/>
      <c r="M31" s="2330"/>
      <c r="N31" s="2330"/>
      <c r="O31" s="2330"/>
      <c r="P31" s="2330"/>
      <c r="Q31" s="2370"/>
      <c r="R31" s="2370"/>
      <c r="S31" s="2370"/>
      <c r="T31" s="2370"/>
      <c r="U31" s="2372"/>
    </row>
    <row r="32" spans="1:21" s="1290" customFormat="1" ht="24" customHeight="1">
      <c r="A32" s="2164"/>
      <c r="B32" s="2157" t="s">
        <v>1258</v>
      </c>
      <c r="C32" s="2168" t="s">
        <v>1246</v>
      </c>
      <c r="D32" s="1235" t="s">
        <v>1213</v>
      </c>
      <c r="E32" s="2329"/>
      <c r="F32" s="2330"/>
      <c r="G32" s="2330"/>
      <c r="H32" s="2330"/>
      <c r="I32" s="2330"/>
      <c r="J32" s="2330"/>
      <c r="K32" s="2330"/>
      <c r="L32" s="2330"/>
      <c r="M32" s="2330"/>
      <c r="N32" s="2330"/>
      <c r="O32" s="2330"/>
      <c r="P32" s="2330"/>
      <c r="Q32" s="2330"/>
      <c r="R32" s="2369">
        <v>0.97</v>
      </c>
      <c r="S32" s="2369">
        <v>0.9506</v>
      </c>
      <c r="T32" s="2369">
        <v>0.94109399999999999</v>
      </c>
      <c r="U32" s="2371">
        <v>0.93168306000000001</v>
      </c>
    </row>
    <row r="33" spans="1:21" s="1290" customFormat="1" ht="24" customHeight="1">
      <c r="A33" s="2164"/>
      <c r="B33" s="2165"/>
      <c r="C33" s="2169"/>
      <c r="D33" s="1237" t="s">
        <v>1214</v>
      </c>
      <c r="E33" s="2329"/>
      <c r="F33" s="2330"/>
      <c r="G33" s="2330"/>
      <c r="H33" s="2330"/>
      <c r="I33" s="2330"/>
      <c r="J33" s="2330"/>
      <c r="K33" s="2330"/>
      <c r="L33" s="2330"/>
      <c r="M33" s="2330"/>
      <c r="N33" s="2330"/>
      <c r="O33" s="2330"/>
      <c r="P33" s="2330"/>
      <c r="Q33" s="2330"/>
      <c r="R33" s="2370"/>
      <c r="S33" s="2370"/>
      <c r="T33" s="2370"/>
      <c r="U33" s="2372"/>
    </row>
    <row r="34" spans="1:21" s="1290" customFormat="1" ht="24" customHeight="1">
      <c r="A34" s="2164"/>
      <c r="B34" s="2157" t="s">
        <v>1259</v>
      </c>
      <c r="C34" s="2168" t="s">
        <v>1246</v>
      </c>
      <c r="D34" s="1235" t="s">
        <v>1213</v>
      </c>
      <c r="E34" s="2329"/>
      <c r="F34" s="2330"/>
      <c r="G34" s="2330"/>
      <c r="H34" s="2330"/>
      <c r="I34" s="2330"/>
      <c r="J34" s="2330"/>
      <c r="K34" s="2330"/>
      <c r="L34" s="2330"/>
      <c r="M34" s="2330"/>
      <c r="N34" s="2330"/>
      <c r="O34" s="2330"/>
      <c r="P34" s="2330"/>
      <c r="Q34" s="2330"/>
      <c r="R34" s="2330"/>
      <c r="S34" s="2369">
        <v>0.98</v>
      </c>
      <c r="T34" s="2369">
        <v>0.97019999999999995</v>
      </c>
      <c r="U34" s="2371">
        <v>0.96049799999999996</v>
      </c>
    </row>
    <row r="35" spans="1:21" s="1290" customFormat="1" ht="24" customHeight="1">
      <c r="A35" s="2164"/>
      <c r="B35" s="2165"/>
      <c r="C35" s="2169"/>
      <c r="D35" s="1237" t="s">
        <v>1214</v>
      </c>
      <c r="E35" s="2329"/>
      <c r="F35" s="2330"/>
      <c r="G35" s="2330"/>
      <c r="H35" s="2330"/>
      <c r="I35" s="2330"/>
      <c r="J35" s="2330"/>
      <c r="K35" s="2330"/>
      <c r="L35" s="2330"/>
      <c r="M35" s="2330"/>
      <c r="N35" s="2330"/>
      <c r="O35" s="2330"/>
      <c r="P35" s="2330"/>
      <c r="Q35" s="2330"/>
      <c r="R35" s="2330"/>
      <c r="S35" s="2370"/>
      <c r="T35" s="2370"/>
      <c r="U35" s="2372"/>
    </row>
    <row r="36" spans="1:21" s="1290" customFormat="1" ht="24" customHeight="1">
      <c r="A36" s="2164"/>
      <c r="B36" s="2157" t="s">
        <v>1260</v>
      </c>
      <c r="C36" s="2168" t="s">
        <v>1246</v>
      </c>
      <c r="D36" s="1235" t="s">
        <v>1213</v>
      </c>
      <c r="E36" s="2329"/>
      <c r="F36" s="2330"/>
      <c r="G36" s="2330"/>
      <c r="H36" s="2330"/>
      <c r="I36" s="2330"/>
      <c r="J36" s="2330"/>
      <c r="K36" s="2330"/>
      <c r="L36" s="2330"/>
      <c r="M36" s="2330"/>
      <c r="N36" s="2330"/>
      <c r="O36" s="2330"/>
      <c r="P36" s="2330"/>
      <c r="Q36" s="2330"/>
      <c r="R36" s="2330"/>
      <c r="S36" s="2330"/>
      <c r="T36" s="2369">
        <v>0.99</v>
      </c>
      <c r="U36" s="2371">
        <v>0.98009999999999997</v>
      </c>
    </row>
    <row r="37" spans="1:21" s="1290" customFormat="1" ht="24" customHeight="1">
      <c r="A37" s="2164"/>
      <c r="B37" s="2165"/>
      <c r="C37" s="2169"/>
      <c r="D37" s="1237" t="s">
        <v>1214</v>
      </c>
      <c r="E37" s="2329"/>
      <c r="F37" s="2330"/>
      <c r="G37" s="2330"/>
      <c r="H37" s="2330"/>
      <c r="I37" s="2330"/>
      <c r="J37" s="2330"/>
      <c r="K37" s="2330"/>
      <c r="L37" s="2330"/>
      <c r="M37" s="2330"/>
      <c r="N37" s="2330"/>
      <c r="O37" s="2330"/>
      <c r="P37" s="2330"/>
      <c r="Q37" s="2330"/>
      <c r="R37" s="2330"/>
      <c r="S37" s="2330"/>
      <c r="T37" s="2370"/>
      <c r="U37" s="2372"/>
    </row>
    <row r="38" spans="1:21" s="1290" customFormat="1" ht="24" customHeight="1">
      <c r="A38" s="2164"/>
      <c r="B38" s="2157" t="s">
        <v>1261</v>
      </c>
      <c r="C38" s="2168" t="s">
        <v>1246</v>
      </c>
      <c r="D38" s="1235" t="s">
        <v>1213</v>
      </c>
      <c r="E38" s="2329"/>
      <c r="F38" s="2330"/>
      <c r="G38" s="2330"/>
      <c r="H38" s="2330"/>
      <c r="I38" s="2330"/>
      <c r="J38" s="2330"/>
      <c r="K38" s="2330"/>
      <c r="L38" s="2330"/>
      <c r="M38" s="2330"/>
      <c r="N38" s="2330"/>
      <c r="O38" s="2330"/>
      <c r="P38" s="2330"/>
      <c r="Q38" s="2330"/>
      <c r="R38" s="2330"/>
      <c r="S38" s="2330"/>
      <c r="T38" s="2330"/>
      <c r="U38" s="2371">
        <v>0.99</v>
      </c>
    </row>
    <row r="39" spans="1:21" s="1290" customFormat="1" ht="24" customHeight="1">
      <c r="A39" s="2164"/>
      <c r="B39" s="2165"/>
      <c r="C39" s="2169"/>
      <c r="D39" s="1237" t="s">
        <v>1214</v>
      </c>
      <c r="E39" s="2329"/>
      <c r="F39" s="2330"/>
      <c r="G39" s="2330"/>
      <c r="H39" s="2330"/>
      <c r="I39" s="2330"/>
      <c r="J39" s="2330"/>
      <c r="K39" s="2330"/>
      <c r="L39" s="2330"/>
      <c r="M39" s="2330"/>
      <c r="N39" s="2330"/>
      <c r="O39" s="2330"/>
      <c r="P39" s="2330"/>
      <c r="Q39" s="2330"/>
      <c r="R39" s="2330"/>
      <c r="S39" s="2330"/>
      <c r="T39" s="2330"/>
      <c r="U39" s="2372"/>
    </row>
    <row r="40" spans="1:21" s="1290" customFormat="1" ht="24" customHeight="1">
      <c r="A40" s="2164"/>
      <c r="B40" s="2157" t="s">
        <v>1262</v>
      </c>
      <c r="C40" s="2168" t="s">
        <v>1246</v>
      </c>
      <c r="D40" s="1235" t="s">
        <v>1213</v>
      </c>
      <c r="E40" s="2329"/>
      <c r="F40" s="2330"/>
      <c r="G40" s="2330"/>
      <c r="H40" s="2330"/>
      <c r="I40" s="2330"/>
      <c r="J40" s="2330"/>
      <c r="K40" s="2330"/>
      <c r="L40" s="2330"/>
      <c r="M40" s="2330"/>
      <c r="N40" s="2330"/>
      <c r="O40" s="2330"/>
      <c r="P40" s="2330"/>
      <c r="Q40" s="2330"/>
      <c r="R40" s="2330"/>
      <c r="S40" s="2330"/>
      <c r="T40" s="2330"/>
      <c r="U40" s="2373"/>
    </row>
    <row r="41" spans="1:21" s="1290" customFormat="1" ht="24" customHeight="1">
      <c r="A41" s="2165"/>
      <c r="B41" s="2165"/>
      <c r="C41" s="2332"/>
      <c r="D41" s="1237" t="s">
        <v>1214</v>
      </c>
      <c r="E41" s="2329"/>
      <c r="F41" s="2330"/>
      <c r="G41" s="2330"/>
      <c r="H41" s="2330"/>
      <c r="I41" s="2330"/>
      <c r="J41" s="2330"/>
      <c r="K41" s="2330"/>
      <c r="L41" s="2330"/>
      <c r="M41" s="2330"/>
      <c r="N41" s="2330"/>
      <c r="O41" s="2330"/>
      <c r="P41" s="2330"/>
      <c r="Q41" s="2330"/>
      <c r="R41" s="2330"/>
      <c r="S41" s="2330"/>
      <c r="T41" s="2330"/>
      <c r="U41" s="2374"/>
    </row>
    <row r="42" spans="1:21" s="1290" customFormat="1" ht="24" customHeight="1">
      <c r="A42" s="2157" t="s">
        <v>1218</v>
      </c>
      <c r="B42" s="2157" t="s">
        <v>1245</v>
      </c>
      <c r="C42" s="2168" t="s">
        <v>1246</v>
      </c>
      <c r="D42" s="1235" t="s">
        <v>1213</v>
      </c>
      <c r="E42" s="2329"/>
      <c r="F42" s="2369">
        <v>0.63</v>
      </c>
      <c r="G42" s="2369">
        <v>0.4914</v>
      </c>
      <c r="H42" s="2369">
        <v>0.42260399999999998</v>
      </c>
      <c r="I42" s="2369">
        <v>0.40147379999999994</v>
      </c>
      <c r="J42" s="2369">
        <v>0.35731168199999996</v>
      </c>
      <c r="K42" s="2369">
        <v>0.32872674743999997</v>
      </c>
      <c r="L42" s="2369">
        <v>0.31229041006799996</v>
      </c>
      <c r="M42" s="2369">
        <v>0.29667588956459995</v>
      </c>
      <c r="N42" s="2369">
        <v>0.28480885398201594</v>
      </c>
      <c r="O42" s="2369">
        <v>0.27626458836255546</v>
      </c>
      <c r="P42" s="2369">
        <v>0.27350194247892989</v>
      </c>
      <c r="Q42" s="2369">
        <v>0.26256186477977267</v>
      </c>
      <c r="R42" s="2369">
        <v>0.25205939018858176</v>
      </c>
      <c r="S42" s="2369">
        <v>0.24953879628669592</v>
      </c>
      <c r="T42" s="2369">
        <v>0.24704340832382896</v>
      </c>
      <c r="U42" s="2371">
        <v>0.24457297424059066</v>
      </c>
    </row>
    <row r="43" spans="1:21" s="1290" customFormat="1" ht="24" customHeight="1">
      <c r="A43" s="2164"/>
      <c r="B43" s="2165"/>
      <c r="C43" s="2169"/>
      <c r="D43" s="1237" t="s">
        <v>1214</v>
      </c>
      <c r="E43" s="2329"/>
      <c r="F43" s="2370"/>
      <c r="G43" s="2370"/>
      <c r="H43" s="2370"/>
      <c r="I43" s="2370"/>
      <c r="J43" s="2370"/>
      <c r="K43" s="2370"/>
      <c r="L43" s="2370"/>
      <c r="M43" s="2370"/>
      <c r="N43" s="2370"/>
      <c r="O43" s="2370"/>
      <c r="P43" s="2370"/>
      <c r="Q43" s="2370"/>
      <c r="R43" s="2370"/>
      <c r="S43" s="2370"/>
      <c r="T43" s="2370"/>
      <c r="U43" s="2372"/>
    </row>
    <row r="44" spans="1:21" s="1290" customFormat="1" ht="24" customHeight="1">
      <c r="A44" s="2164"/>
      <c r="B44" s="2157" t="s">
        <v>1247</v>
      </c>
      <c r="C44" s="2168" t="s">
        <v>1246</v>
      </c>
      <c r="D44" s="1235" t="s">
        <v>1213</v>
      </c>
      <c r="E44" s="2329"/>
      <c r="F44" s="2330"/>
      <c r="G44" s="2369">
        <v>0.78</v>
      </c>
      <c r="H44" s="2369">
        <v>0.67080000000000006</v>
      </c>
      <c r="I44" s="2369">
        <v>0.63726000000000005</v>
      </c>
      <c r="J44" s="2369">
        <v>0.56716140000000004</v>
      </c>
      <c r="K44" s="2369">
        <v>0.52178848800000011</v>
      </c>
      <c r="L44" s="2369">
        <v>0.4956990636000001</v>
      </c>
      <c r="M44" s="2369">
        <v>0.47091411042000009</v>
      </c>
      <c r="N44" s="2369">
        <v>0.45207754600320005</v>
      </c>
      <c r="O44" s="2369">
        <v>0.43851521962310402</v>
      </c>
      <c r="P44" s="2369">
        <v>0.43413006742687299</v>
      </c>
      <c r="Q44" s="2369">
        <v>0.41676486472979807</v>
      </c>
      <c r="R44" s="2369">
        <v>0.40009427014060611</v>
      </c>
      <c r="S44" s="2369">
        <v>0.39609332743920006</v>
      </c>
      <c r="T44" s="2369">
        <v>0.39213239416480805</v>
      </c>
      <c r="U44" s="2371">
        <v>0.38821107022315998</v>
      </c>
    </row>
    <row r="45" spans="1:21" s="1290" customFormat="1" ht="24" customHeight="1">
      <c r="A45" s="2164"/>
      <c r="B45" s="2165"/>
      <c r="C45" s="2169"/>
      <c r="D45" s="1237" t="s">
        <v>1214</v>
      </c>
      <c r="E45" s="2329"/>
      <c r="F45" s="2330"/>
      <c r="G45" s="2370"/>
      <c r="H45" s="2370"/>
      <c r="I45" s="2370"/>
      <c r="J45" s="2370"/>
      <c r="K45" s="2370"/>
      <c r="L45" s="2370"/>
      <c r="M45" s="2370"/>
      <c r="N45" s="2370"/>
      <c r="O45" s="2370"/>
      <c r="P45" s="2370"/>
      <c r="Q45" s="2370"/>
      <c r="R45" s="2370"/>
      <c r="S45" s="2370"/>
      <c r="T45" s="2370"/>
      <c r="U45" s="2372"/>
    </row>
    <row r="46" spans="1:21" s="1290" customFormat="1" ht="24" customHeight="1">
      <c r="A46" s="2164"/>
      <c r="B46" s="2157" t="s">
        <v>1248</v>
      </c>
      <c r="C46" s="2168" t="s">
        <v>1246</v>
      </c>
      <c r="D46" s="1235" t="s">
        <v>1213</v>
      </c>
      <c r="E46" s="2329"/>
      <c r="F46" s="2330"/>
      <c r="G46" s="2330"/>
      <c r="H46" s="2369">
        <v>0.86</v>
      </c>
      <c r="I46" s="2369">
        <v>0.81699999999999995</v>
      </c>
      <c r="J46" s="2369">
        <v>0.72712999999999994</v>
      </c>
      <c r="K46" s="2369">
        <v>0.66895959999999999</v>
      </c>
      <c r="L46" s="2369">
        <v>0.63551161999999994</v>
      </c>
      <c r="M46" s="2369">
        <v>0.60373603899999995</v>
      </c>
      <c r="N46" s="2369">
        <v>0.57958659743999996</v>
      </c>
      <c r="O46" s="2369">
        <v>0.56219899951679997</v>
      </c>
      <c r="P46" s="2369">
        <v>0.55657700952163192</v>
      </c>
      <c r="Q46" s="2369">
        <v>0.53431392914076659</v>
      </c>
      <c r="R46" s="2369">
        <v>0.5129413719751359</v>
      </c>
      <c r="S46" s="2369">
        <v>0.5078119582553845</v>
      </c>
      <c r="T46" s="2369">
        <v>0.50273383867283061</v>
      </c>
      <c r="U46" s="2371">
        <v>0.4977065002861023</v>
      </c>
    </row>
    <row r="47" spans="1:21" s="1290" customFormat="1" ht="24" customHeight="1">
      <c r="A47" s="2164"/>
      <c r="B47" s="2165"/>
      <c r="C47" s="2169"/>
      <c r="D47" s="1237" t="s">
        <v>1214</v>
      </c>
      <c r="E47" s="2329"/>
      <c r="F47" s="2330"/>
      <c r="G47" s="2330"/>
      <c r="H47" s="2370"/>
      <c r="I47" s="2370"/>
      <c r="J47" s="2370"/>
      <c r="K47" s="2370"/>
      <c r="L47" s="2370"/>
      <c r="M47" s="2370"/>
      <c r="N47" s="2370"/>
      <c r="O47" s="2370"/>
      <c r="P47" s="2370"/>
      <c r="Q47" s="2370"/>
      <c r="R47" s="2370"/>
      <c r="S47" s="2370"/>
      <c r="T47" s="2370"/>
      <c r="U47" s="2372"/>
    </row>
    <row r="48" spans="1:21" s="1290" customFormat="1" ht="24" customHeight="1">
      <c r="A48" s="2164"/>
      <c r="B48" s="2157" t="s">
        <v>1249</v>
      </c>
      <c r="C48" s="2168" t="s">
        <v>1246</v>
      </c>
      <c r="D48" s="1235" t="s">
        <v>1213</v>
      </c>
      <c r="E48" s="2329"/>
      <c r="F48" s="2330"/>
      <c r="G48" s="2330"/>
      <c r="H48" s="2330"/>
      <c r="I48" s="2369">
        <v>0.95</v>
      </c>
      <c r="J48" s="2369">
        <v>0.84549999999999992</v>
      </c>
      <c r="K48" s="2369">
        <v>0.77786</v>
      </c>
      <c r="L48" s="2369">
        <v>0.73896699999999993</v>
      </c>
      <c r="M48" s="2369">
        <v>0.70201864999999986</v>
      </c>
      <c r="N48" s="2369">
        <v>0.67393790399999987</v>
      </c>
      <c r="O48" s="2369">
        <v>0.65371976687999989</v>
      </c>
      <c r="P48" s="2369">
        <v>0.64718256921119988</v>
      </c>
      <c r="Q48" s="2369">
        <v>0.6212952664427519</v>
      </c>
      <c r="R48" s="2369">
        <v>0.59644345578504177</v>
      </c>
      <c r="S48" s="2369">
        <v>0.59047902122719131</v>
      </c>
      <c r="T48" s="2369">
        <v>0.58457423101491934</v>
      </c>
      <c r="U48" s="2371">
        <v>0.57872848870477012</v>
      </c>
    </row>
    <row r="49" spans="1:21" s="1290" customFormat="1" ht="24" customHeight="1">
      <c r="A49" s="2164"/>
      <c r="B49" s="2165"/>
      <c r="C49" s="2169"/>
      <c r="D49" s="1237" t="s">
        <v>1214</v>
      </c>
      <c r="E49" s="2329"/>
      <c r="F49" s="2330"/>
      <c r="G49" s="2330"/>
      <c r="H49" s="2330"/>
      <c r="I49" s="2370"/>
      <c r="J49" s="2370"/>
      <c r="K49" s="2370"/>
      <c r="L49" s="2370"/>
      <c r="M49" s="2370"/>
      <c r="N49" s="2370"/>
      <c r="O49" s="2370"/>
      <c r="P49" s="2370"/>
      <c r="Q49" s="2370"/>
      <c r="R49" s="2370"/>
      <c r="S49" s="2370"/>
      <c r="T49" s="2370"/>
      <c r="U49" s="2372"/>
    </row>
    <row r="50" spans="1:21" s="1290" customFormat="1" ht="24" customHeight="1">
      <c r="A50" s="2164"/>
      <c r="B50" s="2157" t="s">
        <v>1250</v>
      </c>
      <c r="C50" s="2168" t="s">
        <v>1246</v>
      </c>
      <c r="D50" s="1235" t="s">
        <v>1213</v>
      </c>
      <c r="E50" s="2329"/>
      <c r="F50" s="2330"/>
      <c r="G50" s="2330"/>
      <c r="H50" s="2330"/>
      <c r="I50" s="2330"/>
      <c r="J50" s="2369">
        <v>0.89</v>
      </c>
      <c r="K50" s="2369">
        <v>0.81880000000000008</v>
      </c>
      <c r="L50" s="2369">
        <v>0.77786</v>
      </c>
      <c r="M50" s="2369">
        <v>0.73896699999999993</v>
      </c>
      <c r="N50" s="2369">
        <v>0.70940831999999987</v>
      </c>
      <c r="O50" s="2369">
        <v>0.68812607039999985</v>
      </c>
      <c r="P50" s="2369">
        <v>0.68124480969599988</v>
      </c>
      <c r="Q50" s="2369">
        <v>0.6539950173081599</v>
      </c>
      <c r="R50" s="2369">
        <v>0.62783521661583352</v>
      </c>
      <c r="S50" s="2369">
        <v>0.62155686444967517</v>
      </c>
      <c r="T50" s="2369">
        <v>0.61534129580517838</v>
      </c>
      <c r="U50" s="2371">
        <v>0.60918788284712655</v>
      </c>
    </row>
    <row r="51" spans="1:21" s="1290" customFormat="1" ht="24" customHeight="1">
      <c r="A51" s="2164"/>
      <c r="B51" s="2165"/>
      <c r="C51" s="2169"/>
      <c r="D51" s="1237" t="s">
        <v>1214</v>
      </c>
      <c r="E51" s="2329"/>
      <c r="F51" s="2330"/>
      <c r="G51" s="2330"/>
      <c r="H51" s="2330"/>
      <c r="I51" s="2330"/>
      <c r="J51" s="2370"/>
      <c r="K51" s="2370"/>
      <c r="L51" s="2370"/>
      <c r="M51" s="2370"/>
      <c r="N51" s="2370"/>
      <c r="O51" s="2370"/>
      <c r="P51" s="2370"/>
      <c r="Q51" s="2370"/>
      <c r="R51" s="2370"/>
      <c r="S51" s="2370"/>
      <c r="T51" s="2370"/>
      <c r="U51" s="2372"/>
    </row>
    <row r="52" spans="1:21" s="1290" customFormat="1" ht="24" customHeight="1">
      <c r="A52" s="2164"/>
      <c r="B52" s="2157" t="s">
        <v>1251</v>
      </c>
      <c r="C52" s="2168" t="s">
        <v>1246</v>
      </c>
      <c r="D52" s="1235" t="s">
        <v>1213</v>
      </c>
      <c r="E52" s="2329"/>
      <c r="F52" s="2330"/>
      <c r="G52" s="2330"/>
      <c r="H52" s="2330"/>
      <c r="I52" s="2330"/>
      <c r="J52" s="2330"/>
      <c r="K52" s="2369">
        <v>0.92</v>
      </c>
      <c r="L52" s="2369">
        <v>0.874</v>
      </c>
      <c r="M52" s="2369">
        <v>0.83029999999999993</v>
      </c>
      <c r="N52" s="2369">
        <v>0.79708799999999991</v>
      </c>
      <c r="O52" s="2369">
        <v>0.77317535999999987</v>
      </c>
      <c r="P52" s="2369">
        <v>0.76544360639999987</v>
      </c>
      <c r="Q52" s="2369">
        <v>0.73482586214399981</v>
      </c>
      <c r="R52" s="2369">
        <v>0.70543282765823978</v>
      </c>
      <c r="S52" s="2369">
        <v>0.69837849938165741</v>
      </c>
      <c r="T52" s="2369">
        <v>0.69139471438784084</v>
      </c>
      <c r="U52" s="2371">
        <v>0.68448076724396245</v>
      </c>
    </row>
    <row r="53" spans="1:21" s="1290" customFormat="1" ht="24" customHeight="1">
      <c r="A53" s="2164"/>
      <c r="B53" s="2165"/>
      <c r="C53" s="2169"/>
      <c r="D53" s="1237" t="s">
        <v>1214</v>
      </c>
      <c r="E53" s="2329"/>
      <c r="F53" s="2330"/>
      <c r="G53" s="2330"/>
      <c r="H53" s="2330"/>
      <c r="I53" s="2330"/>
      <c r="J53" s="2330"/>
      <c r="K53" s="2370"/>
      <c r="L53" s="2370"/>
      <c r="M53" s="2370"/>
      <c r="N53" s="2370"/>
      <c r="O53" s="2370"/>
      <c r="P53" s="2370"/>
      <c r="Q53" s="2370"/>
      <c r="R53" s="2370"/>
      <c r="S53" s="2370"/>
      <c r="T53" s="2370"/>
      <c r="U53" s="2372"/>
    </row>
    <row r="54" spans="1:21" s="1290" customFormat="1" ht="24" customHeight="1">
      <c r="A54" s="2164"/>
      <c r="B54" s="2157" t="s">
        <v>1252</v>
      </c>
      <c r="C54" s="2168" t="s">
        <v>1246</v>
      </c>
      <c r="D54" s="1235" t="s">
        <v>1213</v>
      </c>
      <c r="E54" s="2329"/>
      <c r="F54" s="2330"/>
      <c r="G54" s="2330"/>
      <c r="H54" s="2330"/>
      <c r="I54" s="2330"/>
      <c r="J54" s="2330"/>
      <c r="K54" s="2330"/>
      <c r="L54" s="2369">
        <v>0.95</v>
      </c>
      <c r="M54" s="2369">
        <v>0.90249999999999997</v>
      </c>
      <c r="N54" s="2369">
        <v>0.86639999999999995</v>
      </c>
      <c r="O54" s="2369">
        <v>0.84040799999999993</v>
      </c>
      <c r="P54" s="2369">
        <v>0.8320039199999999</v>
      </c>
      <c r="Q54" s="2369">
        <v>0.79872376319999983</v>
      </c>
      <c r="R54" s="2369">
        <v>0.76677481267199976</v>
      </c>
      <c r="S54" s="2369">
        <v>0.75910706454527976</v>
      </c>
      <c r="T54" s="2369">
        <v>0.75151599389982693</v>
      </c>
      <c r="U54" s="2371">
        <v>0.74400083396082861</v>
      </c>
    </row>
    <row r="55" spans="1:21" ht="24" customHeight="1">
      <c r="A55" s="2164"/>
      <c r="B55" s="2165"/>
      <c r="C55" s="2169"/>
      <c r="D55" s="1237" t="s">
        <v>1214</v>
      </c>
      <c r="E55" s="2329"/>
      <c r="F55" s="2330"/>
      <c r="G55" s="2330"/>
      <c r="H55" s="2330"/>
      <c r="I55" s="2330"/>
      <c r="J55" s="2330"/>
      <c r="K55" s="2330"/>
      <c r="L55" s="2370"/>
      <c r="M55" s="2370"/>
      <c r="N55" s="2370"/>
      <c r="O55" s="2370"/>
      <c r="P55" s="2370"/>
      <c r="Q55" s="2370"/>
      <c r="R55" s="2370"/>
      <c r="S55" s="2370"/>
      <c r="T55" s="2370"/>
      <c r="U55" s="2372"/>
    </row>
    <row r="56" spans="1:21" ht="24" customHeight="1">
      <c r="A56" s="2164"/>
      <c r="B56" s="2157" t="s">
        <v>1253</v>
      </c>
      <c r="C56" s="2168" t="s">
        <v>1246</v>
      </c>
      <c r="D56" s="1235" t="s">
        <v>1213</v>
      </c>
      <c r="E56" s="2329"/>
      <c r="F56" s="2330"/>
      <c r="G56" s="2330"/>
      <c r="H56" s="2330"/>
      <c r="I56" s="2330"/>
      <c r="J56" s="2330"/>
      <c r="K56" s="2330"/>
      <c r="L56" s="2330"/>
      <c r="M56" s="2369">
        <v>0.95</v>
      </c>
      <c r="N56" s="2369">
        <v>0.91199999999999992</v>
      </c>
      <c r="O56" s="2369">
        <v>0.88463999999999987</v>
      </c>
      <c r="P56" s="2369">
        <v>0.87579359999999984</v>
      </c>
      <c r="Q56" s="2369">
        <v>0.84076185599999986</v>
      </c>
      <c r="R56" s="2369">
        <v>0.80713138175999988</v>
      </c>
      <c r="S56" s="2369">
        <v>0.79906006794239992</v>
      </c>
      <c r="T56" s="2369">
        <v>0.79106946726297589</v>
      </c>
      <c r="U56" s="2371">
        <v>0.78315877259034616</v>
      </c>
    </row>
    <row r="57" spans="1:21" ht="24" customHeight="1">
      <c r="A57" s="2164"/>
      <c r="B57" s="2165"/>
      <c r="C57" s="2169"/>
      <c r="D57" s="1237" t="s">
        <v>1214</v>
      </c>
      <c r="E57" s="2329"/>
      <c r="F57" s="2330"/>
      <c r="G57" s="2330"/>
      <c r="H57" s="2330"/>
      <c r="I57" s="2330"/>
      <c r="J57" s="2330"/>
      <c r="K57" s="2330"/>
      <c r="L57" s="2330"/>
      <c r="M57" s="2370"/>
      <c r="N57" s="2370"/>
      <c r="O57" s="2370"/>
      <c r="P57" s="2370"/>
      <c r="Q57" s="2370"/>
      <c r="R57" s="2370"/>
      <c r="S57" s="2370"/>
      <c r="T57" s="2370"/>
      <c r="U57" s="2372"/>
    </row>
    <row r="58" spans="1:21" ht="24" customHeight="1">
      <c r="A58" s="2164"/>
      <c r="B58" s="2157" t="s">
        <v>1254</v>
      </c>
      <c r="C58" s="2168" t="s">
        <v>1246</v>
      </c>
      <c r="D58" s="1235" t="s">
        <v>1213</v>
      </c>
      <c r="E58" s="2329"/>
      <c r="F58" s="2330"/>
      <c r="G58" s="2330"/>
      <c r="H58" s="2330"/>
      <c r="I58" s="2330"/>
      <c r="J58" s="2330"/>
      <c r="K58" s="2330"/>
      <c r="L58" s="2330"/>
      <c r="M58" s="2330"/>
      <c r="N58" s="2369">
        <v>0.96</v>
      </c>
      <c r="O58" s="2369">
        <v>0.93119999999999992</v>
      </c>
      <c r="P58" s="2369">
        <v>0.92188799999999993</v>
      </c>
      <c r="Q58" s="2369">
        <v>0.88501247999999988</v>
      </c>
      <c r="R58" s="2369">
        <v>0.84961198079999989</v>
      </c>
      <c r="S58" s="2369">
        <v>0.84111586099199986</v>
      </c>
      <c r="T58" s="2369">
        <v>0.83270470238207983</v>
      </c>
      <c r="U58" s="2371">
        <v>0.82437765535825902</v>
      </c>
    </row>
    <row r="59" spans="1:21" ht="24" customHeight="1">
      <c r="A59" s="2164"/>
      <c r="B59" s="2165"/>
      <c r="C59" s="2169"/>
      <c r="D59" s="1237" t="s">
        <v>1214</v>
      </c>
      <c r="E59" s="2329"/>
      <c r="F59" s="2330"/>
      <c r="G59" s="2330"/>
      <c r="H59" s="2330"/>
      <c r="I59" s="2330"/>
      <c r="J59" s="2330"/>
      <c r="K59" s="2330"/>
      <c r="L59" s="2330"/>
      <c r="M59" s="2330"/>
      <c r="N59" s="2370"/>
      <c r="O59" s="2370"/>
      <c r="P59" s="2370"/>
      <c r="Q59" s="2370"/>
      <c r="R59" s="2370"/>
      <c r="S59" s="2370"/>
      <c r="T59" s="2370"/>
      <c r="U59" s="2372"/>
    </row>
    <row r="60" spans="1:21" ht="24" customHeight="1">
      <c r="A60" s="2164"/>
      <c r="B60" s="2157" t="s">
        <v>1255</v>
      </c>
      <c r="C60" s="2168" t="s">
        <v>1246</v>
      </c>
      <c r="D60" s="1235" t="s">
        <v>1213</v>
      </c>
      <c r="E60" s="2329"/>
      <c r="F60" s="2330"/>
      <c r="G60" s="2330"/>
      <c r="H60" s="2330"/>
      <c r="I60" s="2330"/>
      <c r="J60" s="2330"/>
      <c r="K60" s="2330"/>
      <c r="L60" s="2330"/>
      <c r="M60" s="2330"/>
      <c r="N60" s="2330"/>
      <c r="O60" s="2369">
        <v>0.97</v>
      </c>
      <c r="P60" s="2369">
        <v>0.96029999999999993</v>
      </c>
      <c r="Q60" s="2369">
        <v>0.92188799999999993</v>
      </c>
      <c r="R60" s="2369">
        <v>0.88501247999999988</v>
      </c>
      <c r="S60" s="2369">
        <v>0.87616235519999985</v>
      </c>
      <c r="T60" s="2369">
        <v>0.8674007316479998</v>
      </c>
      <c r="U60" s="2371">
        <v>0.85872672433151975</v>
      </c>
    </row>
    <row r="61" spans="1:21" ht="24" customHeight="1">
      <c r="A61" s="2164"/>
      <c r="B61" s="2165"/>
      <c r="C61" s="2169"/>
      <c r="D61" s="1237" t="s">
        <v>1214</v>
      </c>
      <c r="E61" s="2329"/>
      <c r="F61" s="2330"/>
      <c r="G61" s="2330"/>
      <c r="H61" s="2330"/>
      <c r="I61" s="2330"/>
      <c r="J61" s="2330"/>
      <c r="K61" s="2330"/>
      <c r="L61" s="2330"/>
      <c r="M61" s="2330"/>
      <c r="N61" s="2330"/>
      <c r="O61" s="2370"/>
      <c r="P61" s="2370"/>
      <c r="Q61" s="2370"/>
      <c r="R61" s="2370"/>
      <c r="S61" s="2370"/>
      <c r="T61" s="2370"/>
      <c r="U61" s="2372"/>
    </row>
    <row r="62" spans="1:21" ht="24" customHeight="1">
      <c r="A62" s="2164"/>
      <c r="B62" s="2157" t="s">
        <v>1256</v>
      </c>
      <c r="C62" s="2168" t="s">
        <v>1246</v>
      </c>
      <c r="D62" s="1235" t="s">
        <v>1213</v>
      </c>
      <c r="E62" s="2329"/>
      <c r="F62" s="2330"/>
      <c r="G62" s="2330"/>
      <c r="H62" s="2330"/>
      <c r="I62" s="2330"/>
      <c r="J62" s="2330"/>
      <c r="K62" s="2330"/>
      <c r="L62" s="2330"/>
      <c r="M62" s="2330"/>
      <c r="N62" s="2330"/>
      <c r="O62" s="2330"/>
      <c r="P62" s="2369">
        <v>0.99</v>
      </c>
      <c r="Q62" s="2369">
        <v>0.95039999999999991</v>
      </c>
      <c r="R62" s="2369">
        <v>0.91238399999999986</v>
      </c>
      <c r="S62" s="2369">
        <v>0.90326015999999987</v>
      </c>
      <c r="T62" s="2369">
        <v>0.8942275583999999</v>
      </c>
      <c r="U62" s="2371">
        <v>0.88528528281599994</v>
      </c>
    </row>
    <row r="63" spans="1:21" ht="24" customHeight="1">
      <c r="A63" s="2164"/>
      <c r="B63" s="2165"/>
      <c r="C63" s="2169"/>
      <c r="D63" s="1237" t="s">
        <v>1214</v>
      </c>
      <c r="E63" s="2329"/>
      <c r="F63" s="2330"/>
      <c r="G63" s="2330"/>
      <c r="H63" s="2330"/>
      <c r="I63" s="2330"/>
      <c r="J63" s="2330"/>
      <c r="K63" s="2330"/>
      <c r="L63" s="2330"/>
      <c r="M63" s="2330"/>
      <c r="N63" s="2330"/>
      <c r="O63" s="2330"/>
      <c r="P63" s="2370"/>
      <c r="Q63" s="2370"/>
      <c r="R63" s="2370"/>
      <c r="S63" s="2370"/>
      <c r="T63" s="2370"/>
      <c r="U63" s="2372"/>
    </row>
    <row r="64" spans="1:21" ht="24" customHeight="1">
      <c r="A64" s="2164"/>
      <c r="B64" s="2157" t="s">
        <v>1257</v>
      </c>
      <c r="C64" s="2168" t="s">
        <v>1246</v>
      </c>
      <c r="D64" s="1235" t="s">
        <v>1213</v>
      </c>
      <c r="E64" s="2329"/>
      <c r="F64" s="2330"/>
      <c r="G64" s="2330"/>
      <c r="H64" s="2330"/>
      <c r="I64" s="2330"/>
      <c r="J64" s="2330"/>
      <c r="K64" s="2330"/>
      <c r="L64" s="2330"/>
      <c r="M64" s="2330"/>
      <c r="N64" s="2330"/>
      <c r="O64" s="2330"/>
      <c r="P64" s="2330"/>
      <c r="Q64" s="2369">
        <v>0.96</v>
      </c>
      <c r="R64" s="2369">
        <v>0.92159999999999997</v>
      </c>
      <c r="S64" s="2369">
        <v>0.91238399999999997</v>
      </c>
      <c r="T64" s="2369">
        <v>0.90326015999999998</v>
      </c>
      <c r="U64" s="2371">
        <v>0.89422755840000001</v>
      </c>
    </row>
    <row r="65" spans="1:21" ht="24" customHeight="1">
      <c r="A65" s="2164"/>
      <c r="B65" s="2165"/>
      <c r="C65" s="2169"/>
      <c r="D65" s="1237" t="s">
        <v>1214</v>
      </c>
      <c r="E65" s="2329"/>
      <c r="F65" s="2330"/>
      <c r="G65" s="2330"/>
      <c r="H65" s="2330"/>
      <c r="I65" s="2330"/>
      <c r="J65" s="2330"/>
      <c r="K65" s="2330"/>
      <c r="L65" s="2330"/>
      <c r="M65" s="2330"/>
      <c r="N65" s="2330"/>
      <c r="O65" s="2330"/>
      <c r="P65" s="2330"/>
      <c r="Q65" s="2370"/>
      <c r="R65" s="2370"/>
      <c r="S65" s="2370"/>
      <c r="T65" s="2370"/>
      <c r="U65" s="2372"/>
    </row>
    <row r="66" spans="1:21" ht="24" customHeight="1">
      <c r="A66" s="2164"/>
      <c r="B66" s="2157" t="s">
        <v>1258</v>
      </c>
      <c r="C66" s="2168" t="s">
        <v>1246</v>
      </c>
      <c r="D66" s="1235" t="s">
        <v>1213</v>
      </c>
      <c r="E66" s="2329"/>
      <c r="F66" s="2330"/>
      <c r="G66" s="2330"/>
      <c r="H66" s="2330"/>
      <c r="I66" s="2330"/>
      <c r="J66" s="2330"/>
      <c r="K66" s="2330"/>
      <c r="L66" s="2330"/>
      <c r="M66" s="2330"/>
      <c r="N66" s="2330"/>
      <c r="O66" s="2330"/>
      <c r="P66" s="2330"/>
      <c r="Q66" s="2330"/>
      <c r="R66" s="2369">
        <v>0.96</v>
      </c>
      <c r="S66" s="2369">
        <v>0.95039999999999991</v>
      </c>
      <c r="T66" s="2369">
        <v>0.94089599999999995</v>
      </c>
      <c r="U66" s="2371">
        <v>0.93148703999999993</v>
      </c>
    </row>
    <row r="67" spans="1:21" ht="24" customHeight="1">
      <c r="A67" s="2164"/>
      <c r="B67" s="2165"/>
      <c r="C67" s="2169"/>
      <c r="D67" s="1237" t="s">
        <v>1214</v>
      </c>
      <c r="E67" s="2329"/>
      <c r="F67" s="2330"/>
      <c r="G67" s="2330"/>
      <c r="H67" s="2330"/>
      <c r="I67" s="2330"/>
      <c r="J67" s="2330"/>
      <c r="K67" s="2330"/>
      <c r="L67" s="2330"/>
      <c r="M67" s="2330"/>
      <c r="N67" s="2330"/>
      <c r="O67" s="2330"/>
      <c r="P67" s="2330"/>
      <c r="Q67" s="2330"/>
      <c r="R67" s="2370"/>
      <c r="S67" s="2370"/>
      <c r="T67" s="2370"/>
      <c r="U67" s="2372"/>
    </row>
    <row r="68" spans="1:21" ht="24" customHeight="1">
      <c r="A68" s="2164"/>
      <c r="B68" s="2157" t="s">
        <v>1259</v>
      </c>
      <c r="C68" s="2168" t="s">
        <v>1246</v>
      </c>
      <c r="D68" s="1235" t="s">
        <v>1213</v>
      </c>
      <c r="E68" s="2329"/>
      <c r="F68" s="2330"/>
      <c r="G68" s="2330"/>
      <c r="H68" s="2330"/>
      <c r="I68" s="2330"/>
      <c r="J68" s="2330"/>
      <c r="K68" s="2330"/>
      <c r="L68" s="2330"/>
      <c r="M68" s="2330"/>
      <c r="N68" s="2330"/>
      <c r="O68" s="2330"/>
      <c r="P68" s="2330"/>
      <c r="Q68" s="2330"/>
      <c r="R68" s="2330"/>
      <c r="S68" s="2369">
        <v>0.99</v>
      </c>
      <c r="T68" s="2369">
        <v>0.98009999999999997</v>
      </c>
      <c r="U68" s="2371">
        <v>0.97029899999999991</v>
      </c>
    </row>
    <row r="69" spans="1:21" ht="24" customHeight="1">
      <c r="A69" s="2164"/>
      <c r="B69" s="2165"/>
      <c r="C69" s="2169"/>
      <c r="D69" s="1237" t="s">
        <v>1214</v>
      </c>
      <c r="E69" s="2329"/>
      <c r="F69" s="2330"/>
      <c r="G69" s="2330"/>
      <c r="H69" s="2330"/>
      <c r="I69" s="2330"/>
      <c r="J69" s="2330"/>
      <c r="K69" s="2330"/>
      <c r="L69" s="2330"/>
      <c r="M69" s="2330"/>
      <c r="N69" s="2330"/>
      <c r="O69" s="2330"/>
      <c r="P69" s="2330"/>
      <c r="Q69" s="2330"/>
      <c r="R69" s="2330"/>
      <c r="S69" s="2370"/>
      <c r="T69" s="2370"/>
      <c r="U69" s="2372"/>
    </row>
    <row r="70" spans="1:21" ht="24" customHeight="1">
      <c r="A70" s="2164"/>
      <c r="B70" s="2157" t="s">
        <v>1260</v>
      </c>
      <c r="C70" s="2168" t="s">
        <v>1246</v>
      </c>
      <c r="D70" s="1235" t="s">
        <v>1213</v>
      </c>
      <c r="E70" s="2329"/>
      <c r="F70" s="2330"/>
      <c r="G70" s="2330"/>
      <c r="H70" s="2330"/>
      <c r="I70" s="2330"/>
      <c r="J70" s="2330"/>
      <c r="K70" s="2330"/>
      <c r="L70" s="2330"/>
      <c r="M70" s="2330"/>
      <c r="N70" s="2330"/>
      <c r="O70" s="2330"/>
      <c r="P70" s="2330"/>
      <c r="Q70" s="2330"/>
      <c r="R70" s="2330"/>
      <c r="S70" s="2330"/>
      <c r="T70" s="2369">
        <v>0.99</v>
      </c>
      <c r="U70" s="2371">
        <v>0.98009999999999997</v>
      </c>
    </row>
    <row r="71" spans="1:21" ht="24" customHeight="1">
      <c r="A71" s="2164"/>
      <c r="B71" s="2165"/>
      <c r="C71" s="2169"/>
      <c r="D71" s="1237" t="s">
        <v>1214</v>
      </c>
      <c r="E71" s="2329"/>
      <c r="F71" s="2330"/>
      <c r="G71" s="2330"/>
      <c r="H71" s="2330"/>
      <c r="I71" s="2330"/>
      <c r="J71" s="2330"/>
      <c r="K71" s="2330"/>
      <c r="L71" s="2330"/>
      <c r="M71" s="2330"/>
      <c r="N71" s="2330"/>
      <c r="O71" s="2330"/>
      <c r="P71" s="2330"/>
      <c r="Q71" s="2330"/>
      <c r="R71" s="2330"/>
      <c r="S71" s="2330"/>
      <c r="T71" s="2370"/>
      <c r="U71" s="2372"/>
    </row>
    <row r="72" spans="1:21" ht="24" customHeight="1">
      <c r="A72" s="2164"/>
      <c r="B72" s="2157" t="s">
        <v>1261</v>
      </c>
      <c r="C72" s="2168" t="s">
        <v>1246</v>
      </c>
      <c r="D72" s="1235" t="s">
        <v>1213</v>
      </c>
      <c r="E72" s="2329"/>
      <c r="F72" s="2330"/>
      <c r="G72" s="2330"/>
      <c r="H72" s="2330"/>
      <c r="I72" s="2330"/>
      <c r="J72" s="2330"/>
      <c r="K72" s="2330"/>
      <c r="L72" s="2330"/>
      <c r="M72" s="2330"/>
      <c r="N72" s="2330"/>
      <c r="O72" s="2330"/>
      <c r="P72" s="2330"/>
      <c r="Q72" s="2330"/>
      <c r="R72" s="2330"/>
      <c r="S72" s="2330"/>
      <c r="T72" s="2330"/>
      <c r="U72" s="2371">
        <v>0.99</v>
      </c>
    </row>
    <row r="73" spans="1:21" ht="24" customHeight="1">
      <c r="A73" s="2164"/>
      <c r="B73" s="2165"/>
      <c r="C73" s="2169"/>
      <c r="D73" s="1237" t="s">
        <v>1214</v>
      </c>
      <c r="E73" s="2329"/>
      <c r="F73" s="2330"/>
      <c r="G73" s="2330"/>
      <c r="H73" s="2330"/>
      <c r="I73" s="2330"/>
      <c r="J73" s="2330"/>
      <c r="K73" s="2330"/>
      <c r="L73" s="2330"/>
      <c r="M73" s="2330"/>
      <c r="N73" s="2330"/>
      <c r="O73" s="2330"/>
      <c r="P73" s="2330"/>
      <c r="Q73" s="2330"/>
      <c r="R73" s="2330"/>
      <c r="S73" s="2330"/>
      <c r="T73" s="2330"/>
      <c r="U73" s="2372"/>
    </row>
    <row r="74" spans="1:21" ht="24" customHeight="1">
      <c r="A74" s="2164"/>
      <c r="B74" s="2157" t="s">
        <v>1262</v>
      </c>
      <c r="C74" s="2168" t="s">
        <v>1246</v>
      </c>
      <c r="D74" s="1235" t="s">
        <v>1213</v>
      </c>
      <c r="E74" s="2329"/>
      <c r="F74" s="2330"/>
      <c r="G74" s="2330"/>
      <c r="H74" s="2330"/>
      <c r="I74" s="2330"/>
      <c r="J74" s="2330"/>
      <c r="K74" s="2330"/>
      <c r="L74" s="2330"/>
      <c r="M74" s="2330"/>
      <c r="N74" s="2330"/>
      <c r="O74" s="2330"/>
      <c r="P74" s="2330"/>
      <c r="Q74" s="2330"/>
      <c r="R74" s="2330"/>
      <c r="S74" s="2330"/>
      <c r="T74" s="2330"/>
      <c r="U74" s="2373"/>
    </row>
    <row r="75" spans="1:21" ht="24" customHeight="1">
      <c r="A75" s="2165"/>
      <c r="B75" s="2165"/>
      <c r="C75" s="2332"/>
      <c r="D75" s="1237" t="s">
        <v>1214</v>
      </c>
      <c r="E75" s="2329"/>
      <c r="F75" s="2330"/>
      <c r="G75" s="2330"/>
      <c r="H75" s="2330"/>
      <c r="I75" s="2330"/>
      <c r="J75" s="2330"/>
      <c r="K75" s="2330"/>
      <c r="L75" s="2330"/>
      <c r="M75" s="2330"/>
      <c r="N75" s="2330"/>
      <c r="O75" s="2330"/>
      <c r="P75" s="2330"/>
      <c r="Q75" s="2330"/>
      <c r="R75" s="2330"/>
      <c r="S75" s="2330"/>
      <c r="T75" s="2330"/>
      <c r="U75" s="2374"/>
    </row>
    <row r="76" spans="1:21" ht="24" customHeight="1">
      <c r="A76" s="2157" t="s">
        <v>1219</v>
      </c>
      <c r="B76" s="2157" t="s">
        <v>1245</v>
      </c>
      <c r="C76" s="2168" t="s">
        <v>1246</v>
      </c>
      <c r="D76" s="1235" t="s">
        <v>1213</v>
      </c>
      <c r="E76" s="2329"/>
      <c r="F76" s="2369">
        <v>0.63</v>
      </c>
      <c r="G76" s="2369">
        <v>0.4914</v>
      </c>
      <c r="H76" s="2369">
        <v>0.42260399999999998</v>
      </c>
      <c r="I76" s="2369">
        <v>0.40147379999999994</v>
      </c>
      <c r="J76" s="2369">
        <v>0.35731168199999996</v>
      </c>
      <c r="K76" s="2369">
        <v>0.32872674743999997</v>
      </c>
      <c r="L76" s="2369">
        <v>0.31229041006799996</v>
      </c>
      <c r="M76" s="2369">
        <v>0.29667588956459995</v>
      </c>
      <c r="N76" s="2369">
        <v>0.28480885398201594</v>
      </c>
      <c r="O76" s="2369">
        <v>0.27626458836255546</v>
      </c>
      <c r="P76" s="2369">
        <v>0.27350194247892989</v>
      </c>
      <c r="Q76" s="2369">
        <v>0.26256186477977267</v>
      </c>
      <c r="R76" s="2369">
        <v>0.25205939018858176</v>
      </c>
      <c r="S76" s="2369">
        <v>0.24953879628669592</v>
      </c>
      <c r="T76" s="2369">
        <v>0.24704340832382896</v>
      </c>
      <c r="U76" s="2371">
        <v>0.24457297424059066</v>
      </c>
    </row>
    <row r="77" spans="1:21" ht="24" customHeight="1">
      <c r="A77" s="2164"/>
      <c r="B77" s="2165"/>
      <c r="C77" s="2169"/>
      <c r="D77" s="1237" t="s">
        <v>1214</v>
      </c>
      <c r="E77" s="2329"/>
      <c r="F77" s="2370"/>
      <c r="G77" s="2370"/>
      <c r="H77" s="2370"/>
      <c r="I77" s="2370"/>
      <c r="J77" s="2370"/>
      <c r="K77" s="2370"/>
      <c r="L77" s="2370"/>
      <c r="M77" s="2370"/>
      <c r="N77" s="2370"/>
      <c r="O77" s="2370"/>
      <c r="P77" s="2370"/>
      <c r="Q77" s="2370"/>
      <c r="R77" s="2370"/>
      <c r="S77" s="2370"/>
      <c r="T77" s="2370"/>
      <c r="U77" s="2372"/>
    </row>
    <row r="78" spans="1:21" ht="24" customHeight="1">
      <c r="A78" s="2164"/>
      <c r="B78" s="2157" t="s">
        <v>1247</v>
      </c>
      <c r="C78" s="2168" t="s">
        <v>1246</v>
      </c>
      <c r="D78" s="1235" t="s">
        <v>1213</v>
      </c>
      <c r="E78" s="2329"/>
      <c r="F78" s="2330"/>
      <c r="G78" s="2369">
        <v>0.78</v>
      </c>
      <c r="H78" s="2369">
        <v>0.67080000000000006</v>
      </c>
      <c r="I78" s="2369">
        <v>0.63726000000000005</v>
      </c>
      <c r="J78" s="2369">
        <v>0.56716140000000004</v>
      </c>
      <c r="K78" s="2369">
        <v>0.52178848800000011</v>
      </c>
      <c r="L78" s="2369">
        <v>0.4956990636000001</v>
      </c>
      <c r="M78" s="2369">
        <v>0.47091411042000009</v>
      </c>
      <c r="N78" s="2369">
        <v>0.45207754600320005</v>
      </c>
      <c r="O78" s="2369">
        <v>0.43851521962310402</v>
      </c>
      <c r="P78" s="2369">
        <v>0.43413006742687299</v>
      </c>
      <c r="Q78" s="2369">
        <v>0.41676486472979807</v>
      </c>
      <c r="R78" s="2369">
        <v>0.40009427014060611</v>
      </c>
      <c r="S78" s="2369">
        <v>0.39609332743920006</v>
      </c>
      <c r="T78" s="2369">
        <v>0.39213239416480805</v>
      </c>
      <c r="U78" s="2371">
        <v>0.38821107022315998</v>
      </c>
    </row>
    <row r="79" spans="1:21" ht="24" customHeight="1">
      <c r="A79" s="2164"/>
      <c r="B79" s="2165"/>
      <c r="C79" s="2169"/>
      <c r="D79" s="1237" t="s">
        <v>1214</v>
      </c>
      <c r="E79" s="2329"/>
      <c r="F79" s="2330"/>
      <c r="G79" s="2370"/>
      <c r="H79" s="2370"/>
      <c r="I79" s="2370"/>
      <c r="J79" s="2370"/>
      <c r="K79" s="2370"/>
      <c r="L79" s="2370"/>
      <c r="M79" s="2370"/>
      <c r="N79" s="2370"/>
      <c r="O79" s="2370"/>
      <c r="P79" s="2370"/>
      <c r="Q79" s="2370"/>
      <c r="R79" s="2370"/>
      <c r="S79" s="2370"/>
      <c r="T79" s="2370"/>
      <c r="U79" s="2372"/>
    </row>
    <row r="80" spans="1:21" ht="24" customHeight="1">
      <c r="A80" s="2164"/>
      <c r="B80" s="2157" t="s">
        <v>1248</v>
      </c>
      <c r="C80" s="2168" t="s">
        <v>1246</v>
      </c>
      <c r="D80" s="1235" t="s">
        <v>1213</v>
      </c>
      <c r="E80" s="2329"/>
      <c r="F80" s="2330"/>
      <c r="G80" s="2330"/>
      <c r="H80" s="2369">
        <v>0.86</v>
      </c>
      <c r="I80" s="2369">
        <v>0.81699999999999995</v>
      </c>
      <c r="J80" s="2369">
        <v>0.72712999999999994</v>
      </c>
      <c r="K80" s="2369">
        <v>0.66895959999999999</v>
      </c>
      <c r="L80" s="2369">
        <v>0.63551161999999994</v>
      </c>
      <c r="M80" s="2369">
        <v>0.60373603899999995</v>
      </c>
      <c r="N80" s="2369">
        <v>0.57958659743999996</v>
      </c>
      <c r="O80" s="2369">
        <v>0.56219899951679997</v>
      </c>
      <c r="P80" s="2369">
        <v>0.55657700952163192</v>
      </c>
      <c r="Q80" s="2369">
        <v>0.53431392914076659</v>
      </c>
      <c r="R80" s="2369">
        <v>0.5129413719751359</v>
      </c>
      <c r="S80" s="2369">
        <v>0.5078119582553845</v>
      </c>
      <c r="T80" s="2369">
        <v>0.50273383867283061</v>
      </c>
      <c r="U80" s="2371">
        <v>0.4977065002861023</v>
      </c>
    </row>
    <row r="81" spans="1:21" ht="24" customHeight="1">
      <c r="A81" s="2164"/>
      <c r="B81" s="2165"/>
      <c r="C81" s="2169"/>
      <c r="D81" s="1237" t="s">
        <v>1214</v>
      </c>
      <c r="E81" s="2329"/>
      <c r="F81" s="2330"/>
      <c r="G81" s="2330"/>
      <c r="H81" s="2370"/>
      <c r="I81" s="2370"/>
      <c r="J81" s="2370"/>
      <c r="K81" s="2370"/>
      <c r="L81" s="2370"/>
      <c r="M81" s="2370"/>
      <c r="N81" s="2370"/>
      <c r="O81" s="2370"/>
      <c r="P81" s="2370"/>
      <c r="Q81" s="2370"/>
      <c r="R81" s="2370"/>
      <c r="S81" s="2370"/>
      <c r="T81" s="2370"/>
      <c r="U81" s="2372"/>
    </row>
    <row r="82" spans="1:21" ht="24" customHeight="1">
      <c r="A82" s="2164"/>
      <c r="B82" s="2157" t="s">
        <v>1249</v>
      </c>
      <c r="C82" s="2168" t="s">
        <v>1246</v>
      </c>
      <c r="D82" s="1235" t="s">
        <v>1213</v>
      </c>
      <c r="E82" s="2329"/>
      <c r="F82" s="2330"/>
      <c r="G82" s="2330"/>
      <c r="H82" s="2330"/>
      <c r="I82" s="2369">
        <v>0.95</v>
      </c>
      <c r="J82" s="2369">
        <v>0.84549999999999992</v>
      </c>
      <c r="K82" s="2369">
        <v>0.77786</v>
      </c>
      <c r="L82" s="2369">
        <v>0.73896699999999993</v>
      </c>
      <c r="M82" s="2369">
        <v>0.70201864999999986</v>
      </c>
      <c r="N82" s="2369">
        <v>0.67393790399999987</v>
      </c>
      <c r="O82" s="2369">
        <v>0.65371976687999989</v>
      </c>
      <c r="P82" s="2369">
        <v>0.64718256921119988</v>
      </c>
      <c r="Q82" s="2369">
        <v>0.6212952664427519</v>
      </c>
      <c r="R82" s="2369">
        <v>0.59644345578504177</v>
      </c>
      <c r="S82" s="2369">
        <v>0.59047902122719131</v>
      </c>
      <c r="T82" s="2369">
        <v>0.58457423101491934</v>
      </c>
      <c r="U82" s="2371">
        <v>0.57872848870477012</v>
      </c>
    </row>
    <row r="83" spans="1:21" ht="24" customHeight="1">
      <c r="A83" s="2164"/>
      <c r="B83" s="2165"/>
      <c r="C83" s="2169"/>
      <c r="D83" s="1237" t="s">
        <v>1214</v>
      </c>
      <c r="E83" s="2329"/>
      <c r="F83" s="2330"/>
      <c r="G83" s="2330"/>
      <c r="H83" s="2330"/>
      <c r="I83" s="2370"/>
      <c r="J83" s="2370"/>
      <c r="K83" s="2370"/>
      <c r="L83" s="2370"/>
      <c r="M83" s="2370"/>
      <c r="N83" s="2370"/>
      <c r="O83" s="2370"/>
      <c r="P83" s="2370"/>
      <c r="Q83" s="2370"/>
      <c r="R83" s="2370"/>
      <c r="S83" s="2370"/>
      <c r="T83" s="2370"/>
      <c r="U83" s="2372"/>
    </row>
    <row r="84" spans="1:21" ht="24" customHeight="1">
      <c r="A84" s="2164"/>
      <c r="B84" s="2157" t="s">
        <v>1250</v>
      </c>
      <c r="C84" s="2168" t="s">
        <v>1246</v>
      </c>
      <c r="D84" s="1235" t="s">
        <v>1213</v>
      </c>
      <c r="E84" s="2329"/>
      <c r="F84" s="2330"/>
      <c r="G84" s="2330"/>
      <c r="H84" s="2330"/>
      <c r="I84" s="2330"/>
      <c r="J84" s="2369">
        <v>0.89</v>
      </c>
      <c r="K84" s="2369">
        <v>0.81880000000000008</v>
      </c>
      <c r="L84" s="2369">
        <v>0.77786</v>
      </c>
      <c r="M84" s="2369">
        <v>0.73896699999999993</v>
      </c>
      <c r="N84" s="2369">
        <v>0.70940831999999987</v>
      </c>
      <c r="O84" s="2369">
        <v>0.68812607039999985</v>
      </c>
      <c r="P84" s="2369">
        <v>0.68124480969599988</v>
      </c>
      <c r="Q84" s="2369">
        <v>0.6539950173081599</v>
      </c>
      <c r="R84" s="2369">
        <v>0.62783521661583352</v>
      </c>
      <c r="S84" s="2369">
        <v>0.62155686444967517</v>
      </c>
      <c r="T84" s="2369">
        <v>0.61534129580517838</v>
      </c>
      <c r="U84" s="2371">
        <v>0.60918788284712655</v>
      </c>
    </row>
    <row r="85" spans="1:21" ht="24" customHeight="1">
      <c r="A85" s="2164"/>
      <c r="B85" s="2165"/>
      <c r="C85" s="2169"/>
      <c r="D85" s="1237" t="s">
        <v>1214</v>
      </c>
      <c r="E85" s="2329"/>
      <c r="F85" s="2330"/>
      <c r="G85" s="2330"/>
      <c r="H85" s="2330"/>
      <c r="I85" s="2330"/>
      <c r="J85" s="2370"/>
      <c r="K85" s="2370"/>
      <c r="L85" s="2370"/>
      <c r="M85" s="2370"/>
      <c r="N85" s="2370"/>
      <c r="O85" s="2370"/>
      <c r="P85" s="2370"/>
      <c r="Q85" s="2370"/>
      <c r="R85" s="2370"/>
      <c r="S85" s="2370"/>
      <c r="T85" s="2370"/>
      <c r="U85" s="2372"/>
    </row>
    <row r="86" spans="1:21" ht="24" customHeight="1">
      <c r="A86" s="2164"/>
      <c r="B86" s="2157" t="s">
        <v>1251</v>
      </c>
      <c r="C86" s="2168" t="s">
        <v>1246</v>
      </c>
      <c r="D86" s="1235" t="s">
        <v>1213</v>
      </c>
      <c r="E86" s="2329"/>
      <c r="F86" s="2330"/>
      <c r="G86" s="2330"/>
      <c r="H86" s="2330"/>
      <c r="I86" s="2330"/>
      <c r="J86" s="2330"/>
      <c r="K86" s="2369">
        <v>0.92</v>
      </c>
      <c r="L86" s="2369">
        <v>0.874</v>
      </c>
      <c r="M86" s="2369">
        <v>0.83029999999999993</v>
      </c>
      <c r="N86" s="2369">
        <v>0.79708799999999991</v>
      </c>
      <c r="O86" s="2369">
        <v>0.77317535999999987</v>
      </c>
      <c r="P86" s="2369">
        <v>0.76544360639999987</v>
      </c>
      <c r="Q86" s="2369">
        <v>0.73482586214399981</v>
      </c>
      <c r="R86" s="2369">
        <v>0.70543282765823978</v>
      </c>
      <c r="S86" s="2369">
        <v>0.69837849938165741</v>
      </c>
      <c r="T86" s="2369">
        <v>0.69139471438784084</v>
      </c>
      <c r="U86" s="2371">
        <v>0.68448076724396245</v>
      </c>
    </row>
    <row r="87" spans="1:21" ht="24" customHeight="1">
      <c r="A87" s="2164"/>
      <c r="B87" s="2165"/>
      <c r="C87" s="2169"/>
      <c r="D87" s="1237" t="s">
        <v>1214</v>
      </c>
      <c r="E87" s="2329"/>
      <c r="F87" s="2330"/>
      <c r="G87" s="2330"/>
      <c r="H87" s="2330"/>
      <c r="I87" s="2330"/>
      <c r="J87" s="2330"/>
      <c r="K87" s="2370"/>
      <c r="L87" s="2370"/>
      <c r="M87" s="2370"/>
      <c r="N87" s="2370"/>
      <c r="O87" s="2370"/>
      <c r="P87" s="2370"/>
      <c r="Q87" s="2370"/>
      <c r="R87" s="2370"/>
      <c r="S87" s="2370"/>
      <c r="T87" s="2370"/>
      <c r="U87" s="2372"/>
    </row>
    <row r="88" spans="1:21" ht="24" customHeight="1">
      <c r="A88" s="2164"/>
      <c r="B88" s="2157" t="s">
        <v>1252</v>
      </c>
      <c r="C88" s="2168" t="s">
        <v>1246</v>
      </c>
      <c r="D88" s="1235" t="s">
        <v>1213</v>
      </c>
      <c r="E88" s="2329"/>
      <c r="F88" s="2330"/>
      <c r="G88" s="2330"/>
      <c r="H88" s="2330"/>
      <c r="I88" s="2330"/>
      <c r="J88" s="2330"/>
      <c r="K88" s="2330"/>
      <c r="L88" s="2369">
        <v>0.95</v>
      </c>
      <c r="M88" s="2369">
        <v>0.90249999999999997</v>
      </c>
      <c r="N88" s="2369">
        <v>0.86639999999999995</v>
      </c>
      <c r="O88" s="2369">
        <v>0.84040799999999993</v>
      </c>
      <c r="P88" s="2369">
        <v>0.8320039199999999</v>
      </c>
      <c r="Q88" s="2369">
        <v>0.79872376319999983</v>
      </c>
      <c r="R88" s="2369">
        <v>0.76677481267199976</v>
      </c>
      <c r="S88" s="2369">
        <v>0.75910706454527976</v>
      </c>
      <c r="T88" s="2369">
        <v>0.75151599389982693</v>
      </c>
      <c r="U88" s="2371">
        <v>0.74400083396082861</v>
      </c>
    </row>
    <row r="89" spans="1:21" ht="24" customHeight="1">
      <c r="A89" s="2164"/>
      <c r="B89" s="2165"/>
      <c r="C89" s="2169"/>
      <c r="D89" s="1237" t="s">
        <v>1214</v>
      </c>
      <c r="E89" s="2329"/>
      <c r="F89" s="2330"/>
      <c r="G89" s="2330"/>
      <c r="H89" s="2330"/>
      <c r="I89" s="2330"/>
      <c r="J89" s="2330"/>
      <c r="K89" s="2330"/>
      <c r="L89" s="2370"/>
      <c r="M89" s="2370"/>
      <c r="N89" s="2370"/>
      <c r="O89" s="2370"/>
      <c r="P89" s="2370"/>
      <c r="Q89" s="2370"/>
      <c r="R89" s="2370"/>
      <c r="S89" s="2370"/>
      <c r="T89" s="2370"/>
      <c r="U89" s="2372"/>
    </row>
    <row r="90" spans="1:21" ht="24" customHeight="1">
      <c r="A90" s="2164"/>
      <c r="B90" s="2157" t="s">
        <v>1253</v>
      </c>
      <c r="C90" s="2168" t="s">
        <v>1246</v>
      </c>
      <c r="D90" s="1235" t="s">
        <v>1213</v>
      </c>
      <c r="E90" s="2329"/>
      <c r="F90" s="2330"/>
      <c r="G90" s="2330"/>
      <c r="H90" s="2330"/>
      <c r="I90" s="2330"/>
      <c r="J90" s="2330"/>
      <c r="K90" s="2330"/>
      <c r="L90" s="2330"/>
      <c r="M90" s="2369">
        <v>0.95</v>
      </c>
      <c r="N90" s="2369">
        <v>0.91199999999999992</v>
      </c>
      <c r="O90" s="2369">
        <v>0.88463999999999987</v>
      </c>
      <c r="P90" s="2369">
        <v>0.87579359999999984</v>
      </c>
      <c r="Q90" s="2369">
        <v>0.84076185599999986</v>
      </c>
      <c r="R90" s="2369">
        <v>0.80713138175999988</v>
      </c>
      <c r="S90" s="2369">
        <v>0.79906006794239992</v>
      </c>
      <c r="T90" s="2369">
        <v>0.79106946726297589</v>
      </c>
      <c r="U90" s="2371">
        <v>0.78315877259034616</v>
      </c>
    </row>
    <row r="91" spans="1:21" ht="24" customHeight="1">
      <c r="A91" s="2164"/>
      <c r="B91" s="2165"/>
      <c r="C91" s="2169"/>
      <c r="D91" s="1237" t="s">
        <v>1214</v>
      </c>
      <c r="E91" s="2329"/>
      <c r="F91" s="2330"/>
      <c r="G91" s="2330"/>
      <c r="H91" s="2330"/>
      <c r="I91" s="2330"/>
      <c r="J91" s="2330"/>
      <c r="K91" s="2330"/>
      <c r="L91" s="2330"/>
      <c r="M91" s="2370"/>
      <c r="N91" s="2370"/>
      <c r="O91" s="2370"/>
      <c r="P91" s="2370"/>
      <c r="Q91" s="2370"/>
      <c r="R91" s="2370"/>
      <c r="S91" s="2370"/>
      <c r="T91" s="2370"/>
      <c r="U91" s="2372"/>
    </row>
    <row r="92" spans="1:21" ht="24" customHeight="1">
      <c r="A92" s="2164"/>
      <c r="B92" s="2157" t="s">
        <v>1254</v>
      </c>
      <c r="C92" s="2168" t="s">
        <v>1246</v>
      </c>
      <c r="D92" s="1235" t="s">
        <v>1213</v>
      </c>
      <c r="E92" s="2329"/>
      <c r="F92" s="2330"/>
      <c r="G92" s="2330"/>
      <c r="H92" s="2330"/>
      <c r="I92" s="2330"/>
      <c r="J92" s="2330"/>
      <c r="K92" s="2330"/>
      <c r="L92" s="2330"/>
      <c r="M92" s="2330"/>
      <c r="N92" s="2369">
        <v>0.96</v>
      </c>
      <c r="O92" s="2369">
        <v>0.93119999999999992</v>
      </c>
      <c r="P92" s="2369">
        <v>0.92188799999999993</v>
      </c>
      <c r="Q92" s="2369">
        <v>0.88501247999999988</v>
      </c>
      <c r="R92" s="2369">
        <v>0.84961198079999989</v>
      </c>
      <c r="S92" s="2369">
        <v>0.84111586099199986</v>
      </c>
      <c r="T92" s="2369">
        <v>0.83270470238207983</v>
      </c>
      <c r="U92" s="2371">
        <v>0.82437765535825902</v>
      </c>
    </row>
    <row r="93" spans="1:21" ht="24" customHeight="1">
      <c r="A93" s="2164"/>
      <c r="B93" s="2165"/>
      <c r="C93" s="2169"/>
      <c r="D93" s="1237" t="s">
        <v>1214</v>
      </c>
      <c r="E93" s="2329"/>
      <c r="F93" s="2330"/>
      <c r="G93" s="2330"/>
      <c r="H93" s="2330"/>
      <c r="I93" s="2330"/>
      <c r="J93" s="2330"/>
      <c r="K93" s="2330"/>
      <c r="L93" s="2330"/>
      <c r="M93" s="2330"/>
      <c r="N93" s="2370"/>
      <c r="O93" s="2370"/>
      <c r="P93" s="2370"/>
      <c r="Q93" s="2370"/>
      <c r="R93" s="2370"/>
      <c r="S93" s="2370"/>
      <c r="T93" s="2370"/>
      <c r="U93" s="2372"/>
    </row>
    <row r="94" spans="1:21" ht="24" customHeight="1">
      <c r="A94" s="2164"/>
      <c r="B94" s="2157" t="s">
        <v>1255</v>
      </c>
      <c r="C94" s="2168" t="s">
        <v>1246</v>
      </c>
      <c r="D94" s="1235" t="s">
        <v>1213</v>
      </c>
      <c r="E94" s="2329"/>
      <c r="F94" s="2330"/>
      <c r="G94" s="2330"/>
      <c r="H94" s="2330"/>
      <c r="I94" s="2330"/>
      <c r="J94" s="2330"/>
      <c r="K94" s="2330"/>
      <c r="L94" s="2330"/>
      <c r="M94" s="2330"/>
      <c r="N94" s="2330"/>
      <c r="O94" s="2369">
        <v>0.97</v>
      </c>
      <c r="P94" s="2369">
        <v>0.96029999999999993</v>
      </c>
      <c r="Q94" s="2369">
        <v>0.92188799999999993</v>
      </c>
      <c r="R94" s="2369">
        <v>0.88501247999999988</v>
      </c>
      <c r="S94" s="2369">
        <v>0.87616235519999985</v>
      </c>
      <c r="T94" s="2369">
        <v>0.8674007316479998</v>
      </c>
      <c r="U94" s="2371">
        <v>0.85872672433151975</v>
      </c>
    </row>
    <row r="95" spans="1:21" ht="24" customHeight="1">
      <c r="A95" s="2164"/>
      <c r="B95" s="2165"/>
      <c r="C95" s="2169"/>
      <c r="D95" s="1237" t="s">
        <v>1214</v>
      </c>
      <c r="E95" s="2329"/>
      <c r="F95" s="2330"/>
      <c r="G95" s="2330"/>
      <c r="H95" s="2330"/>
      <c r="I95" s="2330"/>
      <c r="J95" s="2330"/>
      <c r="K95" s="2330"/>
      <c r="L95" s="2330"/>
      <c r="M95" s="2330"/>
      <c r="N95" s="2330"/>
      <c r="O95" s="2370"/>
      <c r="P95" s="2370"/>
      <c r="Q95" s="2370"/>
      <c r="R95" s="2370"/>
      <c r="S95" s="2370"/>
      <c r="T95" s="2370"/>
      <c r="U95" s="2372"/>
    </row>
    <row r="96" spans="1:21" ht="24" customHeight="1">
      <c r="A96" s="2164"/>
      <c r="B96" s="2157" t="s">
        <v>1256</v>
      </c>
      <c r="C96" s="2168" t="s">
        <v>1246</v>
      </c>
      <c r="D96" s="1235" t="s">
        <v>1213</v>
      </c>
      <c r="E96" s="2329"/>
      <c r="F96" s="2330"/>
      <c r="G96" s="2330"/>
      <c r="H96" s="2330"/>
      <c r="I96" s="2330"/>
      <c r="J96" s="2330"/>
      <c r="K96" s="2330"/>
      <c r="L96" s="2330"/>
      <c r="M96" s="2330"/>
      <c r="N96" s="2330"/>
      <c r="O96" s="2330"/>
      <c r="P96" s="2369">
        <v>0.99</v>
      </c>
      <c r="Q96" s="2369">
        <v>0.95039999999999991</v>
      </c>
      <c r="R96" s="2369">
        <v>0.91238399999999986</v>
      </c>
      <c r="S96" s="2369">
        <v>0.90326015999999987</v>
      </c>
      <c r="T96" s="2369">
        <v>0.8942275583999999</v>
      </c>
      <c r="U96" s="2371">
        <v>0.88528528281599994</v>
      </c>
    </row>
    <row r="97" spans="1:21" ht="24" customHeight="1">
      <c r="A97" s="2164"/>
      <c r="B97" s="2165"/>
      <c r="C97" s="2169"/>
      <c r="D97" s="1237" t="s">
        <v>1214</v>
      </c>
      <c r="E97" s="2329"/>
      <c r="F97" s="2330"/>
      <c r="G97" s="2330"/>
      <c r="H97" s="2330"/>
      <c r="I97" s="2330"/>
      <c r="J97" s="2330"/>
      <c r="K97" s="2330"/>
      <c r="L97" s="2330"/>
      <c r="M97" s="2330"/>
      <c r="N97" s="2330"/>
      <c r="O97" s="2330"/>
      <c r="P97" s="2370"/>
      <c r="Q97" s="2370"/>
      <c r="R97" s="2370"/>
      <c r="S97" s="2370"/>
      <c r="T97" s="2370"/>
      <c r="U97" s="2372"/>
    </row>
    <row r="98" spans="1:21" ht="24" customHeight="1">
      <c r="A98" s="2164"/>
      <c r="B98" s="2157" t="s">
        <v>1257</v>
      </c>
      <c r="C98" s="2168" t="s">
        <v>1246</v>
      </c>
      <c r="D98" s="1235" t="s">
        <v>1213</v>
      </c>
      <c r="E98" s="2329"/>
      <c r="F98" s="2330"/>
      <c r="G98" s="2330"/>
      <c r="H98" s="2330"/>
      <c r="I98" s="2330"/>
      <c r="J98" s="2330"/>
      <c r="K98" s="2330"/>
      <c r="L98" s="2330"/>
      <c r="M98" s="2330"/>
      <c r="N98" s="2330"/>
      <c r="O98" s="2330"/>
      <c r="P98" s="2330"/>
      <c r="Q98" s="2369">
        <v>0.96</v>
      </c>
      <c r="R98" s="2369">
        <v>0.92159999999999997</v>
      </c>
      <c r="S98" s="2369">
        <v>0.91238399999999997</v>
      </c>
      <c r="T98" s="2369">
        <v>0.90326015999999998</v>
      </c>
      <c r="U98" s="2371">
        <v>0.89422755840000001</v>
      </c>
    </row>
    <row r="99" spans="1:21" ht="24" customHeight="1">
      <c r="A99" s="2164"/>
      <c r="B99" s="2165"/>
      <c r="C99" s="2169"/>
      <c r="D99" s="1237" t="s">
        <v>1214</v>
      </c>
      <c r="E99" s="2329"/>
      <c r="F99" s="2330"/>
      <c r="G99" s="2330"/>
      <c r="H99" s="2330"/>
      <c r="I99" s="2330"/>
      <c r="J99" s="2330"/>
      <c r="K99" s="2330"/>
      <c r="L99" s="2330"/>
      <c r="M99" s="2330"/>
      <c r="N99" s="2330"/>
      <c r="O99" s="2330"/>
      <c r="P99" s="2330"/>
      <c r="Q99" s="2370"/>
      <c r="R99" s="2370"/>
      <c r="S99" s="2370"/>
      <c r="T99" s="2370"/>
      <c r="U99" s="2372"/>
    </row>
    <row r="100" spans="1:21" ht="24" customHeight="1">
      <c r="A100" s="2164"/>
      <c r="B100" s="2157" t="s">
        <v>1258</v>
      </c>
      <c r="C100" s="2168" t="s">
        <v>1246</v>
      </c>
      <c r="D100" s="1235" t="s">
        <v>1213</v>
      </c>
      <c r="E100" s="2329"/>
      <c r="F100" s="2330"/>
      <c r="G100" s="2330"/>
      <c r="H100" s="2330"/>
      <c r="I100" s="2330"/>
      <c r="J100" s="2330"/>
      <c r="K100" s="2330"/>
      <c r="L100" s="2330"/>
      <c r="M100" s="2330"/>
      <c r="N100" s="2330"/>
      <c r="O100" s="2330"/>
      <c r="P100" s="2330"/>
      <c r="Q100" s="2330"/>
      <c r="R100" s="2369">
        <v>0.96</v>
      </c>
      <c r="S100" s="2369">
        <v>0.95039999999999991</v>
      </c>
      <c r="T100" s="2369">
        <v>0.94089599999999995</v>
      </c>
      <c r="U100" s="2371">
        <v>0.93148703999999993</v>
      </c>
    </row>
    <row r="101" spans="1:21" ht="24" customHeight="1">
      <c r="A101" s="2164"/>
      <c r="B101" s="2165"/>
      <c r="C101" s="2169"/>
      <c r="D101" s="1237" t="s">
        <v>1214</v>
      </c>
      <c r="E101" s="2329"/>
      <c r="F101" s="2330"/>
      <c r="G101" s="2330"/>
      <c r="H101" s="2330"/>
      <c r="I101" s="2330"/>
      <c r="J101" s="2330"/>
      <c r="K101" s="2330"/>
      <c r="L101" s="2330"/>
      <c r="M101" s="2330"/>
      <c r="N101" s="2330"/>
      <c r="O101" s="2330"/>
      <c r="P101" s="2330"/>
      <c r="Q101" s="2330"/>
      <c r="R101" s="2370"/>
      <c r="S101" s="2370"/>
      <c r="T101" s="2370"/>
      <c r="U101" s="2372"/>
    </row>
    <row r="102" spans="1:21" ht="24" customHeight="1">
      <c r="A102" s="2164"/>
      <c r="B102" s="2157" t="s">
        <v>1259</v>
      </c>
      <c r="C102" s="2168" t="s">
        <v>1246</v>
      </c>
      <c r="D102" s="1235" t="s">
        <v>1213</v>
      </c>
      <c r="E102" s="2329"/>
      <c r="F102" s="2330"/>
      <c r="G102" s="2330"/>
      <c r="H102" s="2330"/>
      <c r="I102" s="2330"/>
      <c r="J102" s="2330"/>
      <c r="K102" s="2330"/>
      <c r="L102" s="2330"/>
      <c r="M102" s="2330"/>
      <c r="N102" s="2330"/>
      <c r="O102" s="2330"/>
      <c r="P102" s="2330"/>
      <c r="Q102" s="2330"/>
      <c r="R102" s="2330"/>
      <c r="S102" s="2369">
        <v>0.99</v>
      </c>
      <c r="T102" s="2369">
        <v>0.98009999999999997</v>
      </c>
      <c r="U102" s="2371">
        <v>0.97029899999999991</v>
      </c>
    </row>
    <row r="103" spans="1:21" ht="24" customHeight="1">
      <c r="A103" s="2164"/>
      <c r="B103" s="2165"/>
      <c r="C103" s="2169"/>
      <c r="D103" s="1237" t="s">
        <v>1214</v>
      </c>
      <c r="E103" s="2329"/>
      <c r="F103" s="2330"/>
      <c r="G103" s="2330"/>
      <c r="H103" s="2330"/>
      <c r="I103" s="2330"/>
      <c r="J103" s="2330"/>
      <c r="K103" s="2330"/>
      <c r="L103" s="2330"/>
      <c r="M103" s="2330"/>
      <c r="N103" s="2330"/>
      <c r="O103" s="2330"/>
      <c r="P103" s="2330"/>
      <c r="Q103" s="2330"/>
      <c r="R103" s="2330"/>
      <c r="S103" s="2370"/>
      <c r="T103" s="2370"/>
      <c r="U103" s="2372"/>
    </row>
    <row r="104" spans="1:21" ht="24" customHeight="1">
      <c r="A104" s="2164"/>
      <c r="B104" s="2157" t="s">
        <v>1260</v>
      </c>
      <c r="C104" s="2168" t="s">
        <v>1246</v>
      </c>
      <c r="D104" s="1235" t="s">
        <v>1213</v>
      </c>
      <c r="E104" s="2329"/>
      <c r="F104" s="2330"/>
      <c r="G104" s="2330"/>
      <c r="H104" s="2330"/>
      <c r="I104" s="2330"/>
      <c r="J104" s="2330"/>
      <c r="K104" s="2330"/>
      <c r="L104" s="2330"/>
      <c r="M104" s="2330"/>
      <c r="N104" s="2330"/>
      <c r="O104" s="2330"/>
      <c r="P104" s="2330"/>
      <c r="Q104" s="2330"/>
      <c r="R104" s="2330"/>
      <c r="S104" s="2330"/>
      <c r="T104" s="2369">
        <v>0.99</v>
      </c>
      <c r="U104" s="2371">
        <v>0.98009999999999997</v>
      </c>
    </row>
    <row r="105" spans="1:21" ht="24" customHeight="1">
      <c r="A105" s="2164"/>
      <c r="B105" s="2165"/>
      <c r="C105" s="2169"/>
      <c r="D105" s="1237" t="s">
        <v>1214</v>
      </c>
      <c r="E105" s="2329"/>
      <c r="F105" s="2330"/>
      <c r="G105" s="2330"/>
      <c r="H105" s="2330"/>
      <c r="I105" s="2330"/>
      <c r="J105" s="2330"/>
      <c r="K105" s="2330"/>
      <c r="L105" s="2330"/>
      <c r="M105" s="2330"/>
      <c r="N105" s="2330"/>
      <c r="O105" s="2330"/>
      <c r="P105" s="2330"/>
      <c r="Q105" s="2330"/>
      <c r="R105" s="2330"/>
      <c r="S105" s="2330"/>
      <c r="T105" s="2370"/>
      <c r="U105" s="2372"/>
    </row>
    <row r="106" spans="1:21" ht="24" customHeight="1">
      <c r="A106" s="2164"/>
      <c r="B106" s="2157" t="s">
        <v>1261</v>
      </c>
      <c r="C106" s="2168" t="s">
        <v>1246</v>
      </c>
      <c r="D106" s="1235" t="s">
        <v>1213</v>
      </c>
      <c r="E106" s="2329"/>
      <c r="F106" s="2330"/>
      <c r="G106" s="2330"/>
      <c r="H106" s="2330"/>
      <c r="I106" s="2330"/>
      <c r="J106" s="2330"/>
      <c r="K106" s="2330"/>
      <c r="L106" s="2330"/>
      <c r="M106" s="2330"/>
      <c r="N106" s="2330"/>
      <c r="O106" s="2330"/>
      <c r="P106" s="2330"/>
      <c r="Q106" s="2330"/>
      <c r="R106" s="2330"/>
      <c r="S106" s="2330"/>
      <c r="T106" s="2330"/>
      <c r="U106" s="2371">
        <v>0.99</v>
      </c>
    </row>
    <row r="107" spans="1:21" ht="24" customHeight="1">
      <c r="A107" s="2164"/>
      <c r="B107" s="2165"/>
      <c r="C107" s="2169"/>
      <c r="D107" s="1237" t="s">
        <v>1214</v>
      </c>
      <c r="E107" s="2329"/>
      <c r="F107" s="2330"/>
      <c r="G107" s="2330"/>
      <c r="H107" s="2330"/>
      <c r="I107" s="2330"/>
      <c r="J107" s="2330"/>
      <c r="K107" s="2330"/>
      <c r="L107" s="2330"/>
      <c r="M107" s="2330"/>
      <c r="N107" s="2330"/>
      <c r="O107" s="2330"/>
      <c r="P107" s="2330"/>
      <c r="Q107" s="2330"/>
      <c r="R107" s="2330"/>
      <c r="S107" s="2330"/>
      <c r="T107" s="2330"/>
      <c r="U107" s="2372"/>
    </row>
    <row r="108" spans="1:21" ht="24" customHeight="1">
      <c r="A108" s="2164"/>
      <c r="B108" s="2157" t="s">
        <v>1262</v>
      </c>
      <c r="C108" s="2168" t="s">
        <v>1246</v>
      </c>
      <c r="D108" s="1235" t="s">
        <v>1213</v>
      </c>
      <c r="E108" s="2329"/>
      <c r="F108" s="2330"/>
      <c r="G108" s="2330"/>
      <c r="H108" s="2330"/>
      <c r="I108" s="2330"/>
      <c r="J108" s="2330"/>
      <c r="K108" s="2330"/>
      <c r="L108" s="2330"/>
      <c r="M108" s="2330"/>
      <c r="N108" s="2330"/>
      <c r="O108" s="2330"/>
      <c r="P108" s="2330"/>
      <c r="Q108" s="2330"/>
      <c r="R108" s="2330"/>
      <c r="S108" s="2330"/>
      <c r="T108" s="2330"/>
      <c r="U108" s="2373"/>
    </row>
    <row r="109" spans="1:21" ht="24" customHeight="1">
      <c r="A109" s="2165"/>
      <c r="B109" s="2165"/>
      <c r="C109" s="2332"/>
      <c r="D109" s="1237" t="s">
        <v>1214</v>
      </c>
      <c r="E109" s="2329"/>
      <c r="F109" s="2330"/>
      <c r="G109" s="2330"/>
      <c r="H109" s="2330"/>
      <c r="I109" s="2330"/>
      <c r="J109" s="2330"/>
      <c r="K109" s="2330"/>
      <c r="L109" s="2330"/>
      <c r="M109" s="2330"/>
      <c r="N109" s="2330"/>
      <c r="O109" s="2330"/>
      <c r="P109" s="2330"/>
      <c r="Q109" s="2330"/>
      <c r="R109" s="2330"/>
      <c r="S109" s="2330"/>
      <c r="T109" s="2330"/>
      <c r="U109" s="2374"/>
    </row>
    <row r="110" spans="1:21" ht="24" customHeight="1">
      <c r="A110" s="2157" t="s">
        <v>1220</v>
      </c>
      <c r="B110" s="2157" t="s">
        <v>1245</v>
      </c>
      <c r="C110" s="2168" t="s">
        <v>1246</v>
      </c>
      <c r="D110" s="1235" t="s">
        <v>1213</v>
      </c>
      <c r="E110" s="2329"/>
      <c r="F110" s="2369">
        <v>0.63</v>
      </c>
      <c r="G110" s="2369">
        <v>0.4914</v>
      </c>
      <c r="H110" s="2369">
        <v>0.42260399999999998</v>
      </c>
      <c r="I110" s="2369">
        <v>0.40147379999999994</v>
      </c>
      <c r="J110" s="2369">
        <v>0.35731168199999996</v>
      </c>
      <c r="K110" s="2369">
        <v>0.32872674743999997</v>
      </c>
      <c r="L110" s="2369">
        <v>0.31229041006799996</v>
      </c>
      <c r="M110" s="2369">
        <v>0.29667588956459995</v>
      </c>
      <c r="N110" s="2369">
        <v>0.28480885398201594</v>
      </c>
      <c r="O110" s="2369">
        <v>0.27626458836255546</v>
      </c>
      <c r="P110" s="2369">
        <v>0.27350194247892989</v>
      </c>
      <c r="Q110" s="2369">
        <v>0.26256186477977267</v>
      </c>
      <c r="R110" s="2369">
        <v>0.25205939018858176</v>
      </c>
      <c r="S110" s="2369">
        <v>0.24953879628669592</v>
      </c>
      <c r="T110" s="2369">
        <v>0.24704340832382896</v>
      </c>
      <c r="U110" s="2371">
        <v>0.24457297424059066</v>
      </c>
    </row>
    <row r="111" spans="1:21" ht="24" customHeight="1">
      <c r="A111" s="2164"/>
      <c r="B111" s="2165"/>
      <c r="C111" s="2169"/>
      <c r="D111" s="1237" t="s">
        <v>1214</v>
      </c>
      <c r="E111" s="2329"/>
      <c r="F111" s="2370"/>
      <c r="G111" s="2370"/>
      <c r="H111" s="2370"/>
      <c r="I111" s="2370"/>
      <c r="J111" s="2370"/>
      <c r="K111" s="2370"/>
      <c r="L111" s="2370"/>
      <c r="M111" s="2370"/>
      <c r="N111" s="2370"/>
      <c r="O111" s="2370"/>
      <c r="P111" s="2370"/>
      <c r="Q111" s="2370"/>
      <c r="R111" s="2370"/>
      <c r="S111" s="2370"/>
      <c r="T111" s="2370"/>
      <c r="U111" s="2372"/>
    </row>
    <row r="112" spans="1:21" ht="24" customHeight="1">
      <c r="A112" s="2164"/>
      <c r="B112" s="2157" t="s">
        <v>1247</v>
      </c>
      <c r="C112" s="2168" t="s">
        <v>1246</v>
      </c>
      <c r="D112" s="1235" t="s">
        <v>1213</v>
      </c>
      <c r="E112" s="2329"/>
      <c r="F112" s="2330"/>
      <c r="G112" s="2369">
        <v>0.78</v>
      </c>
      <c r="H112" s="2369">
        <v>0.67080000000000006</v>
      </c>
      <c r="I112" s="2369">
        <v>0.63726000000000005</v>
      </c>
      <c r="J112" s="2369">
        <v>0.56716140000000004</v>
      </c>
      <c r="K112" s="2369">
        <v>0.52178848800000011</v>
      </c>
      <c r="L112" s="2369">
        <v>0.4956990636000001</v>
      </c>
      <c r="M112" s="2369">
        <v>0.47091411042000009</v>
      </c>
      <c r="N112" s="2369">
        <v>0.45207754600320005</v>
      </c>
      <c r="O112" s="2369">
        <v>0.43851521962310402</v>
      </c>
      <c r="P112" s="2369">
        <v>0.43413006742687299</v>
      </c>
      <c r="Q112" s="2369">
        <v>0.41676486472979807</v>
      </c>
      <c r="R112" s="2369">
        <v>0.40009427014060611</v>
      </c>
      <c r="S112" s="2369">
        <v>0.39609332743920006</v>
      </c>
      <c r="T112" s="2369">
        <v>0.39213239416480805</v>
      </c>
      <c r="U112" s="2371">
        <v>0.38821107022315998</v>
      </c>
    </row>
    <row r="113" spans="1:21" ht="24" customHeight="1">
      <c r="A113" s="2164"/>
      <c r="B113" s="2165"/>
      <c r="C113" s="2169"/>
      <c r="D113" s="1237" t="s">
        <v>1214</v>
      </c>
      <c r="E113" s="2329"/>
      <c r="F113" s="2330"/>
      <c r="G113" s="2370"/>
      <c r="H113" s="2370"/>
      <c r="I113" s="2370"/>
      <c r="J113" s="2370"/>
      <c r="K113" s="2370"/>
      <c r="L113" s="2370"/>
      <c r="M113" s="2370"/>
      <c r="N113" s="2370"/>
      <c r="O113" s="2370"/>
      <c r="P113" s="2370"/>
      <c r="Q113" s="2370"/>
      <c r="R113" s="2370"/>
      <c r="S113" s="2370"/>
      <c r="T113" s="2370"/>
      <c r="U113" s="2372"/>
    </row>
    <row r="114" spans="1:21" ht="24" customHeight="1">
      <c r="A114" s="2164"/>
      <c r="B114" s="2157" t="s">
        <v>1248</v>
      </c>
      <c r="C114" s="2168" t="s">
        <v>1246</v>
      </c>
      <c r="D114" s="1235" t="s">
        <v>1213</v>
      </c>
      <c r="E114" s="2329"/>
      <c r="F114" s="2330"/>
      <c r="G114" s="2330"/>
      <c r="H114" s="2369">
        <v>0.86</v>
      </c>
      <c r="I114" s="2369">
        <v>0.81699999999999995</v>
      </c>
      <c r="J114" s="2369">
        <v>0.72712999999999994</v>
      </c>
      <c r="K114" s="2369">
        <v>0.66895959999999999</v>
      </c>
      <c r="L114" s="2369">
        <v>0.63551161999999994</v>
      </c>
      <c r="M114" s="2369">
        <v>0.60373603899999995</v>
      </c>
      <c r="N114" s="2369">
        <v>0.57958659743999996</v>
      </c>
      <c r="O114" s="2369">
        <v>0.56219899951679997</v>
      </c>
      <c r="P114" s="2369">
        <v>0.55657700952163192</v>
      </c>
      <c r="Q114" s="2369">
        <v>0.53431392914076659</v>
      </c>
      <c r="R114" s="2369">
        <v>0.5129413719751359</v>
      </c>
      <c r="S114" s="2369">
        <v>0.5078119582553845</v>
      </c>
      <c r="T114" s="2369">
        <v>0.50273383867283061</v>
      </c>
      <c r="U114" s="2371">
        <v>0.4977065002861023</v>
      </c>
    </row>
    <row r="115" spans="1:21" ht="24" customHeight="1">
      <c r="A115" s="2164"/>
      <c r="B115" s="2165"/>
      <c r="C115" s="2169"/>
      <c r="D115" s="1237" t="s">
        <v>1214</v>
      </c>
      <c r="E115" s="2329"/>
      <c r="F115" s="2330"/>
      <c r="G115" s="2330"/>
      <c r="H115" s="2370"/>
      <c r="I115" s="2370"/>
      <c r="J115" s="2370"/>
      <c r="K115" s="2370"/>
      <c r="L115" s="2370"/>
      <c r="M115" s="2370"/>
      <c r="N115" s="2370"/>
      <c r="O115" s="2370"/>
      <c r="P115" s="2370"/>
      <c r="Q115" s="2370"/>
      <c r="R115" s="2370"/>
      <c r="S115" s="2370"/>
      <c r="T115" s="2370"/>
      <c r="U115" s="2372"/>
    </row>
    <row r="116" spans="1:21" ht="24" customHeight="1">
      <c r="A116" s="2164"/>
      <c r="B116" s="2157" t="s">
        <v>1249</v>
      </c>
      <c r="C116" s="2168" t="s">
        <v>1246</v>
      </c>
      <c r="D116" s="1235" t="s">
        <v>1213</v>
      </c>
      <c r="E116" s="2329"/>
      <c r="F116" s="2330"/>
      <c r="G116" s="2330"/>
      <c r="H116" s="2330"/>
      <c r="I116" s="2369">
        <v>0.95</v>
      </c>
      <c r="J116" s="2369">
        <v>0.84549999999999992</v>
      </c>
      <c r="K116" s="2369">
        <v>0.77786</v>
      </c>
      <c r="L116" s="2369">
        <v>0.73896699999999993</v>
      </c>
      <c r="M116" s="2369">
        <v>0.70201864999999986</v>
      </c>
      <c r="N116" s="2369">
        <v>0.67393790399999987</v>
      </c>
      <c r="O116" s="2369">
        <v>0.65371976687999989</v>
      </c>
      <c r="P116" s="2369">
        <v>0.64718256921119988</v>
      </c>
      <c r="Q116" s="2369">
        <v>0.6212952664427519</v>
      </c>
      <c r="R116" s="2369">
        <v>0.59644345578504177</v>
      </c>
      <c r="S116" s="2369">
        <v>0.59047902122719131</v>
      </c>
      <c r="T116" s="2369">
        <v>0.58457423101491934</v>
      </c>
      <c r="U116" s="2371">
        <v>0.57872848870477012</v>
      </c>
    </row>
    <row r="117" spans="1:21" ht="24" customHeight="1">
      <c r="A117" s="2164"/>
      <c r="B117" s="2165"/>
      <c r="C117" s="2169"/>
      <c r="D117" s="1237" t="s">
        <v>1214</v>
      </c>
      <c r="E117" s="2329"/>
      <c r="F117" s="2330"/>
      <c r="G117" s="2330"/>
      <c r="H117" s="2330"/>
      <c r="I117" s="2370"/>
      <c r="J117" s="2370"/>
      <c r="K117" s="2370"/>
      <c r="L117" s="2370"/>
      <c r="M117" s="2370"/>
      <c r="N117" s="2370"/>
      <c r="O117" s="2370"/>
      <c r="P117" s="2370"/>
      <c r="Q117" s="2370"/>
      <c r="R117" s="2370"/>
      <c r="S117" s="2370"/>
      <c r="T117" s="2370"/>
      <c r="U117" s="2372"/>
    </row>
    <row r="118" spans="1:21" ht="24" customHeight="1">
      <c r="A118" s="2164"/>
      <c r="B118" s="2157" t="s">
        <v>1250</v>
      </c>
      <c r="C118" s="2168" t="s">
        <v>1246</v>
      </c>
      <c r="D118" s="1235" t="s">
        <v>1213</v>
      </c>
      <c r="E118" s="2329"/>
      <c r="F118" s="2330"/>
      <c r="G118" s="2330"/>
      <c r="H118" s="2330"/>
      <c r="I118" s="2330"/>
      <c r="J118" s="2369">
        <v>0.89</v>
      </c>
      <c r="K118" s="2369">
        <v>0.81880000000000008</v>
      </c>
      <c r="L118" s="2369">
        <v>0.77786</v>
      </c>
      <c r="M118" s="2369">
        <v>0.73896699999999993</v>
      </c>
      <c r="N118" s="2369">
        <v>0.70940831999999987</v>
      </c>
      <c r="O118" s="2369">
        <v>0.68812607039999985</v>
      </c>
      <c r="P118" s="2369">
        <v>0.68124480969599988</v>
      </c>
      <c r="Q118" s="2369">
        <v>0.6539950173081599</v>
      </c>
      <c r="R118" s="2369">
        <v>0.62783521661583352</v>
      </c>
      <c r="S118" s="2369">
        <v>0.62155686444967517</v>
      </c>
      <c r="T118" s="2369">
        <v>0.61534129580517838</v>
      </c>
      <c r="U118" s="2371">
        <v>0.60918788284712655</v>
      </c>
    </row>
    <row r="119" spans="1:21" ht="24" customHeight="1">
      <c r="A119" s="2164"/>
      <c r="B119" s="2165"/>
      <c r="C119" s="2169"/>
      <c r="D119" s="1237" t="s">
        <v>1214</v>
      </c>
      <c r="E119" s="2329"/>
      <c r="F119" s="2330"/>
      <c r="G119" s="2330"/>
      <c r="H119" s="2330"/>
      <c r="I119" s="2330"/>
      <c r="J119" s="2370"/>
      <c r="K119" s="2370"/>
      <c r="L119" s="2370"/>
      <c r="M119" s="2370"/>
      <c r="N119" s="2370"/>
      <c r="O119" s="2370"/>
      <c r="P119" s="2370"/>
      <c r="Q119" s="2370"/>
      <c r="R119" s="2370"/>
      <c r="S119" s="2370"/>
      <c r="T119" s="2370"/>
      <c r="U119" s="2372"/>
    </row>
    <row r="120" spans="1:21" ht="24" customHeight="1">
      <c r="A120" s="2164"/>
      <c r="B120" s="2157" t="s">
        <v>1251</v>
      </c>
      <c r="C120" s="2168" t="s">
        <v>1246</v>
      </c>
      <c r="D120" s="1235" t="s">
        <v>1213</v>
      </c>
      <c r="E120" s="2329"/>
      <c r="F120" s="2330"/>
      <c r="G120" s="2330"/>
      <c r="H120" s="2330"/>
      <c r="I120" s="2330"/>
      <c r="J120" s="2330"/>
      <c r="K120" s="2369">
        <v>0.92</v>
      </c>
      <c r="L120" s="2369">
        <v>0.874</v>
      </c>
      <c r="M120" s="2369">
        <v>0.83029999999999993</v>
      </c>
      <c r="N120" s="2369">
        <v>0.79708799999999991</v>
      </c>
      <c r="O120" s="2369">
        <v>0.77317535999999987</v>
      </c>
      <c r="P120" s="2369">
        <v>0.76544360639999987</v>
      </c>
      <c r="Q120" s="2369">
        <v>0.73482586214399981</v>
      </c>
      <c r="R120" s="2369">
        <v>0.70543282765823978</v>
      </c>
      <c r="S120" s="2369">
        <v>0.69837849938165741</v>
      </c>
      <c r="T120" s="2369">
        <v>0.69139471438784084</v>
      </c>
      <c r="U120" s="2371">
        <v>0.68448076724396245</v>
      </c>
    </row>
    <row r="121" spans="1:21" ht="24" customHeight="1">
      <c r="A121" s="2164"/>
      <c r="B121" s="2165"/>
      <c r="C121" s="2169"/>
      <c r="D121" s="1237" t="s">
        <v>1214</v>
      </c>
      <c r="E121" s="2329"/>
      <c r="F121" s="2330"/>
      <c r="G121" s="2330"/>
      <c r="H121" s="2330"/>
      <c r="I121" s="2330"/>
      <c r="J121" s="2330"/>
      <c r="K121" s="2370"/>
      <c r="L121" s="2370"/>
      <c r="M121" s="2370"/>
      <c r="N121" s="2370"/>
      <c r="O121" s="2370"/>
      <c r="P121" s="2370"/>
      <c r="Q121" s="2370"/>
      <c r="R121" s="2370"/>
      <c r="S121" s="2370"/>
      <c r="T121" s="2370"/>
      <c r="U121" s="2372"/>
    </row>
    <row r="122" spans="1:21" ht="24" customHeight="1">
      <c r="A122" s="2164"/>
      <c r="B122" s="2157" t="s">
        <v>1252</v>
      </c>
      <c r="C122" s="2168" t="s">
        <v>1246</v>
      </c>
      <c r="D122" s="1235" t="s">
        <v>1213</v>
      </c>
      <c r="E122" s="2329"/>
      <c r="F122" s="2330"/>
      <c r="G122" s="2330"/>
      <c r="H122" s="2330"/>
      <c r="I122" s="2330"/>
      <c r="J122" s="2330"/>
      <c r="K122" s="2330"/>
      <c r="L122" s="2369">
        <v>0.95</v>
      </c>
      <c r="M122" s="2369">
        <v>0.90249999999999997</v>
      </c>
      <c r="N122" s="2369">
        <v>0.86639999999999995</v>
      </c>
      <c r="O122" s="2369">
        <v>0.84040799999999993</v>
      </c>
      <c r="P122" s="2369">
        <v>0.8320039199999999</v>
      </c>
      <c r="Q122" s="2369">
        <v>0.79872376319999983</v>
      </c>
      <c r="R122" s="2369">
        <v>0.76677481267199976</v>
      </c>
      <c r="S122" s="2369">
        <v>0.75910706454527976</v>
      </c>
      <c r="T122" s="2369">
        <v>0.75151599389982693</v>
      </c>
      <c r="U122" s="2371">
        <v>0.74400083396082861</v>
      </c>
    </row>
    <row r="123" spans="1:21" ht="24" customHeight="1">
      <c r="A123" s="2164"/>
      <c r="B123" s="2165"/>
      <c r="C123" s="2169"/>
      <c r="D123" s="1237" t="s">
        <v>1214</v>
      </c>
      <c r="E123" s="2329"/>
      <c r="F123" s="2330"/>
      <c r="G123" s="2330"/>
      <c r="H123" s="2330"/>
      <c r="I123" s="2330"/>
      <c r="J123" s="2330"/>
      <c r="K123" s="2330"/>
      <c r="L123" s="2370"/>
      <c r="M123" s="2370"/>
      <c r="N123" s="2370"/>
      <c r="O123" s="2370"/>
      <c r="P123" s="2370"/>
      <c r="Q123" s="2370"/>
      <c r="R123" s="2370"/>
      <c r="S123" s="2370"/>
      <c r="T123" s="2370"/>
      <c r="U123" s="2372"/>
    </row>
    <row r="124" spans="1:21" ht="24" customHeight="1">
      <c r="A124" s="2164"/>
      <c r="B124" s="2157" t="s">
        <v>1253</v>
      </c>
      <c r="C124" s="2168" t="s">
        <v>1246</v>
      </c>
      <c r="D124" s="1235" t="s">
        <v>1213</v>
      </c>
      <c r="E124" s="2329"/>
      <c r="F124" s="2330"/>
      <c r="G124" s="2330"/>
      <c r="H124" s="2330"/>
      <c r="I124" s="2330"/>
      <c r="J124" s="2330"/>
      <c r="K124" s="2330"/>
      <c r="L124" s="2330"/>
      <c r="M124" s="2369">
        <v>0.95</v>
      </c>
      <c r="N124" s="2369">
        <v>0.91199999999999992</v>
      </c>
      <c r="O124" s="2369">
        <v>0.88463999999999987</v>
      </c>
      <c r="P124" s="2369">
        <v>0.87579359999999984</v>
      </c>
      <c r="Q124" s="2369">
        <v>0.84076185599999986</v>
      </c>
      <c r="R124" s="2369">
        <v>0.80713138175999988</v>
      </c>
      <c r="S124" s="2369">
        <v>0.79906006794239992</v>
      </c>
      <c r="T124" s="2369">
        <v>0.79106946726297589</v>
      </c>
      <c r="U124" s="2371">
        <v>0.78315877259034616</v>
      </c>
    </row>
    <row r="125" spans="1:21" ht="24" customHeight="1">
      <c r="A125" s="2164"/>
      <c r="B125" s="2165"/>
      <c r="C125" s="2169"/>
      <c r="D125" s="1237" t="s">
        <v>1214</v>
      </c>
      <c r="E125" s="2329"/>
      <c r="F125" s="2330"/>
      <c r="G125" s="2330"/>
      <c r="H125" s="2330"/>
      <c r="I125" s="2330"/>
      <c r="J125" s="2330"/>
      <c r="K125" s="2330"/>
      <c r="L125" s="2330"/>
      <c r="M125" s="2370"/>
      <c r="N125" s="2370"/>
      <c r="O125" s="2370"/>
      <c r="P125" s="2370"/>
      <c r="Q125" s="2370"/>
      <c r="R125" s="2370"/>
      <c r="S125" s="2370"/>
      <c r="T125" s="2370"/>
      <c r="U125" s="2372"/>
    </row>
    <row r="126" spans="1:21" ht="24" customHeight="1">
      <c r="A126" s="2164"/>
      <c r="B126" s="2157" t="s">
        <v>1254</v>
      </c>
      <c r="C126" s="2168" t="s">
        <v>1246</v>
      </c>
      <c r="D126" s="1235" t="s">
        <v>1213</v>
      </c>
      <c r="E126" s="2329"/>
      <c r="F126" s="2330"/>
      <c r="G126" s="2330"/>
      <c r="H126" s="2330"/>
      <c r="I126" s="2330"/>
      <c r="J126" s="2330"/>
      <c r="K126" s="2330"/>
      <c r="L126" s="2330"/>
      <c r="M126" s="2330"/>
      <c r="N126" s="2369">
        <v>0.96</v>
      </c>
      <c r="O126" s="2369">
        <v>0.93119999999999992</v>
      </c>
      <c r="P126" s="2369">
        <v>0.92188799999999993</v>
      </c>
      <c r="Q126" s="2369">
        <v>0.88501247999999988</v>
      </c>
      <c r="R126" s="2369">
        <v>0.84961198079999989</v>
      </c>
      <c r="S126" s="2369">
        <v>0.84111586099199986</v>
      </c>
      <c r="T126" s="2369">
        <v>0.83270470238207983</v>
      </c>
      <c r="U126" s="2371">
        <v>0.82437765535825902</v>
      </c>
    </row>
    <row r="127" spans="1:21" ht="24" customHeight="1">
      <c r="A127" s="2164"/>
      <c r="B127" s="2165"/>
      <c r="C127" s="2169"/>
      <c r="D127" s="1237" t="s">
        <v>1214</v>
      </c>
      <c r="E127" s="2329"/>
      <c r="F127" s="2330"/>
      <c r="G127" s="2330"/>
      <c r="H127" s="2330"/>
      <c r="I127" s="2330"/>
      <c r="J127" s="2330"/>
      <c r="K127" s="2330"/>
      <c r="L127" s="2330"/>
      <c r="M127" s="2330"/>
      <c r="N127" s="2370"/>
      <c r="O127" s="2370"/>
      <c r="P127" s="2370"/>
      <c r="Q127" s="2370"/>
      <c r="R127" s="2370"/>
      <c r="S127" s="2370"/>
      <c r="T127" s="2370"/>
      <c r="U127" s="2372"/>
    </row>
    <row r="128" spans="1:21" ht="24" customHeight="1">
      <c r="A128" s="2164"/>
      <c r="B128" s="2157" t="s">
        <v>1255</v>
      </c>
      <c r="C128" s="2168" t="s">
        <v>1246</v>
      </c>
      <c r="D128" s="1235" t="s">
        <v>1213</v>
      </c>
      <c r="E128" s="2329"/>
      <c r="F128" s="2330"/>
      <c r="G128" s="2330"/>
      <c r="H128" s="2330"/>
      <c r="I128" s="2330"/>
      <c r="J128" s="2330"/>
      <c r="K128" s="2330"/>
      <c r="L128" s="2330"/>
      <c r="M128" s="2330"/>
      <c r="N128" s="2330"/>
      <c r="O128" s="2369">
        <v>0.97</v>
      </c>
      <c r="P128" s="2369">
        <v>0.96029999999999993</v>
      </c>
      <c r="Q128" s="2369">
        <v>0.92188799999999993</v>
      </c>
      <c r="R128" s="2369">
        <v>0.88501247999999988</v>
      </c>
      <c r="S128" s="2369">
        <v>0.87616235519999985</v>
      </c>
      <c r="T128" s="2369">
        <v>0.8674007316479998</v>
      </c>
      <c r="U128" s="2371">
        <v>0.85872672433151975</v>
      </c>
    </row>
    <row r="129" spans="1:21" ht="24" customHeight="1">
      <c r="A129" s="2164"/>
      <c r="B129" s="2165"/>
      <c r="C129" s="2169"/>
      <c r="D129" s="1237" t="s">
        <v>1214</v>
      </c>
      <c r="E129" s="2329"/>
      <c r="F129" s="2330"/>
      <c r="G129" s="2330"/>
      <c r="H129" s="2330"/>
      <c r="I129" s="2330"/>
      <c r="J129" s="2330"/>
      <c r="K129" s="2330"/>
      <c r="L129" s="2330"/>
      <c r="M129" s="2330"/>
      <c r="N129" s="2330"/>
      <c r="O129" s="2370"/>
      <c r="P129" s="2370"/>
      <c r="Q129" s="2370"/>
      <c r="R129" s="2370"/>
      <c r="S129" s="2370"/>
      <c r="T129" s="2370"/>
      <c r="U129" s="2372"/>
    </row>
    <row r="130" spans="1:21" ht="24" customHeight="1">
      <c r="A130" s="2164"/>
      <c r="B130" s="2157" t="s">
        <v>1256</v>
      </c>
      <c r="C130" s="2168" t="s">
        <v>1246</v>
      </c>
      <c r="D130" s="1235" t="s">
        <v>1213</v>
      </c>
      <c r="E130" s="2329"/>
      <c r="F130" s="2330"/>
      <c r="G130" s="2330"/>
      <c r="H130" s="2330"/>
      <c r="I130" s="2330"/>
      <c r="J130" s="2330"/>
      <c r="K130" s="2330"/>
      <c r="L130" s="2330"/>
      <c r="M130" s="2330"/>
      <c r="N130" s="2330"/>
      <c r="O130" s="2330"/>
      <c r="P130" s="2369">
        <v>0.99</v>
      </c>
      <c r="Q130" s="2369">
        <v>0.95039999999999991</v>
      </c>
      <c r="R130" s="2369">
        <v>0.91238399999999986</v>
      </c>
      <c r="S130" s="2369">
        <v>0.90326015999999987</v>
      </c>
      <c r="T130" s="2369">
        <v>0.8942275583999999</v>
      </c>
      <c r="U130" s="2371">
        <v>0.88528528281599994</v>
      </c>
    </row>
    <row r="131" spans="1:21" ht="24" customHeight="1">
      <c r="A131" s="2164"/>
      <c r="B131" s="2165"/>
      <c r="C131" s="2169"/>
      <c r="D131" s="1237" t="s">
        <v>1214</v>
      </c>
      <c r="E131" s="2329"/>
      <c r="F131" s="2330"/>
      <c r="G131" s="2330"/>
      <c r="H131" s="2330"/>
      <c r="I131" s="2330"/>
      <c r="J131" s="2330"/>
      <c r="K131" s="2330"/>
      <c r="L131" s="2330"/>
      <c r="M131" s="2330"/>
      <c r="N131" s="2330"/>
      <c r="O131" s="2330"/>
      <c r="P131" s="2370"/>
      <c r="Q131" s="2370"/>
      <c r="R131" s="2370"/>
      <c r="S131" s="2370"/>
      <c r="T131" s="2370"/>
      <c r="U131" s="2372"/>
    </row>
    <row r="132" spans="1:21" ht="24" customHeight="1">
      <c r="A132" s="2164"/>
      <c r="B132" s="2157" t="s">
        <v>1257</v>
      </c>
      <c r="C132" s="2168" t="s">
        <v>1246</v>
      </c>
      <c r="D132" s="1235" t="s">
        <v>1213</v>
      </c>
      <c r="E132" s="2329"/>
      <c r="F132" s="2330"/>
      <c r="G132" s="2330"/>
      <c r="H132" s="2330"/>
      <c r="I132" s="2330"/>
      <c r="J132" s="2330"/>
      <c r="K132" s="2330"/>
      <c r="L132" s="2330"/>
      <c r="M132" s="2330"/>
      <c r="N132" s="2330"/>
      <c r="O132" s="2330"/>
      <c r="P132" s="2330"/>
      <c r="Q132" s="2369">
        <v>0.96</v>
      </c>
      <c r="R132" s="2369">
        <v>0.92159999999999997</v>
      </c>
      <c r="S132" s="2369">
        <v>0.91238399999999997</v>
      </c>
      <c r="T132" s="2369">
        <v>0.90326015999999998</v>
      </c>
      <c r="U132" s="2371">
        <v>0.89422755840000001</v>
      </c>
    </row>
    <row r="133" spans="1:21" ht="24" customHeight="1">
      <c r="A133" s="2164"/>
      <c r="B133" s="2165"/>
      <c r="C133" s="2169"/>
      <c r="D133" s="1237" t="s">
        <v>1214</v>
      </c>
      <c r="E133" s="2329"/>
      <c r="F133" s="2330"/>
      <c r="G133" s="2330"/>
      <c r="H133" s="2330"/>
      <c r="I133" s="2330"/>
      <c r="J133" s="2330"/>
      <c r="K133" s="2330"/>
      <c r="L133" s="2330"/>
      <c r="M133" s="2330"/>
      <c r="N133" s="2330"/>
      <c r="O133" s="2330"/>
      <c r="P133" s="2330"/>
      <c r="Q133" s="2370"/>
      <c r="R133" s="2370"/>
      <c r="S133" s="2370"/>
      <c r="T133" s="2370"/>
      <c r="U133" s="2372"/>
    </row>
    <row r="134" spans="1:21" ht="24" customHeight="1">
      <c r="A134" s="2164"/>
      <c r="B134" s="2157" t="s">
        <v>1258</v>
      </c>
      <c r="C134" s="2168" t="s">
        <v>1246</v>
      </c>
      <c r="D134" s="1235" t="s">
        <v>1213</v>
      </c>
      <c r="E134" s="2329"/>
      <c r="F134" s="2330"/>
      <c r="G134" s="2330"/>
      <c r="H134" s="2330"/>
      <c r="I134" s="2330"/>
      <c r="J134" s="2330"/>
      <c r="K134" s="2330"/>
      <c r="L134" s="2330"/>
      <c r="M134" s="2330"/>
      <c r="N134" s="2330"/>
      <c r="O134" s="2330"/>
      <c r="P134" s="2330"/>
      <c r="Q134" s="2330"/>
      <c r="R134" s="2369">
        <v>0.96</v>
      </c>
      <c r="S134" s="2369">
        <v>0.95039999999999991</v>
      </c>
      <c r="T134" s="2369">
        <v>0.94089599999999995</v>
      </c>
      <c r="U134" s="2371">
        <v>0.93148703999999993</v>
      </c>
    </row>
    <row r="135" spans="1:21" ht="24" customHeight="1">
      <c r="A135" s="2164"/>
      <c r="B135" s="2165"/>
      <c r="C135" s="2169"/>
      <c r="D135" s="1237" t="s">
        <v>1214</v>
      </c>
      <c r="E135" s="2329"/>
      <c r="F135" s="2330"/>
      <c r="G135" s="2330"/>
      <c r="H135" s="2330"/>
      <c r="I135" s="2330"/>
      <c r="J135" s="2330"/>
      <c r="K135" s="2330"/>
      <c r="L135" s="2330"/>
      <c r="M135" s="2330"/>
      <c r="N135" s="2330"/>
      <c r="O135" s="2330"/>
      <c r="P135" s="2330"/>
      <c r="Q135" s="2330"/>
      <c r="R135" s="2370"/>
      <c r="S135" s="2370"/>
      <c r="T135" s="2370"/>
      <c r="U135" s="2372"/>
    </row>
    <row r="136" spans="1:21" ht="24" customHeight="1">
      <c r="A136" s="2164"/>
      <c r="B136" s="2157" t="s">
        <v>1259</v>
      </c>
      <c r="C136" s="2168" t="s">
        <v>1246</v>
      </c>
      <c r="D136" s="1235" t="s">
        <v>1213</v>
      </c>
      <c r="E136" s="2329"/>
      <c r="F136" s="2330"/>
      <c r="G136" s="2330"/>
      <c r="H136" s="2330"/>
      <c r="I136" s="2330"/>
      <c r="J136" s="2330"/>
      <c r="K136" s="2330"/>
      <c r="L136" s="2330"/>
      <c r="M136" s="2330"/>
      <c r="N136" s="2330"/>
      <c r="O136" s="2330"/>
      <c r="P136" s="2330"/>
      <c r="Q136" s="2330"/>
      <c r="R136" s="2330"/>
      <c r="S136" s="2369">
        <v>0.99</v>
      </c>
      <c r="T136" s="2369">
        <v>0.98009999999999997</v>
      </c>
      <c r="U136" s="2371">
        <v>0.97029899999999991</v>
      </c>
    </row>
    <row r="137" spans="1:21" ht="24" customHeight="1">
      <c r="A137" s="2164"/>
      <c r="B137" s="2165"/>
      <c r="C137" s="2169"/>
      <c r="D137" s="1237" t="s">
        <v>1214</v>
      </c>
      <c r="E137" s="2329"/>
      <c r="F137" s="2330"/>
      <c r="G137" s="2330"/>
      <c r="H137" s="2330"/>
      <c r="I137" s="2330"/>
      <c r="J137" s="2330"/>
      <c r="K137" s="2330"/>
      <c r="L137" s="2330"/>
      <c r="M137" s="2330"/>
      <c r="N137" s="2330"/>
      <c r="O137" s="2330"/>
      <c r="P137" s="2330"/>
      <c r="Q137" s="2330"/>
      <c r="R137" s="2330"/>
      <c r="S137" s="2370"/>
      <c r="T137" s="2370"/>
      <c r="U137" s="2372"/>
    </row>
    <row r="138" spans="1:21" ht="24" customHeight="1">
      <c r="A138" s="2164"/>
      <c r="B138" s="2157" t="s">
        <v>1260</v>
      </c>
      <c r="C138" s="2168" t="s">
        <v>1246</v>
      </c>
      <c r="D138" s="1235" t="s">
        <v>1213</v>
      </c>
      <c r="E138" s="2329"/>
      <c r="F138" s="2330"/>
      <c r="G138" s="2330"/>
      <c r="H138" s="2330"/>
      <c r="I138" s="2330"/>
      <c r="J138" s="2330"/>
      <c r="K138" s="2330"/>
      <c r="L138" s="2330"/>
      <c r="M138" s="2330"/>
      <c r="N138" s="2330"/>
      <c r="O138" s="2330"/>
      <c r="P138" s="2330"/>
      <c r="Q138" s="2330"/>
      <c r="R138" s="2330"/>
      <c r="S138" s="2330"/>
      <c r="T138" s="2369">
        <v>0.99</v>
      </c>
      <c r="U138" s="2371">
        <v>0.98009999999999997</v>
      </c>
    </row>
    <row r="139" spans="1:21" ht="24" customHeight="1">
      <c r="A139" s="2164"/>
      <c r="B139" s="2165"/>
      <c r="C139" s="2169"/>
      <c r="D139" s="1237" t="s">
        <v>1214</v>
      </c>
      <c r="E139" s="2329"/>
      <c r="F139" s="2330"/>
      <c r="G139" s="2330"/>
      <c r="H139" s="2330"/>
      <c r="I139" s="2330"/>
      <c r="J139" s="2330"/>
      <c r="K139" s="2330"/>
      <c r="L139" s="2330"/>
      <c r="M139" s="2330"/>
      <c r="N139" s="2330"/>
      <c r="O139" s="2330"/>
      <c r="P139" s="2330"/>
      <c r="Q139" s="2330"/>
      <c r="R139" s="2330"/>
      <c r="S139" s="2330"/>
      <c r="T139" s="2370"/>
      <c r="U139" s="2372"/>
    </row>
    <row r="140" spans="1:21" ht="24" customHeight="1">
      <c r="A140" s="2164"/>
      <c r="B140" s="2157" t="s">
        <v>1261</v>
      </c>
      <c r="C140" s="2168" t="s">
        <v>1246</v>
      </c>
      <c r="D140" s="1235" t="s">
        <v>1213</v>
      </c>
      <c r="E140" s="2329"/>
      <c r="F140" s="2330"/>
      <c r="G140" s="2330"/>
      <c r="H140" s="2330"/>
      <c r="I140" s="2330"/>
      <c r="J140" s="2330"/>
      <c r="K140" s="2330"/>
      <c r="L140" s="2330"/>
      <c r="M140" s="2330"/>
      <c r="N140" s="2330"/>
      <c r="O140" s="2330"/>
      <c r="P140" s="2330"/>
      <c r="Q140" s="2330"/>
      <c r="R140" s="2330"/>
      <c r="S140" s="2330"/>
      <c r="T140" s="2330"/>
      <c r="U140" s="2371">
        <v>0.99</v>
      </c>
    </row>
    <row r="141" spans="1:21" ht="24" customHeight="1">
      <c r="A141" s="2164"/>
      <c r="B141" s="2165"/>
      <c r="C141" s="2169"/>
      <c r="D141" s="1237" t="s">
        <v>1214</v>
      </c>
      <c r="E141" s="2329"/>
      <c r="F141" s="2330"/>
      <c r="G141" s="2330"/>
      <c r="H141" s="2330"/>
      <c r="I141" s="2330"/>
      <c r="J141" s="2330"/>
      <c r="K141" s="2330"/>
      <c r="L141" s="2330"/>
      <c r="M141" s="2330"/>
      <c r="N141" s="2330"/>
      <c r="O141" s="2330"/>
      <c r="P141" s="2330"/>
      <c r="Q141" s="2330"/>
      <c r="R141" s="2330"/>
      <c r="S141" s="2330"/>
      <c r="T141" s="2330"/>
      <c r="U141" s="2372"/>
    </row>
    <row r="142" spans="1:21" ht="24" customHeight="1">
      <c r="A142" s="2164"/>
      <c r="B142" s="2157" t="s">
        <v>1262</v>
      </c>
      <c r="C142" s="2168" t="s">
        <v>1246</v>
      </c>
      <c r="D142" s="1235" t="s">
        <v>1213</v>
      </c>
      <c r="E142" s="2329"/>
      <c r="F142" s="2330"/>
      <c r="G142" s="2330"/>
      <c r="H142" s="2330"/>
      <c r="I142" s="2330"/>
      <c r="J142" s="2330"/>
      <c r="K142" s="2330"/>
      <c r="L142" s="2330"/>
      <c r="M142" s="2330"/>
      <c r="N142" s="2330"/>
      <c r="O142" s="2330"/>
      <c r="P142" s="2330"/>
      <c r="Q142" s="2330"/>
      <c r="R142" s="2330"/>
      <c r="S142" s="2330"/>
      <c r="T142" s="2330"/>
      <c r="U142" s="2373"/>
    </row>
    <row r="143" spans="1:21" ht="24" customHeight="1">
      <c r="A143" s="2165"/>
      <c r="B143" s="2165"/>
      <c r="C143" s="2332"/>
      <c r="D143" s="1237" t="s">
        <v>1214</v>
      </c>
      <c r="E143" s="2329"/>
      <c r="F143" s="2330"/>
      <c r="G143" s="2330"/>
      <c r="H143" s="2330"/>
      <c r="I143" s="2330"/>
      <c r="J143" s="2330"/>
      <c r="K143" s="2330"/>
      <c r="L143" s="2330"/>
      <c r="M143" s="2330"/>
      <c r="N143" s="2330"/>
      <c r="O143" s="2330"/>
      <c r="P143" s="2330"/>
      <c r="Q143" s="2330"/>
      <c r="R143" s="2330"/>
      <c r="S143" s="2330"/>
      <c r="T143" s="2330"/>
      <c r="U143" s="2374"/>
    </row>
    <row r="144" spans="1:21" ht="24" customHeight="1">
      <c r="A144" s="2157" t="s">
        <v>1221</v>
      </c>
      <c r="B144" s="2157" t="s">
        <v>1245</v>
      </c>
      <c r="C144" s="2168" t="s">
        <v>1246</v>
      </c>
      <c r="D144" s="1235" t="s">
        <v>1213</v>
      </c>
      <c r="E144" s="2329"/>
      <c r="F144" s="2369">
        <v>0.63</v>
      </c>
      <c r="G144" s="2369">
        <v>0.48510000000000003</v>
      </c>
      <c r="H144" s="2369">
        <v>0.417186</v>
      </c>
      <c r="I144" s="2369">
        <v>0.39632669999999998</v>
      </c>
      <c r="J144" s="2369">
        <v>0.352730763</v>
      </c>
      <c r="K144" s="2369">
        <v>0.32451230196000003</v>
      </c>
      <c r="L144" s="2369">
        <v>0.308286686862</v>
      </c>
      <c r="M144" s="2369">
        <v>0.29287235251889998</v>
      </c>
      <c r="N144" s="2369">
        <v>0.28115745841814399</v>
      </c>
      <c r="O144" s="2369">
        <v>0.27272273466559965</v>
      </c>
      <c r="P144" s="2369">
        <v>0.26999550731894367</v>
      </c>
      <c r="Q144" s="2369">
        <v>0.25649573195299646</v>
      </c>
      <c r="R144" s="2369">
        <v>0.24623590267487661</v>
      </c>
      <c r="S144" s="2369">
        <v>0.24377354364812784</v>
      </c>
      <c r="T144" s="2369">
        <v>0.24133580821164655</v>
      </c>
      <c r="U144" s="2371">
        <v>0.23892245012953009</v>
      </c>
    </row>
    <row r="145" spans="1:21" ht="24" customHeight="1">
      <c r="A145" s="2164"/>
      <c r="B145" s="2165"/>
      <c r="C145" s="2169"/>
      <c r="D145" s="1237" t="s">
        <v>1214</v>
      </c>
      <c r="E145" s="2329"/>
      <c r="F145" s="2370"/>
      <c r="G145" s="2370"/>
      <c r="H145" s="2370"/>
      <c r="I145" s="2370"/>
      <c r="J145" s="2370"/>
      <c r="K145" s="2370"/>
      <c r="L145" s="2370"/>
      <c r="M145" s="2370"/>
      <c r="N145" s="2370"/>
      <c r="O145" s="2370"/>
      <c r="P145" s="2370"/>
      <c r="Q145" s="2370"/>
      <c r="R145" s="2370"/>
      <c r="S145" s="2370"/>
      <c r="T145" s="2370"/>
      <c r="U145" s="2372"/>
    </row>
    <row r="146" spans="1:21" ht="24" customHeight="1">
      <c r="A146" s="2164"/>
      <c r="B146" s="2157" t="s">
        <v>1247</v>
      </c>
      <c r="C146" s="2168" t="s">
        <v>1246</v>
      </c>
      <c r="D146" s="1235" t="s">
        <v>1213</v>
      </c>
      <c r="E146" s="2329"/>
      <c r="F146" s="2330"/>
      <c r="G146" s="2369">
        <v>0.77</v>
      </c>
      <c r="H146" s="2369">
        <v>0.66220000000000001</v>
      </c>
      <c r="I146" s="2369">
        <v>0.62908999999999993</v>
      </c>
      <c r="J146" s="2369">
        <v>0.55989009999999995</v>
      </c>
      <c r="K146" s="2369">
        <v>0.51509889199999992</v>
      </c>
      <c r="L146" s="2369">
        <v>0.48934394739999992</v>
      </c>
      <c r="M146" s="2369">
        <v>0.4648767500299999</v>
      </c>
      <c r="N146" s="2369">
        <v>0.44628168002879987</v>
      </c>
      <c r="O146" s="2369">
        <v>0.43289322962793586</v>
      </c>
      <c r="P146" s="2369">
        <v>0.42856429733165652</v>
      </c>
      <c r="Q146" s="2369">
        <v>0.40713608246507366</v>
      </c>
      <c r="R146" s="2369">
        <v>0.39085063916647067</v>
      </c>
      <c r="S146" s="2369">
        <v>0.38694213277480594</v>
      </c>
      <c r="T146" s="2369">
        <v>0.38307271144705785</v>
      </c>
      <c r="U146" s="2371">
        <v>0.37924198433258727</v>
      </c>
    </row>
    <row r="147" spans="1:21" ht="24" customHeight="1">
      <c r="A147" s="2164"/>
      <c r="B147" s="2165"/>
      <c r="C147" s="2169"/>
      <c r="D147" s="1237" t="s">
        <v>1214</v>
      </c>
      <c r="E147" s="2329"/>
      <c r="F147" s="2330"/>
      <c r="G147" s="2370"/>
      <c r="H147" s="2370"/>
      <c r="I147" s="2370"/>
      <c r="J147" s="2370"/>
      <c r="K147" s="2370"/>
      <c r="L147" s="2370"/>
      <c r="M147" s="2370"/>
      <c r="N147" s="2370"/>
      <c r="O147" s="2370"/>
      <c r="P147" s="2370"/>
      <c r="Q147" s="2370"/>
      <c r="R147" s="2370"/>
      <c r="S147" s="2370"/>
      <c r="T147" s="2370"/>
      <c r="U147" s="2372"/>
    </row>
    <row r="148" spans="1:21" ht="24" customHeight="1">
      <c r="A148" s="2164"/>
      <c r="B148" s="2157" t="s">
        <v>1248</v>
      </c>
      <c r="C148" s="2168" t="s">
        <v>1246</v>
      </c>
      <c r="D148" s="1235" t="s">
        <v>1213</v>
      </c>
      <c r="E148" s="2329"/>
      <c r="F148" s="2330"/>
      <c r="G148" s="2330"/>
      <c r="H148" s="2369">
        <v>0.86</v>
      </c>
      <c r="I148" s="2369">
        <v>0.81699999999999995</v>
      </c>
      <c r="J148" s="2369">
        <v>0.72712999999999994</v>
      </c>
      <c r="K148" s="2369">
        <v>0.66895959999999999</v>
      </c>
      <c r="L148" s="2369">
        <v>0.63551161999999994</v>
      </c>
      <c r="M148" s="2369">
        <v>0.60373603899999995</v>
      </c>
      <c r="N148" s="2369">
        <v>0.57958659743999996</v>
      </c>
      <c r="O148" s="2369">
        <v>0.56219899951679997</v>
      </c>
      <c r="P148" s="2369">
        <v>0.55657700952163192</v>
      </c>
      <c r="Q148" s="2369">
        <v>0.52874815904555028</v>
      </c>
      <c r="R148" s="2369">
        <v>0.50759823268372828</v>
      </c>
      <c r="S148" s="2369">
        <v>0.50252225035689102</v>
      </c>
      <c r="T148" s="2369">
        <v>0.49749702785332212</v>
      </c>
      <c r="U148" s="2371">
        <v>0.4925220575747889</v>
      </c>
    </row>
    <row r="149" spans="1:21" ht="24" customHeight="1">
      <c r="A149" s="2164"/>
      <c r="B149" s="2165"/>
      <c r="C149" s="2169"/>
      <c r="D149" s="1237" t="s">
        <v>1214</v>
      </c>
      <c r="E149" s="2329"/>
      <c r="F149" s="2330"/>
      <c r="G149" s="2330"/>
      <c r="H149" s="2370"/>
      <c r="I149" s="2370"/>
      <c r="J149" s="2370"/>
      <c r="K149" s="2370"/>
      <c r="L149" s="2370"/>
      <c r="M149" s="2370"/>
      <c r="N149" s="2370"/>
      <c r="O149" s="2370"/>
      <c r="P149" s="2370"/>
      <c r="Q149" s="2370"/>
      <c r="R149" s="2370"/>
      <c r="S149" s="2370"/>
      <c r="T149" s="2370"/>
      <c r="U149" s="2372"/>
    </row>
    <row r="150" spans="1:21" ht="24" customHeight="1">
      <c r="A150" s="2164"/>
      <c r="B150" s="2157" t="s">
        <v>1249</v>
      </c>
      <c r="C150" s="2168" t="s">
        <v>1246</v>
      </c>
      <c r="D150" s="1235" t="s">
        <v>1213</v>
      </c>
      <c r="E150" s="2329"/>
      <c r="F150" s="2330"/>
      <c r="G150" s="2330"/>
      <c r="H150" s="2330"/>
      <c r="I150" s="2369">
        <v>0.95</v>
      </c>
      <c r="J150" s="2369">
        <v>0.84549999999999992</v>
      </c>
      <c r="K150" s="2369">
        <v>0.77786</v>
      </c>
      <c r="L150" s="2369">
        <v>0.73896699999999993</v>
      </c>
      <c r="M150" s="2369">
        <v>0.70201864999999986</v>
      </c>
      <c r="N150" s="2369">
        <v>0.67393790399999987</v>
      </c>
      <c r="O150" s="2369">
        <v>0.65371976687999989</v>
      </c>
      <c r="P150" s="2369">
        <v>0.64718256921119988</v>
      </c>
      <c r="Q150" s="2369">
        <v>0.61482344075063988</v>
      </c>
      <c r="R150" s="2369">
        <v>0.59023050312061431</v>
      </c>
      <c r="S150" s="2369">
        <v>0.58432819808940817</v>
      </c>
      <c r="T150" s="2369">
        <v>0.57848491610851405</v>
      </c>
      <c r="U150" s="2371">
        <v>0.57270006694742892</v>
      </c>
    </row>
    <row r="151" spans="1:21" ht="24" customHeight="1">
      <c r="A151" s="2164"/>
      <c r="B151" s="2165"/>
      <c r="C151" s="2169"/>
      <c r="D151" s="1237" t="s">
        <v>1214</v>
      </c>
      <c r="E151" s="2329"/>
      <c r="F151" s="2330"/>
      <c r="G151" s="2330"/>
      <c r="H151" s="2330"/>
      <c r="I151" s="2370"/>
      <c r="J151" s="2370"/>
      <c r="K151" s="2370"/>
      <c r="L151" s="2370"/>
      <c r="M151" s="2370"/>
      <c r="N151" s="2370"/>
      <c r="O151" s="2370"/>
      <c r="P151" s="2370"/>
      <c r="Q151" s="2370"/>
      <c r="R151" s="2370"/>
      <c r="S151" s="2370"/>
      <c r="T151" s="2370"/>
      <c r="U151" s="2372"/>
    </row>
    <row r="152" spans="1:21" ht="24" customHeight="1">
      <c r="A152" s="2164"/>
      <c r="B152" s="2157" t="s">
        <v>1250</v>
      </c>
      <c r="C152" s="2168" t="s">
        <v>1246</v>
      </c>
      <c r="D152" s="1235" t="s">
        <v>1213</v>
      </c>
      <c r="E152" s="2329"/>
      <c r="F152" s="2330"/>
      <c r="G152" s="2330"/>
      <c r="H152" s="2330"/>
      <c r="I152" s="2330"/>
      <c r="J152" s="2369">
        <v>0.89</v>
      </c>
      <c r="K152" s="2369">
        <v>0.81880000000000008</v>
      </c>
      <c r="L152" s="2369">
        <v>0.77786</v>
      </c>
      <c r="M152" s="2369">
        <v>0.73896699999999993</v>
      </c>
      <c r="N152" s="2369">
        <v>0.70940831999999987</v>
      </c>
      <c r="O152" s="2369">
        <v>0.68812607039999985</v>
      </c>
      <c r="P152" s="2369">
        <v>0.68124480969599988</v>
      </c>
      <c r="Q152" s="2369">
        <v>0.64718256921119988</v>
      </c>
      <c r="R152" s="2369">
        <v>0.6212952664427519</v>
      </c>
      <c r="S152" s="2369">
        <v>0.61508231377832434</v>
      </c>
      <c r="T152" s="2369">
        <v>0.60893149064054108</v>
      </c>
      <c r="U152" s="2371">
        <v>0.60284217573413568</v>
      </c>
    </row>
    <row r="153" spans="1:21" ht="24" customHeight="1">
      <c r="A153" s="2164"/>
      <c r="B153" s="2165"/>
      <c r="C153" s="2169"/>
      <c r="D153" s="1237" t="s">
        <v>1214</v>
      </c>
      <c r="E153" s="2329"/>
      <c r="F153" s="2330"/>
      <c r="G153" s="2330"/>
      <c r="H153" s="2330"/>
      <c r="I153" s="2330"/>
      <c r="J153" s="2370"/>
      <c r="K153" s="2370"/>
      <c r="L153" s="2370"/>
      <c r="M153" s="2370"/>
      <c r="N153" s="2370"/>
      <c r="O153" s="2370"/>
      <c r="P153" s="2370"/>
      <c r="Q153" s="2370"/>
      <c r="R153" s="2370"/>
      <c r="S153" s="2370"/>
      <c r="T153" s="2370"/>
      <c r="U153" s="2372"/>
    </row>
    <row r="154" spans="1:21" ht="24" customHeight="1">
      <c r="A154" s="2164"/>
      <c r="B154" s="2157" t="s">
        <v>1251</v>
      </c>
      <c r="C154" s="2168" t="s">
        <v>1246</v>
      </c>
      <c r="D154" s="1235" t="s">
        <v>1213</v>
      </c>
      <c r="E154" s="2329"/>
      <c r="F154" s="2330"/>
      <c r="G154" s="2330"/>
      <c r="H154" s="2330"/>
      <c r="I154" s="2330"/>
      <c r="J154" s="2330"/>
      <c r="K154" s="2369">
        <v>0.92</v>
      </c>
      <c r="L154" s="2369">
        <v>0.874</v>
      </c>
      <c r="M154" s="2369">
        <v>0.83029999999999993</v>
      </c>
      <c r="N154" s="2369">
        <v>0.79708799999999991</v>
      </c>
      <c r="O154" s="2369">
        <v>0.77317535999999987</v>
      </c>
      <c r="P154" s="2369">
        <v>0.76544360639999987</v>
      </c>
      <c r="Q154" s="2369">
        <v>0.72717142607999985</v>
      </c>
      <c r="R154" s="2369">
        <v>0.69808456903679983</v>
      </c>
      <c r="S154" s="2369">
        <v>0.69110372334643178</v>
      </c>
      <c r="T154" s="2369">
        <v>0.68419268611296746</v>
      </c>
      <c r="U154" s="2371">
        <v>0.67735075925183774</v>
      </c>
    </row>
    <row r="155" spans="1:21" ht="24" customHeight="1">
      <c r="A155" s="2164"/>
      <c r="B155" s="2165"/>
      <c r="C155" s="2169"/>
      <c r="D155" s="1237" t="s">
        <v>1214</v>
      </c>
      <c r="E155" s="2329"/>
      <c r="F155" s="2330"/>
      <c r="G155" s="2330"/>
      <c r="H155" s="2330"/>
      <c r="I155" s="2330"/>
      <c r="J155" s="2330"/>
      <c r="K155" s="2370"/>
      <c r="L155" s="2370"/>
      <c r="M155" s="2370"/>
      <c r="N155" s="2370"/>
      <c r="O155" s="2370"/>
      <c r="P155" s="2370"/>
      <c r="Q155" s="2370"/>
      <c r="R155" s="2370"/>
      <c r="S155" s="2370"/>
      <c r="T155" s="2370"/>
      <c r="U155" s="2372"/>
    </row>
    <row r="156" spans="1:21" ht="24" customHeight="1">
      <c r="A156" s="2164"/>
      <c r="B156" s="2157" t="s">
        <v>1252</v>
      </c>
      <c r="C156" s="2168" t="s">
        <v>1246</v>
      </c>
      <c r="D156" s="1235" t="s">
        <v>1213</v>
      </c>
      <c r="E156" s="2329"/>
      <c r="F156" s="2330"/>
      <c r="G156" s="2330"/>
      <c r="H156" s="2330"/>
      <c r="I156" s="2330"/>
      <c r="J156" s="2330"/>
      <c r="K156" s="2330"/>
      <c r="L156" s="2369">
        <v>0.95</v>
      </c>
      <c r="M156" s="2369">
        <v>0.90249999999999997</v>
      </c>
      <c r="N156" s="2369">
        <v>0.86639999999999995</v>
      </c>
      <c r="O156" s="2369">
        <v>0.84040799999999993</v>
      </c>
      <c r="P156" s="2369">
        <v>0.8320039199999999</v>
      </c>
      <c r="Q156" s="2369">
        <v>0.79040372399999992</v>
      </c>
      <c r="R156" s="2369">
        <v>0.75878757503999994</v>
      </c>
      <c r="S156" s="2369">
        <v>0.75119969928959995</v>
      </c>
      <c r="T156" s="2369">
        <v>0.743687702296704</v>
      </c>
      <c r="U156" s="2371">
        <v>0.73625082527373698</v>
      </c>
    </row>
    <row r="157" spans="1:21" ht="24" customHeight="1">
      <c r="A157" s="2164"/>
      <c r="B157" s="2165"/>
      <c r="C157" s="2169"/>
      <c r="D157" s="1237" t="s">
        <v>1214</v>
      </c>
      <c r="E157" s="2329"/>
      <c r="F157" s="2330"/>
      <c r="G157" s="2330"/>
      <c r="H157" s="2330"/>
      <c r="I157" s="2330"/>
      <c r="J157" s="2330"/>
      <c r="K157" s="2330"/>
      <c r="L157" s="2370"/>
      <c r="M157" s="2370"/>
      <c r="N157" s="2370"/>
      <c r="O157" s="2370"/>
      <c r="P157" s="2370"/>
      <c r="Q157" s="2370"/>
      <c r="R157" s="2370"/>
      <c r="S157" s="2370"/>
      <c r="T157" s="2370"/>
      <c r="U157" s="2372"/>
    </row>
    <row r="158" spans="1:21" ht="24" customHeight="1">
      <c r="A158" s="2164"/>
      <c r="B158" s="2157" t="s">
        <v>1253</v>
      </c>
      <c r="C158" s="2168" t="s">
        <v>1246</v>
      </c>
      <c r="D158" s="1235" t="s">
        <v>1213</v>
      </c>
      <c r="E158" s="2329"/>
      <c r="F158" s="2330"/>
      <c r="G158" s="2330"/>
      <c r="H158" s="2330"/>
      <c r="I158" s="2330"/>
      <c r="J158" s="2330"/>
      <c r="K158" s="2330"/>
      <c r="L158" s="2330"/>
      <c r="M158" s="2369">
        <v>0.95</v>
      </c>
      <c r="N158" s="2369">
        <v>0.91199999999999992</v>
      </c>
      <c r="O158" s="2369">
        <v>0.88463999999999987</v>
      </c>
      <c r="P158" s="2369">
        <v>0.87579359999999984</v>
      </c>
      <c r="Q158" s="2369">
        <v>0.83200391999999979</v>
      </c>
      <c r="R158" s="2369">
        <v>0.79872376319999971</v>
      </c>
      <c r="S158" s="2369">
        <v>0.79073652556799967</v>
      </c>
      <c r="T158" s="2369">
        <v>0.78282916031231964</v>
      </c>
      <c r="U158" s="2371">
        <v>0.77500086870919649</v>
      </c>
    </row>
    <row r="159" spans="1:21" ht="24" customHeight="1">
      <c r="A159" s="2164"/>
      <c r="B159" s="2165"/>
      <c r="C159" s="2169"/>
      <c r="D159" s="1237" t="s">
        <v>1214</v>
      </c>
      <c r="E159" s="2329"/>
      <c r="F159" s="2330"/>
      <c r="G159" s="2330"/>
      <c r="H159" s="2330"/>
      <c r="I159" s="2330"/>
      <c r="J159" s="2330"/>
      <c r="K159" s="2330"/>
      <c r="L159" s="2330"/>
      <c r="M159" s="2370"/>
      <c r="N159" s="2370"/>
      <c r="O159" s="2370"/>
      <c r="P159" s="2370"/>
      <c r="Q159" s="2370"/>
      <c r="R159" s="2370"/>
      <c r="S159" s="2370"/>
      <c r="T159" s="2370"/>
      <c r="U159" s="2372"/>
    </row>
    <row r="160" spans="1:21" ht="24" customHeight="1">
      <c r="A160" s="2164"/>
      <c r="B160" s="2157" t="s">
        <v>1254</v>
      </c>
      <c r="C160" s="2168" t="s">
        <v>1246</v>
      </c>
      <c r="D160" s="1235" t="s">
        <v>1213</v>
      </c>
      <c r="E160" s="2329"/>
      <c r="F160" s="2330"/>
      <c r="G160" s="2330"/>
      <c r="H160" s="2330"/>
      <c r="I160" s="2330"/>
      <c r="J160" s="2330"/>
      <c r="K160" s="2330"/>
      <c r="L160" s="2330"/>
      <c r="M160" s="2330"/>
      <c r="N160" s="2369">
        <v>0.96</v>
      </c>
      <c r="O160" s="2369">
        <v>0.93119999999999992</v>
      </c>
      <c r="P160" s="2369">
        <v>0.92188799999999993</v>
      </c>
      <c r="Q160" s="2369">
        <v>0.87579359999999984</v>
      </c>
      <c r="R160" s="2369">
        <v>0.84076185599999986</v>
      </c>
      <c r="S160" s="2369">
        <v>0.83235423743999981</v>
      </c>
      <c r="T160" s="2369">
        <v>0.82403069506559978</v>
      </c>
      <c r="U160" s="2371">
        <v>0.81579038811494375</v>
      </c>
    </row>
    <row r="161" spans="1:21" ht="24" customHeight="1">
      <c r="A161" s="2164"/>
      <c r="B161" s="2165"/>
      <c r="C161" s="2169"/>
      <c r="D161" s="1237" t="s">
        <v>1214</v>
      </c>
      <c r="E161" s="2329"/>
      <c r="F161" s="2330"/>
      <c r="G161" s="2330"/>
      <c r="H161" s="2330"/>
      <c r="I161" s="2330"/>
      <c r="J161" s="2330"/>
      <c r="K161" s="2330"/>
      <c r="L161" s="2330"/>
      <c r="M161" s="2330"/>
      <c r="N161" s="2370"/>
      <c r="O161" s="2370"/>
      <c r="P161" s="2370"/>
      <c r="Q161" s="2370"/>
      <c r="R161" s="2370"/>
      <c r="S161" s="2370"/>
      <c r="T161" s="2370"/>
      <c r="U161" s="2372"/>
    </row>
    <row r="162" spans="1:21" ht="24" customHeight="1">
      <c r="A162" s="2164"/>
      <c r="B162" s="2157" t="s">
        <v>1255</v>
      </c>
      <c r="C162" s="2168" t="s">
        <v>1246</v>
      </c>
      <c r="D162" s="1235" t="s">
        <v>1213</v>
      </c>
      <c r="E162" s="2329"/>
      <c r="F162" s="2330"/>
      <c r="G162" s="2330"/>
      <c r="H162" s="2330"/>
      <c r="I162" s="2330"/>
      <c r="J162" s="2330"/>
      <c r="K162" s="2330"/>
      <c r="L162" s="2330"/>
      <c r="M162" s="2330"/>
      <c r="N162" s="2330"/>
      <c r="O162" s="2369">
        <v>0.97</v>
      </c>
      <c r="P162" s="2369">
        <v>0.96029999999999993</v>
      </c>
      <c r="Q162" s="2369">
        <v>0.9122849999999999</v>
      </c>
      <c r="R162" s="2369">
        <v>0.87579359999999984</v>
      </c>
      <c r="S162" s="2369">
        <v>0.86703566399999987</v>
      </c>
      <c r="T162" s="2369">
        <v>0.85836530735999983</v>
      </c>
      <c r="U162" s="2371">
        <v>0.84978165428639985</v>
      </c>
    </row>
    <row r="163" spans="1:21" ht="24" customHeight="1">
      <c r="A163" s="2164"/>
      <c r="B163" s="2165"/>
      <c r="C163" s="2169"/>
      <c r="D163" s="1237" t="s">
        <v>1214</v>
      </c>
      <c r="E163" s="2329"/>
      <c r="F163" s="2330"/>
      <c r="G163" s="2330"/>
      <c r="H163" s="2330"/>
      <c r="I163" s="2330"/>
      <c r="J163" s="2330"/>
      <c r="K163" s="2330"/>
      <c r="L163" s="2330"/>
      <c r="M163" s="2330"/>
      <c r="N163" s="2330"/>
      <c r="O163" s="2370"/>
      <c r="P163" s="2370"/>
      <c r="Q163" s="2370"/>
      <c r="R163" s="2370"/>
      <c r="S163" s="2370"/>
      <c r="T163" s="2370"/>
      <c r="U163" s="2372"/>
    </row>
    <row r="164" spans="1:21" ht="24" customHeight="1">
      <c r="A164" s="2164"/>
      <c r="B164" s="2157" t="s">
        <v>1256</v>
      </c>
      <c r="C164" s="2168" t="s">
        <v>1246</v>
      </c>
      <c r="D164" s="1235" t="s">
        <v>1213</v>
      </c>
      <c r="E164" s="2329"/>
      <c r="F164" s="2330"/>
      <c r="G164" s="2330"/>
      <c r="H164" s="2330"/>
      <c r="I164" s="2330"/>
      <c r="J164" s="2330"/>
      <c r="K164" s="2330"/>
      <c r="L164" s="2330"/>
      <c r="M164" s="2330"/>
      <c r="N164" s="2330"/>
      <c r="O164" s="2330"/>
      <c r="P164" s="2369">
        <v>0.99</v>
      </c>
      <c r="Q164" s="2369">
        <v>0.9405</v>
      </c>
      <c r="R164" s="2369">
        <v>0.90288000000000002</v>
      </c>
      <c r="S164" s="2369">
        <v>0.89385119999999996</v>
      </c>
      <c r="T164" s="2369">
        <v>0.884912688</v>
      </c>
      <c r="U164" s="2371">
        <v>0.87606356111999995</v>
      </c>
    </row>
    <row r="165" spans="1:21" ht="24" customHeight="1">
      <c r="A165" s="2164"/>
      <c r="B165" s="2165"/>
      <c r="C165" s="2169"/>
      <c r="D165" s="1237" t="s">
        <v>1214</v>
      </c>
      <c r="E165" s="2329"/>
      <c r="F165" s="2330"/>
      <c r="G165" s="2330"/>
      <c r="H165" s="2330"/>
      <c r="I165" s="2330"/>
      <c r="J165" s="2330"/>
      <c r="K165" s="2330"/>
      <c r="L165" s="2330"/>
      <c r="M165" s="2330"/>
      <c r="N165" s="2330"/>
      <c r="O165" s="2330"/>
      <c r="P165" s="2370"/>
      <c r="Q165" s="2370"/>
      <c r="R165" s="2370"/>
      <c r="S165" s="2370"/>
      <c r="T165" s="2370"/>
      <c r="U165" s="2372"/>
    </row>
    <row r="166" spans="1:21" ht="24" customHeight="1">
      <c r="A166" s="2164"/>
      <c r="B166" s="2157" t="s">
        <v>1257</v>
      </c>
      <c r="C166" s="2168" t="s">
        <v>1246</v>
      </c>
      <c r="D166" s="1235" t="s">
        <v>1213</v>
      </c>
      <c r="E166" s="2329"/>
      <c r="F166" s="2330"/>
      <c r="G166" s="2330"/>
      <c r="H166" s="2330"/>
      <c r="I166" s="2330"/>
      <c r="J166" s="2330"/>
      <c r="K166" s="2330"/>
      <c r="L166" s="2330"/>
      <c r="M166" s="2330"/>
      <c r="N166" s="2330"/>
      <c r="O166" s="2330"/>
      <c r="P166" s="2330"/>
      <c r="Q166" s="2369">
        <v>0.95</v>
      </c>
      <c r="R166" s="2369">
        <v>0.91199999999999992</v>
      </c>
      <c r="S166" s="2369">
        <v>0.9028799999999999</v>
      </c>
      <c r="T166" s="2369">
        <v>0.89385119999999985</v>
      </c>
      <c r="U166" s="2371">
        <v>0.88491268799999989</v>
      </c>
    </row>
    <row r="167" spans="1:21" ht="24" customHeight="1">
      <c r="A167" s="2164"/>
      <c r="B167" s="2165"/>
      <c r="C167" s="2169"/>
      <c r="D167" s="1237" t="s">
        <v>1214</v>
      </c>
      <c r="E167" s="2329"/>
      <c r="F167" s="2330"/>
      <c r="G167" s="2330"/>
      <c r="H167" s="2330"/>
      <c r="I167" s="2330"/>
      <c r="J167" s="2330"/>
      <c r="K167" s="2330"/>
      <c r="L167" s="2330"/>
      <c r="M167" s="2330"/>
      <c r="N167" s="2330"/>
      <c r="O167" s="2330"/>
      <c r="P167" s="2330"/>
      <c r="Q167" s="2370"/>
      <c r="R167" s="2370"/>
      <c r="S167" s="2370"/>
      <c r="T167" s="2370"/>
      <c r="U167" s="2372"/>
    </row>
    <row r="168" spans="1:21" ht="24" customHeight="1">
      <c r="A168" s="2164"/>
      <c r="B168" s="2157" t="s">
        <v>1258</v>
      </c>
      <c r="C168" s="2168" t="s">
        <v>1246</v>
      </c>
      <c r="D168" s="1235" t="s">
        <v>1213</v>
      </c>
      <c r="E168" s="2329"/>
      <c r="F168" s="2330"/>
      <c r="G168" s="2330"/>
      <c r="H168" s="2330"/>
      <c r="I168" s="2330"/>
      <c r="J168" s="2330"/>
      <c r="K168" s="2330"/>
      <c r="L168" s="2330"/>
      <c r="M168" s="2330"/>
      <c r="N168" s="2330"/>
      <c r="O168" s="2330"/>
      <c r="P168" s="2330"/>
      <c r="Q168" s="2330"/>
      <c r="R168" s="2369">
        <v>0.96</v>
      </c>
      <c r="S168" s="2369">
        <v>0.95039999999999991</v>
      </c>
      <c r="T168" s="2369">
        <v>0.94089599999999995</v>
      </c>
      <c r="U168" s="2371">
        <v>0.93148703999999993</v>
      </c>
    </row>
    <row r="169" spans="1:21" ht="24" customHeight="1">
      <c r="A169" s="2164"/>
      <c r="B169" s="2165"/>
      <c r="C169" s="2169"/>
      <c r="D169" s="1237" t="s">
        <v>1214</v>
      </c>
      <c r="E169" s="2329"/>
      <c r="F169" s="2330"/>
      <c r="G169" s="2330"/>
      <c r="H169" s="2330"/>
      <c r="I169" s="2330"/>
      <c r="J169" s="2330"/>
      <c r="K169" s="2330"/>
      <c r="L169" s="2330"/>
      <c r="M169" s="2330"/>
      <c r="N169" s="2330"/>
      <c r="O169" s="2330"/>
      <c r="P169" s="2330"/>
      <c r="Q169" s="2330"/>
      <c r="R169" s="2370"/>
      <c r="S169" s="2370"/>
      <c r="T169" s="2370"/>
      <c r="U169" s="2372"/>
    </row>
    <row r="170" spans="1:21" ht="24" customHeight="1">
      <c r="A170" s="2164"/>
      <c r="B170" s="2157" t="s">
        <v>1259</v>
      </c>
      <c r="C170" s="2168" t="s">
        <v>1246</v>
      </c>
      <c r="D170" s="1235" t="s">
        <v>1213</v>
      </c>
      <c r="E170" s="2329"/>
      <c r="F170" s="2330"/>
      <c r="G170" s="2330"/>
      <c r="H170" s="2330"/>
      <c r="I170" s="2330"/>
      <c r="J170" s="2330"/>
      <c r="K170" s="2330"/>
      <c r="L170" s="2330"/>
      <c r="M170" s="2330"/>
      <c r="N170" s="2330"/>
      <c r="O170" s="2330"/>
      <c r="P170" s="2330"/>
      <c r="Q170" s="2330"/>
      <c r="R170" s="2330"/>
      <c r="S170" s="2369">
        <v>0.99</v>
      </c>
      <c r="T170" s="2369">
        <v>0.98009999999999997</v>
      </c>
      <c r="U170" s="2371">
        <v>0.97029899999999991</v>
      </c>
    </row>
    <row r="171" spans="1:21" ht="24" customHeight="1">
      <c r="A171" s="2164"/>
      <c r="B171" s="2165"/>
      <c r="C171" s="2169"/>
      <c r="D171" s="1237" t="s">
        <v>1214</v>
      </c>
      <c r="E171" s="2329"/>
      <c r="F171" s="2330"/>
      <c r="G171" s="2330"/>
      <c r="H171" s="2330"/>
      <c r="I171" s="2330"/>
      <c r="J171" s="2330"/>
      <c r="K171" s="2330"/>
      <c r="L171" s="2330"/>
      <c r="M171" s="2330"/>
      <c r="N171" s="2330"/>
      <c r="O171" s="2330"/>
      <c r="P171" s="2330"/>
      <c r="Q171" s="2330"/>
      <c r="R171" s="2330"/>
      <c r="S171" s="2370"/>
      <c r="T171" s="2370"/>
      <c r="U171" s="2372"/>
    </row>
    <row r="172" spans="1:21" ht="24" customHeight="1">
      <c r="A172" s="2164"/>
      <c r="B172" s="2157" t="s">
        <v>1260</v>
      </c>
      <c r="C172" s="2168" t="s">
        <v>1246</v>
      </c>
      <c r="D172" s="1235" t="s">
        <v>1213</v>
      </c>
      <c r="E172" s="2329"/>
      <c r="F172" s="2330"/>
      <c r="G172" s="2330"/>
      <c r="H172" s="2330"/>
      <c r="I172" s="2330"/>
      <c r="J172" s="2330"/>
      <c r="K172" s="2330"/>
      <c r="L172" s="2330"/>
      <c r="M172" s="2330"/>
      <c r="N172" s="2330"/>
      <c r="O172" s="2330"/>
      <c r="P172" s="2330"/>
      <c r="Q172" s="2330"/>
      <c r="R172" s="2330"/>
      <c r="S172" s="2330"/>
      <c r="T172" s="2369">
        <v>0.99</v>
      </c>
      <c r="U172" s="2371">
        <v>0.98009999999999997</v>
      </c>
    </row>
    <row r="173" spans="1:21" ht="24" customHeight="1">
      <c r="A173" s="2164"/>
      <c r="B173" s="2165"/>
      <c r="C173" s="2169"/>
      <c r="D173" s="1237" t="s">
        <v>1214</v>
      </c>
      <c r="E173" s="2329"/>
      <c r="F173" s="2330"/>
      <c r="G173" s="2330"/>
      <c r="H173" s="2330"/>
      <c r="I173" s="2330"/>
      <c r="J173" s="2330"/>
      <c r="K173" s="2330"/>
      <c r="L173" s="2330"/>
      <c r="M173" s="2330"/>
      <c r="N173" s="2330"/>
      <c r="O173" s="2330"/>
      <c r="P173" s="2330"/>
      <c r="Q173" s="2330"/>
      <c r="R173" s="2330"/>
      <c r="S173" s="2330"/>
      <c r="T173" s="2370"/>
      <c r="U173" s="2372"/>
    </row>
    <row r="174" spans="1:21" ht="24" customHeight="1">
      <c r="A174" s="2164"/>
      <c r="B174" s="2157" t="s">
        <v>1261</v>
      </c>
      <c r="C174" s="2168" t="s">
        <v>1246</v>
      </c>
      <c r="D174" s="1235" t="s">
        <v>1213</v>
      </c>
      <c r="E174" s="2329"/>
      <c r="F174" s="2330"/>
      <c r="G174" s="2330"/>
      <c r="H174" s="2330"/>
      <c r="I174" s="2330"/>
      <c r="J174" s="2330"/>
      <c r="K174" s="2330"/>
      <c r="L174" s="2330"/>
      <c r="M174" s="2330"/>
      <c r="N174" s="2330"/>
      <c r="O174" s="2330"/>
      <c r="P174" s="2330"/>
      <c r="Q174" s="2330"/>
      <c r="R174" s="2330"/>
      <c r="S174" s="2330"/>
      <c r="T174" s="2330"/>
      <c r="U174" s="2371">
        <v>0.99</v>
      </c>
    </row>
    <row r="175" spans="1:21" ht="24" customHeight="1">
      <c r="A175" s="2164"/>
      <c r="B175" s="2165"/>
      <c r="C175" s="2169"/>
      <c r="D175" s="1237" t="s">
        <v>1214</v>
      </c>
      <c r="E175" s="2329"/>
      <c r="F175" s="2330"/>
      <c r="G175" s="2330"/>
      <c r="H175" s="2330"/>
      <c r="I175" s="2330"/>
      <c r="J175" s="2330"/>
      <c r="K175" s="2330"/>
      <c r="L175" s="2330"/>
      <c r="M175" s="2330"/>
      <c r="N175" s="2330"/>
      <c r="O175" s="2330"/>
      <c r="P175" s="2330"/>
      <c r="Q175" s="2330"/>
      <c r="R175" s="2330"/>
      <c r="S175" s="2330"/>
      <c r="T175" s="2330"/>
      <c r="U175" s="2372"/>
    </row>
    <row r="176" spans="1:21" ht="24" customHeight="1">
      <c r="A176" s="2164"/>
      <c r="B176" s="2157" t="s">
        <v>1262</v>
      </c>
      <c r="C176" s="2168" t="s">
        <v>1246</v>
      </c>
      <c r="D176" s="1235" t="s">
        <v>1213</v>
      </c>
      <c r="E176" s="2329"/>
      <c r="F176" s="2330"/>
      <c r="G176" s="2330"/>
      <c r="H176" s="2330"/>
      <c r="I176" s="2330"/>
      <c r="J176" s="2330"/>
      <c r="K176" s="2330"/>
      <c r="L176" s="2330"/>
      <c r="M176" s="2330"/>
      <c r="N176" s="2330"/>
      <c r="O176" s="2330"/>
      <c r="P176" s="2330"/>
      <c r="Q176" s="2330"/>
      <c r="R176" s="2330"/>
      <c r="S176" s="2330"/>
      <c r="T176" s="2330"/>
      <c r="U176" s="2373"/>
    </row>
    <row r="177" spans="1:21" ht="24" customHeight="1">
      <c r="A177" s="2165"/>
      <c r="B177" s="2165"/>
      <c r="C177" s="2332"/>
      <c r="D177" s="1237" t="s">
        <v>1214</v>
      </c>
      <c r="E177" s="2329"/>
      <c r="F177" s="2330"/>
      <c r="G177" s="2330"/>
      <c r="H177" s="2330"/>
      <c r="I177" s="2330"/>
      <c r="J177" s="2330"/>
      <c r="K177" s="2330"/>
      <c r="L177" s="2330"/>
      <c r="M177" s="2330"/>
      <c r="N177" s="2330"/>
      <c r="O177" s="2330"/>
      <c r="P177" s="2330"/>
      <c r="Q177" s="2330"/>
      <c r="R177" s="2330"/>
      <c r="S177" s="2330"/>
      <c r="T177" s="2330"/>
      <c r="U177" s="2374"/>
    </row>
    <row r="178" spans="1:21" ht="24" customHeight="1">
      <c r="A178" s="2157" t="s">
        <v>1222</v>
      </c>
      <c r="B178" s="2157" t="s">
        <v>1245</v>
      </c>
      <c r="C178" s="2168" t="s">
        <v>1246</v>
      </c>
      <c r="D178" s="1235" t="s">
        <v>1213</v>
      </c>
      <c r="E178" s="2329"/>
      <c r="F178" s="2369">
        <v>0.63</v>
      </c>
      <c r="G178" s="2369">
        <v>0.4914</v>
      </c>
      <c r="H178" s="2369">
        <v>0.42260399999999998</v>
      </c>
      <c r="I178" s="2369">
        <v>0.40147379999999994</v>
      </c>
      <c r="J178" s="2369">
        <v>0.35731168199999996</v>
      </c>
      <c r="K178" s="2369">
        <v>0.32872674743999997</v>
      </c>
      <c r="L178" s="2369">
        <v>0.31229041006799996</v>
      </c>
      <c r="M178" s="2369">
        <v>0.29667588956459995</v>
      </c>
      <c r="N178" s="2369">
        <v>0.28480885398201594</v>
      </c>
      <c r="O178" s="2369">
        <v>0.2734164998227353</v>
      </c>
      <c r="P178" s="2369">
        <v>0.27068233482450793</v>
      </c>
      <c r="Q178" s="2369">
        <v>0.2598550414315276</v>
      </c>
      <c r="R178" s="2369">
        <v>0.24946083977426647</v>
      </c>
      <c r="S178" s="2369">
        <v>0.24696623137652382</v>
      </c>
      <c r="T178" s="2369">
        <v>0.24449656906275857</v>
      </c>
      <c r="U178" s="2371">
        <v>0.242051603372131</v>
      </c>
    </row>
    <row r="179" spans="1:21" ht="24" customHeight="1">
      <c r="A179" s="2164"/>
      <c r="B179" s="2165"/>
      <c r="C179" s="2169"/>
      <c r="D179" s="1237" t="s">
        <v>1214</v>
      </c>
      <c r="E179" s="2329"/>
      <c r="F179" s="2370"/>
      <c r="G179" s="2370"/>
      <c r="H179" s="2370"/>
      <c r="I179" s="2370"/>
      <c r="J179" s="2370"/>
      <c r="K179" s="2370"/>
      <c r="L179" s="2370"/>
      <c r="M179" s="2370"/>
      <c r="N179" s="2370"/>
      <c r="O179" s="2370"/>
      <c r="P179" s="2370"/>
      <c r="Q179" s="2370"/>
      <c r="R179" s="2370"/>
      <c r="S179" s="2370"/>
      <c r="T179" s="2370"/>
      <c r="U179" s="2372"/>
    </row>
    <row r="180" spans="1:21" ht="24" customHeight="1">
      <c r="A180" s="2164"/>
      <c r="B180" s="2157" t="s">
        <v>1247</v>
      </c>
      <c r="C180" s="2168" t="s">
        <v>1246</v>
      </c>
      <c r="D180" s="1235" t="s">
        <v>1213</v>
      </c>
      <c r="E180" s="2329"/>
      <c r="F180" s="2330"/>
      <c r="G180" s="2369">
        <v>0.78</v>
      </c>
      <c r="H180" s="2369">
        <v>0.67080000000000006</v>
      </c>
      <c r="I180" s="2369">
        <v>0.63726000000000005</v>
      </c>
      <c r="J180" s="2369">
        <v>0.56716140000000004</v>
      </c>
      <c r="K180" s="2369">
        <v>0.52178848800000011</v>
      </c>
      <c r="L180" s="2369">
        <v>0.4956990636000001</v>
      </c>
      <c r="M180" s="2369">
        <v>0.47091411042000009</v>
      </c>
      <c r="N180" s="2369">
        <v>0.45207754600320005</v>
      </c>
      <c r="O180" s="2369">
        <v>0.43399444416307204</v>
      </c>
      <c r="P180" s="2369">
        <v>0.42965449972144132</v>
      </c>
      <c r="Q180" s="2369">
        <v>0.41246831973258363</v>
      </c>
      <c r="R180" s="2369">
        <v>0.39596958694328027</v>
      </c>
      <c r="S180" s="2369">
        <v>0.39200989107384748</v>
      </c>
      <c r="T180" s="2369">
        <v>0.38808979216310902</v>
      </c>
      <c r="U180" s="2371">
        <v>0.38420889424147792</v>
      </c>
    </row>
    <row r="181" spans="1:21" ht="24" customHeight="1">
      <c r="A181" s="2164"/>
      <c r="B181" s="2165"/>
      <c r="C181" s="2169"/>
      <c r="D181" s="1237" t="s">
        <v>1214</v>
      </c>
      <c r="E181" s="2329"/>
      <c r="F181" s="2330"/>
      <c r="G181" s="2370"/>
      <c r="H181" s="2370"/>
      <c r="I181" s="2370"/>
      <c r="J181" s="2370"/>
      <c r="K181" s="2370"/>
      <c r="L181" s="2370"/>
      <c r="M181" s="2370"/>
      <c r="N181" s="2370"/>
      <c r="O181" s="2370"/>
      <c r="P181" s="2370"/>
      <c r="Q181" s="2370"/>
      <c r="R181" s="2370"/>
      <c r="S181" s="2370"/>
      <c r="T181" s="2370"/>
      <c r="U181" s="2372"/>
    </row>
    <row r="182" spans="1:21" ht="24" customHeight="1">
      <c r="A182" s="2164"/>
      <c r="B182" s="2157" t="s">
        <v>1248</v>
      </c>
      <c r="C182" s="2168" t="s">
        <v>1246</v>
      </c>
      <c r="D182" s="1235" t="s">
        <v>1213</v>
      </c>
      <c r="E182" s="2329"/>
      <c r="F182" s="2330"/>
      <c r="G182" s="2330"/>
      <c r="H182" s="2369">
        <v>0.86</v>
      </c>
      <c r="I182" s="2369">
        <v>0.81699999999999995</v>
      </c>
      <c r="J182" s="2369">
        <v>0.72712999999999994</v>
      </c>
      <c r="K182" s="2369">
        <v>0.66895959999999999</v>
      </c>
      <c r="L182" s="2369">
        <v>0.63551161999999994</v>
      </c>
      <c r="M182" s="2369">
        <v>0.60373603899999995</v>
      </c>
      <c r="N182" s="2369">
        <v>0.57958659743999996</v>
      </c>
      <c r="O182" s="2369">
        <v>0.5564031335423999</v>
      </c>
      <c r="P182" s="2369">
        <v>0.55083910220697585</v>
      </c>
      <c r="Q182" s="2369">
        <v>0.52880553811869679</v>
      </c>
      <c r="R182" s="2369">
        <v>0.50765331659394886</v>
      </c>
      <c r="S182" s="2369">
        <v>0.50257678342800938</v>
      </c>
      <c r="T182" s="2369">
        <v>0.49755101559372927</v>
      </c>
      <c r="U182" s="2371">
        <v>0.49257550543779199</v>
      </c>
    </row>
    <row r="183" spans="1:21" ht="24" customHeight="1">
      <c r="A183" s="2164"/>
      <c r="B183" s="2165"/>
      <c r="C183" s="2169"/>
      <c r="D183" s="1237" t="s">
        <v>1214</v>
      </c>
      <c r="E183" s="2329"/>
      <c r="F183" s="2330"/>
      <c r="G183" s="2330"/>
      <c r="H183" s="2370"/>
      <c r="I183" s="2370"/>
      <c r="J183" s="2370"/>
      <c r="K183" s="2370"/>
      <c r="L183" s="2370"/>
      <c r="M183" s="2370"/>
      <c r="N183" s="2370"/>
      <c r="O183" s="2370"/>
      <c r="P183" s="2370"/>
      <c r="Q183" s="2370"/>
      <c r="R183" s="2370"/>
      <c r="S183" s="2370"/>
      <c r="T183" s="2370"/>
      <c r="U183" s="2372"/>
    </row>
    <row r="184" spans="1:21" ht="24" customHeight="1">
      <c r="A184" s="2164"/>
      <c r="B184" s="2157" t="s">
        <v>1249</v>
      </c>
      <c r="C184" s="2168" t="s">
        <v>1246</v>
      </c>
      <c r="D184" s="1235" t="s">
        <v>1213</v>
      </c>
      <c r="E184" s="2329"/>
      <c r="F184" s="2330"/>
      <c r="G184" s="2330"/>
      <c r="H184" s="2330"/>
      <c r="I184" s="2369">
        <v>0.95</v>
      </c>
      <c r="J184" s="2369">
        <v>0.84549999999999992</v>
      </c>
      <c r="K184" s="2369">
        <v>0.77786</v>
      </c>
      <c r="L184" s="2369">
        <v>0.73896699999999993</v>
      </c>
      <c r="M184" s="2369">
        <v>0.70201864999999986</v>
      </c>
      <c r="N184" s="2369">
        <v>0.67393790399999987</v>
      </c>
      <c r="O184" s="2369">
        <v>0.64698038783999989</v>
      </c>
      <c r="P184" s="2369">
        <v>0.64051058396159988</v>
      </c>
      <c r="Q184" s="2369">
        <v>0.61489016060313584</v>
      </c>
      <c r="R184" s="2369">
        <v>0.59029455417901033</v>
      </c>
      <c r="S184" s="2369">
        <v>0.58439160863722017</v>
      </c>
      <c r="T184" s="2369">
        <v>0.57854769255084793</v>
      </c>
      <c r="U184" s="2371">
        <v>0.57276221562533947</v>
      </c>
    </row>
    <row r="185" spans="1:21" ht="24" customHeight="1">
      <c r="A185" s="2164"/>
      <c r="B185" s="2165"/>
      <c r="C185" s="2169"/>
      <c r="D185" s="1237" t="s">
        <v>1214</v>
      </c>
      <c r="E185" s="2329"/>
      <c r="F185" s="2330"/>
      <c r="G185" s="2330"/>
      <c r="H185" s="2330"/>
      <c r="I185" s="2370"/>
      <c r="J185" s="2370"/>
      <c r="K185" s="2370"/>
      <c r="L185" s="2370"/>
      <c r="M185" s="2370"/>
      <c r="N185" s="2370"/>
      <c r="O185" s="2370"/>
      <c r="P185" s="2370"/>
      <c r="Q185" s="2370"/>
      <c r="R185" s="2370"/>
      <c r="S185" s="2370"/>
      <c r="T185" s="2370"/>
      <c r="U185" s="2372"/>
    </row>
    <row r="186" spans="1:21" ht="24" customHeight="1">
      <c r="A186" s="2164"/>
      <c r="B186" s="2157" t="s">
        <v>1250</v>
      </c>
      <c r="C186" s="2168" t="s">
        <v>1246</v>
      </c>
      <c r="D186" s="1235" t="s">
        <v>1213</v>
      </c>
      <c r="E186" s="2329"/>
      <c r="F186" s="2330"/>
      <c r="G186" s="2330"/>
      <c r="H186" s="2330"/>
      <c r="I186" s="2330"/>
      <c r="J186" s="2369">
        <v>0.89</v>
      </c>
      <c r="K186" s="2369">
        <v>0.81880000000000008</v>
      </c>
      <c r="L186" s="2369">
        <v>0.77786</v>
      </c>
      <c r="M186" s="2369">
        <v>0.73896699999999993</v>
      </c>
      <c r="N186" s="2369">
        <v>0.70940831999999987</v>
      </c>
      <c r="O186" s="2369">
        <v>0.6810319871999998</v>
      </c>
      <c r="P186" s="2369">
        <v>0.67422166732799982</v>
      </c>
      <c r="Q186" s="2369">
        <v>0.64725280063487978</v>
      </c>
      <c r="R186" s="2369">
        <v>0.62136268860948451</v>
      </c>
      <c r="S186" s="2369">
        <v>0.61514906172338968</v>
      </c>
      <c r="T186" s="2369">
        <v>0.60899757110615582</v>
      </c>
      <c r="U186" s="2371">
        <v>0.60290759539509431</v>
      </c>
    </row>
    <row r="187" spans="1:21" ht="24" customHeight="1">
      <c r="A187" s="2164"/>
      <c r="B187" s="2165"/>
      <c r="C187" s="2169"/>
      <c r="D187" s="1237" t="s">
        <v>1214</v>
      </c>
      <c r="E187" s="2329"/>
      <c r="F187" s="2330"/>
      <c r="G187" s="2330"/>
      <c r="H187" s="2330"/>
      <c r="I187" s="2330"/>
      <c r="J187" s="2370"/>
      <c r="K187" s="2370"/>
      <c r="L187" s="2370"/>
      <c r="M187" s="2370"/>
      <c r="N187" s="2370"/>
      <c r="O187" s="2370"/>
      <c r="P187" s="2370"/>
      <c r="Q187" s="2370"/>
      <c r="R187" s="2370"/>
      <c r="S187" s="2370"/>
      <c r="T187" s="2370"/>
      <c r="U187" s="2372"/>
    </row>
    <row r="188" spans="1:21" ht="24" customHeight="1">
      <c r="A188" s="2164"/>
      <c r="B188" s="2157" t="s">
        <v>1251</v>
      </c>
      <c r="C188" s="2168" t="s">
        <v>1246</v>
      </c>
      <c r="D188" s="1235" t="s">
        <v>1213</v>
      </c>
      <c r="E188" s="2329"/>
      <c r="F188" s="2330"/>
      <c r="G188" s="2330"/>
      <c r="H188" s="2330"/>
      <c r="I188" s="2330"/>
      <c r="J188" s="2330"/>
      <c r="K188" s="2369">
        <v>0.92</v>
      </c>
      <c r="L188" s="2369">
        <v>0.874</v>
      </c>
      <c r="M188" s="2369">
        <v>0.83029999999999993</v>
      </c>
      <c r="N188" s="2369">
        <v>0.79708799999999991</v>
      </c>
      <c r="O188" s="2369">
        <v>0.76520447999999985</v>
      </c>
      <c r="P188" s="2369">
        <v>0.75755243519999982</v>
      </c>
      <c r="Q188" s="2369">
        <v>0.72725033779199977</v>
      </c>
      <c r="R188" s="2369">
        <v>0.69816032428031971</v>
      </c>
      <c r="S188" s="2369">
        <v>0.69117872103751654</v>
      </c>
      <c r="T188" s="2369">
        <v>0.68426693382714132</v>
      </c>
      <c r="U188" s="2371">
        <v>0.67742426448886994</v>
      </c>
    </row>
    <row r="189" spans="1:21" ht="24" customHeight="1">
      <c r="A189" s="2164"/>
      <c r="B189" s="2165"/>
      <c r="C189" s="2169"/>
      <c r="D189" s="1237" t="s">
        <v>1214</v>
      </c>
      <c r="E189" s="2329"/>
      <c r="F189" s="2330"/>
      <c r="G189" s="2330"/>
      <c r="H189" s="2330"/>
      <c r="I189" s="2330"/>
      <c r="J189" s="2330"/>
      <c r="K189" s="2370"/>
      <c r="L189" s="2370"/>
      <c r="M189" s="2370"/>
      <c r="N189" s="2370"/>
      <c r="O189" s="2370"/>
      <c r="P189" s="2370"/>
      <c r="Q189" s="2370"/>
      <c r="R189" s="2370"/>
      <c r="S189" s="2370"/>
      <c r="T189" s="2370"/>
      <c r="U189" s="2372"/>
    </row>
    <row r="190" spans="1:21" ht="24" customHeight="1">
      <c r="A190" s="2164"/>
      <c r="B190" s="2157" t="s">
        <v>1252</v>
      </c>
      <c r="C190" s="2168" t="s">
        <v>1246</v>
      </c>
      <c r="D190" s="1235" t="s">
        <v>1213</v>
      </c>
      <c r="E190" s="2329"/>
      <c r="F190" s="2330"/>
      <c r="G190" s="2330"/>
      <c r="H190" s="2330"/>
      <c r="I190" s="2330"/>
      <c r="J190" s="2330"/>
      <c r="K190" s="2330"/>
      <c r="L190" s="2369">
        <v>0.95</v>
      </c>
      <c r="M190" s="2369">
        <v>0.90249999999999997</v>
      </c>
      <c r="N190" s="2369">
        <v>0.86639999999999995</v>
      </c>
      <c r="O190" s="2369">
        <v>0.83174399999999993</v>
      </c>
      <c r="P190" s="2369">
        <v>0.82342655999999992</v>
      </c>
      <c r="Q190" s="2369">
        <v>0.79048949759999987</v>
      </c>
      <c r="R190" s="2369">
        <v>0.75886991769599987</v>
      </c>
      <c r="S190" s="2369">
        <v>0.75128121851903984</v>
      </c>
      <c r="T190" s="2369">
        <v>0.74376840633384944</v>
      </c>
      <c r="U190" s="2371">
        <v>0.736330722270511</v>
      </c>
    </row>
    <row r="191" spans="1:21" ht="24" customHeight="1">
      <c r="A191" s="2164"/>
      <c r="B191" s="2165"/>
      <c r="C191" s="2169"/>
      <c r="D191" s="1237" t="s">
        <v>1214</v>
      </c>
      <c r="E191" s="2329"/>
      <c r="F191" s="2330"/>
      <c r="G191" s="2330"/>
      <c r="H191" s="2330"/>
      <c r="I191" s="2330"/>
      <c r="J191" s="2330"/>
      <c r="K191" s="2330"/>
      <c r="L191" s="2370"/>
      <c r="M191" s="2370"/>
      <c r="N191" s="2370"/>
      <c r="O191" s="2370"/>
      <c r="P191" s="2370"/>
      <c r="Q191" s="2370"/>
      <c r="R191" s="2370"/>
      <c r="S191" s="2370"/>
      <c r="T191" s="2370"/>
      <c r="U191" s="2372"/>
    </row>
    <row r="192" spans="1:21" ht="24" customHeight="1">
      <c r="A192" s="2164"/>
      <c r="B192" s="2157" t="s">
        <v>1253</v>
      </c>
      <c r="C192" s="2168" t="s">
        <v>1246</v>
      </c>
      <c r="D192" s="1235" t="s">
        <v>1213</v>
      </c>
      <c r="E192" s="2329"/>
      <c r="F192" s="2330"/>
      <c r="G192" s="2330"/>
      <c r="H192" s="2330"/>
      <c r="I192" s="2330"/>
      <c r="J192" s="2330"/>
      <c r="K192" s="2330"/>
      <c r="L192" s="2330"/>
      <c r="M192" s="2369">
        <v>0.95</v>
      </c>
      <c r="N192" s="2369">
        <v>0.91199999999999992</v>
      </c>
      <c r="O192" s="2369">
        <v>0.87551999999999985</v>
      </c>
      <c r="P192" s="2369">
        <v>0.86676479999999989</v>
      </c>
      <c r="Q192" s="2369">
        <v>0.83209420799999989</v>
      </c>
      <c r="R192" s="2369">
        <v>0.79881043967999987</v>
      </c>
      <c r="S192" s="2369">
        <v>0.7908223352831999</v>
      </c>
      <c r="T192" s="2369">
        <v>0.78291411193036786</v>
      </c>
      <c r="U192" s="2371">
        <v>0.7750849708110642</v>
      </c>
    </row>
    <row r="193" spans="1:21" ht="24" customHeight="1">
      <c r="A193" s="2164"/>
      <c r="B193" s="2165"/>
      <c r="C193" s="2169"/>
      <c r="D193" s="1237" t="s">
        <v>1214</v>
      </c>
      <c r="E193" s="2329"/>
      <c r="F193" s="2330"/>
      <c r="G193" s="2330"/>
      <c r="H193" s="2330"/>
      <c r="I193" s="2330"/>
      <c r="J193" s="2330"/>
      <c r="K193" s="2330"/>
      <c r="L193" s="2330"/>
      <c r="M193" s="2370"/>
      <c r="N193" s="2370"/>
      <c r="O193" s="2370"/>
      <c r="P193" s="2370"/>
      <c r="Q193" s="2370"/>
      <c r="R193" s="2370"/>
      <c r="S193" s="2370"/>
      <c r="T193" s="2370"/>
      <c r="U193" s="2372"/>
    </row>
    <row r="194" spans="1:21" ht="24" customHeight="1">
      <c r="A194" s="2164"/>
      <c r="B194" s="2157" t="s">
        <v>1254</v>
      </c>
      <c r="C194" s="2168" t="s">
        <v>1246</v>
      </c>
      <c r="D194" s="1235" t="s">
        <v>1213</v>
      </c>
      <c r="E194" s="2329"/>
      <c r="F194" s="2330"/>
      <c r="G194" s="2330"/>
      <c r="H194" s="2330"/>
      <c r="I194" s="2330"/>
      <c r="J194" s="2330"/>
      <c r="K194" s="2330"/>
      <c r="L194" s="2330"/>
      <c r="M194" s="2330"/>
      <c r="N194" s="2369">
        <v>0.96</v>
      </c>
      <c r="O194" s="2369">
        <v>0.92159999999999997</v>
      </c>
      <c r="P194" s="2369">
        <v>0.91238399999999997</v>
      </c>
      <c r="Q194" s="2369">
        <v>0.87588864</v>
      </c>
      <c r="R194" s="2369">
        <v>0.8408530944</v>
      </c>
      <c r="S194" s="2369">
        <v>0.83244456345600004</v>
      </c>
      <c r="T194" s="2369">
        <v>0.82412011782144001</v>
      </c>
      <c r="U194" s="2371">
        <v>0.81587891664322565</v>
      </c>
    </row>
    <row r="195" spans="1:21" ht="24" customHeight="1">
      <c r="A195" s="2164"/>
      <c r="B195" s="2165"/>
      <c r="C195" s="2169"/>
      <c r="D195" s="1237" t="s">
        <v>1214</v>
      </c>
      <c r="E195" s="2329"/>
      <c r="F195" s="2330"/>
      <c r="G195" s="2330"/>
      <c r="H195" s="2330"/>
      <c r="I195" s="2330"/>
      <c r="J195" s="2330"/>
      <c r="K195" s="2330"/>
      <c r="L195" s="2330"/>
      <c r="M195" s="2330"/>
      <c r="N195" s="2370"/>
      <c r="O195" s="2370"/>
      <c r="P195" s="2370"/>
      <c r="Q195" s="2370"/>
      <c r="R195" s="2370"/>
      <c r="S195" s="2370"/>
      <c r="T195" s="2370"/>
      <c r="U195" s="2372"/>
    </row>
    <row r="196" spans="1:21" ht="24" customHeight="1">
      <c r="A196" s="2164"/>
      <c r="B196" s="2157" t="s">
        <v>1255</v>
      </c>
      <c r="C196" s="2168" t="s">
        <v>1246</v>
      </c>
      <c r="D196" s="1235" t="s">
        <v>1213</v>
      </c>
      <c r="E196" s="2329"/>
      <c r="F196" s="2330"/>
      <c r="G196" s="2330"/>
      <c r="H196" s="2330"/>
      <c r="I196" s="2330"/>
      <c r="J196" s="2330"/>
      <c r="K196" s="2330"/>
      <c r="L196" s="2330"/>
      <c r="M196" s="2330"/>
      <c r="N196" s="2330"/>
      <c r="O196" s="2369">
        <v>0.96</v>
      </c>
      <c r="P196" s="2369">
        <v>0.95039999999999991</v>
      </c>
      <c r="Q196" s="2369">
        <v>0.91238399999999986</v>
      </c>
      <c r="R196" s="2369">
        <v>0.87588863999999989</v>
      </c>
      <c r="S196" s="2369">
        <v>0.86712975359999989</v>
      </c>
      <c r="T196" s="2369">
        <v>0.85845845606399984</v>
      </c>
      <c r="U196" s="2371">
        <v>0.8498738715033598</v>
      </c>
    </row>
    <row r="197" spans="1:21" ht="24" customHeight="1">
      <c r="A197" s="2164"/>
      <c r="B197" s="2165"/>
      <c r="C197" s="2169"/>
      <c r="D197" s="1237" t="s">
        <v>1214</v>
      </c>
      <c r="E197" s="2329"/>
      <c r="F197" s="2330"/>
      <c r="G197" s="2330"/>
      <c r="H197" s="2330"/>
      <c r="I197" s="2330"/>
      <c r="J197" s="2330"/>
      <c r="K197" s="2330"/>
      <c r="L197" s="2330"/>
      <c r="M197" s="2330"/>
      <c r="N197" s="2330"/>
      <c r="O197" s="2370"/>
      <c r="P197" s="2370"/>
      <c r="Q197" s="2370"/>
      <c r="R197" s="2370"/>
      <c r="S197" s="2370"/>
      <c r="T197" s="2370"/>
      <c r="U197" s="2372"/>
    </row>
    <row r="198" spans="1:21" ht="24" customHeight="1">
      <c r="A198" s="2164"/>
      <c r="B198" s="2157" t="s">
        <v>1256</v>
      </c>
      <c r="C198" s="2168" t="s">
        <v>1246</v>
      </c>
      <c r="D198" s="1235" t="s">
        <v>1213</v>
      </c>
      <c r="E198" s="2329"/>
      <c r="F198" s="2330"/>
      <c r="G198" s="2330"/>
      <c r="H198" s="2330"/>
      <c r="I198" s="2330"/>
      <c r="J198" s="2330"/>
      <c r="K198" s="2330"/>
      <c r="L198" s="2330"/>
      <c r="M198" s="2330"/>
      <c r="N198" s="2330"/>
      <c r="O198" s="2330"/>
      <c r="P198" s="2369">
        <v>0.99</v>
      </c>
      <c r="Q198" s="2369">
        <v>0.95039999999999991</v>
      </c>
      <c r="R198" s="2369">
        <v>0.91238399999999986</v>
      </c>
      <c r="S198" s="2369">
        <v>0.90326015999999987</v>
      </c>
      <c r="T198" s="2369">
        <v>0.8942275583999999</v>
      </c>
      <c r="U198" s="2371">
        <v>0.88528528281599994</v>
      </c>
    </row>
    <row r="199" spans="1:21" ht="24" customHeight="1">
      <c r="A199" s="2164"/>
      <c r="B199" s="2165"/>
      <c r="C199" s="2169"/>
      <c r="D199" s="1237" t="s">
        <v>1214</v>
      </c>
      <c r="E199" s="2329"/>
      <c r="F199" s="2330"/>
      <c r="G199" s="2330"/>
      <c r="H199" s="2330"/>
      <c r="I199" s="2330"/>
      <c r="J199" s="2330"/>
      <c r="K199" s="2330"/>
      <c r="L199" s="2330"/>
      <c r="M199" s="2330"/>
      <c r="N199" s="2330"/>
      <c r="O199" s="2330"/>
      <c r="P199" s="2370"/>
      <c r="Q199" s="2370"/>
      <c r="R199" s="2370"/>
      <c r="S199" s="2370"/>
      <c r="T199" s="2370"/>
      <c r="U199" s="2372"/>
    </row>
    <row r="200" spans="1:21" ht="24" customHeight="1">
      <c r="A200" s="2164"/>
      <c r="B200" s="2157" t="s">
        <v>1257</v>
      </c>
      <c r="C200" s="2168" t="s">
        <v>1246</v>
      </c>
      <c r="D200" s="1235" t="s">
        <v>1213</v>
      </c>
      <c r="E200" s="2329"/>
      <c r="F200" s="2330"/>
      <c r="G200" s="2330"/>
      <c r="H200" s="2330"/>
      <c r="I200" s="2330"/>
      <c r="J200" s="2330"/>
      <c r="K200" s="2330"/>
      <c r="L200" s="2330"/>
      <c r="M200" s="2330"/>
      <c r="N200" s="2330"/>
      <c r="O200" s="2330"/>
      <c r="P200" s="2330"/>
      <c r="Q200" s="2369">
        <v>0.96</v>
      </c>
      <c r="R200" s="2369">
        <v>0.92159999999999997</v>
      </c>
      <c r="S200" s="2369">
        <v>0.91238399999999997</v>
      </c>
      <c r="T200" s="2369">
        <v>0.90326015999999998</v>
      </c>
      <c r="U200" s="2371">
        <v>0.89422755840000001</v>
      </c>
    </row>
    <row r="201" spans="1:21" ht="24" customHeight="1">
      <c r="A201" s="2164"/>
      <c r="B201" s="2165"/>
      <c r="C201" s="2169"/>
      <c r="D201" s="1237" t="s">
        <v>1214</v>
      </c>
      <c r="E201" s="2329"/>
      <c r="F201" s="2330"/>
      <c r="G201" s="2330"/>
      <c r="H201" s="2330"/>
      <c r="I201" s="2330"/>
      <c r="J201" s="2330"/>
      <c r="K201" s="2330"/>
      <c r="L201" s="2330"/>
      <c r="M201" s="2330"/>
      <c r="N201" s="2330"/>
      <c r="O201" s="2330"/>
      <c r="P201" s="2330"/>
      <c r="Q201" s="2370"/>
      <c r="R201" s="2370"/>
      <c r="S201" s="2370"/>
      <c r="T201" s="2370"/>
      <c r="U201" s="2372"/>
    </row>
    <row r="202" spans="1:21" ht="24" customHeight="1">
      <c r="A202" s="2164"/>
      <c r="B202" s="2157" t="s">
        <v>1258</v>
      </c>
      <c r="C202" s="2168" t="s">
        <v>1246</v>
      </c>
      <c r="D202" s="1235" t="s">
        <v>1213</v>
      </c>
      <c r="E202" s="2329"/>
      <c r="F202" s="2330"/>
      <c r="G202" s="2330"/>
      <c r="H202" s="2330"/>
      <c r="I202" s="2330"/>
      <c r="J202" s="2330"/>
      <c r="K202" s="2330"/>
      <c r="L202" s="2330"/>
      <c r="M202" s="2330"/>
      <c r="N202" s="2330"/>
      <c r="O202" s="2330"/>
      <c r="P202" s="2330"/>
      <c r="Q202" s="2330"/>
      <c r="R202" s="2369">
        <v>0.96</v>
      </c>
      <c r="S202" s="2369">
        <v>0.95039999999999991</v>
      </c>
      <c r="T202" s="2369">
        <v>0.94089599999999995</v>
      </c>
      <c r="U202" s="2371">
        <v>0.93148703999999993</v>
      </c>
    </row>
    <row r="203" spans="1:21" ht="24" customHeight="1">
      <c r="A203" s="2164"/>
      <c r="B203" s="2165"/>
      <c r="C203" s="2169"/>
      <c r="D203" s="1237" t="s">
        <v>1214</v>
      </c>
      <c r="E203" s="2329"/>
      <c r="F203" s="2330"/>
      <c r="G203" s="2330"/>
      <c r="H203" s="2330"/>
      <c r="I203" s="2330"/>
      <c r="J203" s="2330"/>
      <c r="K203" s="2330"/>
      <c r="L203" s="2330"/>
      <c r="M203" s="2330"/>
      <c r="N203" s="2330"/>
      <c r="O203" s="2330"/>
      <c r="P203" s="2330"/>
      <c r="Q203" s="2330"/>
      <c r="R203" s="2370"/>
      <c r="S203" s="2370"/>
      <c r="T203" s="2370"/>
      <c r="U203" s="2372"/>
    </row>
    <row r="204" spans="1:21" ht="24" customHeight="1">
      <c r="A204" s="2164"/>
      <c r="B204" s="2157" t="s">
        <v>1259</v>
      </c>
      <c r="C204" s="2168" t="s">
        <v>1246</v>
      </c>
      <c r="D204" s="1235" t="s">
        <v>1213</v>
      </c>
      <c r="E204" s="2329"/>
      <c r="F204" s="2330"/>
      <c r="G204" s="2330"/>
      <c r="H204" s="2330"/>
      <c r="I204" s="2330"/>
      <c r="J204" s="2330"/>
      <c r="K204" s="2330"/>
      <c r="L204" s="2330"/>
      <c r="M204" s="2330"/>
      <c r="N204" s="2330"/>
      <c r="O204" s="2330"/>
      <c r="P204" s="2330"/>
      <c r="Q204" s="2330"/>
      <c r="R204" s="2330"/>
      <c r="S204" s="2369">
        <v>0.99</v>
      </c>
      <c r="T204" s="2369">
        <v>0.98009999999999997</v>
      </c>
      <c r="U204" s="2371">
        <v>0.97029899999999991</v>
      </c>
    </row>
    <row r="205" spans="1:21" ht="24" customHeight="1">
      <c r="A205" s="2164"/>
      <c r="B205" s="2165"/>
      <c r="C205" s="2169"/>
      <c r="D205" s="1237" t="s">
        <v>1214</v>
      </c>
      <c r="E205" s="2329"/>
      <c r="F205" s="2330"/>
      <c r="G205" s="2330"/>
      <c r="H205" s="2330"/>
      <c r="I205" s="2330"/>
      <c r="J205" s="2330"/>
      <c r="K205" s="2330"/>
      <c r="L205" s="2330"/>
      <c r="M205" s="2330"/>
      <c r="N205" s="2330"/>
      <c r="O205" s="2330"/>
      <c r="P205" s="2330"/>
      <c r="Q205" s="2330"/>
      <c r="R205" s="2330"/>
      <c r="S205" s="2370"/>
      <c r="T205" s="2370"/>
      <c r="U205" s="2372"/>
    </row>
    <row r="206" spans="1:21" ht="24" customHeight="1">
      <c r="A206" s="2164"/>
      <c r="B206" s="2157" t="s">
        <v>1260</v>
      </c>
      <c r="C206" s="2168" t="s">
        <v>1246</v>
      </c>
      <c r="D206" s="1235" t="s">
        <v>1213</v>
      </c>
      <c r="E206" s="2329"/>
      <c r="F206" s="2330"/>
      <c r="G206" s="2330"/>
      <c r="H206" s="2330"/>
      <c r="I206" s="2330"/>
      <c r="J206" s="2330"/>
      <c r="K206" s="2330"/>
      <c r="L206" s="2330"/>
      <c r="M206" s="2330"/>
      <c r="N206" s="2330"/>
      <c r="O206" s="2330"/>
      <c r="P206" s="2330"/>
      <c r="Q206" s="2330"/>
      <c r="R206" s="2330"/>
      <c r="S206" s="2330"/>
      <c r="T206" s="2369">
        <v>0.99</v>
      </c>
      <c r="U206" s="2371">
        <v>0.98009999999999997</v>
      </c>
    </row>
    <row r="207" spans="1:21" ht="24" customHeight="1">
      <c r="A207" s="2164"/>
      <c r="B207" s="2165"/>
      <c r="C207" s="2169"/>
      <c r="D207" s="1237" t="s">
        <v>1214</v>
      </c>
      <c r="E207" s="2329"/>
      <c r="F207" s="2330"/>
      <c r="G207" s="2330"/>
      <c r="H207" s="2330"/>
      <c r="I207" s="2330"/>
      <c r="J207" s="2330"/>
      <c r="K207" s="2330"/>
      <c r="L207" s="2330"/>
      <c r="M207" s="2330"/>
      <c r="N207" s="2330"/>
      <c r="O207" s="2330"/>
      <c r="P207" s="2330"/>
      <c r="Q207" s="2330"/>
      <c r="R207" s="2330"/>
      <c r="S207" s="2330"/>
      <c r="T207" s="2370"/>
      <c r="U207" s="2372"/>
    </row>
    <row r="208" spans="1:21" ht="24" customHeight="1">
      <c r="A208" s="2164"/>
      <c r="B208" s="2157" t="s">
        <v>1261</v>
      </c>
      <c r="C208" s="2168" t="s">
        <v>1246</v>
      </c>
      <c r="D208" s="1235" t="s">
        <v>1213</v>
      </c>
      <c r="E208" s="2329"/>
      <c r="F208" s="2330"/>
      <c r="G208" s="2330"/>
      <c r="H208" s="2330"/>
      <c r="I208" s="2330"/>
      <c r="J208" s="2330"/>
      <c r="K208" s="2330"/>
      <c r="L208" s="2330"/>
      <c r="M208" s="2330"/>
      <c r="N208" s="2330"/>
      <c r="O208" s="2330"/>
      <c r="P208" s="2330"/>
      <c r="Q208" s="2330"/>
      <c r="R208" s="2330"/>
      <c r="S208" s="2330"/>
      <c r="T208" s="2330"/>
      <c r="U208" s="2371">
        <v>0.99</v>
      </c>
    </row>
    <row r="209" spans="1:21" ht="24" customHeight="1">
      <c r="A209" s="2164"/>
      <c r="B209" s="2165"/>
      <c r="C209" s="2169"/>
      <c r="D209" s="1237" t="s">
        <v>1214</v>
      </c>
      <c r="E209" s="2329"/>
      <c r="F209" s="2330"/>
      <c r="G209" s="2330"/>
      <c r="H209" s="2330"/>
      <c r="I209" s="2330"/>
      <c r="J209" s="2330"/>
      <c r="K209" s="2330"/>
      <c r="L209" s="2330"/>
      <c r="M209" s="2330"/>
      <c r="N209" s="2330"/>
      <c r="O209" s="2330"/>
      <c r="P209" s="2330"/>
      <c r="Q209" s="2330"/>
      <c r="R209" s="2330"/>
      <c r="S209" s="2330"/>
      <c r="T209" s="2330"/>
      <c r="U209" s="2372"/>
    </row>
    <row r="210" spans="1:21" ht="24" customHeight="1">
      <c r="A210" s="2164"/>
      <c r="B210" s="2157" t="s">
        <v>1262</v>
      </c>
      <c r="C210" s="2168" t="s">
        <v>1246</v>
      </c>
      <c r="D210" s="1235" t="s">
        <v>1213</v>
      </c>
      <c r="E210" s="2329"/>
      <c r="F210" s="2330"/>
      <c r="G210" s="2330"/>
      <c r="H210" s="2330"/>
      <c r="I210" s="2330"/>
      <c r="J210" s="2330"/>
      <c r="K210" s="2330"/>
      <c r="L210" s="2330"/>
      <c r="M210" s="2330"/>
      <c r="N210" s="2330"/>
      <c r="O210" s="2330"/>
      <c r="P210" s="2330"/>
      <c r="Q210" s="2330"/>
      <c r="R210" s="2330"/>
      <c r="S210" s="2330"/>
      <c r="T210" s="2330"/>
      <c r="U210" s="2373"/>
    </row>
    <row r="211" spans="1:21" ht="24" customHeight="1">
      <c r="A211" s="2165"/>
      <c r="B211" s="2165"/>
      <c r="C211" s="2332"/>
      <c r="D211" s="1237" t="s">
        <v>1214</v>
      </c>
      <c r="E211" s="2329"/>
      <c r="F211" s="2330"/>
      <c r="G211" s="2330"/>
      <c r="H211" s="2330"/>
      <c r="I211" s="2330"/>
      <c r="J211" s="2330"/>
      <c r="K211" s="2330"/>
      <c r="L211" s="2330"/>
      <c r="M211" s="2330"/>
      <c r="N211" s="2330"/>
      <c r="O211" s="2330"/>
      <c r="P211" s="2330"/>
      <c r="Q211" s="2330"/>
      <c r="R211" s="2330"/>
      <c r="S211" s="2330"/>
      <c r="T211" s="2330"/>
      <c r="U211" s="2374"/>
    </row>
    <row r="212" spans="1:21" ht="24" customHeight="1">
      <c r="A212" s="2157" t="s">
        <v>1224</v>
      </c>
      <c r="B212" s="2157" t="s">
        <v>1245</v>
      </c>
      <c r="C212" s="2168" t="s">
        <v>1246</v>
      </c>
      <c r="D212" s="1235" t="s">
        <v>1213</v>
      </c>
      <c r="E212" s="2329"/>
      <c r="F212" s="2369">
        <v>0.63</v>
      </c>
      <c r="G212" s="2369">
        <v>0.4914</v>
      </c>
      <c r="H212" s="2369">
        <v>0.42260399999999998</v>
      </c>
      <c r="I212" s="2369">
        <v>0.40147379999999994</v>
      </c>
      <c r="J212" s="2369">
        <v>0.35731168199999996</v>
      </c>
      <c r="K212" s="2369">
        <v>0.32872674743999997</v>
      </c>
      <c r="L212" s="2369">
        <v>0.31229041006799996</v>
      </c>
      <c r="M212" s="2369">
        <v>0.29667588956459995</v>
      </c>
      <c r="N212" s="2369">
        <v>0.28480885398201594</v>
      </c>
      <c r="O212" s="2369">
        <v>0.2734164998227353</v>
      </c>
      <c r="P212" s="2369">
        <v>0.27068233482450793</v>
      </c>
      <c r="Q212" s="2369">
        <v>0.2598550414315276</v>
      </c>
      <c r="R212" s="2369">
        <v>0.24946083977426647</v>
      </c>
      <c r="S212" s="2369">
        <v>0.24696623137652382</v>
      </c>
      <c r="T212" s="2369">
        <v>0.24449656906275857</v>
      </c>
      <c r="U212" s="2371">
        <v>0.242051603372131</v>
      </c>
    </row>
    <row r="213" spans="1:21" ht="24" customHeight="1">
      <c r="A213" s="2164"/>
      <c r="B213" s="2165"/>
      <c r="C213" s="2169"/>
      <c r="D213" s="1237" t="s">
        <v>1214</v>
      </c>
      <c r="E213" s="2329"/>
      <c r="F213" s="2370"/>
      <c r="G213" s="2370"/>
      <c r="H213" s="2370"/>
      <c r="I213" s="2370"/>
      <c r="J213" s="2370"/>
      <c r="K213" s="2370"/>
      <c r="L213" s="2370"/>
      <c r="M213" s="2370"/>
      <c r="N213" s="2370"/>
      <c r="O213" s="2370"/>
      <c r="P213" s="2370"/>
      <c r="Q213" s="2370"/>
      <c r="R213" s="2370"/>
      <c r="S213" s="2370"/>
      <c r="T213" s="2370"/>
      <c r="U213" s="2372"/>
    </row>
    <row r="214" spans="1:21" ht="24" customHeight="1">
      <c r="A214" s="2164"/>
      <c r="B214" s="2157" t="s">
        <v>1247</v>
      </c>
      <c r="C214" s="2168" t="s">
        <v>1246</v>
      </c>
      <c r="D214" s="1235" t="s">
        <v>1213</v>
      </c>
      <c r="E214" s="2329"/>
      <c r="F214" s="2330"/>
      <c r="G214" s="2369">
        <v>0.78</v>
      </c>
      <c r="H214" s="2369">
        <v>0.67080000000000006</v>
      </c>
      <c r="I214" s="2369">
        <v>0.63726000000000005</v>
      </c>
      <c r="J214" s="2369">
        <v>0.56716140000000004</v>
      </c>
      <c r="K214" s="2369">
        <v>0.52178848800000011</v>
      </c>
      <c r="L214" s="2369">
        <v>0.4956990636000001</v>
      </c>
      <c r="M214" s="2369">
        <v>0.47091411042000009</v>
      </c>
      <c r="N214" s="2369">
        <v>0.45207754600320005</v>
      </c>
      <c r="O214" s="2369">
        <v>0.43399444416307204</v>
      </c>
      <c r="P214" s="2369">
        <v>0.42965449972144132</v>
      </c>
      <c r="Q214" s="2369">
        <v>0.41246831973258363</v>
      </c>
      <c r="R214" s="2369">
        <v>0.39596958694328027</v>
      </c>
      <c r="S214" s="2369">
        <v>0.39200989107384748</v>
      </c>
      <c r="T214" s="2369">
        <v>0.38808979216310902</v>
      </c>
      <c r="U214" s="2371">
        <v>0.38420889424147792</v>
      </c>
    </row>
    <row r="215" spans="1:21" ht="24" customHeight="1">
      <c r="A215" s="2164"/>
      <c r="B215" s="2165"/>
      <c r="C215" s="2169"/>
      <c r="D215" s="1237" t="s">
        <v>1214</v>
      </c>
      <c r="E215" s="2329"/>
      <c r="F215" s="2330"/>
      <c r="G215" s="2370"/>
      <c r="H215" s="2370"/>
      <c r="I215" s="2370"/>
      <c r="J215" s="2370"/>
      <c r="K215" s="2370"/>
      <c r="L215" s="2370"/>
      <c r="M215" s="2370"/>
      <c r="N215" s="2370"/>
      <c r="O215" s="2370"/>
      <c r="P215" s="2370"/>
      <c r="Q215" s="2370"/>
      <c r="R215" s="2370"/>
      <c r="S215" s="2370"/>
      <c r="T215" s="2370"/>
      <c r="U215" s="2372"/>
    </row>
    <row r="216" spans="1:21" ht="24" customHeight="1">
      <c r="A216" s="2164"/>
      <c r="B216" s="2157" t="s">
        <v>1248</v>
      </c>
      <c r="C216" s="2168" t="s">
        <v>1246</v>
      </c>
      <c r="D216" s="1235" t="s">
        <v>1213</v>
      </c>
      <c r="E216" s="2329"/>
      <c r="F216" s="2330"/>
      <c r="G216" s="2330"/>
      <c r="H216" s="2369">
        <v>0.86</v>
      </c>
      <c r="I216" s="2369">
        <v>0.81699999999999995</v>
      </c>
      <c r="J216" s="2369">
        <v>0.72712999999999994</v>
      </c>
      <c r="K216" s="2369">
        <v>0.66895959999999999</v>
      </c>
      <c r="L216" s="2369">
        <v>0.63551161999999994</v>
      </c>
      <c r="M216" s="2369">
        <v>0.60373603899999995</v>
      </c>
      <c r="N216" s="2369">
        <v>0.57958659743999996</v>
      </c>
      <c r="O216" s="2369">
        <v>0.5564031335423999</v>
      </c>
      <c r="P216" s="2369">
        <v>0.55083910220697585</v>
      </c>
      <c r="Q216" s="2369">
        <v>0.52880553811869679</v>
      </c>
      <c r="R216" s="2369">
        <v>0.50765331659394886</v>
      </c>
      <c r="S216" s="2369">
        <v>0.50257678342800938</v>
      </c>
      <c r="T216" s="2369">
        <v>0.49755101559372927</v>
      </c>
      <c r="U216" s="2371">
        <v>0.49257550543779199</v>
      </c>
    </row>
    <row r="217" spans="1:21" ht="24" customHeight="1">
      <c r="A217" s="2164"/>
      <c r="B217" s="2165"/>
      <c r="C217" s="2169"/>
      <c r="D217" s="1237" t="s">
        <v>1214</v>
      </c>
      <c r="E217" s="2329"/>
      <c r="F217" s="2330"/>
      <c r="G217" s="2330"/>
      <c r="H217" s="2370"/>
      <c r="I217" s="2370"/>
      <c r="J217" s="2370"/>
      <c r="K217" s="2370"/>
      <c r="L217" s="2370"/>
      <c r="M217" s="2370"/>
      <c r="N217" s="2370"/>
      <c r="O217" s="2370"/>
      <c r="P217" s="2370"/>
      <c r="Q217" s="2370"/>
      <c r="R217" s="2370"/>
      <c r="S217" s="2370"/>
      <c r="T217" s="2370"/>
      <c r="U217" s="2372"/>
    </row>
    <row r="218" spans="1:21" ht="24" customHeight="1">
      <c r="A218" s="2164"/>
      <c r="B218" s="2157" t="s">
        <v>1249</v>
      </c>
      <c r="C218" s="2168" t="s">
        <v>1246</v>
      </c>
      <c r="D218" s="1235" t="s">
        <v>1213</v>
      </c>
      <c r="E218" s="2329"/>
      <c r="F218" s="2330"/>
      <c r="G218" s="2330"/>
      <c r="H218" s="2330"/>
      <c r="I218" s="2369">
        <v>0.95</v>
      </c>
      <c r="J218" s="2369">
        <v>0.84549999999999992</v>
      </c>
      <c r="K218" s="2369">
        <v>0.77786</v>
      </c>
      <c r="L218" s="2369">
        <v>0.73896699999999993</v>
      </c>
      <c r="M218" s="2369">
        <v>0.70201864999999986</v>
      </c>
      <c r="N218" s="2369">
        <v>0.67393790399999987</v>
      </c>
      <c r="O218" s="2369">
        <v>0.64698038783999989</v>
      </c>
      <c r="P218" s="2369">
        <v>0.64051058396159988</v>
      </c>
      <c r="Q218" s="2369">
        <v>0.61489016060313584</v>
      </c>
      <c r="R218" s="2369">
        <v>0.59029455417901033</v>
      </c>
      <c r="S218" s="2369">
        <v>0.58439160863722017</v>
      </c>
      <c r="T218" s="2369">
        <v>0.57854769255084793</v>
      </c>
      <c r="U218" s="2371">
        <v>0.57276221562533947</v>
      </c>
    </row>
    <row r="219" spans="1:21" ht="24" customHeight="1">
      <c r="A219" s="2164"/>
      <c r="B219" s="2165"/>
      <c r="C219" s="2169"/>
      <c r="D219" s="1237" t="s">
        <v>1214</v>
      </c>
      <c r="E219" s="2329"/>
      <c r="F219" s="2330"/>
      <c r="G219" s="2330"/>
      <c r="H219" s="2330"/>
      <c r="I219" s="2370"/>
      <c r="J219" s="2370"/>
      <c r="K219" s="2370"/>
      <c r="L219" s="2370"/>
      <c r="M219" s="2370"/>
      <c r="N219" s="2370"/>
      <c r="O219" s="2370"/>
      <c r="P219" s="2370"/>
      <c r="Q219" s="2370"/>
      <c r="R219" s="2370"/>
      <c r="S219" s="2370"/>
      <c r="T219" s="2370"/>
      <c r="U219" s="2372"/>
    </row>
    <row r="220" spans="1:21" ht="24" customHeight="1">
      <c r="A220" s="2164"/>
      <c r="B220" s="2157" t="s">
        <v>1250</v>
      </c>
      <c r="C220" s="2168" t="s">
        <v>1246</v>
      </c>
      <c r="D220" s="1235" t="s">
        <v>1213</v>
      </c>
      <c r="E220" s="2329"/>
      <c r="F220" s="2330"/>
      <c r="G220" s="2330"/>
      <c r="H220" s="2330"/>
      <c r="I220" s="2330"/>
      <c r="J220" s="2369">
        <v>0.89</v>
      </c>
      <c r="K220" s="2369">
        <v>0.81880000000000008</v>
      </c>
      <c r="L220" s="2369">
        <v>0.77786</v>
      </c>
      <c r="M220" s="2369">
        <v>0.73896699999999993</v>
      </c>
      <c r="N220" s="2369">
        <v>0.70940831999999987</v>
      </c>
      <c r="O220" s="2369">
        <v>0.6810319871999998</v>
      </c>
      <c r="P220" s="2369">
        <v>0.67422166732799982</v>
      </c>
      <c r="Q220" s="2369">
        <v>0.64725280063487978</v>
      </c>
      <c r="R220" s="2369">
        <v>0.62136268860948451</v>
      </c>
      <c r="S220" s="2369">
        <v>0.61514906172338968</v>
      </c>
      <c r="T220" s="2369">
        <v>0.60899757110615582</v>
      </c>
      <c r="U220" s="2371">
        <v>0.60290759539509431</v>
      </c>
    </row>
    <row r="221" spans="1:21" ht="24" customHeight="1">
      <c r="A221" s="2164"/>
      <c r="B221" s="2165"/>
      <c r="C221" s="2169"/>
      <c r="D221" s="1237" t="s">
        <v>1214</v>
      </c>
      <c r="E221" s="2329"/>
      <c r="F221" s="2330"/>
      <c r="G221" s="2330"/>
      <c r="H221" s="2330"/>
      <c r="I221" s="2330"/>
      <c r="J221" s="2370"/>
      <c r="K221" s="2370"/>
      <c r="L221" s="2370"/>
      <c r="M221" s="2370"/>
      <c r="N221" s="2370"/>
      <c r="O221" s="2370"/>
      <c r="P221" s="2370"/>
      <c r="Q221" s="2370"/>
      <c r="R221" s="2370"/>
      <c r="S221" s="2370"/>
      <c r="T221" s="2370"/>
      <c r="U221" s="2372"/>
    </row>
    <row r="222" spans="1:21" ht="24" customHeight="1">
      <c r="A222" s="2164"/>
      <c r="B222" s="2157" t="s">
        <v>1251</v>
      </c>
      <c r="C222" s="2168" t="s">
        <v>1246</v>
      </c>
      <c r="D222" s="1235" t="s">
        <v>1213</v>
      </c>
      <c r="E222" s="2329"/>
      <c r="F222" s="2330"/>
      <c r="G222" s="2330"/>
      <c r="H222" s="2330"/>
      <c r="I222" s="2330"/>
      <c r="J222" s="2330"/>
      <c r="K222" s="2369">
        <v>0.92</v>
      </c>
      <c r="L222" s="2369">
        <v>0.874</v>
      </c>
      <c r="M222" s="2369">
        <v>0.83029999999999993</v>
      </c>
      <c r="N222" s="2369">
        <v>0.79708799999999991</v>
      </c>
      <c r="O222" s="2369">
        <v>0.76520447999999985</v>
      </c>
      <c r="P222" s="2369">
        <v>0.75755243519999982</v>
      </c>
      <c r="Q222" s="2369">
        <v>0.72725033779199977</v>
      </c>
      <c r="R222" s="2369">
        <v>0.69816032428031971</v>
      </c>
      <c r="S222" s="2369">
        <v>0.69117872103751654</v>
      </c>
      <c r="T222" s="2369">
        <v>0.68426693382714132</v>
      </c>
      <c r="U222" s="2371">
        <v>0.67742426448886994</v>
      </c>
    </row>
    <row r="223" spans="1:21" ht="24" customHeight="1">
      <c r="A223" s="2164"/>
      <c r="B223" s="2165"/>
      <c r="C223" s="2169"/>
      <c r="D223" s="1237" t="s">
        <v>1214</v>
      </c>
      <c r="E223" s="2329"/>
      <c r="F223" s="2330"/>
      <c r="G223" s="2330"/>
      <c r="H223" s="2330"/>
      <c r="I223" s="2330"/>
      <c r="J223" s="2330"/>
      <c r="K223" s="2370"/>
      <c r="L223" s="2370"/>
      <c r="M223" s="2370"/>
      <c r="N223" s="2370"/>
      <c r="O223" s="2370"/>
      <c r="P223" s="2370"/>
      <c r="Q223" s="2370"/>
      <c r="R223" s="2370"/>
      <c r="S223" s="2370"/>
      <c r="T223" s="2370"/>
      <c r="U223" s="2372"/>
    </row>
    <row r="224" spans="1:21" ht="24" customHeight="1">
      <c r="A224" s="2164"/>
      <c r="B224" s="2157" t="s">
        <v>1252</v>
      </c>
      <c r="C224" s="2168" t="s">
        <v>1246</v>
      </c>
      <c r="D224" s="1235" t="s">
        <v>1213</v>
      </c>
      <c r="E224" s="2329"/>
      <c r="F224" s="2330"/>
      <c r="G224" s="2330"/>
      <c r="H224" s="2330"/>
      <c r="I224" s="2330"/>
      <c r="J224" s="2330"/>
      <c r="K224" s="2330"/>
      <c r="L224" s="2369">
        <v>0.95</v>
      </c>
      <c r="M224" s="2369">
        <v>0.90249999999999997</v>
      </c>
      <c r="N224" s="2369">
        <v>0.86639999999999995</v>
      </c>
      <c r="O224" s="2369">
        <v>0.83174399999999993</v>
      </c>
      <c r="P224" s="2369">
        <v>0.82342655999999992</v>
      </c>
      <c r="Q224" s="2369">
        <v>0.79048949759999987</v>
      </c>
      <c r="R224" s="2369">
        <v>0.75886991769599987</v>
      </c>
      <c r="S224" s="2369">
        <v>0.75128121851903984</v>
      </c>
      <c r="T224" s="2369">
        <v>0.74376840633384944</v>
      </c>
      <c r="U224" s="2371">
        <v>0.736330722270511</v>
      </c>
    </row>
    <row r="225" spans="1:21" ht="24" customHeight="1">
      <c r="A225" s="2164"/>
      <c r="B225" s="2165"/>
      <c r="C225" s="2169"/>
      <c r="D225" s="1237" t="s">
        <v>1214</v>
      </c>
      <c r="E225" s="2329"/>
      <c r="F225" s="2330"/>
      <c r="G225" s="2330"/>
      <c r="H225" s="2330"/>
      <c r="I225" s="2330"/>
      <c r="J225" s="2330"/>
      <c r="K225" s="2330"/>
      <c r="L225" s="2370"/>
      <c r="M225" s="2370"/>
      <c r="N225" s="2370"/>
      <c r="O225" s="2370"/>
      <c r="P225" s="2370"/>
      <c r="Q225" s="2370"/>
      <c r="R225" s="2370"/>
      <c r="S225" s="2370"/>
      <c r="T225" s="2370"/>
      <c r="U225" s="2372"/>
    </row>
    <row r="226" spans="1:21" ht="24" customHeight="1">
      <c r="A226" s="2164"/>
      <c r="B226" s="2157" t="s">
        <v>1253</v>
      </c>
      <c r="C226" s="2168" t="s">
        <v>1246</v>
      </c>
      <c r="D226" s="1235" t="s">
        <v>1213</v>
      </c>
      <c r="E226" s="2329"/>
      <c r="F226" s="2330"/>
      <c r="G226" s="2330"/>
      <c r="H226" s="2330"/>
      <c r="I226" s="2330"/>
      <c r="J226" s="2330"/>
      <c r="K226" s="2330"/>
      <c r="L226" s="2330"/>
      <c r="M226" s="2369">
        <v>0.95</v>
      </c>
      <c r="N226" s="2369">
        <v>0.91199999999999992</v>
      </c>
      <c r="O226" s="2369">
        <v>0.87551999999999985</v>
      </c>
      <c r="P226" s="2369">
        <v>0.86676479999999989</v>
      </c>
      <c r="Q226" s="2369">
        <v>0.83209420799999989</v>
      </c>
      <c r="R226" s="2369">
        <v>0.79881043967999987</v>
      </c>
      <c r="S226" s="2369">
        <v>0.7908223352831999</v>
      </c>
      <c r="T226" s="2369">
        <v>0.78291411193036786</v>
      </c>
      <c r="U226" s="2371">
        <v>0.7750849708110642</v>
      </c>
    </row>
    <row r="227" spans="1:21" ht="24" customHeight="1">
      <c r="A227" s="2164"/>
      <c r="B227" s="2165"/>
      <c r="C227" s="2169"/>
      <c r="D227" s="1237" t="s">
        <v>1214</v>
      </c>
      <c r="E227" s="2329"/>
      <c r="F227" s="2330"/>
      <c r="G227" s="2330"/>
      <c r="H227" s="2330"/>
      <c r="I227" s="2330"/>
      <c r="J227" s="2330"/>
      <c r="K227" s="2330"/>
      <c r="L227" s="2330"/>
      <c r="M227" s="2370"/>
      <c r="N227" s="2370"/>
      <c r="O227" s="2370"/>
      <c r="P227" s="2370"/>
      <c r="Q227" s="2370"/>
      <c r="R227" s="2370"/>
      <c r="S227" s="2370"/>
      <c r="T227" s="2370"/>
      <c r="U227" s="2372"/>
    </row>
    <row r="228" spans="1:21" ht="24" customHeight="1">
      <c r="A228" s="2164"/>
      <c r="B228" s="2157" t="s">
        <v>1254</v>
      </c>
      <c r="C228" s="2168" t="s">
        <v>1246</v>
      </c>
      <c r="D228" s="1235" t="s">
        <v>1213</v>
      </c>
      <c r="E228" s="2329"/>
      <c r="F228" s="2330"/>
      <c r="G228" s="2330"/>
      <c r="H228" s="2330"/>
      <c r="I228" s="2330"/>
      <c r="J228" s="2330"/>
      <c r="K228" s="2330"/>
      <c r="L228" s="2330"/>
      <c r="M228" s="2330"/>
      <c r="N228" s="2369">
        <v>0.96</v>
      </c>
      <c r="O228" s="2369">
        <v>0.92159999999999997</v>
      </c>
      <c r="P228" s="2369">
        <v>0.91238399999999997</v>
      </c>
      <c r="Q228" s="2369">
        <v>0.87588864</v>
      </c>
      <c r="R228" s="2369">
        <v>0.8408530944</v>
      </c>
      <c r="S228" s="2369">
        <v>0.83244456345600004</v>
      </c>
      <c r="T228" s="2369">
        <v>0.82412011782144001</v>
      </c>
      <c r="U228" s="2371">
        <v>0.81587891664322565</v>
      </c>
    </row>
    <row r="229" spans="1:21" ht="24" customHeight="1">
      <c r="A229" s="2164"/>
      <c r="B229" s="2165"/>
      <c r="C229" s="2169"/>
      <c r="D229" s="1237" t="s">
        <v>1214</v>
      </c>
      <c r="E229" s="2329"/>
      <c r="F229" s="2330"/>
      <c r="G229" s="2330"/>
      <c r="H229" s="2330"/>
      <c r="I229" s="2330"/>
      <c r="J229" s="2330"/>
      <c r="K229" s="2330"/>
      <c r="L229" s="2330"/>
      <c r="M229" s="2330"/>
      <c r="N229" s="2370"/>
      <c r="O229" s="2370"/>
      <c r="P229" s="2370"/>
      <c r="Q229" s="2370"/>
      <c r="R229" s="2370"/>
      <c r="S229" s="2370"/>
      <c r="T229" s="2370"/>
      <c r="U229" s="2372"/>
    </row>
    <row r="230" spans="1:21" ht="24" customHeight="1">
      <c r="A230" s="2164"/>
      <c r="B230" s="2157" t="s">
        <v>1255</v>
      </c>
      <c r="C230" s="2168" t="s">
        <v>1246</v>
      </c>
      <c r="D230" s="1235" t="s">
        <v>1213</v>
      </c>
      <c r="E230" s="2329"/>
      <c r="F230" s="2330"/>
      <c r="G230" s="2330"/>
      <c r="H230" s="2330"/>
      <c r="I230" s="2330"/>
      <c r="J230" s="2330"/>
      <c r="K230" s="2330"/>
      <c r="L230" s="2330"/>
      <c r="M230" s="2330"/>
      <c r="N230" s="2330"/>
      <c r="O230" s="2369">
        <v>0.96</v>
      </c>
      <c r="P230" s="2369">
        <v>0.95039999999999991</v>
      </c>
      <c r="Q230" s="2369">
        <v>0.91238399999999986</v>
      </c>
      <c r="R230" s="2369">
        <v>0.87588863999999989</v>
      </c>
      <c r="S230" s="2369">
        <v>0.86712975359999989</v>
      </c>
      <c r="T230" s="2369">
        <v>0.85845845606399984</v>
      </c>
      <c r="U230" s="2371">
        <v>0.8498738715033598</v>
      </c>
    </row>
    <row r="231" spans="1:21" ht="24" customHeight="1">
      <c r="A231" s="2164"/>
      <c r="B231" s="2165"/>
      <c r="C231" s="2169"/>
      <c r="D231" s="1237" t="s">
        <v>1214</v>
      </c>
      <c r="E231" s="2329"/>
      <c r="F231" s="2330"/>
      <c r="G231" s="2330"/>
      <c r="H231" s="2330"/>
      <c r="I231" s="2330"/>
      <c r="J231" s="2330"/>
      <c r="K231" s="2330"/>
      <c r="L231" s="2330"/>
      <c r="M231" s="2330"/>
      <c r="N231" s="2330"/>
      <c r="O231" s="2370"/>
      <c r="P231" s="2370"/>
      <c r="Q231" s="2370"/>
      <c r="R231" s="2370"/>
      <c r="S231" s="2370"/>
      <c r="T231" s="2370"/>
      <c r="U231" s="2372"/>
    </row>
    <row r="232" spans="1:21" ht="24" customHeight="1">
      <c r="A232" s="2164"/>
      <c r="B232" s="2157" t="s">
        <v>1256</v>
      </c>
      <c r="C232" s="2168" t="s">
        <v>1246</v>
      </c>
      <c r="D232" s="1235" t="s">
        <v>1213</v>
      </c>
      <c r="E232" s="2329"/>
      <c r="F232" s="2330"/>
      <c r="G232" s="2330"/>
      <c r="H232" s="2330"/>
      <c r="I232" s="2330"/>
      <c r="J232" s="2330"/>
      <c r="K232" s="2330"/>
      <c r="L232" s="2330"/>
      <c r="M232" s="2330"/>
      <c r="N232" s="2330"/>
      <c r="O232" s="2330"/>
      <c r="P232" s="2369">
        <v>0.99</v>
      </c>
      <c r="Q232" s="2369">
        <v>0.95039999999999991</v>
      </c>
      <c r="R232" s="2369">
        <v>0.91238399999999986</v>
      </c>
      <c r="S232" s="2369">
        <v>0.90326015999999987</v>
      </c>
      <c r="T232" s="2369">
        <v>0.8942275583999999</v>
      </c>
      <c r="U232" s="2371">
        <v>0.88528528281599994</v>
      </c>
    </row>
    <row r="233" spans="1:21" ht="24" customHeight="1">
      <c r="A233" s="2164"/>
      <c r="B233" s="2165"/>
      <c r="C233" s="2169"/>
      <c r="D233" s="1237" t="s">
        <v>1214</v>
      </c>
      <c r="E233" s="2329"/>
      <c r="F233" s="2330"/>
      <c r="G233" s="2330"/>
      <c r="H233" s="2330"/>
      <c r="I233" s="2330"/>
      <c r="J233" s="2330"/>
      <c r="K233" s="2330"/>
      <c r="L233" s="2330"/>
      <c r="M233" s="2330"/>
      <c r="N233" s="2330"/>
      <c r="O233" s="2330"/>
      <c r="P233" s="2370"/>
      <c r="Q233" s="2370"/>
      <c r="R233" s="2370"/>
      <c r="S233" s="2370"/>
      <c r="T233" s="2370"/>
      <c r="U233" s="2372"/>
    </row>
    <row r="234" spans="1:21" ht="24" customHeight="1">
      <c r="A234" s="2164"/>
      <c r="B234" s="2157" t="s">
        <v>1257</v>
      </c>
      <c r="C234" s="2168" t="s">
        <v>1246</v>
      </c>
      <c r="D234" s="1235" t="s">
        <v>1213</v>
      </c>
      <c r="E234" s="2329"/>
      <c r="F234" s="2330"/>
      <c r="G234" s="2330"/>
      <c r="H234" s="2330"/>
      <c r="I234" s="2330"/>
      <c r="J234" s="2330"/>
      <c r="K234" s="2330"/>
      <c r="L234" s="2330"/>
      <c r="M234" s="2330"/>
      <c r="N234" s="2330"/>
      <c r="O234" s="2330"/>
      <c r="P234" s="2330"/>
      <c r="Q234" s="2369">
        <v>0.96</v>
      </c>
      <c r="R234" s="2369">
        <v>0.92159999999999997</v>
      </c>
      <c r="S234" s="2369">
        <v>0.91238399999999997</v>
      </c>
      <c r="T234" s="2369">
        <v>0.90326015999999998</v>
      </c>
      <c r="U234" s="2371">
        <v>0.89422755840000001</v>
      </c>
    </row>
    <row r="235" spans="1:21" ht="24" customHeight="1">
      <c r="A235" s="2164"/>
      <c r="B235" s="2165"/>
      <c r="C235" s="2169"/>
      <c r="D235" s="1237" t="s">
        <v>1214</v>
      </c>
      <c r="E235" s="2329"/>
      <c r="F235" s="2330"/>
      <c r="G235" s="2330"/>
      <c r="H235" s="2330"/>
      <c r="I235" s="2330"/>
      <c r="J235" s="2330"/>
      <c r="K235" s="2330"/>
      <c r="L235" s="2330"/>
      <c r="M235" s="2330"/>
      <c r="N235" s="2330"/>
      <c r="O235" s="2330"/>
      <c r="P235" s="2330"/>
      <c r="Q235" s="2370"/>
      <c r="R235" s="2370"/>
      <c r="S235" s="2370"/>
      <c r="T235" s="2370"/>
      <c r="U235" s="2372"/>
    </row>
    <row r="236" spans="1:21" ht="24" customHeight="1">
      <c r="A236" s="2164"/>
      <c r="B236" s="2157" t="s">
        <v>1258</v>
      </c>
      <c r="C236" s="2168" t="s">
        <v>1246</v>
      </c>
      <c r="D236" s="1235" t="s">
        <v>1213</v>
      </c>
      <c r="E236" s="2329"/>
      <c r="F236" s="2330"/>
      <c r="G236" s="2330"/>
      <c r="H236" s="2330"/>
      <c r="I236" s="2330"/>
      <c r="J236" s="2330"/>
      <c r="K236" s="2330"/>
      <c r="L236" s="2330"/>
      <c r="M236" s="2330"/>
      <c r="N236" s="2330"/>
      <c r="O236" s="2330"/>
      <c r="P236" s="2330"/>
      <c r="Q236" s="2330"/>
      <c r="R236" s="2369">
        <v>0.96</v>
      </c>
      <c r="S236" s="2369">
        <v>0.95039999999999991</v>
      </c>
      <c r="T236" s="2369">
        <v>0.94089599999999995</v>
      </c>
      <c r="U236" s="2371">
        <v>0.93148703999999993</v>
      </c>
    </row>
    <row r="237" spans="1:21" ht="24" customHeight="1">
      <c r="A237" s="2164"/>
      <c r="B237" s="2165"/>
      <c r="C237" s="2169"/>
      <c r="D237" s="1237" t="s">
        <v>1214</v>
      </c>
      <c r="E237" s="2329"/>
      <c r="F237" s="2330"/>
      <c r="G237" s="2330"/>
      <c r="H237" s="2330"/>
      <c r="I237" s="2330"/>
      <c r="J237" s="2330"/>
      <c r="K237" s="2330"/>
      <c r="L237" s="2330"/>
      <c r="M237" s="2330"/>
      <c r="N237" s="2330"/>
      <c r="O237" s="2330"/>
      <c r="P237" s="2330"/>
      <c r="Q237" s="2330"/>
      <c r="R237" s="2370"/>
      <c r="S237" s="2370"/>
      <c r="T237" s="2370"/>
      <c r="U237" s="2372"/>
    </row>
    <row r="238" spans="1:21" ht="24" customHeight="1">
      <c r="A238" s="2164"/>
      <c r="B238" s="2157" t="s">
        <v>1259</v>
      </c>
      <c r="C238" s="2168" t="s">
        <v>1246</v>
      </c>
      <c r="D238" s="1235" t="s">
        <v>1213</v>
      </c>
      <c r="E238" s="2329"/>
      <c r="F238" s="2330"/>
      <c r="G238" s="2330"/>
      <c r="H238" s="2330"/>
      <c r="I238" s="2330"/>
      <c r="J238" s="2330"/>
      <c r="K238" s="2330"/>
      <c r="L238" s="2330"/>
      <c r="M238" s="2330"/>
      <c r="N238" s="2330"/>
      <c r="O238" s="2330"/>
      <c r="P238" s="2330"/>
      <c r="Q238" s="2330"/>
      <c r="R238" s="2330"/>
      <c r="S238" s="2369">
        <v>0.99</v>
      </c>
      <c r="T238" s="2369">
        <v>0.98009999999999997</v>
      </c>
      <c r="U238" s="2371">
        <v>0.97029899999999991</v>
      </c>
    </row>
    <row r="239" spans="1:21" ht="24" customHeight="1">
      <c r="A239" s="2164"/>
      <c r="B239" s="2165"/>
      <c r="C239" s="2169"/>
      <c r="D239" s="1237" t="s">
        <v>1214</v>
      </c>
      <c r="E239" s="2329"/>
      <c r="F239" s="2330"/>
      <c r="G239" s="2330"/>
      <c r="H239" s="2330"/>
      <c r="I239" s="2330"/>
      <c r="J239" s="2330"/>
      <c r="K239" s="2330"/>
      <c r="L239" s="2330"/>
      <c r="M239" s="2330"/>
      <c r="N239" s="2330"/>
      <c r="O239" s="2330"/>
      <c r="P239" s="2330"/>
      <c r="Q239" s="2330"/>
      <c r="R239" s="2330"/>
      <c r="S239" s="2370"/>
      <c r="T239" s="2370"/>
      <c r="U239" s="2372"/>
    </row>
    <row r="240" spans="1:21" ht="24" customHeight="1">
      <c r="A240" s="2164"/>
      <c r="B240" s="2157" t="s">
        <v>1260</v>
      </c>
      <c r="C240" s="2168" t="s">
        <v>1246</v>
      </c>
      <c r="D240" s="1235" t="s">
        <v>1213</v>
      </c>
      <c r="E240" s="2329"/>
      <c r="F240" s="2330"/>
      <c r="G240" s="2330"/>
      <c r="H240" s="2330"/>
      <c r="I240" s="2330"/>
      <c r="J240" s="2330"/>
      <c r="K240" s="2330"/>
      <c r="L240" s="2330"/>
      <c r="M240" s="2330"/>
      <c r="N240" s="2330"/>
      <c r="O240" s="2330"/>
      <c r="P240" s="2330"/>
      <c r="Q240" s="2330"/>
      <c r="R240" s="2330"/>
      <c r="S240" s="2330"/>
      <c r="T240" s="2369">
        <v>0.99</v>
      </c>
      <c r="U240" s="2371">
        <v>0.98009999999999997</v>
      </c>
    </row>
    <row r="241" spans="1:21" ht="24" customHeight="1">
      <c r="A241" s="2164"/>
      <c r="B241" s="2165"/>
      <c r="C241" s="2169"/>
      <c r="D241" s="1237" t="s">
        <v>1214</v>
      </c>
      <c r="E241" s="2329"/>
      <c r="F241" s="2330"/>
      <c r="G241" s="2330"/>
      <c r="H241" s="2330"/>
      <c r="I241" s="2330"/>
      <c r="J241" s="2330"/>
      <c r="K241" s="2330"/>
      <c r="L241" s="2330"/>
      <c r="M241" s="2330"/>
      <c r="N241" s="2330"/>
      <c r="O241" s="2330"/>
      <c r="P241" s="2330"/>
      <c r="Q241" s="2330"/>
      <c r="R241" s="2330"/>
      <c r="S241" s="2330"/>
      <c r="T241" s="2370"/>
      <c r="U241" s="2372"/>
    </row>
    <row r="242" spans="1:21" ht="24" customHeight="1">
      <c r="A242" s="2164"/>
      <c r="B242" s="2157" t="s">
        <v>1261</v>
      </c>
      <c r="C242" s="2168" t="s">
        <v>1246</v>
      </c>
      <c r="D242" s="1235" t="s">
        <v>1213</v>
      </c>
      <c r="E242" s="2329"/>
      <c r="F242" s="2330"/>
      <c r="G242" s="2330"/>
      <c r="H242" s="2330"/>
      <c r="I242" s="2330"/>
      <c r="J242" s="2330"/>
      <c r="K242" s="2330"/>
      <c r="L242" s="2330"/>
      <c r="M242" s="2330"/>
      <c r="N242" s="2330"/>
      <c r="O242" s="2330"/>
      <c r="P242" s="2330"/>
      <c r="Q242" s="2330"/>
      <c r="R242" s="2330"/>
      <c r="S242" s="2330"/>
      <c r="T242" s="2330"/>
      <c r="U242" s="2371">
        <v>0.99</v>
      </c>
    </row>
    <row r="243" spans="1:21" ht="24" customHeight="1">
      <c r="A243" s="2164"/>
      <c r="B243" s="2165"/>
      <c r="C243" s="2169"/>
      <c r="D243" s="1237" t="s">
        <v>1214</v>
      </c>
      <c r="E243" s="2329"/>
      <c r="F243" s="2330"/>
      <c r="G243" s="2330"/>
      <c r="H243" s="2330"/>
      <c r="I243" s="2330"/>
      <c r="J243" s="2330"/>
      <c r="K243" s="2330"/>
      <c r="L243" s="2330"/>
      <c r="M243" s="2330"/>
      <c r="N243" s="2330"/>
      <c r="O243" s="2330"/>
      <c r="P243" s="2330"/>
      <c r="Q243" s="2330"/>
      <c r="R243" s="2330"/>
      <c r="S243" s="2330"/>
      <c r="T243" s="2330"/>
      <c r="U243" s="2372"/>
    </row>
    <row r="244" spans="1:21" ht="24" customHeight="1">
      <c r="A244" s="2164"/>
      <c r="B244" s="2157" t="s">
        <v>1262</v>
      </c>
      <c r="C244" s="2168" t="s">
        <v>1246</v>
      </c>
      <c r="D244" s="1235" t="s">
        <v>1213</v>
      </c>
      <c r="E244" s="2329"/>
      <c r="F244" s="2330"/>
      <c r="G244" s="2330"/>
      <c r="H244" s="2330"/>
      <c r="I244" s="2330"/>
      <c r="J244" s="2330"/>
      <c r="K244" s="2330"/>
      <c r="L244" s="2330"/>
      <c r="M244" s="2330"/>
      <c r="N244" s="2330"/>
      <c r="O244" s="2330"/>
      <c r="P244" s="2330"/>
      <c r="Q244" s="2330"/>
      <c r="R244" s="2330"/>
      <c r="S244" s="2330"/>
      <c r="T244" s="2330"/>
      <c r="U244" s="2373"/>
    </row>
    <row r="245" spans="1:21" ht="24" customHeight="1">
      <c r="A245" s="2165"/>
      <c r="B245" s="2165"/>
      <c r="C245" s="2332"/>
      <c r="D245" s="1237" t="s">
        <v>1214</v>
      </c>
      <c r="E245" s="2329"/>
      <c r="F245" s="2330"/>
      <c r="G245" s="2330"/>
      <c r="H245" s="2330"/>
      <c r="I245" s="2330"/>
      <c r="J245" s="2330"/>
      <c r="K245" s="2330"/>
      <c r="L245" s="2330"/>
      <c r="M245" s="2330"/>
      <c r="N245" s="2330"/>
      <c r="O245" s="2330"/>
      <c r="P245" s="2330"/>
      <c r="Q245" s="2330"/>
      <c r="R245" s="2330"/>
      <c r="S245" s="2330"/>
      <c r="T245" s="2330"/>
      <c r="U245" s="2374"/>
    </row>
    <row r="246" spans="1:21" ht="24" customHeight="1">
      <c r="A246" s="2157" t="s">
        <v>1266</v>
      </c>
      <c r="B246" s="2157" t="s">
        <v>1245</v>
      </c>
      <c r="C246" s="2168" t="s">
        <v>1246</v>
      </c>
      <c r="D246" s="1235" t="s">
        <v>1213</v>
      </c>
      <c r="E246" s="2329"/>
      <c r="F246" s="2369">
        <v>0.63</v>
      </c>
      <c r="G246" s="2369">
        <v>0.4914</v>
      </c>
      <c r="H246" s="2369">
        <v>0.42260399999999998</v>
      </c>
      <c r="I246" s="2369">
        <v>0.40147379999999994</v>
      </c>
      <c r="J246" s="2369">
        <v>0.35731168199999996</v>
      </c>
      <c r="K246" s="2369">
        <v>0.32872674743999997</v>
      </c>
      <c r="L246" s="2369">
        <v>0.31229041006799996</v>
      </c>
      <c r="M246" s="2369">
        <v>0.29667588956459995</v>
      </c>
      <c r="N246" s="2369">
        <v>0.28480885398201594</v>
      </c>
      <c r="O246" s="2369">
        <v>0.2734164998227353</v>
      </c>
      <c r="P246" s="2369">
        <v>0.27068233482450793</v>
      </c>
      <c r="Q246" s="2369">
        <v>0.25714821808328253</v>
      </c>
      <c r="R246" s="2369">
        <v>0.24943377154078405</v>
      </c>
      <c r="S246" s="2369">
        <v>0.24693943382537623</v>
      </c>
      <c r="T246" s="2369">
        <v>0.24447003948712245</v>
      </c>
      <c r="U246" s="2371">
        <v>0.24202533909225124</v>
      </c>
    </row>
    <row r="247" spans="1:21" ht="24" customHeight="1">
      <c r="A247" s="2164"/>
      <c r="B247" s="2165"/>
      <c r="C247" s="2169"/>
      <c r="D247" s="1237" t="s">
        <v>1214</v>
      </c>
      <c r="E247" s="2329"/>
      <c r="F247" s="2370"/>
      <c r="G247" s="2370"/>
      <c r="H247" s="2370"/>
      <c r="I247" s="2370"/>
      <c r="J247" s="2370"/>
      <c r="K247" s="2370"/>
      <c r="L247" s="2370"/>
      <c r="M247" s="2370"/>
      <c r="N247" s="2370"/>
      <c r="O247" s="2370"/>
      <c r="P247" s="2370"/>
      <c r="Q247" s="2370"/>
      <c r="R247" s="2370"/>
      <c r="S247" s="2370"/>
      <c r="T247" s="2370"/>
      <c r="U247" s="2372"/>
    </row>
    <row r="248" spans="1:21" ht="24" customHeight="1">
      <c r="A248" s="2164"/>
      <c r="B248" s="2157" t="s">
        <v>1247</v>
      </c>
      <c r="C248" s="2168" t="s">
        <v>1246</v>
      </c>
      <c r="D248" s="1235" t="s">
        <v>1213</v>
      </c>
      <c r="E248" s="2329"/>
      <c r="F248" s="2330"/>
      <c r="G248" s="2369">
        <v>0.78</v>
      </c>
      <c r="H248" s="2369">
        <v>0.67080000000000006</v>
      </c>
      <c r="I248" s="2369">
        <v>0.63726000000000005</v>
      </c>
      <c r="J248" s="2369">
        <v>0.56716140000000004</v>
      </c>
      <c r="K248" s="2369">
        <v>0.52178848800000011</v>
      </c>
      <c r="L248" s="2369">
        <v>0.4956990636000001</v>
      </c>
      <c r="M248" s="2369">
        <v>0.47091411042000009</v>
      </c>
      <c r="N248" s="2369">
        <v>0.45207754600320005</v>
      </c>
      <c r="O248" s="2369">
        <v>0.43399444416307204</v>
      </c>
      <c r="P248" s="2369">
        <v>0.42965449972144132</v>
      </c>
      <c r="Q248" s="2369">
        <v>0.40817177473536925</v>
      </c>
      <c r="R248" s="2369">
        <v>0.39592662149330815</v>
      </c>
      <c r="S248" s="2369">
        <v>0.39196735527837506</v>
      </c>
      <c r="T248" s="2369">
        <v>0.38804768172559129</v>
      </c>
      <c r="U248" s="2371">
        <v>0.38416720490833539</v>
      </c>
    </row>
    <row r="249" spans="1:21" ht="24" customHeight="1">
      <c r="A249" s="2164"/>
      <c r="B249" s="2165"/>
      <c r="C249" s="2169"/>
      <c r="D249" s="1237" t="s">
        <v>1214</v>
      </c>
      <c r="E249" s="2329"/>
      <c r="F249" s="2330"/>
      <c r="G249" s="2370"/>
      <c r="H249" s="2370"/>
      <c r="I249" s="2370"/>
      <c r="J249" s="2370"/>
      <c r="K249" s="2370"/>
      <c r="L249" s="2370"/>
      <c r="M249" s="2370"/>
      <c r="N249" s="2370"/>
      <c r="O249" s="2370"/>
      <c r="P249" s="2370"/>
      <c r="Q249" s="2370"/>
      <c r="R249" s="2370"/>
      <c r="S249" s="2370"/>
      <c r="T249" s="2370"/>
      <c r="U249" s="2372"/>
    </row>
    <row r="250" spans="1:21" ht="24" customHeight="1">
      <c r="A250" s="2164"/>
      <c r="B250" s="2157" t="s">
        <v>1248</v>
      </c>
      <c r="C250" s="2168" t="s">
        <v>1246</v>
      </c>
      <c r="D250" s="1235" t="s">
        <v>1213</v>
      </c>
      <c r="E250" s="2329"/>
      <c r="F250" s="2330"/>
      <c r="G250" s="2330"/>
      <c r="H250" s="2369">
        <v>0.86</v>
      </c>
      <c r="I250" s="2369">
        <v>0.81699999999999995</v>
      </c>
      <c r="J250" s="2369">
        <v>0.72712999999999994</v>
      </c>
      <c r="K250" s="2369">
        <v>0.66895959999999999</v>
      </c>
      <c r="L250" s="2369">
        <v>0.63551161999999994</v>
      </c>
      <c r="M250" s="2369">
        <v>0.60373603899999995</v>
      </c>
      <c r="N250" s="2369">
        <v>0.57958659743999996</v>
      </c>
      <c r="O250" s="2369">
        <v>0.5564031335423999</v>
      </c>
      <c r="P250" s="2369">
        <v>0.55083910220697585</v>
      </c>
      <c r="Q250" s="2369">
        <v>0.523297147096627</v>
      </c>
      <c r="R250" s="2369">
        <v>0.50759823268372817</v>
      </c>
      <c r="S250" s="2369">
        <v>0.50252225035689091</v>
      </c>
      <c r="T250" s="2369">
        <v>0.497497027853322</v>
      </c>
      <c r="U250" s="2371">
        <v>0.49252205757478879</v>
      </c>
    </row>
    <row r="251" spans="1:21" ht="24" customHeight="1">
      <c r="A251" s="2164"/>
      <c r="B251" s="2165"/>
      <c r="C251" s="2169"/>
      <c r="D251" s="1237" t="s">
        <v>1214</v>
      </c>
      <c r="E251" s="2329"/>
      <c r="F251" s="2330"/>
      <c r="G251" s="2330"/>
      <c r="H251" s="2370"/>
      <c r="I251" s="2370"/>
      <c r="J251" s="2370"/>
      <c r="K251" s="2370"/>
      <c r="L251" s="2370"/>
      <c r="M251" s="2370"/>
      <c r="N251" s="2370"/>
      <c r="O251" s="2370"/>
      <c r="P251" s="2370"/>
      <c r="Q251" s="2370"/>
      <c r="R251" s="2370"/>
      <c r="S251" s="2370"/>
      <c r="T251" s="2370"/>
      <c r="U251" s="2372"/>
    </row>
    <row r="252" spans="1:21" ht="24" customHeight="1">
      <c r="A252" s="2164"/>
      <c r="B252" s="2157" t="s">
        <v>1249</v>
      </c>
      <c r="C252" s="2168" t="s">
        <v>1246</v>
      </c>
      <c r="D252" s="1235" t="s">
        <v>1213</v>
      </c>
      <c r="E252" s="2329"/>
      <c r="F252" s="2330"/>
      <c r="G252" s="2330"/>
      <c r="H252" s="2330"/>
      <c r="I252" s="2369">
        <v>0.95</v>
      </c>
      <c r="J252" s="2369">
        <v>0.84549999999999992</v>
      </c>
      <c r="K252" s="2369">
        <v>0.77786</v>
      </c>
      <c r="L252" s="2369">
        <v>0.73896699999999993</v>
      </c>
      <c r="M252" s="2369">
        <v>0.70201864999999986</v>
      </c>
      <c r="N252" s="2369">
        <v>0.67393790399999987</v>
      </c>
      <c r="O252" s="2369">
        <v>0.64698038783999989</v>
      </c>
      <c r="P252" s="2369">
        <v>0.64051058396159988</v>
      </c>
      <c r="Q252" s="2369">
        <v>0.60848505476351988</v>
      </c>
      <c r="R252" s="2369">
        <v>0.59023050312061431</v>
      </c>
      <c r="S252" s="2369">
        <v>0.58432819808940817</v>
      </c>
      <c r="T252" s="2369">
        <v>0.57848491610851405</v>
      </c>
      <c r="U252" s="2371">
        <v>0.57270006694742892</v>
      </c>
    </row>
    <row r="253" spans="1:21" ht="24" customHeight="1">
      <c r="A253" s="2164"/>
      <c r="B253" s="2165"/>
      <c r="C253" s="2169"/>
      <c r="D253" s="1237" t="s">
        <v>1214</v>
      </c>
      <c r="E253" s="2329"/>
      <c r="F253" s="2330"/>
      <c r="G253" s="2330"/>
      <c r="H253" s="2330"/>
      <c r="I253" s="2370"/>
      <c r="J253" s="2370"/>
      <c r="K253" s="2370"/>
      <c r="L253" s="2370"/>
      <c r="M253" s="2370"/>
      <c r="N253" s="2370"/>
      <c r="O253" s="2370"/>
      <c r="P253" s="2370"/>
      <c r="Q253" s="2370"/>
      <c r="R253" s="2370"/>
      <c r="S253" s="2370"/>
      <c r="T253" s="2370"/>
      <c r="U253" s="2372"/>
    </row>
    <row r="254" spans="1:21" ht="24" customHeight="1">
      <c r="A254" s="2164"/>
      <c r="B254" s="2157" t="s">
        <v>1250</v>
      </c>
      <c r="C254" s="2168" t="s">
        <v>1246</v>
      </c>
      <c r="D254" s="1235" t="s">
        <v>1213</v>
      </c>
      <c r="E254" s="2329"/>
      <c r="F254" s="2330"/>
      <c r="G254" s="2330"/>
      <c r="H254" s="2330"/>
      <c r="I254" s="2330"/>
      <c r="J254" s="2369">
        <v>0.89</v>
      </c>
      <c r="K254" s="2369">
        <v>0.81880000000000008</v>
      </c>
      <c r="L254" s="2369">
        <v>0.77786</v>
      </c>
      <c r="M254" s="2369">
        <v>0.73896699999999993</v>
      </c>
      <c r="N254" s="2369">
        <v>0.70940831999999987</v>
      </c>
      <c r="O254" s="2369">
        <v>0.6810319871999998</v>
      </c>
      <c r="P254" s="2369">
        <v>0.67422166732799982</v>
      </c>
      <c r="Q254" s="2369">
        <v>0.64051058396159977</v>
      </c>
      <c r="R254" s="2369">
        <v>0.62129526644275179</v>
      </c>
      <c r="S254" s="2369">
        <v>0.61508231377832423</v>
      </c>
      <c r="T254" s="2369">
        <v>0.60893149064054097</v>
      </c>
      <c r="U254" s="2371">
        <v>0.60284217573413557</v>
      </c>
    </row>
    <row r="255" spans="1:21" ht="24" customHeight="1">
      <c r="A255" s="2164"/>
      <c r="B255" s="2165"/>
      <c r="C255" s="2169"/>
      <c r="D255" s="1237" t="s">
        <v>1214</v>
      </c>
      <c r="E255" s="2329"/>
      <c r="F255" s="2330"/>
      <c r="G255" s="2330"/>
      <c r="H255" s="2330"/>
      <c r="I255" s="2330"/>
      <c r="J255" s="2370"/>
      <c r="K255" s="2370"/>
      <c r="L255" s="2370"/>
      <c r="M255" s="2370"/>
      <c r="N255" s="2370"/>
      <c r="O255" s="2370"/>
      <c r="P255" s="2370"/>
      <c r="Q255" s="2370"/>
      <c r="R255" s="2370"/>
      <c r="S255" s="2370"/>
      <c r="T255" s="2370"/>
      <c r="U255" s="2372"/>
    </row>
    <row r="256" spans="1:21" ht="24" customHeight="1">
      <c r="A256" s="2164"/>
      <c r="B256" s="2157" t="s">
        <v>1251</v>
      </c>
      <c r="C256" s="2168" t="s">
        <v>1246</v>
      </c>
      <c r="D256" s="1235" t="s">
        <v>1213</v>
      </c>
      <c r="E256" s="2329"/>
      <c r="F256" s="2330"/>
      <c r="G256" s="2330"/>
      <c r="H256" s="2330"/>
      <c r="I256" s="2330"/>
      <c r="J256" s="2330"/>
      <c r="K256" s="2369">
        <v>0.92</v>
      </c>
      <c r="L256" s="2369">
        <v>0.874</v>
      </c>
      <c r="M256" s="2369">
        <v>0.83029999999999993</v>
      </c>
      <c r="N256" s="2369">
        <v>0.79708799999999991</v>
      </c>
      <c r="O256" s="2369">
        <v>0.76520447999999985</v>
      </c>
      <c r="P256" s="2369">
        <v>0.75755243519999982</v>
      </c>
      <c r="Q256" s="2369">
        <v>0.71967481343999984</v>
      </c>
      <c r="R256" s="2369">
        <v>0.69808456903679983</v>
      </c>
      <c r="S256" s="2369">
        <v>0.69110372334643178</v>
      </c>
      <c r="T256" s="2369">
        <v>0.68419268611296746</v>
      </c>
      <c r="U256" s="2371">
        <v>0.67735075925183774</v>
      </c>
    </row>
    <row r="257" spans="1:21" ht="24" customHeight="1">
      <c r="A257" s="2164"/>
      <c r="B257" s="2165"/>
      <c r="C257" s="2169"/>
      <c r="D257" s="1237" t="s">
        <v>1214</v>
      </c>
      <c r="E257" s="2329"/>
      <c r="F257" s="2330"/>
      <c r="G257" s="2330"/>
      <c r="H257" s="2330"/>
      <c r="I257" s="2330"/>
      <c r="J257" s="2330"/>
      <c r="K257" s="2370"/>
      <c r="L257" s="2370"/>
      <c r="M257" s="2370"/>
      <c r="N257" s="2370"/>
      <c r="O257" s="2370"/>
      <c r="P257" s="2370"/>
      <c r="Q257" s="2370"/>
      <c r="R257" s="2370"/>
      <c r="S257" s="2370"/>
      <c r="T257" s="2370"/>
      <c r="U257" s="2372"/>
    </row>
    <row r="258" spans="1:21" ht="24" customHeight="1">
      <c r="A258" s="2164"/>
      <c r="B258" s="2157" t="s">
        <v>1252</v>
      </c>
      <c r="C258" s="2168" t="s">
        <v>1246</v>
      </c>
      <c r="D258" s="1235" t="s">
        <v>1213</v>
      </c>
      <c r="E258" s="2329"/>
      <c r="F258" s="2330"/>
      <c r="G258" s="2330"/>
      <c r="H258" s="2330"/>
      <c r="I258" s="2330"/>
      <c r="J258" s="2330"/>
      <c r="K258" s="2330"/>
      <c r="L258" s="2369">
        <v>0.95</v>
      </c>
      <c r="M258" s="2369">
        <v>0.90249999999999997</v>
      </c>
      <c r="N258" s="2369">
        <v>0.86639999999999995</v>
      </c>
      <c r="O258" s="2369">
        <v>0.83174399999999993</v>
      </c>
      <c r="P258" s="2369">
        <v>0.82342655999999992</v>
      </c>
      <c r="Q258" s="2369">
        <v>0.78225523199999991</v>
      </c>
      <c r="R258" s="2369">
        <v>0.75878757503999994</v>
      </c>
      <c r="S258" s="2369">
        <v>0.75119969928959995</v>
      </c>
      <c r="T258" s="2369">
        <v>0.743687702296704</v>
      </c>
      <c r="U258" s="2371">
        <v>0.73625082527373698</v>
      </c>
    </row>
    <row r="259" spans="1:21" ht="24" customHeight="1">
      <c r="A259" s="2164"/>
      <c r="B259" s="2165"/>
      <c r="C259" s="2169"/>
      <c r="D259" s="1237" t="s">
        <v>1214</v>
      </c>
      <c r="E259" s="2329"/>
      <c r="F259" s="2330"/>
      <c r="G259" s="2330"/>
      <c r="H259" s="2330"/>
      <c r="I259" s="2330"/>
      <c r="J259" s="2330"/>
      <c r="K259" s="2330"/>
      <c r="L259" s="2370"/>
      <c r="M259" s="2370"/>
      <c r="N259" s="2370"/>
      <c r="O259" s="2370"/>
      <c r="P259" s="2370"/>
      <c r="Q259" s="2370"/>
      <c r="R259" s="2370"/>
      <c r="S259" s="2370"/>
      <c r="T259" s="2370"/>
      <c r="U259" s="2372"/>
    </row>
    <row r="260" spans="1:21" ht="24" customHeight="1">
      <c r="A260" s="2164"/>
      <c r="B260" s="2157" t="s">
        <v>1253</v>
      </c>
      <c r="C260" s="2168" t="s">
        <v>1246</v>
      </c>
      <c r="D260" s="1235" t="s">
        <v>1213</v>
      </c>
      <c r="E260" s="2329"/>
      <c r="F260" s="2330"/>
      <c r="G260" s="2330"/>
      <c r="H260" s="2330"/>
      <c r="I260" s="2330"/>
      <c r="J260" s="2330"/>
      <c r="K260" s="2330"/>
      <c r="L260" s="2330"/>
      <c r="M260" s="2369">
        <v>0.95</v>
      </c>
      <c r="N260" s="2369">
        <v>0.91199999999999992</v>
      </c>
      <c r="O260" s="2369">
        <v>0.87551999999999985</v>
      </c>
      <c r="P260" s="2369">
        <v>0.86676479999999989</v>
      </c>
      <c r="Q260" s="2369">
        <v>0.82342655999999981</v>
      </c>
      <c r="R260" s="2369">
        <v>0.79872376319999983</v>
      </c>
      <c r="S260" s="2369">
        <v>0.79073652556799978</v>
      </c>
      <c r="T260" s="2369">
        <v>0.78282916031231975</v>
      </c>
      <c r="U260" s="2371">
        <v>0.7750008687091966</v>
      </c>
    </row>
    <row r="261" spans="1:21" ht="24" customHeight="1">
      <c r="A261" s="2164"/>
      <c r="B261" s="2165"/>
      <c r="C261" s="2169"/>
      <c r="D261" s="1237" t="s">
        <v>1214</v>
      </c>
      <c r="E261" s="2329"/>
      <c r="F261" s="2330"/>
      <c r="G261" s="2330"/>
      <c r="H261" s="2330"/>
      <c r="I261" s="2330"/>
      <c r="J261" s="2330"/>
      <c r="K261" s="2330"/>
      <c r="L261" s="2330"/>
      <c r="M261" s="2370"/>
      <c r="N261" s="2370"/>
      <c r="O261" s="2370"/>
      <c r="P261" s="2370"/>
      <c r="Q261" s="2370"/>
      <c r="R261" s="2370"/>
      <c r="S261" s="2370"/>
      <c r="T261" s="2370"/>
      <c r="U261" s="2372"/>
    </row>
    <row r="262" spans="1:21" ht="24" customHeight="1">
      <c r="A262" s="2164"/>
      <c r="B262" s="2157" t="s">
        <v>1254</v>
      </c>
      <c r="C262" s="2168" t="s">
        <v>1246</v>
      </c>
      <c r="D262" s="1235" t="s">
        <v>1213</v>
      </c>
      <c r="E262" s="2329"/>
      <c r="F262" s="2330"/>
      <c r="G262" s="2330"/>
      <c r="H262" s="2330"/>
      <c r="I262" s="2330"/>
      <c r="J262" s="2330"/>
      <c r="K262" s="2330"/>
      <c r="L262" s="2330"/>
      <c r="M262" s="2330"/>
      <c r="N262" s="2369">
        <v>0.96</v>
      </c>
      <c r="O262" s="2369">
        <v>0.92159999999999997</v>
      </c>
      <c r="P262" s="2369">
        <v>0.91238399999999997</v>
      </c>
      <c r="Q262" s="2369">
        <v>0.86676479999999989</v>
      </c>
      <c r="R262" s="2369">
        <v>0.84076185599999986</v>
      </c>
      <c r="S262" s="2369">
        <v>0.83235423743999981</v>
      </c>
      <c r="T262" s="2369">
        <v>0.82403069506559978</v>
      </c>
      <c r="U262" s="2371">
        <v>0.81579038811494375</v>
      </c>
    </row>
    <row r="263" spans="1:21" ht="24" customHeight="1">
      <c r="A263" s="2164"/>
      <c r="B263" s="2165"/>
      <c r="C263" s="2169"/>
      <c r="D263" s="1237" t="s">
        <v>1214</v>
      </c>
      <c r="E263" s="2329"/>
      <c r="F263" s="2330"/>
      <c r="G263" s="2330"/>
      <c r="H263" s="2330"/>
      <c r="I263" s="2330"/>
      <c r="J263" s="2330"/>
      <c r="K263" s="2330"/>
      <c r="L263" s="2330"/>
      <c r="M263" s="2330"/>
      <c r="N263" s="2370"/>
      <c r="O263" s="2370"/>
      <c r="P263" s="2370"/>
      <c r="Q263" s="2370"/>
      <c r="R263" s="2370"/>
      <c r="S263" s="2370"/>
      <c r="T263" s="2370"/>
      <c r="U263" s="2372"/>
    </row>
    <row r="264" spans="1:21" ht="24" customHeight="1">
      <c r="A264" s="2164"/>
      <c r="B264" s="2157" t="s">
        <v>1255</v>
      </c>
      <c r="C264" s="2168" t="s">
        <v>1246</v>
      </c>
      <c r="D264" s="1235" t="s">
        <v>1213</v>
      </c>
      <c r="E264" s="2329"/>
      <c r="F264" s="2330"/>
      <c r="G264" s="2330"/>
      <c r="H264" s="2330"/>
      <c r="I264" s="2330"/>
      <c r="J264" s="2330"/>
      <c r="K264" s="2330"/>
      <c r="L264" s="2330"/>
      <c r="M264" s="2330"/>
      <c r="N264" s="2330"/>
      <c r="O264" s="2369">
        <v>0.96</v>
      </c>
      <c r="P264" s="2369">
        <v>0.95039999999999991</v>
      </c>
      <c r="Q264" s="2369">
        <v>0.9028799999999999</v>
      </c>
      <c r="R264" s="2369">
        <v>0.87579359999999984</v>
      </c>
      <c r="S264" s="2369">
        <v>0.86703566399999987</v>
      </c>
      <c r="T264" s="2369">
        <v>0.85836530735999983</v>
      </c>
      <c r="U264" s="2371">
        <v>0.84978165428639985</v>
      </c>
    </row>
    <row r="265" spans="1:21" ht="24" customHeight="1">
      <c r="A265" s="2164"/>
      <c r="B265" s="2165"/>
      <c r="C265" s="2169"/>
      <c r="D265" s="1237" t="s">
        <v>1214</v>
      </c>
      <c r="E265" s="2329"/>
      <c r="F265" s="2330"/>
      <c r="G265" s="2330"/>
      <c r="H265" s="2330"/>
      <c r="I265" s="2330"/>
      <c r="J265" s="2330"/>
      <c r="K265" s="2330"/>
      <c r="L265" s="2330"/>
      <c r="M265" s="2330"/>
      <c r="N265" s="2330"/>
      <c r="O265" s="2370"/>
      <c r="P265" s="2370"/>
      <c r="Q265" s="2370"/>
      <c r="R265" s="2370"/>
      <c r="S265" s="2370"/>
      <c r="T265" s="2370"/>
      <c r="U265" s="2372"/>
    </row>
    <row r="266" spans="1:21" ht="24" customHeight="1">
      <c r="A266" s="2164"/>
      <c r="B266" s="2157" t="s">
        <v>1256</v>
      </c>
      <c r="C266" s="2168" t="s">
        <v>1246</v>
      </c>
      <c r="D266" s="1235" t="s">
        <v>1213</v>
      </c>
      <c r="E266" s="2329"/>
      <c r="F266" s="2330"/>
      <c r="G266" s="2330"/>
      <c r="H266" s="2330"/>
      <c r="I266" s="2330"/>
      <c r="J266" s="2330"/>
      <c r="K266" s="2330"/>
      <c r="L266" s="2330"/>
      <c r="M266" s="2330"/>
      <c r="N266" s="2330"/>
      <c r="O266" s="2330"/>
      <c r="P266" s="2369">
        <v>0.99</v>
      </c>
      <c r="Q266" s="2369">
        <v>0.9405</v>
      </c>
      <c r="R266" s="2369">
        <v>0.91228500000000001</v>
      </c>
      <c r="S266" s="2369">
        <v>0.90316215</v>
      </c>
      <c r="T266" s="2369">
        <v>0.89413052849999997</v>
      </c>
      <c r="U266" s="2371">
        <v>0.88518922321499993</v>
      </c>
    </row>
    <row r="267" spans="1:21" ht="24" customHeight="1">
      <c r="A267" s="2164"/>
      <c r="B267" s="2165"/>
      <c r="C267" s="2169"/>
      <c r="D267" s="1237" t="s">
        <v>1214</v>
      </c>
      <c r="E267" s="2329"/>
      <c r="F267" s="2330"/>
      <c r="G267" s="2330"/>
      <c r="H267" s="2330"/>
      <c r="I267" s="2330"/>
      <c r="J267" s="2330"/>
      <c r="K267" s="2330"/>
      <c r="L267" s="2330"/>
      <c r="M267" s="2330"/>
      <c r="N267" s="2330"/>
      <c r="O267" s="2330"/>
      <c r="P267" s="2370"/>
      <c r="Q267" s="2370"/>
      <c r="R267" s="2370"/>
      <c r="S267" s="2370"/>
      <c r="T267" s="2370"/>
      <c r="U267" s="2372"/>
    </row>
    <row r="268" spans="1:21" ht="24" customHeight="1">
      <c r="A268" s="2164"/>
      <c r="B268" s="2157" t="s">
        <v>1257</v>
      </c>
      <c r="C268" s="2168" t="s">
        <v>1246</v>
      </c>
      <c r="D268" s="1235" t="s">
        <v>1213</v>
      </c>
      <c r="E268" s="2329"/>
      <c r="F268" s="2330"/>
      <c r="G268" s="2330"/>
      <c r="H268" s="2330"/>
      <c r="I268" s="2330"/>
      <c r="J268" s="2330"/>
      <c r="K268" s="2330"/>
      <c r="L268" s="2330"/>
      <c r="M268" s="2330"/>
      <c r="N268" s="2330"/>
      <c r="O268" s="2330"/>
      <c r="P268" s="2330"/>
      <c r="Q268" s="2369">
        <v>0.95</v>
      </c>
      <c r="R268" s="2369">
        <v>0.92149999999999999</v>
      </c>
      <c r="S268" s="2369">
        <v>0.91228500000000001</v>
      </c>
      <c r="T268" s="2369">
        <v>0.90316215</v>
      </c>
      <c r="U268" s="2371">
        <v>0.89413052849999997</v>
      </c>
    </row>
    <row r="269" spans="1:21" ht="24" customHeight="1">
      <c r="A269" s="2164"/>
      <c r="B269" s="2165"/>
      <c r="C269" s="2169"/>
      <c r="D269" s="1237" t="s">
        <v>1214</v>
      </c>
      <c r="E269" s="2329"/>
      <c r="F269" s="2330"/>
      <c r="G269" s="2330"/>
      <c r="H269" s="2330"/>
      <c r="I269" s="2330"/>
      <c r="J269" s="2330"/>
      <c r="K269" s="2330"/>
      <c r="L269" s="2330"/>
      <c r="M269" s="2330"/>
      <c r="N269" s="2330"/>
      <c r="O269" s="2330"/>
      <c r="P269" s="2330"/>
      <c r="Q269" s="2370"/>
      <c r="R269" s="2370"/>
      <c r="S269" s="2370"/>
      <c r="T269" s="2370"/>
      <c r="U269" s="2372"/>
    </row>
    <row r="270" spans="1:21" ht="24" customHeight="1">
      <c r="A270" s="2164"/>
      <c r="B270" s="2157" t="s">
        <v>1258</v>
      </c>
      <c r="C270" s="2168" t="s">
        <v>1246</v>
      </c>
      <c r="D270" s="1235" t="s">
        <v>1213</v>
      </c>
      <c r="E270" s="2329"/>
      <c r="F270" s="2330"/>
      <c r="G270" s="2330"/>
      <c r="H270" s="2330"/>
      <c r="I270" s="2330"/>
      <c r="J270" s="2330"/>
      <c r="K270" s="2330"/>
      <c r="L270" s="2330"/>
      <c r="M270" s="2330"/>
      <c r="N270" s="2330"/>
      <c r="O270" s="2330"/>
      <c r="P270" s="2330"/>
      <c r="Q270" s="2330"/>
      <c r="R270" s="2369">
        <v>0.97</v>
      </c>
      <c r="S270" s="2369">
        <v>0.96029999999999993</v>
      </c>
      <c r="T270" s="2369">
        <v>0.9506969999999999</v>
      </c>
      <c r="U270" s="2371">
        <v>0.9411900299999999</v>
      </c>
    </row>
    <row r="271" spans="1:21" ht="24" customHeight="1">
      <c r="A271" s="2164"/>
      <c r="B271" s="2165"/>
      <c r="C271" s="2169"/>
      <c r="D271" s="1237" t="s">
        <v>1214</v>
      </c>
      <c r="E271" s="2329"/>
      <c r="F271" s="2330"/>
      <c r="G271" s="2330"/>
      <c r="H271" s="2330"/>
      <c r="I271" s="2330"/>
      <c r="J271" s="2330"/>
      <c r="K271" s="2330"/>
      <c r="L271" s="2330"/>
      <c r="M271" s="2330"/>
      <c r="N271" s="2330"/>
      <c r="O271" s="2330"/>
      <c r="P271" s="2330"/>
      <c r="Q271" s="2330"/>
      <c r="R271" s="2370"/>
      <c r="S271" s="2370"/>
      <c r="T271" s="2370"/>
      <c r="U271" s="2372"/>
    </row>
    <row r="272" spans="1:21" ht="24" customHeight="1">
      <c r="A272" s="2164"/>
      <c r="B272" s="2157" t="s">
        <v>1259</v>
      </c>
      <c r="C272" s="2168" t="s">
        <v>1246</v>
      </c>
      <c r="D272" s="1235" t="s">
        <v>1213</v>
      </c>
      <c r="E272" s="2329"/>
      <c r="F272" s="2330"/>
      <c r="G272" s="2330"/>
      <c r="H272" s="2330"/>
      <c r="I272" s="2330"/>
      <c r="J272" s="2330"/>
      <c r="K272" s="2330"/>
      <c r="L272" s="2330"/>
      <c r="M272" s="2330"/>
      <c r="N272" s="2330"/>
      <c r="O272" s="2330"/>
      <c r="P272" s="2330"/>
      <c r="Q272" s="2330"/>
      <c r="R272" s="2330"/>
      <c r="S272" s="2369">
        <v>0.99</v>
      </c>
      <c r="T272" s="2369">
        <v>0.98009999999999997</v>
      </c>
      <c r="U272" s="2371">
        <v>0.97029899999999991</v>
      </c>
    </row>
    <row r="273" spans="1:21" ht="24" customHeight="1">
      <c r="A273" s="2164"/>
      <c r="B273" s="2165"/>
      <c r="C273" s="2169"/>
      <c r="D273" s="1237" t="s">
        <v>1214</v>
      </c>
      <c r="E273" s="2329"/>
      <c r="F273" s="2330"/>
      <c r="G273" s="2330"/>
      <c r="H273" s="2330"/>
      <c r="I273" s="2330"/>
      <c r="J273" s="2330"/>
      <c r="K273" s="2330"/>
      <c r="L273" s="2330"/>
      <c r="M273" s="2330"/>
      <c r="N273" s="2330"/>
      <c r="O273" s="2330"/>
      <c r="P273" s="2330"/>
      <c r="Q273" s="2330"/>
      <c r="R273" s="2330"/>
      <c r="S273" s="2370"/>
      <c r="T273" s="2370"/>
      <c r="U273" s="2372"/>
    </row>
    <row r="274" spans="1:21" ht="24" customHeight="1">
      <c r="A274" s="2164"/>
      <c r="B274" s="2157" t="s">
        <v>1260</v>
      </c>
      <c r="C274" s="2168" t="s">
        <v>1246</v>
      </c>
      <c r="D274" s="1235" t="s">
        <v>1213</v>
      </c>
      <c r="E274" s="2329"/>
      <c r="F274" s="2330"/>
      <c r="G274" s="2330"/>
      <c r="H274" s="2330"/>
      <c r="I274" s="2330"/>
      <c r="J274" s="2330"/>
      <c r="K274" s="2330"/>
      <c r="L274" s="2330"/>
      <c r="M274" s="2330"/>
      <c r="N274" s="2330"/>
      <c r="O274" s="2330"/>
      <c r="P274" s="2330"/>
      <c r="Q274" s="2330"/>
      <c r="R274" s="2330"/>
      <c r="S274" s="2330"/>
      <c r="T274" s="2369">
        <v>0.99</v>
      </c>
      <c r="U274" s="2371">
        <v>0.98009999999999997</v>
      </c>
    </row>
    <row r="275" spans="1:21" ht="24" customHeight="1">
      <c r="A275" s="2164"/>
      <c r="B275" s="2165"/>
      <c r="C275" s="2169"/>
      <c r="D275" s="1237" t="s">
        <v>1214</v>
      </c>
      <c r="E275" s="2329"/>
      <c r="F275" s="2330"/>
      <c r="G275" s="2330"/>
      <c r="H275" s="2330"/>
      <c r="I275" s="2330"/>
      <c r="J275" s="2330"/>
      <c r="K275" s="2330"/>
      <c r="L275" s="2330"/>
      <c r="M275" s="2330"/>
      <c r="N275" s="2330"/>
      <c r="O275" s="2330"/>
      <c r="P275" s="2330"/>
      <c r="Q275" s="2330"/>
      <c r="R275" s="2330"/>
      <c r="S275" s="2330"/>
      <c r="T275" s="2370"/>
      <c r="U275" s="2372"/>
    </row>
    <row r="276" spans="1:21" ht="24" customHeight="1">
      <c r="A276" s="2164"/>
      <c r="B276" s="2157" t="s">
        <v>1261</v>
      </c>
      <c r="C276" s="2168" t="s">
        <v>1246</v>
      </c>
      <c r="D276" s="1235" t="s">
        <v>1213</v>
      </c>
      <c r="E276" s="2329"/>
      <c r="F276" s="2330"/>
      <c r="G276" s="2330"/>
      <c r="H276" s="2330"/>
      <c r="I276" s="2330"/>
      <c r="J276" s="2330"/>
      <c r="K276" s="2330"/>
      <c r="L276" s="2330"/>
      <c r="M276" s="2330"/>
      <c r="N276" s="2330"/>
      <c r="O276" s="2330"/>
      <c r="P276" s="2330"/>
      <c r="Q276" s="2330"/>
      <c r="R276" s="2330"/>
      <c r="S276" s="2330"/>
      <c r="T276" s="2330"/>
      <c r="U276" s="2371">
        <v>0.99</v>
      </c>
    </row>
    <row r="277" spans="1:21" ht="24" customHeight="1">
      <c r="A277" s="2164"/>
      <c r="B277" s="2165"/>
      <c r="C277" s="2169"/>
      <c r="D277" s="1237" t="s">
        <v>1214</v>
      </c>
      <c r="E277" s="2329"/>
      <c r="F277" s="2330"/>
      <c r="G277" s="2330"/>
      <c r="H277" s="2330"/>
      <c r="I277" s="2330"/>
      <c r="J277" s="2330"/>
      <c r="K277" s="2330"/>
      <c r="L277" s="2330"/>
      <c r="M277" s="2330"/>
      <c r="N277" s="2330"/>
      <c r="O277" s="2330"/>
      <c r="P277" s="2330"/>
      <c r="Q277" s="2330"/>
      <c r="R277" s="2330"/>
      <c r="S277" s="2330"/>
      <c r="T277" s="2330"/>
      <c r="U277" s="2372"/>
    </row>
    <row r="278" spans="1:21" ht="24" customHeight="1">
      <c r="A278" s="2164"/>
      <c r="B278" s="2157" t="s">
        <v>1262</v>
      </c>
      <c r="C278" s="2156" t="s">
        <v>1246</v>
      </c>
      <c r="D278" s="1235" t="s">
        <v>1213</v>
      </c>
      <c r="E278" s="2329"/>
      <c r="F278" s="2330"/>
      <c r="G278" s="2330"/>
      <c r="H278" s="2330"/>
      <c r="I278" s="2330"/>
      <c r="J278" s="2330"/>
      <c r="K278" s="2330"/>
      <c r="L278" s="2330"/>
      <c r="M278" s="2330"/>
      <c r="N278" s="2330"/>
      <c r="O278" s="2330"/>
      <c r="P278" s="2330"/>
      <c r="Q278" s="2330"/>
      <c r="R278" s="2330"/>
      <c r="S278" s="2330"/>
      <c r="T278" s="2330"/>
      <c r="U278" s="2373"/>
    </row>
    <row r="279" spans="1:21" ht="24" customHeight="1">
      <c r="A279" s="2165"/>
      <c r="B279" s="2165"/>
      <c r="C279" s="2156"/>
      <c r="D279" s="1237" t="s">
        <v>1214</v>
      </c>
      <c r="E279" s="2329"/>
      <c r="F279" s="2330"/>
      <c r="G279" s="2330"/>
      <c r="H279" s="2330"/>
      <c r="I279" s="2330"/>
      <c r="J279" s="2330"/>
      <c r="K279" s="2330"/>
      <c r="L279" s="2330"/>
      <c r="M279" s="2330"/>
      <c r="N279" s="2330"/>
      <c r="O279" s="2330"/>
      <c r="P279" s="2330"/>
      <c r="Q279" s="2330"/>
      <c r="R279" s="2330"/>
      <c r="S279" s="2330"/>
      <c r="T279" s="2330"/>
      <c r="U279" s="2374"/>
    </row>
  </sheetData>
  <sheetProtection algorithmName="SHA-512" hashValue="eqytDP3RB3mnRV9c8OOp0cHGmDVd09hIwgjg+S12dWhE5qbkp9Dt813K6yx7lGN67J9ty9xxyqLwozcCGR8/8Q==" saltValue="SyP+NfRJVxEi6On4nq17Qg==" spinCount="100000" sheet="1" objects="1" scenarios="1"/>
  <mergeCells count="2614">
    <mergeCell ref="R278:R279"/>
    <mergeCell ref="S278:S279"/>
    <mergeCell ref="T278:T279"/>
    <mergeCell ref="U278:U279"/>
    <mergeCell ref="L278:L279"/>
    <mergeCell ref="M278:M279"/>
    <mergeCell ref="N278:N279"/>
    <mergeCell ref="O278:O279"/>
    <mergeCell ref="P278:P279"/>
    <mergeCell ref="Q278:Q279"/>
    <mergeCell ref="U276:U277"/>
    <mergeCell ref="B278:B279"/>
    <mergeCell ref="C278:C279"/>
    <mergeCell ref="E278:E279"/>
    <mergeCell ref="F278:F279"/>
    <mergeCell ref="G278:G279"/>
    <mergeCell ref="H278:H279"/>
    <mergeCell ref="I278:I279"/>
    <mergeCell ref="J278:J279"/>
    <mergeCell ref="K278:K279"/>
    <mergeCell ref="O276:O277"/>
    <mergeCell ref="P276:P277"/>
    <mergeCell ref="Q276:Q277"/>
    <mergeCell ref="R276:R277"/>
    <mergeCell ref="S276:S277"/>
    <mergeCell ref="T276:T277"/>
    <mergeCell ref="I276:I277"/>
    <mergeCell ref="J276:J277"/>
    <mergeCell ref="K276:K277"/>
    <mergeCell ref="L276:L277"/>
    <mergeCell ref="M276:M277"/>
    <mergeCell ref="N276:N277"/>
    <mergeCell ref="R274:R275"/>
    <mergeCell ref="S274:S275"/>
    <mergeCell ref="T274:T275"/>
    <mergeCell ref="U274:U275"/>
    <mergeCell ref="B276:B277"/>
    <mergeCell ref="C276:C277"/>
    <mergeCell ref="E276:E277"/>
    <mergeCell ref="F276:F277"/>
    <mergeCell ref="G276:G277"/>
    <mergeCell ref="H276:H277"/>
    <mergeCell ref="L274:L275"/>
    <mergeCell ref="M274:M275"/>
    <mergeCell ref="N274:N275"/>
    <mergeCell ref="O274:O275"/>
    <mergeCell ref="P274:P275"/>
    <mergeCell ref="Q274:Q275"/>
    <mergeCell ref="U272:U273"/>
    <mergeCell ref="B274:B275"/>
    <mergeCell ref="C274:C275"/>
    <mergeCell ref="E274:E275"/>
    <mergeCell ref="F274:F275"/>
    <mergeCell ref="G274:G275"/>
    <mergeCell ref="H274:H275"/>
    <mergeCell ref="I274:I275"/>
    <mergeCell ref="J274:J275"/>
    <mergeCell ref="K274:K275"/>
    <mergeCell ref="O272:O273"/>
    <mergeCell ref="P272:P273"/>
    <mergeCell ref="Q272:Q273"/>
    <mergeCell ref="R272:R273"/>
    <mergeCell ref="S272:S273"/>
    <mergeCell ref="T272:T273"/>
    <mergeCell ref="I272:I273"/>
    <mergeCell ref="J272:J273"/>
    <mergeCell ref="K272:K273"/>
    <mergeCell ref="L272:L273"/>
    <mergeCell ref="M272:M273"/>
    <mergeCell ref="N272:N273"/>
    <mergeCell ref="R270:R271"/>
    <mergeCell ref="S270:S271"/>
    <mergeCell ref="T270:T271"/>
    <mergeCell ref="U270:U271"/>
    <mergeCell ref="B272:B273"/>
    <mergeCell ref="C272:C273"/>
    <mergeCell ref="E272:E273"/>
    <mergeCell ref="F272:F273"/>
    <mergeCell ref="G272:G273"/>
    <mergeCell ref="H272:H273"/>
    <mergeCell ref="L270:L271"/>
    <mergeCell ref="M270:M271"/>
    <mergeCell ref="N270:N271"/>
    <mergeCell ref="O270:O271"/>
    <mergeCell ref="P270:P271"/>
    <mergeCell ref="Q270:Q271"/>
    <mergeCell ref="U268:U269"/>
    <mergeCell ref="B270:B271"/>
    <mergeCell ref="C270:C271"/>
    <mergeCell ref="E270:E271"/>
    <mergeCell ref="F270:F271"/>
    <mergeCell ref="G270:G271"/>
    <mergeCell ref="H270:H271"/>
    <mergeCell ref="I270:I271"/>
    <mergeCell ref="J270:J271"/>
    <mergeCell ref="K270:K271"/>
    <mergeCell ref="O268:O269"/>
    <mergeCell ref="P268:P269"/>
    <mergeCell ref="Q268:Q269"/>
    <mergeCell ref="R268:R269"/>
    <mergeCell ref="S268:S269"/>
    <mergeCell ref="T268:T269"/>
    <mergeCell ref="I268:I269"/>
    <mergeCell ref="J268:J269"/>
    <mergeCell ref="K268:K269"/>
    <mergeCell ref="L268:L269"/>
    <mergeCell ref="M268:M269"/>
    <mergeCell ref="N268:N269"/>
    <mergeCell ref="R266:R267"/>
    <mergeCell ref="S266:S267"/>
    <mergeCell ref="T266:T267"/>
    <mergeCell ref="U266:U267"/>
    <mergeCell ref="B268:B269"/>
    <mergeCell ref="C268:C269"/>
    <mergeCell ref="E268:E269"/>
    <mergeCell ref="F268:F269"/>
    <mergeCell ref="G268:G269"/>
    <mergeCell ref="H268:H269"/>
    <mergeCell ref="L266:L267"/>
    <mergeCell ref="M266:M267"/>
    <mergeCell ref="N266:N267"/>
    <mergeCell ref="O266:O267"/>
    <mergeCell ref="P266:P267"/>
    <mergeCell ref="Q266:Q267"/>
    <mergeCell ref="U264:U265"/>
    <mergeCell ref="B266:B267"/>
    <mergeCell ref="C266:C267"/>
    <mergeCell ref="E266:E267"/>
    <mergeCell ref="F266:F267"/>
    <mergeCell ref="G266:G267"/>
    <mergeCell ref="H266:H267"/>
    <mergeCell ref="I266:I267"/>
    <mergeCell ref="J266:J267"/>
    <mergeCell ref="K266:K267"/>
    <mergeCell ref="O264:O265"/>
    <mergeCell ref="P264:P265"/>
    <mergeCell ref="Q264:Q265"/>
    <mergeCell ref="R264:R265"/>
    <mergeCell ref="S264:S265"/>
    <mergeCell ref="T264:T265"/>
    <mergeCell ref="I264:I265"/>
    <mergeCell ref="J264:J265"/>
    <mergeCell ref="K264:K265"/>
    <mergeCell ref="L264:L265"/>
    <mergeCell ref="M264:M265"/>
    <mergeCell ref="N264:N265"/>
    <mergeCell ref="R262:R263"/>
    <mergeCell ref="S262:S263"/>
    <mergeCell ref="T262:T263"/>
    <mergeCell ref="U262:U263"/>
    <mergeCell ref="B264:B265"/>
    <mergeCell ref="C264:C265"/>
    <mergeCell ref="E264:E265"/>
    <mergeCell ref="F264:F265"/>
    <mergeCell ref="G264:G265"/>
    <mergeCell ref="H264:H265"/>
    <mergeCell ref="L262:L263"/>
    <mergeCell ref="M262:M263"/>
    <mergeCell ref="N262:N263"/>
    <mergeCell ref="O262:O263"/>
    <mergeCell ref="P262:P263"/>
    <mergeCell ref="Q262:Q263"/>
    <mergeCell ref="U260:U261"/>
    <mergeCell ref="B262:B263"/>
    <mergeCell ref="C262:C263"/>
    <mergeCell ref="E262:E263"/>
    <mergeCell ref="F262:F263"/>
    <mergeCell ref="G262:G263"/>
    <mergeCell ref="H262:H263"/>
    <mergeCell ref="I262:I263"/>
    <mergeCell ref="J262:J263"/>
    <mergeCell ref="K262:K263"/>
    <mergeCell ref="O260:O261"/>
    <mergeCell ref="P260:P261"/>
    <mergeCell ref="Q260:Q261"/>
    <mergeCell ref="R260:R261"/>
    <mergeCell ref="S260:S261"/>
    <mergeCell ref="T260:T261"/>
    <mergeCell ref="I260:I261"/>
    <mergeCell ref="J260:J261"/>
    <mergeCell ref="K260:K261"/>
    <mergeCell ref="L260:L261"/>
    <mergeCell ref="M260:M261"/>
    <mergeCell ref="N260:N261"/>
    <mergeCell ref="R258:R259"/>
    <mergeCell ref="S258:S259"/>
    <mergeCell ref="T258:T259"/>
    <mergeCell ref="U258:U259"/>
    <mergeCell ref="B260:B261"/>
    <mergeCell ref="C260:C261"/>
    <mergeCell ref="E260:E261"/>
    <mergeCell ref="F260:F261"/>
    <mergeCell ref="G260:G261"/>
    <mergeCell ref="H260:H261"/>
    <mergeCell ref="L258:L259"/>
    <mergeCell ref="M258:M259"/>
    <mergeCell ref="N258:N259"/>
    <mergeCell ref="O258:O259"/>
    <mergeCell ref="P258:P259"/>
    <mergeCell ref="Q258:Q259"/>
    <mergeCell ref="U256:U257"/>
    <mergeCell ref="B258:B259"/>
    <mergeCell ref="C258:C259"/>
    <mergeCell ref="E258:E259"/>
    <mergeCell ref="F258:F259"/>
    <mergeCell ref="G258:G259"/>
    <mergeCell ref="H258:H259"/>
    <mergeCell ref="I258:I259"/>
    <mergeCell ref="J258:J259"/>
    <mergeCell ref="K258:K259"/>
    <mergeCell ref="O256:O257"/>
    <mergeCell ref="P256:P257"/>
    <mergeCell ref="Q256:Q257"/>
    <mergeCell ref="R256:R257"/>
    <mergeCell ref="S256:S257"/>
    <mergeCell ref="T256:T257"/>
    <mergeCell ref="N256:N257"/>
    <mergeCell ref="R254:R255"/>
    <mergeCell ref="S254:S255"/>
    <mergeCell ref="T254:T255"/>
    <mergeCell ref="U254:U255"/>
    <mergeCell ref="B256:B257"/>
    <mergeCell ref="C256:C257"/>
    <mergeCell ref="E256:E257"/>
    <mergeCell ref="F256:F257"/>
    <mergeCell ref="G256:G257"/>
    <mergeCell ref="H256:H257"/>
    <mergeCell ref="L254:L255"/>
    <mergeCell ref="M254:M255"/>
    <mergeCell ref="N254:N255"/>
    <mergeCell ref="O254:O255"/>
    <mergeCell ref="P254:P255"/>
    <mergeCell ref="Q254:Q255"/>
    <mergeCell ref="B254:B255"/>
    <mergeCell ref="C254:C255"/>
    <mergeCell ref="E254:E255"/>
    <mergeCell ref="F254:F255"/>
    <mergeCell ref="G254:G255"/>
    <mergeCell ref="H254:H255"/>
    <mergeCell ref="I254:I255"/>
    <mergeCell ref="J254:J255"/>
    <mergeCell ref="K254:K255"/>
    <mergeCell ref="U252:U253"/>
    <mergeCell ref="L248:L249"/>
    <mergeCell ref="M248:M249"/>
    <mergeCell ref="N248:N249"/>
    <mergeCell ref="B248:B249"/>
    <mergeCell ref="C248:C249"/>
    <mergeCell ref="E248:E249"/>
    <mergeCell ref="F248:F249"/>
    <mergeCell ref="G248:G249"/>
    <mergeCell ref="H248:H249"/>
    <mergeCell ref="O252:O253"/>
    <mergeCell ref="P252:P253"/>
    <mergeCell ref="Q252:Q253"/>
    <mergeCell ref="R252:R253"/>
    <mergeCell ref="S252:S253"/>
    <mergeCell ref="T252:T253"/>
    <mergeCell ref="I252:I253"/>
    <mergeCell ref="J252:J253"/>
    <mergeCell ref="K252:K253"/>
    <mergeCell ref="L252:L253"/>
    <mergeCell ref="M252:M253"/>
    <mergeCell ref="N252:N253"/>
    <mergeCell ref="U250:U251"/>
    <mergeCell ref="B252:B253"/>
    <mergeCell ref="C252:C253"/>
    <mergeCell ref="E252:E253"/>
    <mergeCell ref="F252:F253"/>
    <mergeCell ref="G252:G253"/>
    <mergeCell ref="H252:H253"/>
    <mergeCell ref="L250:L251"/>
    <mergeCell ref="M250:M251"/>
    <mergeCell ref="N250:N251"/>
    <mergeCell ref="T246:T247"/>
    <mergeCell ref="R250:R251"/>
    <mergeCell ref="S250:S251"/>
    <mergeCell ref="T250:T251"/>
    <mergeCell ref="U246:U247"/>
    <mergeCell ref="J246:J247"/>
    <mergeCell ref="K246:K247"/>
    <mergeCell ref="L246:L247"/>
    <mergeCell ref="M246:M247"/>
    <mergeCell ref="N246:N247"/>
    <mergeCell ref="O246:O247"/>
    <mergeCell ref="T244:T245"/>
    <mergeCell ref="U244:U245"/>
    <mergeCell ref="U248:U249"/>
    <mergeCell ref="B250:B251"/>
    <mergeCell ref="C250:C251"/>
    <mergeCell ref="E250:E251"/>
    <mergeCell ref="F250:F251"/>
    <mergeCell ref="G250:G251"/>
    <mergeCell ref="H250:H251"/>
    <mergeCell ref="I250:I251"/>
    <mergeCell ref="J250:J251"/>
    <mergeCell ref="K250:K251"/>
    <mergeCell ref="O248:O249"/>
    <mergeCell ref="P248:P249"/>
    <mergeCell ref="Q248:Q249"/>
    <mergeCell ref="R248:R249"/>
    <mergeCell ref="S248:S249"/>
    <mergeCell ref="T248:T249"/>
    <mergeCell ref="O250:O251"/>
    <mergeCell ref="P250:P251"/>
    <mergeCell ref="Q250:Q251"/>
    <mergeCell ref="A246:A279"/>
    <mergeCell ref="B246:B247"/>
    <mergeCell ref="C246:C247"/>
    <mergeCell ref="E246:E247"/>
    <mergeCell ref="F246:F247"/>
    <mergeCell ref="G246:G247"/>
    <mergeCell ref="H246:H247"/>
    <mergeCell ref="I246:I247"/>
    <mergeCell ref="N244:N245"/>
    <mergeCell ref="O244:O245"/>
    <mergeCell ref="P244:P245"/>
    <mergeCell ref="Q244:Q245"/>
    <mergeCell ref="R244:R245"/>
    <mergeCell ref="S244:S245"/>
    <mergeCell ref="H244:H245"/>
    <mergeCell ref="I244:I245"/>
    <mergeCell ref="J244:J245"/>
    <mergeCell ref="K244:K245"/>
    <mergeCell ref="L244:L245"/>
    <mergeCell ref="M244:M245"/>
    <mergeCell ref="I248:I249"/>
    <mergeCell ref="J248:J249"/>
    <mergeCell ref="K248:K249"/>
    <mergeCell ref="P246:P247"/>
    <mergeCell ref="Q246:Q247"/>
    <mergeCell ref="R246:R247"/>
    <mergeCell ref="S246:S247"/>
    <mergeCell ref="I256:I257"/>
    <mergeCell ref="J256:J257"/>
    <mergeCell ref="K256:K257"/>
    <mergeCell ref="L256:L257"/>
    <mergeCell ref="M256:M257"/>
    <mergeCell ref="Q242:Q243"/>
    <mergeCell ref="R242:R243"/>
    <mergeCell ref="S242:S243"/>
    <mergeCell ref="T242:T243"/>
    <mergeCell ref="U242:U243"/>
    <mergeCell ref="B244:B245"/>
    <mergeCell ref="C244:C245"/>
    <mergeCell ref="E244:E245"/>
    <mergeCell ref="F244:F245"/>
    <mergeCell ref="G244:G245"/>
    <mergeCell ref="K242:K243"/>
    <mergeCell ref="L242:L243"/>
    <mergeCell ref="M242:M243"/>
    <mergeCell ref="N242:N243"/>
    <mergeCell ref="O242:O243"/>
    <mergeCell ref="P242:P243"/>
    <mergeCell ref="T240:T241"/>
    <mergeCell ref="U240:U241"/>
    <mergeCell ref="B242:B243"/>
    <mergeCell ref="C242:C243"/>
    <mergeCell ref="E242:E243"/>
    <mergeCell ref="F242:F243"/>
    <mergeCell ref="G242:G243"/>
    <mergeCell ref="H242:H243"/>
    <mergeCell ref="I242:I243"/>
    <mergeCell ref="J242:J243"/>
    <mergeCell ref="N240:N241"/>
    <mergeCell ref="O240:O241"/>
    <mergeCell ref="P240:P241"/>
    <mergeCell ref="Q240:Q241"/>
    <mergeCell ref="R240:R241"/>
    <mergeCell ref="S240:S241"/>
    <mergeCell ref="H240:H241"/>
    <mergeCell ref="I240:I241"/>
    <mergeCell ref="J240:J241"/>
    <mergeCell ref="K240:K241"/>
    <mergeCell ref="L240:L241"/>
    <mergeCell ref="M240:M241"/>
    <mergeCell ref="Q238:Q239"/>
    <mergeCell ref="R238:R239"/>
    <mergeCell ref="S238:S239"/>
    <mergeCell ref="T238:T239"/>
    <mergeCell ref="U238:U239"/>
    <mergeCell ref="B240:B241"/>
    <mergeCell ref="C240:C241"/>
    <mergeCell ref="E240:E241"/>
    <mergeCell ref="F240:F241"/>
    <mergeCell ref="G240:G241"/>
    <mergeCell ref="K238:K239"/>
    <mergeCell ref="L238:L239"/>
    <mergeCell ref="M238:M239"/>
    <mergeCell ref="N238:N239"/>
    <mergeCell ref="O238:O239"/>
    <mergeCell ref="P238:P239"/>
    <mergeCell ref="T236:T237"/>
    <mergeCell ref="U236:U237"/>
    <mergeCell ref="B238:B239"/>
    <mergeCell ref="C238:C239"/>
    <mergeCell ref="E238:E239"/>
    <mergeCell ref="F238:F239"/>
    <mergeCell ref="G238:G239"/>
    <mergeCell ref="H238:H239"/>
    <mergeCell ref="I238:I239"/>
    <mergeCell ref="J238:J239"/>
    <mergeCell ref="N236:N237"/>
    <mergeCell ref="O236:O237"/>
    <mergeCell ref="P236:P237"/>
    <mergeCell ref="Q236:Q237"/>
    <mergeCell ref="R236:R237"/>
    <mergeCell ref="S236:S237"/>
    <mergeCell ref="H236:H237"/>
    <mergeCell ref="I236:I237"/>
    <mergeCell ref="J236:J237"/>
    <mergeCell ref="K236:K237"/>
    <mergeCell ref="L236:L237"/>
    <mergeCell ref="M236:M237"/>
    <mergeCell ref="Q234:Q235"/>
    <mergeCell ref="R234:R235"/>
    <mergeCell ref="S234:S235"/>
    <mergeCell ref="T234:T235"/>
    <mergeCell ref="U234:U235"/>
    <mergeCell ref="B236:B237"/>
    <mergeCell ref="C236:C237"/>
    <mergeCell ref="E236:E237"/>
    <mergeCell ref="F236:F237"/>
    <mergeCell ref="G236:G237"/>
    <mergeCell ref="K234:K235"/>
    <mergeCell ref="L234:L235"/>
    <mergeCell ref="M234:M235"/>
    <mergeCell ref="N234:N235"/>
    <mergeCell ref="O234:O235"/>
    <mergeCell ref="P234:P235"/>
    <mergeCell ref="T232:T233"/>
    <mergeCell ref="U232:U233"/>
    <mergeCell ref="B234:B235"/>
    <mergeCell ref="C234:C235"/>
    <mergeCell ref="E234:E235"/>
    <mergeCell ref="F234:F235"/>
    <mergeCell ref="G234:G235"/>
    <mergeCell ref="H234:H235"/>
    <mergeCell ref="I234:I235"/>
    <mergeCell ref="J234:J235"/>
    <mergeCell ref="N232:N233"/>
    <mergeCell ref="O232:O233"/>
    <mergeCell ref="P232:P233"/>
    <mergeCell ref="Q232:Q233"/>
    <mergeCell ref="R232:R233"/>
    <mergeCell ref="S232:S233"/>
    <mergeCell ref="H232:H233"/>
    <mergeCell ref="I232:I233"/>
    <mergeCell ref="J232:J233"/>
    <mergeCell ref="K232:K233"/>
    <mergeCell ref="L232:L233"/>
    <mergeCell ref="M232:M233"/>
    <mergeCell ref="Q230:Q231"/>
    <mergeCell ref="R230:R231"/>
    <mergeCell ref="S230:S231"/>
    <mergeCell ref="T230:T231"/>
    <mergeCell ref="U230:U231"/>
    <mergeCell ref="B232:B233"/>
    <mergeCell ref="C232:C233"/>
    <mergeCell ref="E232:E233"/>
    <mergeCell ref="F232:F233"/>
    <mergeCell ref="G232:G233"/>
    <mergeCell ref="K230:K231"/>
    <mergeCell ref="L230:L231"/>
    <mergeCell ref="M230:M231"/>
    <mergeCell ref="N230:N231"/>
    <mergeCell ref="O230:O231"/>
    <mergeCell ref="P230:P231"/>
    <mergeCell ref="T228:T229"/>
    <mergeCell ref="U228:U229"/>
    <mergeCell ref="B230:B231"/>
    <mergeCell ref="C230:C231"/>
    <mergeCell ref="E230:E231"/>
    <mergeCell ref="F230:F231"/>
    <mergeCell ref="G230:G231"/>
    <mergeCell ref="H230:H231"/>
    <mergeCell ref="I230:I231"/>
    <mergeCell ref="J230:J231"/>
    <mergeCell ref="N228:N229"/>
    <mergeCell ref="O228:O229"/>
    <mergeCell ref="P228:P229"/>
    <mergeCell ref="Q228:Q229"/>
    <mergeCell ref="R228:R229"/>
    <mergeCell ref="S228:S229"/>
    <mergeCell ref="H228:H229"/>
    <mergeCell ref="I228:I229"/>
    <mergeCell ref="J228:J229"/>
    <mergeCell ref="K228:K229"/>
    <mergeCell ref="L228:L229"/>
    <mergeCell ref="M228:M229"/>
    <mergeCell ref="Q226:Q227"/>
    <mergeCell ref="R226:R227"/>
    <mergeCell ref="S226:S227"/>
    <mergeCell ref="T226:T227"/>
    <mergeCell ref="U226:U227"/>
    <mergeCell ref="B228:B229"/>
    <mergeCell ref="C228:C229"/>
    <mergeCell ref="E228:E229"/>
    <mergeCell ref="F228:F229"/>
    <mergeCell ref="G228:G229"/>
    <mergeCell ref="K226:K227"/>
    <mergeCell ref="L226:L227"/>
    <mergeCell ref="M226:M227"/>
    <mergeCell ref="N226:N227"/>
    <mergeCell ref="O226:O227"/>
    <mergeCell ref="P226:P227"/>
    <mergeCell ref="T224:T225"/>
    <mergeCell ref="U224:U225"/>
    <mergeCell ref="B226:B227"/>
    <mergeCell ref="C226:C227"/>
    <mergeCell ref="E226:E227"/>
    <mergeCell ref="F226:F227"/>
    <mergeCell ref="G226:G227"/>
    <mergeCell ref="H226:H227"/>
    <mergeCell ref="I226:I227"/>
    <mergeCell ref="J226:J227"/>
    <mergeCell ref="N224:N225"/>
    <mergeCell ref="O224:O225"/>
    <mergeCell ref="P224:P225"/>
    <mergeCell ref="Q224:Q225"/>
    <mergeCell ref="R224:R225"/>
    <mergeCell ref="S224:S225"/>
    <mergeCell ref="H224:H225"/>
    <mergeCell ref="I224:I225"/>
    <mergeCell ref="J224:J225"/>
    <mergeCell ref="K224:K225"/>
    <mergeCell ref="L224:L225"/>
    <mergeCell ref="M224:M225"/>
    <mergeCell ref="Q222:Q223"/>
    <mergeCell ref="R222:R223"/>
    <mergeCell ref="S222:S223"/>
    <mergeCell ref="T222:T223"/>
    <mergeCell ref="U222:U223"/>
    <mergeCell ref="B224:B225"/>
    <mergeCell ref="C224:C225"/>
    <mergeCell ref="E224:E225"/>
    <mergeCell ref="F224:F225"/>
    <mergeCell ref="G224:G225"/>
    <mergeCell ref="K222:K223"/>
    <mergeCell ref="L222:L223"/>
    <mergeCell ref="M222:M223"/>
    <mergeCell ref="N222:N223"/>
    <mergeCell ref="O222:O223"/>
    <mergeCell ref="P222:P223"/>
    <mergeCell ref="T220:T221"/>
    <mergeCell ref="U220:U221"/>
    <mergeCell ref="B222:B223"/>
    <mergeCell ref="C222:C223"/>
    <mergeCell ref="E222:E223"/>
    <mergeCell ref="F222:F223"/>
    <mergeCell ref="G222:G223"/>
    <mergeCell ref="H222:H223"/>
    <mergeCell ref="I222:I223"/>
    <mergeCell ref="J222:J223"/>
    <mergeCell ref="N220:N221"/>
    <mergeCell ref="O220:O221"/>
    <mergeCell ref="P220:P221"/>
    <mergeCell ref="Q220:Q221"/>
    <mergeCell ref="R220:R221"/>
    <mergeCell ref="S220:S221"/>
    <mergeCell ref="H220:H221"/>
    <mergeCell ref="I220:I221"/>
    <mergeCell ref="J220:J221"/>
    <mergeCell ref="K220:K221"/>
    <mergeCell ref="L220:L221"/>
    <mergeCell ref="M220:M221"/>
    <mergeCell ref="Q218:Q219"/>
    <mergeCell ref="R218:R219"/>
    <mergeCell ref="S218:S219"/>
    <mergeCell ref="T218:T219"/>
    <mergeCell ref="U218:U219"/>
    <mergeCell ref="B220:B221"/>
    <mergeCell ref="C220:C221"/>
    <mergeCell ref="E220:E221"/>
    <mergeCell ref="F220:F221"/>
    <mergeCell ref="G220:G221"/>
    <mergeCell ref="K218:K219"/>
    <mergeCell ref="L218:L219"/>
    <mergeCell ref="M218:M219"/>
    <mergeCell ref="N218:N219"/>
    <mergeCell ref="O218:O219"/>
    <mergeCell ref="P218:P219"/>
    <mergeCell ref="T216:T217"/>
    <mergeCell ref="U216:U217"/>
    <mergeCell ref="B218:B219"/>
    <mergeCell ref="C218:C219"/>
    <mergeCell ref="E218:E219"/>
    <mergeCell ref="F218:F219"/>
    <mergeCell ref="G218:G219"/>
    <mergeCell ref="H218:H219"/>
    <mergeCell ref="I218:I219"/>
    <mergeCell ref="J218:J219"/>
    <mergeCell ref="N216:N217"/>
    <mergeCell ref="O216:O217"/>
    <mergeCell ref="P216:P217"/>
    <mergeCell ref="Q216:Q217"/>
    <mergeCell ref="R216:R217"/>
    <mergeCell ref="S216:S217"/>
    <mergeCell ref="H216:H217"/>
    <mergeCell ref="I216:I217"/>
    <mergeCell ref="J216:J217"/>
    <mergeCell ref="K216:K217"/>
    <mergeCell ref="L216:L217"/>
    <mergeCell ref="M216:M217"/>
    <mergeCell ref="Q214:Q215"/>
    <mergeCell ref="R214:R215"/>
    <mergeCell ref="S214:S215"/>
    <mergeCell ref="T214:T215"/>
    <mergeCell ref="U214:U215"/>
    <mergeCell ref="B216:B217"/>
    <mergeCell ref="C216:C217"/>
    <mergeCell ref="E216:E217"/>
    <mergeCell ref="F216:F217"/>
    <mergeCell ref="G216:G217"/>
    <mergeCell ref="K214:K215"/>
    <mergeCell ref="L214:L215"/>
    <mergeCell ref="M214:M215"/>
    <mergeCell ref="N214:N215"/>
    <mergeCell ref="O214:O215"/>
    <mergeCell ref="P214:P215"/>
    <mergeCell ref="T212:T213"/>
    <mergeCell ref="U212:U213"/>
    <mergeCell ref="B214:B215"/>
    <mergeCell ref="C214:C215"/>
    <mergeCell ref="E214:E215"/>
    <mergeCell ref="F214:F215"/>
    <mergeCell ref="G214:G215"/>
    <mergeCell ref="H214:H215"/>
    <mergeCell ref="I214:I215"/>
    <mergeCell ref="J214:J215"/>
    <mergeCell ref="N212:N213"/>
    <mergeCell ref="O212:O213"/>
    <mergeCell ref="P212:P213"/>
    <mergeCell ref="Q212:Q213"/>
    <mergeCell ref="R212:R213"/>
    <mergeCell ref="S212:S213"/>
    <mergeCell ref="H212:H213"/>
    <mergeCell ref="I212:I213"/>
    <mergeCell ref="J212:J213"/>
    <mergeCell ref="K212:K213"/>
    <mergeCell ref="L212:L213"/>
    <mergeCell ref="M212:M213"/>
    <mergeCell ref="R210:R211"/>
    <mergeCell ref="S210:S211"/>
    <mergeCell ref="T210:T211"/>
    <mergeCell ref="U210:U211"/>
    <mergeCell ref="A212:A245"/>
    <mergeCell ref="B212:B213"/>
    <mergeCell ref="C212:C213"/>
    <mergeCell ref="E212:E213"/>
    <mergeCell ref="F212:F213"/>
    <mergeCell ref="G212:G213"/>
    <mergeCell ref="L210:L211"/>
    <mergeCell ref="M210:M211"/>
    <mergeCell ref="N210:N211"/>
    <mergeCell ref="O210:O211"/>
    <mergeCell ref="P210:P211"/>
    <mergeCell ref="Q210:Q211"/>
    <mergeCell ref="U208:U209"/>
    <mergeCell ref="B210:B211"/>
    <mergeCell ref="C210:C211"/>
    <mergeCell ref="E210:E211"/>
    <mergeCell ref="F210:F211"/>
    <mergeCell ref="G210:G211"/>
    <mergeCell ref="H210:H211"/>
    <mergeCell ref="I210:I211"/>
    <mergeCell ref="J210:J211"/>
    <mergeCell ref="K210:K211"/>
    <mergeCell ref="O208:O209"/>
    <mergeCell ref="P208:P209"/>
    <mergeCell ref="Q208:Q209"/>
    <mergeCell ref="R208:R209"/>
    <mergeCell ref="S208:S209"/>
    <mergeCell ref="T208:T209"/>
    <mergeCell ref="I208:I209"/>
    <mergeCell ref="J208:J209"/>
    <mergeCell ref="K208:K209"/>
    <mergeCell ref="L208:L209"/>
    <mergeCell ref="M208:M209"/>
    <mergeCell ref="N208:N209"/>
    <mergeCell ref="R206:R207"/>
    <mergeCell ref="S206:S207"/>
    <mergeCell ref="T206:T207"/>
    <mergeCell ref="U206:U207"/>
    <mergeCell ref="B208:B209"/>
    <mergeCell ref="C208:C209"/>
    <mergeCell ref="E208:E209"/>
    <mergeCell ref="F208:F209"/>
    <mergeCell ref="G208:G209"/>
    <mergeCell ref="H208:H209"/>
    <mergeCell ref="L206:L207"/>
    <mergeCell ref="M206:M207"/>
    <mergeCell ref="N206:N207"/>
    <mergeCell ref="O206:O207"/>
    <mergeCell ref="P206:P207"/>
    <mergeCell ref="Q206:Q207"/>
    <mergeCell ref="U204:U205"/>
    <mergeCell ref="B206:B207"/>
    <mergeCell ref="C206:C207"/>
    <mergeCell ref="E206:E207"/>
    <mergeCell ref="F206:F207"/>
    <mergeCell ref="G206:G207"/>
    <mergeCell ref="H206:H207"/>
    <mergeCell ref="I206:I207"/>
    <mergeCell ref="J206:J207"/>
    <mergeCell ref="K206:K207"/>
    <mergeCell ref="O204:O205"/>
    <mergeCell ref="P204:P205"/>
    <mergeCell ref="Q204:Q205"/>
    <mergeCell ref="R204:R205"/>
    <mergeCell ref="S204:S205"/>
    <mergeCell ref="T204:T205"/>
    <mergeCell ref="I204:I205"/>
    <mergeCell ref="J204:J205"/>
    <mergeCell ref="K204:K205"/>
    <mergeCell ref="L204:L205"/>
    <mergeCell ref="M204:M205"/>
    <mergeCell ref="N204:N205"/>
    <mergeCell ref="R202:R203"/>
    <mergeCell ref="S202:S203"/>
    <mergeCell ref="T202:T203"/>
    <mergeCell ref="U202:U203"/>
    <mergeCell ref="B204:B205"/>
    <mergeCell ref="C204:C205"/>
    <mergeCell ref="E204:E205"/>
    <mergeCell ref="F204:F205"/>
    <mergeCell ref="G204:G205"/>
    <mergeCell ref="H204:H205"/>
    <mergeCell ref="L202:L203"/>
    <mergeCell ref="M202:M203"/>
    <mergeCell ref="N202:N203"/>
    <mergeCell ref="O202:O203"/>
    <mergeCell ref="P202:P203"/>
    <mergeCell ref="Q202:Q203"/>
    <mergeCell ref="U200:U201"/>
    <mergeCell ref="B202:B203"/>
    <mergeCell ref="C202:C203"/>
    <mergeCell ref="E202:E203"/>
    <mergeCell ref="F202:F203"/>
    <mergeCell ref="G202:G203"/>
    <mergeCell ref="H202:H203"/>
    <mergeCell ref="I202:I203"/>
    <mergeCell ref="J202:J203"/>
    <mergeCell ref="K202:K203"/>
    <mergeCell ref="O200:O201"/>
    <mergeCell ref="P200:P201"/>
    <mergeCell ref="Q200:Q201"/>
    <mergeCell ref="R200:R201"/>
    <mergeCell ref="S200:S201"/>
    <mergeCell ref="T200:T201"/>
    <mergeCell ref="I200:I201"/>
    <mergeCell ref="J200:J201"/>
    <mergeCell ref="K200:K201"/>
    <mergeCell ref="L200:L201"/>
    <mergeCell ref="M200:M201"/>
    <mergeCell ref="N200:N201"/>
    <mergeCell ref="R198:R199"/>
    <mergeCell ref="S198:S199"/>
    <mergeCell ref="T198:T199"/>
    <mergeCell ref="U198:U199"/>
    <mergeCell ref="B200:B201"/>
    <mergeCell ref="C200:C201"/>
    <mergeCell ref="E200:E201"/>
    <mergeCell ref="F200:F201"/>
    <mergeCell ref="G200:G201"/>
    <mergeCell ref="H200:H201"/>
    <mergeCell ref="L198:L199"/>
    <mergeCell ref="M198:M199"/>
    <mergeCell ref="N198:N199"/>
    <mergeCell ref="O198:O199"/>
    <mergeCell ref="P198:P199"/>
    <mergeCell ref="Q198:Q199"/>
    <mergeCell ref="U196:U197"/>
    <mergeCell ref="B198:B199"/>
    <mergeCell ref="C198:C199"/>
    <mergeCell ref="E198:E199"/>
    <mergeCell ref="F198:F199"/>
    <mergeCell ref="G198:G199"/>
    <mergeCell ref="H198:H199"/>
    <mergeCell ref="I198:I199"/>
    <mergeCell ref="J198:J199"/>
    <mergeCell ref="K198:K199"/>
    <mergeCell ref="O196:O197"/>
    <mergeCell ref="P196:P197"/>
    <mergeCell ref="Q196:Q197"/>
    <mergeCell ref="R196:R197"/>
    <mergeCell ref="S196:S197"/>
    <mergeCell ref="T196:T197"/>
    <mergeCell ref="I196:I197"/>
    <mergeCell ref="J196:J197"/>
    <mergeCell ref="K196:K197"/>
    <mergeCell ref="L196:L197"/>
    <mergeCell ref="M196:M197"/>
    <mergeCell ref="N196:N197"/>
    <mergeCell ref="R194:R195"/>
    <mergeCell ref="S194:S195"/>
    <mergeCell ref="T194:T195"/>
    <mergeCell ref="U194:U195"/>
    <mergeCell ref="B196:B197"/>
    <mergeCell ref="C196:C197"/>
    <mergeCell ref="E196:E197"/>
    <mergeCell ref="F196:F197"/>
    <mergeCell ref="G196:G197"/>
    <mergeCell ref="H196:H197"/>
    <mergeCell ref="L194:L195"/>
    <mergeCell ref="M194:M195"/>
    <mergeCell ref="N194:N195"/>
    <mergeCell ref="O194:O195"/>
    <mergeCell ref="P194:P195"/>
    <mergeCell ref="Q194:Q195"/>
    <mergeCell ref="U192:U193"/>
    <mergeCell ref="B194:B195"/>
    <mergeCell ref="C194:C195"/>
    <mergeCell ref="E194:E195"/>
    <mergeCell ref="F194:F195"/>
    <mergeCell ref="G194:G195"/>
    <mergeCell ref="H194:H195"/>
    <mergeCell ref="I194:I195"/>
    <mergeCell ref="J194:J195"/>
    <mergeCell ref="K194:K195"/>
    <mergeCell ref="O192:O193"/>
    <mergeCell ref="P192:P193"/>
    <mergeCell ref="Q192:Q193"/>
    <mergeCell ref="R192:R193"/>
    <mergeCell ref="S192:S193"/>
    <mergeCell ref="T192:T193"/>
    <mergeCell ref="I192:I193"/>
    <mergeCell ref="J192:J193"/>
    <mergeCell ref="K192:K193"/>
    <mergeCell ref="L192:L193"/>
    <mergeCell ref="M192:M193"/>
    <mergeCell ref="N192:N193"/>
    <mergeCell ref="R190:R191"/>
    <mergeCell ref="S190:S191"/>
    <mergeCell ref="T190:T191"/>
    <mergeCell ref="U190:U191"/>
    <mergeCell ref="B192:B193"/>
    <mergeCell ref="C192:C193"/>
    <mergeCell ref="E192:E193"/>
    <mergeCell ref="F192:F193"/>
    <mergeCell ref="G192:G193"/>
    <mergeCell ref="H192:H193"/>
    <mergeCell ref="L190:L191"/>
    <mergeCell ref="M190:M191"/>
    <mergeCell ref="N190:N191"/>
    <mergeCell ref="O190:O191"/>
    <mergeCell ref="P190:P191"/>
    <mergeCell ref="Q190:Q191"/>
    <mergeCell ref="U188:U189"/>
    <mergeCell ref="B190:B191"/>
    <mergeCell ref="C190:C191"/>
    <mergeCell ref="E190:E191"/>
    <mergeCell ref="F190:F191"/>
    <mergeCell ref="G190:G191"/>
    <mergeCell ref="H190:H191"/>
    <mergeCell ref="I190:I191"/>
    <mergeCell ref="J190:J191"/>
    <mergeCell ref="K190:K191"/>
    <mergeCell ref="O188:O189"/>
    <mergeCell ref="P188:P189"/>
    <mergeCell ref="Q188:Q189"/>
    <mergeCell ref="R188:R189"/>
    <mergeCell ref="S188:S189"/>
    <mergeCell ref="T188:T189"/>
    <mergeCell ref="I188:I189"/>
    <mergeCell ref="J188:J189"/>
    <mergeCell ref="K188:K189"/>
    <mergeCell ref="L188:L189"/>
    <mergeCell ref="M188:M189"/>
    <mergeCell ref="N188:N189"/>
    <mergeCell ref="R186:R187"/>
    <mergeCell ref="S186:S187"/>
    <mergeCell ref="T186:T187"/>
    <mergeCell ref="U186:U187"/>
    <mergeCell ref="B188:B189"/>
    <mergeCell ref="C188:C189"/>
    <mergeCell ref="E188:E189"/>
    <mergeCell ref="F188:F189"/>
    <mergeCell ref="G188:G189"/>
    <mergeCell ref="H188:H189"/>
    <mergeCell ref="L186:L187"/>
    <mergeCell ref="M186:M187"/>
    <mergeCell ref="N186:N187"/>
    <mergeCell ref="O186:O187"/>
    <mergeCell ref="P186:P187"/>
    <mergeCell ref="Q186:Q187"/>
    <mergeCell ref="U184:U185"/>
    <mergeCell ref="B186:B187"/>
    <mergeCell ref="C186:C187"/>
    <mergeCell ref="E186:E187"/>
    <mergeCell ref="F186:F187"/>
    <mergeCell ref="G186:G187"/>
    <mergeCell ref="H186:H187"/>
    <mergeCell ref="I186:I187"/>
    <mergeCell ref="J186:J187"/>
    <mergeCell ref="K186:K187"/>
    <mergeCell ref="O184:O185"/>
    <mergeCell ref="P184:P185"/>
    <mergeCell ref="Q184:Q185"/>
    <mergeCell ref="R184:R185"/>
    <mergeCell ref="S184:S185"/>
    <mergeCell ref="T184:T185"/>
    <mergeCell ref="I184:I185"/>
    <mergeCell ref="J184:J185"/>
    <mergeCell ref="K184:K185"/>
    <mergeCell ref="L184:L185"/>
    <mergeCell ref="M184:M185"/>
    <mergeCell ref="N184:N185"/>
    <mergeCell ref="R182:R183"/>
    <mergeCell ref="S182:S183"/>
    <mergeCell ref="T182:T183"/>
    <mergeCell ref="U182:U183"/>
    <mergeCell ref="B184:B185"/>
    <mergeCell ref="C184:C185"/>
    <mergeCell ref="E184:E185"/>
    <mergeCell ref="F184:F185"/>
    <mergeCell ref="G184:G185"/>
    <mergeCell ref="H184:H185"/>
    <mergeCell ref="L182:L183"/>
    <mergeCell ref="M182:M183"/>
    <mergeCell ref="N182:N183"/>
    <mergeCell ref="O182:O183"/>
    <mergeCell ref="P182:P183"/>
    <mergeCell ref="Q182:Q183"/>
    <mergeCell ref="U180:U181"/>
    <mergeCell ref="B182:B183"/>
    <mergeCell ref="C182:C183"/>
    <mergeCell ref="E182:E183"/>
    <mergeCell ref="F182:F183"/>
    <mergeCell ref="G182:G183"/>
    <mergeCell ref="H182:H183"/>
    <mergeCell ref="I182:I183"/>
    <mergeCell ref="J182:J183"/>
    <mergeCell ref="K182:K183"/>
    <mergeCell ref="O180:O181"/>
    <mergeCell ref="P180:P181"/>
    <mergeCell ref="Q180:Q181"/>
    <mergeCell ref="R180:R181"/>
    <mergeCell ref="S180:S181"/>
    <mergeCell ref="T180:T181"/>
    <mergeCell ref="I180:I181"/>
    <mergeCell ref="J180:J181"/>
    <mergeCell ref="K180:K181"/>
    <mergeCell ref="L180:L181"/>
    <mergeCell ref="M180:M181"/>
    <mergeCell ref="N180:N181"/>
    <mergeCell ref="B180:B181"/>
    <mergeCell ref="C180:C181"/>
    <mergeCell ref="E180:E181"/>
    <mergeCell ref="F180:F181"/>
    <mergeCell ref="G180:G181"/>
    <mergeCell ref="H180:H181"/>
    <mergeCell ref="P178:P179"/>
    <mergeCell ref="Q178:Q179"/>
    <mergeCell ref="R178:R179"/>
    <mergeCell ref="S178:S179"/>
    <mergeCell ref="T178:T179"/>
    <mergeCell ref="U178:U179"/>
    <mergeCell ref="J178:J179"/>
    <mergeCell ref="K178:K179"/>
    <mergeCell ref="L178:L179"/>
    <mergeCell ref="M178:M179"/>
    <mergeCell ref="N178:N179"/>
    <mergeCell ref="O178:O179"/>
    <mergeCell ref="T176:T177"/>
    <mergeCell ref="U176:U177"/>
    <mergeCell ref="A178:A211"/>
    <mergeCell ref="B178:B179"/>
    <mergeCell ref="C178:C179"/>
    <mergeCell ref="E178:E179"/>
    <mergeCell ref="F178:F179"/>
    <mergeCell ref="G178:G179"/>
    <mergeCell ref="H178:H179"/>
    <mergeCell ref="I178:I179"/>
    <mergeCell ref="N176:N177"/>
    <mergeCell ref="O176:O177"/>
    <mergeCell ref="P176:P177"/>
    <mergeCell ref="Q176:Q177"/>
    <mergeCell ref="R176:R177"/>
    <mergeCell ref="S176:S177"/>
    <mergeCell ref="H176:H177"/>
    <mergeCell ref="I176:I177"/>
    <mergeCell ref="J176:J177"/>
    <mergeCell ref="K176:K177"/>
    <mergeCell ref="L176:L177"/>
    <mergeCell ref="M176:M177"/>
    <mergeCell ref="Q174:Q175"/>
    <mergeCell ref="R174:R175"/>
    <mergeCell ref="S174:S175"/>
    <mergeCell ref="T174:T175"/>
    <mergeCell ref="U174:U175"/>
    <mergeCell ref="B176:B177"/>
    <mergeCell ref="C176:C177"/>
    <mergeCell ref="E176:E177"/>
    <mergeCell ref="F176:F177"/>
    <mergeCell ref="G176:G177"/>
    <mergeCell ref="K174:K175"/>
    <mergeCell ref="L174:L175"/>
    <mergeCell ref="M174:M175"/>
    <mergeCell ref="N174:N175"/>
    <mergeCell ref="O174:O175"/>
    <mergeCell ref="P174:P175"/>
    <mergeCell ref="T172:T173"/>
    <mergeCell ref="U172:U173"/>
    <mergeCell ref="B174:B175"/>
    <mergeCell ref="C174:C175"/>
    <mergeCell ref="E174:E175"/>
    <mergeCell ref="F174:F175"/>
    <mergeCell ref="G174:G175"/>
    <mergeCell ref="H174:H175"/>
    <mergeCell ref="I174:I175"/>
    <mergeCell ref="J174:J175"/>
    <mergeCell ref="N172:N173"/>
    <mergeCell ref="O172:O173"/>
    <mergeCell ref="P172:P173"/>
    <mergeCell ref="Q172:Q173"/>
    <mergeCell ref="R172:R173"/>
    <mergeCell ref="S172:S173"/>
    <mergeCell ref="H172:H173"/>
    <mergeCell ref="I172:I173"/>
    <mergeCell ref="J172:J173"/>
    <mergeCell ref="K172:K173"/>
    <mergeCell ref="L172:L173"/>
    <mergeCell ref="M172:M173"/>
    <mergeCell ref="Q170:Q171"/>
    <mergeCell ref="R170:R171"/>
    <mergeCell ref="S170:S171"/>
    <mergeCell ref="T170:T171"/>
    <mergeCell ref="U170:U171"/>
    <mergeCell ref="B172:B173"/>
    <mergeCell ref="C172:C173"/>
    <mergeCell ref="E172:E173"/>
    <mergeCell ref="F172:F173"/>
    <mergeCell ref="G172:G173"/>
    <mergeCell ref="K170:K171"/>
    <mergeCell ref="L170:L171"/>
    <mergeCell ref="M170:M171"/>
    <mergeCell ref="N170:N171"/>
    <mergeCell ref="O170:O171"/>
    <mergeCell ref="P170:P171"/>
    <mergeCell ref="T168:T169"/>
    <mergeCell ref="U168:U169"/>
    <mergeCell ref="B170:B171"/>
    <mergeCell ref="C170:C171"/>
    <mergeCell ref="E170:E171"/>
    <mergeCell ref="F170:F171"/>
    <mergeCell ref="G170:G171"/>
    <mergeCell ref="H170:H171"/>
    <mergeCell ref="I170:I171"/>
    <mergeCell ref="J170:J171"/>
    <mergeCell ref="N168:N169"/>
    <mergeCell ref="O168:O169"/>
    <mergeCell ref="P168:P169"/>
    <mergeCell ref="Q168:Q169"/>
    <mergeCell ref="R168:R169"/>
    <mergeCell ref="S168:S169"/>
    <mergeCell ref="H168:H169"/>
    <mergeCell ref="I168:I169"/>
    <mergeCell ref="J168:J169"/>
    <mergeCell ref="K168:K169"/>
    <mergeCell ref="L168:L169"/>
    <mergeCell ref="M168:M169"/>
    <mergeCell ref="Q166:Q167"/>
    <mergeCell ref="R166:R167"/>
    <mergeCell ref="S166:S167"/>
    <mergeCell ref="T166:T167"/>
    <mergeCell ref="U166:U167"/>
    <mergeCell ref="B168:B169"/>
    <mergeCell ref="C168:C169"/>
    <mergeCell ref="E168:E169"/>
    <mergeCell ref="F168:F169"/>
    <mergeCell ref="G168:G169"/>
    <mergeCell ref="K166:K167"/>
    <mergeCell ref="L166:L167"/>
    <mergeCell ref="M166:M167"/>
    <mergeCell ref="N166:N167"/>
    <mergeCell ref="O166:O167"/>
    <mergeCell ref="P166:P167"/>
    <mergeCell ref="T164:T165"/>
    <mergeCell ref="U164:U165"/>
    <mergeCell ref="B166:B167"/>
    <mergeCell ref="C166:C167"/>
    <mergeCell ref="E166:E167"/>
    <mergeCell ref="F166:F167"/>
    <mergeCell ref="G166:G167"/>
    <mergeCell ref="H166:H167"/>
    <mergeCell ref="I166:I167"/>
    <mergeCell ref="J166:J167"/>
    <mergeCell ref="N164:N165"/>
    <mergeCell ref="O164:O165"/>
    <mergeCell ref="P164:P165"/>
    <mergeCell ref="Q164:Q165"/>
    <mergeCell ref="R164:R165"/>
    <mergeCell ref="S164:S165"/>
    <mergeCell ref="H164:H165"/>
    <mergeCell ref="I164:I165"/>
    <mergeCell ref="J164:J165"/>
    <mergeCell ref="K164:K165"/>
    <mergeCell ref="L164:L165"/>
    <mergeCell ref="M164:M165"/>
    <mergeCell ref="Q162:Q163"/>
    <mergeCell ref="R162:R163"/>
    <mergeCell ref="S162:S163"/>
    <mergeCell ref="T162:T163"/>
    <mergeCell ref="U162:U163"/>
    <mergeCell ref="B164:B165"/>
    <mergeCell ref="C164:C165"/>
    <mergeCell ref="E164:E165"/>
    <mergeCell ref="F164:F165"/>
    <mergeCell ref="G164:G165"/>
    <mergeCell ref="K162:K163"/>
    <mergeCell ref="L162:L163"/>
    <mergeCell ref="M162:M163"/>
    <mergeCell ref="N162:N163"/>
    <mergeCell ref="O162:O163"/>
    <mergeCell ref="P162:P163"/>
    <mergeCell ref="T160:T161"/>
    <mergeCell ref="U160:U161"/>
    <mergeCell ref="B162:B163"/>
    <mergeCell ref="C162:C163"/>
    <mergeCell ref="E162:E163"/>
    <mergeCell ref="F162:F163"/>
    <mergeCell ref="G162:G163"/>
    <mergeCell ref="H162:H163"/>
    <mergeCell ref="I162:I163"/>
    <mergeCell ref="J162:J163"/>
    <mergeCell ref="N160:N161"/>
    <mergeCell ref="O160:O161"/>
    <mergeCell ref="P160:P161"/>
    <mergeCell ref="Q160:Q161"/>
    <mergeCell ref="R160:R161"/>
    <mergeCell ref="S160:S161"/>
    <mergeCell ref="H160:H161"/>
    <mergeCell ref="I160:I161"/>
    <mergeCell ref="J160:J161"/>
    <mergeCell ref="K160:K161"/>
    <mergeCell ref="L160:L161"/>
    <mergeCell ref="M160:M161"/>
    <mergeCell ref="Q158:Q159"/>
    <mergeCell ref="R158:R159"/>
    <mergeCell ref="S158:S159"/>
    <mergeCell ref="T158:T159"/>
    <mergeCell ref="U158:U159"/>
    <mergeCell ref="B160:B161"/>
    <mergeCell ref="C160:C161"/>
    <mergeCell ref="E160:E161"/>
    <mergeCell ref="F160:F161"/>
    <mergeCell ref="G160:G161"/>
    <mergeCell ref="K158:K159"/>
    <mergeCell ref="L158:L159"/>
    <mergeCell ref="M158:M159"/>
    <mergeCell ref="N158:N159"/>
    <mergeCell ref="O158:O159"/>
    <mergeCell ref="P158:P159"/>
    <mergeCell ref="T156:T157"/>
    <mergeCell ref="U156:U157"/>
    <mergeCell ref="B158:B159"/>
    <mergeCell ref="C158:C159"/>
    <mergeCell ref="E158:E159"/>
    <mergeCell ref="F158:F159"/>
    <mergeCell ref="G158:G159"/>
    <mergeCell ref="H158:H159"/>
    <mergeCell ref="I158:I159"/>
    <mergeCell ref="J158:J159"/>
    <mergeCell ref="N156:N157"/>
    <mergeCell ref="O156:O157"/>
    <mergeCell ref="P156:P157"/>
    <mergeCell ref="Q156:Q157"/>
    <mergeCell ref="R156:R157"/>
    <mergeCell ref="S156:S157"/>
    <mergeCell ref="H156:H157"/>
    <mergeCell ref="I156:I157"/>
    <mergeCell ref="J156:J157"/>
    <mergeCell ref="K156:K157"/>
    <mergeCell ref="L156:L157"/>
    <mergeCell ref="M156:M157"/>
    <mergeCell ref="Q154:Q155"/>
    <mergeCell ref="R154:R155"/>
    <mergeCell ref="S154:S155"/>
    <mergeCell ref="T154:T155"/>
    <mergeCell ref="U154:U155"/>
    <mergeCell ref="B156:B157"/>
    <mergeCell ref="C156:C157"/>
    <mergeCell ref="E156:E157"/>
    <mergeCell ref="F156:F157"/>
    <mergeCell ref="G156:G157"/>
    <mergeCell ref="K154:K155"/>
    <mergeCell ref="L154:L155"/>
    <mergeCell ref="M154:M155"/>
    <mergeCell ref="N154:N155"/>
    <mergeCell ref="O154:O155"/>
    <mergeCell ref="P154:P155"/>
    <mergeCell ref="T152:T153"/>
    <mergeCell ref="U152:U153"/>
    <mergeCell ref="B154:B155"/>
    <mergeCell ref="C154:C155"/>
    <mergeCell ref="E154:E155"/>
    <mergeCell ref="F154:F155"/>
    <mergeCell ref="G154:G155"/>
    <mergeCell ref="H154:H155"/>
    <mergeCell ref="I154:I155"/>
    <mergeCell ref="J154:J155"/>
    <mergeCell ref="N152:N153"/>
    <mergeCell ref="O152:O153"/>
    <mergeCell ref="P152:P153"/>
    <mergeCell ref="Q152:Q153"/>
    <mergeCell ref="R152:R153"/>
    <mergeCell ref="S152:S153"/>
    <mergeCell ref="H152:H153"/>
    <mergeCell ref="I152:I153"/>
    <mergeCell ref="J152:J153"/>
    <mergeCell ref="K152:K153"/>
    <mergeCell ref="L152:L153"/>
    <mergeCell ref="M152:M153"/>
    <mergeCell ref="Q150:Q151"/>
    <mergeCell ref="R150:R151"/>
    <mergeCell ref="S150:S151"/>
    <mergeCell ref="T150:T151"/>
    <mergeCell ref="U150:U151"/>
    <mergeCell ref="B152:B153"/>
    <mergeCell ref="C152:C153"/>
    <mergeCell ref="E152:E153"/>
    <mergeCell ref="F152:F153"/>
    <mergeCell ref="G152:G153"/>
    <mergeCell ref="K150:K151"/>
    <mergeCell ref="L150:L151"/>
    <mergeCell ref="M150:M151"/>
    <mergeCell ref="N150:N151"/>
    <mergeCell ref="O150:O151"/>
    <mergeCell ref="P150:P151"/>
    <mergeCell ref="T148:T149"/>
    <mergeCell ref="U148:U149"/>
    <mergeCell ref="B150:B151"/>
    <mergeCell ref="C150:C151"/>
    <mergeCell ref="E150:E151"/>
    <mergeCell ref="F150:F151"/>
    <mergeCell ref="G150:G151"/>
    <mergeCell ref="H150:H151"/>
    <mergeCell ref="I150:I151"/>
    <mergeCell ref="J150:J151"/>
    <mergeCell ref="N148:N149"/>
    <mergeCell ref="O148:O149"/>
    <mergeCell ref="P148:P149"/>
    <mergeCell ref="Q148:Q149"/>
    <mergeCell ref="R148:R149"/>
    <mergeCell ref="S148:S149"/>
    <mergeCell ref="H148:H149"/>
    <mergeCell ref="I148:I149"/>
    <mergeCell ref="J148:J149"/>
    <mergeCell ref="K148:K149"/>
    <mergeCell ref="L148:L149"/>
    <mergeCell ref="M148:M149"/>
    <mergeCell ref="O146:O147"/>
    <mergeCell ref="P146:P147"/>
    <mergeCell ref="T144:T145"/>
    <mergeCell ref="U144:U145"/>
    <mergeCell ref="B146:B147"/>
    <mergeCell ref="C146:C147"/>
    <mergeCell ref="E146:E147"/>
    <mergeCell ref="F146:F147"/>
    <mergeCell ref="G146:G147"/>
    <mergeCell ref="H146:H147"/>
    <mergeCell ref="I146:I147"/>
    <mergeCell ref="J146:J147"/>
    <mergeCell ref="N144:N145"/>
    <mergeCell ref="O144:O145"/>
    <mergeCell ref="P144:P145"/>
    <mergeCell ref="Q144:Q145"/>
    <mergeCell ref="R144:R145"/>
    <mergeCell ref="S144:S145"/>
    <mergeCell ref="H144:H145"/>
    <mergeCell ref="I144:I145"/>
    <mergeCell ref="J144:J145"/>
    <mergeCell ref="K144:K145"/>
    <mergeCell ref="L144:L145"/>
    <mergeCell ref="M144:M145"/>
    <mergeCell ref="A144:A177"/>
    <mergeCell ref="B144:B145"/>
    <mergeCell ref="C144:C145"/>
    <mergeCell ref="E144:E145"/>
    <mergeCell ref="F144:F145"/>
    <mergeCell ref="G144:G145"/>
    <mergeCell ref="L142:L143"/>
    <mergeCell ref="M142:M143"/>
    <mergeCell ref="N142:N143"/>
    <mergeCell ref="O142:O143"/>
    <mergeCell ref="P142:P143"/>
    <mergeCell ref="Q142:Q143"/>
    <mergeCell ref="Q146:Q147"/>
    <mergeCell ref="R146:R147"/>
    <mergeCell ref="S146:S147"/>
    <mergeCell ref="T146:T147"/>
    <mergeCell ref="U146:U147"/>
    <mergeCell ref="B148:B149"/>
    <mergeCell ref="C148:C149"/>
    <mergeCell ref="E148:E149"/>
    <mergeCell ref="F148:F149"/>
    <mergeCell ref="G148:G149"/>
    <mergeCell ref="A110:A143"/>
    <mergeCell ref="B110:B111"/>
    <mergeCell ref="C110:C111"/>
    <mergeCell ref="E110:E111"/>
    <mergeCell ref="F110:F111"/>
    <mergeCell ref="G110:G111"/>
    <mergeCell ref="K146:K147"/>
    <mergeCell ref="L146:L147"/>
    <mergeCell ref="M146:M147"/>
    <mergeCell ref="N146:N147"/>
    <mergeCell ref="U140:U141"/>
    <mergeCell ref="B142:B143"/>
    <mergeCell ref="C142:C143"/>
    <mergeCell ref="E142:E143"/>
    <mergeCell ref="F142:F143"/>
    <mergeCell ref="G142:G143"/>
    <mergeCell ref="H142:H143"/>
    <mergeCell ref="I142:I143"/>
    <mergeCell ref="J142:J143"/>
    <mergeCell ref="K142:K143"/>
    <mergeCell ref="O140:O141"/>
    <mergeCell ref="P140:P141"/>
    <mergeCell ref="Q140:Q141"/>
    <mergeCell ref="R140:R141"/>
    <mergeCell ref="S140:S141"/>
    <mergeCell ref="T140:T141"/>
    <mergeCell ref="I140:I141"/>
    <mergeCell ref="J140:J141"/>
    <mergeCell ref="K140:K141"/>
    <mergeCell ref="L140:L141"/>
    <mergeCell ref="M140:M141"/>
    <mergeCell ref="N140:N141"/>
    <mergeCell ref="R142:R143"/>
    <mergeCell ref="S142:S143"/>
    <mergeCell ref="T142:T143"/>
    <mergeCell ref="U142:U143"/>
    <mergeCell ref="R138:R139"/>
    <mergeCell ref="S138:S139"/>
    <mergeCell ref="T138:T139"/>
    <mergeCell ref="U138:U139"/>
    <mergeCell ref="B140:B141"/>
    <mergeCell ref="C140:C141"/>
    <mergeCell ref="E140:E141"/>
    <mergeCell ref="F140:F141"/>
    <mergeCell ref="G140:G141"/>
    <mergeCell ref="H140:H141"/>
    <mergeCell ref="L138:L139"/>
    <mergeCell ref="M138:M139"/>
    <mergeCell ref="N138:N139"/>
    <mergeCell ref="O138:O139"/>
    <mergeCell ref="P138:P139"/>
    <mergeCell ref="Q138:Q139"/>
    <mergeCell ref="U136:U137"/>
    <mergeCell ref="B138:B139"/>
    <mergeCell ref="C138:C139"/>
    <mergeCell ref="E138:E139"/>
    <mergeCell ref="F138:F139"/>
    <mergeCell ref="G138:G139"/>
    <mergeCell ref="H138:H139"/>
    <mergeCell ref="I138:I139"/>
    <mergeCell ref="J138:J139"/>
    <mergeCell ref="K138:K139"/>
    <mergeCell ref="O136:O137"/>
    <mergeCell ref="P136:P137"/>
    <mergeCell ref="Q136:Q137"/>
    <mergeCell ref="R136:R137"/>
    <mergeCell ref="S136:S137"/>
    <mergeCell ref="T136:T137"/>
    <mergeCell ref="I136:I137"/>
    <mergeCell ref="J136:J137"/>
    <mergeCell ref="K136:K137"/>
    <mergeCell ref="L136:L137"/>
    <mergeCell ref="M136:M137"/>
    <mergeCell ref="N136:N137"/>
    <mergeCell ref="R134:R135"/>
    <mergeCell ref="S134:S135"/>
    <mergeCell ref="T134:T135"/>
    <mergeCell ref="U134:U135"/>
    <mergeCell ref="B136:B137"/>
    <mergeCell ref="C136:C137"/>
    <mergeCell ref="E136:E137"/>
    <mergeCell ref="F136:F137"/>
    <mergeCell ref="G136:G137"/>
    <mergeCell ref="H136:H137"/>
    <mergeCell ref="L134:L135"/>
    <mergeCell ref="M134:M135"/>
    <mergeCell ref="N134:N135"/>
    <mergeCell ref="O134:O135"/>
    <mergeCell ref="P134:P135"/>
    <mergeCell ref="Q134:Q135"/>
    <mergeCell ref="U132:U133"/>
    <mergeCell ref="B134:B135"/>
    <mergeCell ref="C134:C135"/>
    <mergeCell ref="E134:E135"/>
    <mergeCell ref="F134:F135"/>
    <mergeCell ref="G134:G135"/>
    <mergeCell ref="H134:H135"/>
    <mergeCell ref="I134:I135"/>
    <mergeCell ref="J134:J135"/>
    <mergeCell ref="K134:K135"/>
    <mergeCell ref="O132:O133"/>
    <mergeCell ref="P132:P133"/>
    <mergeCell ref="Q132:Q133"/>
    <mergeCell ref="R132:R133"/>
    <mergeCell ref="S132:S133"/>
    <mergeCell ref="T132:T133"/>
    <mergeCell ref="I132:I133"/>
    <mergeCell ref="J132:J133"/>
    <mergeCell ref="K132:K133"/>
    <mergeCell ref="L132:L133"/>
    <mergeCell ref="M132:M133"/>
    <mergeCell ref="N132:N133"/>
    <mergeCell ref="R130:R131"/>
    <mergeCell ref="S130:S131"/>
    <mergeCell ref="T130:T131"/>
    <mergeCell ref="U130:U131"/>
    <mergeCell ref="B132:B133"/>
    <mergeCell ref="C132:C133"/>
    <mergeCell ref="E132:E133"/>
    <mergeCell ref="F132:F133"/>
    <mergeCell ref="G132:G133"/>
    <mergeCell ref="H132:H133"/>
    <mergeCell ref="L130:L131"/>
    <mergeCell ref="M130:M131"/>
    <mergeCell ref="N130:N131"/>
    <mergeCell ref="O130:O131"/>
    <mergeCell ref="P130:P131"/>
    <mergeCell ref="Q130:Q131"/>
    <mergeCell ref="U128:U129"/>
    <mergeCell ref="B130:B131"/>
    <mergeCell ref="C130:C131"/>
    <mergeCell ref="E130:E131"/>
    <mergeCell ref="F130:F131"/>
    <mergeCell ref="G130:G131"/>
    <mergeCell ref="H130:H131"/>
    <mergeCell ref="I130:I131"/>
    <mergeCell ref="J130:J131"/>
    <mergeCell ref="K130:K131"/>
    <mergeCell ref="O128:O129"/>
    <mergeCell ref="P128:P129"/>
    <mergeCell ref="Q128:Q129"/>
    <mergeCell ref="R128:R129"/>
    <mergeCell ref="S128:S129"/>
    <mergeCell ref="T128:T129"/>
    <mergeCell ref="I128:I129"/>
    <mergeCell ref="J128:J129"/>
    <mergeCell ref="K128:K129"/>
    <mergeCell ref="L128:L129"/>
    <mergeCell ref="M128:M129"/>
    <mergeCell ref="N128:N129"/>
    <mergeCell ref="R126:R127"/>
    <mergeCell ref="S126:S127"/>
    <mergeCell ref="T126:T127"/>
    <mergeCell ref="U126:U127"/>
    <mergeCell ref="B128:B129"/>
    <mergeCell ref="C128:C129"/>
    <mergeCell ref="E128:E129"/>
    <mergeCell ref="F128:F129"/>
    <mergeCell ref="G128:G129"/>
    <mergeCell ref="H128:H129"/>
    <mergeCell ref="L126:L127"/>
    <mergeCell ref="M126:M127"/>
    <mergeCell ref="N126:N127"/>
    <mergeCell ref="O126:O127"/>
    <mergeCell ref="P126:P127"/>
    <mergeCell ref="Q126:Q127"/>
    <mergeCell ref="U124:U125"/>
    <mergeCell ref="B126:B127"/>
    <mergeCell ref="C126:C127"/>
    <mergeCell ref="E126:E127"/>
    <mergeCell ref="F126:F127"/>
    <mergeCell ref="G126:G127"/>
    <mergeCell ref="H126:H127"/>
    <mergeCell ref="I126:I127"/>
    <mergeCell ref="J126:J127"/>
    <mergeCell ref="K126:K127"/>
    <mergeCell ref="O124:O125"/>
    <mergeCell ref="P124:P125"/>
    <mergeCell ref="Q124:Q125"/>
    <mergeCell ref="R124:R125"/>
    <mergeCell ref="S124:S125"/>
    <mergeCell ref="T124:T125"/>
    <mergeCell ref="I124:I125"/>
    <mergeCell ref="J124:J125"/>
    <mergeCell ref="K124:K125"/>
    <mergeCell ref="L124:L125"/>
    <mergeCell ref="M124:M125"/>
    <mergeCell ref="N124:N125"/>
    <mergeCell ref="R122:R123"/>
    <mergeCell ref="S122:S123"/>
    <mergeCell ref="T122:T123"/>
    <mergeCell ref="U122:U123"/>
    <mergeCell ref="B124:B125"/>
    <mergeCell ref="C124:C125"/>
    <mergeCell ref="E124:E125"/>
    <mergeCell ref="F124:F125"/>
    <mergeCell ref="G124:G125"/>
    <mergeCell ref="H124:H125"/>
    <mergeCell ref="L122:L123"/>
    <mergeCell ref="M122:M123"/>
    <mergeCell ref="N122:N123"/>
    <mergeCell ref="O122:O123"/>
    <mergeCell ref="P122:P123"/>
    <mergeCell ref="Q122:Q123"/>
    <mergeCell ref="U120:U121"/>
    <mergeCell ref="B122:B123"/>
    <mergeCell ref="C122:C123"/>
    <mergeCell ref="E122:E123"/>
    <mergeCell ref="F122:F123"/>
    <mergeCell ref="G122:G123"/>
    <mergeCell ref="H122:H123"/>
    <mergeCell ref="I122:I123"/>
    <mergeCell ref="J122:J123"/>
    <mergeCell ref="K122:K123"/>
    <mergeCell ref="O120:O121"/>
    <mergeCell ref="P120:P121"/>
    <mergeCell ref="Q120:Q121"/>
    <mergeCell ref="R120:R121"/>
    <mergeCell ref="S120:S121"/>
    <mergeCell ref="T120:T121"/>
    <mergeCell ref="I120:I121"/>
    <mergeCell ref="J120:J121"/>
    <mergeCell ref="K120:K121"/>
    <mergeCell ref="L120:L121"/>
    <mergeCell ref="M120:M121"/>
    <mergeCell ref="N120:N121"/>
    <mergeCell ref="R118:R119"/>
    <mergeCell ref="S118:S119"/>
    <mergeCell ref="T118:T119"/>
    <mergeCell ref="U118:U119"/>
    <mergeCell ref="B120:B121"/>
    <mergeCell ref="C120:C121"/>
    <mergeCell ref="E120:E121"/>
    <mergeCell ref="F120:F121"/>
    <mergeCell ref="G120:G121"/>
    <mergeCell ref="H120:H121"/>
    <mergeCell ref="L118:L119"/>
    <mergeCell ref="M118:M119"/>
    <mergeCell ref="N118:N119"/>
    <mergeCell ref="O118:O119"/>
    <mergeCell ref="P118:P119"/>
    <mergeCell ref="Q118:Q119"/>
    <mergeCell ref="B118:B119"/>
    <mergeCell ref="C118:C119"/>
    <mergeCell ref="E118:E119"/>
    <mergeCell ref="F118:F119"/>
    <mergeCell ref="G118:G119"/>
    <mergeCell ref="H118:H119"/>
    <mergeCell ref="I118:I119"/>
    <mergeCell ref="J118:J119"/>
    <mergeCell ref="K118:K119"/>
    <mergeCell ref="U116:U117"/>
    <mergeCell ref="L112:L113"/>
    <mergeCell ref="M112:M113"/>
    <mergeCell ref="N112:N113"/>
    <mergeCell ref="B112:B113"/>
    <mergeCell ref="C112:C113"/>
    <mergeCell ref="E112:E113"/>
    <mergeCell ref="F112:F113"/>
    <mergeCell ref="G112:G113"/>
    <mergeCell ref="H112:H113"/>
    <mergeCell ref="O116:O117"/>
    <mergeCell ref="P116:P117"/>
    <mergeCell ref="Q116:Q117"/>
    <mergeCell ref="R116:R117"/>
    <mergeCell ref="S116:S117"/>
    <mergeCell ref="T116:T117"/>
    <mergeCell ref="I116:I117"/>
    <mergeCell ref="J116:J117"/>
    <mergeCell ref="K116:K117"/>
    <mergeCell ref="L116:L117"/>
    <mergeCell ref="M116:M117"/>
    <mergeCell ref="N116:N117"/>
    <mergeCell ref="U114:U115"/>
    <mergeCell ref="B116:B117"/>
    <mergeCell ref="C116:C117"/>
    <mergeCell ref="E116:E117"/>
    <mergeCell ref="F116:F117"/>
    <mergeCell ref="G116:G117"/>
    <mergeCell ref="H116:H117"/>
    <mergeCell ref="L114:L115"/>
    <mergeCell ref="M114:M115"/>
    <mergeCell ref="N114:N115"/>
    <mergeCell ref="T110:T111"/>
    <mergeCell ref="R114:R115"/>
    <mergeCell ref="S114:S115"/>
    <mergeCell ref="T114:T115"/>
    <mergeCell ref="U110:U111"/>
    <mergeCell ref="J110:J111"/>
    <mergeCell ref="K110:K111"/>
    <mergeCell ref="L110:L111"/>
    <mergeCell ref="M110:M111"/>
    <mergeCell ref="N110:N111"/>
    <mergeCell ref="O110:O111"/>
    <mergeCell ref="T108:T109"/>
    <mergeCell ref="U108:U109"/>
    <mergeCell ref="U112:U113"/>
    <mergeCell ref="B114:B115"/>
    <mergeCell ref="C114:C115"/>
    <mergeCell ref="E114:E115"/>
    <mergeCell ref="F114:F115"/>
    <mergeCell ref="G114:G115"/>
    <mergeCell ref="H114:H115"/>
    <mergeCell ref="I114:I115"/>
    <mergeCell ref="J114:J115"/>
    <mergeCell ref="K114:K115"/>
    <mergeCell ref="O112:O113"/>
    <mergeCell ref="P112:P113"/>
    <mergeCell ref="Q112:Q113"/>
    <mergeCell ref="R112:R113"/>
    <mergeCell ref="S112:S113"/>
    <mergeCell ref="T112:T113"/>
    <mergeCell ref="O114:O115"/>
    <mergeCell ref="P114:P115"/>
    <mergeCell ref="Q114:Q115"/>
    <mergeCell ref="H110:H111"/>
    <mergeCell ref="I110:I111"/>
    <mergeCell ref="N108:N109"/>
    <mergeCell ref="O108:O109"/>
    <mergeCell ref="P108:P109"/>
    <mergeCell ref="Q108:Q109"/>
    <mergeCell ref="R108:R109"/>
    <mergeCell ref="S108:S109"/>
    <mergeCell ref="H108:H109"/>
    <mergeCell ref="I108:I109"/>
    <mergeCell ref="J108:J109"/>
    <mergeCell ref="K108:K109"/>
    <mergeCell ref="L108:L109"/>
    <mergeCell ref="M108:M109"/>
    <mergeCell ref="I112:I113"/>
    <mergeCell ref="J112:J113"/>
    <mergeCell ref="K112:K113"/>
    <mergeCell ref="P110:P111"/>
    <mergeCell ref="Q110:Q111"/>
    <mergeCell ref="R110:R111"/>
    <mergeCell ref="S110:S111"/>
    <mergeCell ref="Q106:Q107"/>
    <mergeCell ref="R106:R107"/>
    <mergeCell ref="S106:S107"/>
    <mergeCell ref="T106:T107"/>
    <mergeCell ref="U106:U107"/>
    <mergeCell ref="B108:B109"/>
    <mergeCell ref="C108:C109"/>
    <mergeCell ref="E108:E109"/>
    <mergeCell ref="F108:F109"/>
    <mergeCell ref="G108:G109"/>
    <mergeCell ref="K106:K107"/>
    <mergeCell ref="L106:L107"/>
    <mergeCell ref="M106:M107"/>
    <mergeCell ref="N106:N107"/>
    <mergeCell ref="O106:O107"/>
    <mergeCell ref="P106:P107"/>
    <mergeCell ref="T104:T105"/>
    <mergeCell ref="U104:U105"/>
    <mergeCell ref="B106:B107"/>
    <mergeCell ref="C106:C107"/>
    <mergeCell ref="E106:E107"/>
    <mergeCell ref="F106:F107"/>
    <mergeCell ref="G106:G107"/>
    <mergeCell ref="H106:H107"/>
    <mergeCell ref="I106:I107"/>
    <mergeCell ref="J106:J107"/>
    <mergeCell ref="N104:N105"/>
    <mergeCell ref="O104:O105"/>
    <mergeCell ref="P104:P105"/>
    <mergeCell ref="Q104:Q105"/>
    <mergeCell ref="R104:R105"/>
    <mergeCell ref="S104:S105"/>
    <mergeCell ref="H104:H105"/>
    <mergeCell ref="I104:I105"/>
    <mergeCell ref="J104:J105"/>
    <mergeCell ref="K104:K105"/>
    <mergeCell ref="L104:L105"/>
    <mergeCell ref="M104:M105"/>
    <mergeCell ref="Q102:Q103"/>
    <mergeCell ref="R102:R103"/>
    <mergeCell ref="S102:S103"/>
    <mergeCell ref="T102:T103"/>
    <mergeCell ref="U102:U103"/>
    <mergeCell ref="B104:B105"/>
    <mergeCell ref="C104:C105"/>
    <mergeCell ref="E104:E105"/>
    <mergeCell ref="F104:F105"/>
    <mergeCell ref="G104:G105"/>
    <mergeCell ref="K102:K103"/>
    <mergeCell ref="L102:L103"/>
    <mergeCell ref="M102:M103"/>
    <mergeCell ref="N102:N103"/>
    <mergeCell ref="O102:O103"/>
    <mergeCell ref="P102:P103"/>
    <mergeCell ref="T100:T101"/>
    <mergeCell ref="U100:U101"/>
    <mergeCell ref="B102:B103"/>
    <mergeCell ref="C102:C103"/>
    <mergeCell ref="E102:E103"/>
    <mergeCell ref="F102:F103"/>
    <mergeCell ref="G102:G103"/>
    <mergeCell ref="H102:H103"/>
    <mergeCell ref="I102:I103"/>
    <mergeCell ref="J102:J103"/>
    <mergeCell ref="N100:N101"/>
    <mergeCell ref="O100:O101"/>
    <mergeCell ref="P100:P101"/>
    <mergeCell ref="Q100:Q101"/>
    <mergeCell ref="R100:R101"/>
    <mergeCell ref="S100:S101"/>
    <mergeCell ref="H100:H101"/>
    <mergeCell ref="I100:I101"/>
    <mergeCell ref="J100:J101"/>
    <mergeCell ref="K100:K101"/>
    <mergeCell ref="L100:L101"/>
    <mergeCell ref="M100:M101"/>
    <mergeCell ref="Q98:Q99"/>
    <mergeCell ref="R98:R99"/>
    <mergeCell ref="S98:S99"/>
    <mergeCell ref="T98:T99"/>
    <mergeCell ref="U98:U99"/>
    <mergeCell ref="B100:B101"/>
    <mergeCell ref="C100:C101"/>
    <mergeCell ref="E100:E101"/>
    <mergeCell ref="F100:F101"/>
    <mergeCell ref="G100:G101"/>
    <mergeCell ref="K98:K99"/>
    <mergeCell ref="L98:L99"/>
    <mergeCell ref="M98:M99"/>
    <mergeCell ref="N98:N99"/>
    <mergeCell ref="O98:O99"/>
    <mergeCell ref="P98:P99"/>
    <mergeCell ref="T96:T97"/>
    <mergeCell ref="U96:U97"/>
    <mergeCell ref="B98:B99"/>
    <mergeCell ref="C98:C99"/>
    <mergeCell ref="E98:E99"/>
    <mergeCell ref="F98:F99"/>
    <mergeCell ref="G98:G99"/>
    <mergeCell ref="H98:H99"/>
    <mergeCell ref="I98:I99"/>
    <mergeCell ref="J98:J99"/>
    <mergeCell ref="N96:N97"/>
    <mergeCell ref="O96:O97"/>
    <mergeCell ref="P96:P97"/>
    <mergeCell ref="Q96:Q97"/>
    <mergeCell ref="R96:R97"/>
    <mergeCell ref="S96:S97"/>
    <mergeCell ref="H96:H97"/>
    <mergeCell ref="I96:I97"/>
    <mergeCell ref="J96:J97"/>
    <mergeCell ref="K96:K97"/>
    <mergeCell ref="L96:L97"/>
    <mergeCell ref="M96:M97"/>
    <mergeCell ref="Q94:Q95"/>
    <mergeCell ref="R94:R95"/>
    <mergeCell ref="S94:S95"/>
    <mergeCell ref="T94:T95"/>
    <mergeCell ref="U94:U95"/>
    <mergeCell ref="B96:B97"/>
    <mergeCell ref="C96:C97"/>
    <mergeCell ref="E96:E97"/>
    <mergeCell ref="F96:F97"/>
    <mergeCell ref="G96:G97"/>
    <mergeCell ref="K94:K95"/>
    <mergeCell ref="L94:L95"/>
    <mergeCell ref="M94:M95"/>
    <mergeCell ref="N94:N95"/>
    <mergeCell ref="O94:O95"/>
    <mergeCell ref="P94:P95"/>
    <mergeCell ref="T92:T93"/>
    <mergeCell ref="U92:U93"/>
    <mergeCell ref="B94:B95"/>
    <mergeCell ref="C94:C95"/>
    <mergeCell ref="E94:E95"/>
    <mergeCell ref="F94:F95"/>
    <mergeCell ref="G94:G95"/>
    <mergeCell ref="H94:H95"/>
    <mergeCell ref="I94:I95"/>
    <mergeCell ref="J94:J95"/>
    <mergeCell ref="N92:N93"/>
    <mergeCell ref="O92:O93"/>
    <mergeCell ref="P92:P93"/>
    <mergeCell ref="Q92:Q93"/>
    <mergeCell ref="R92:R93"/>
    <mergeCell ref="S92:S93"/>
    <mergeCell ref="H92:H93"/>
    <mergeCell ref="I92:I93"/>
    <mergeCell ref="J92:J93"/>
    <mergeCell ref="K92:K93"/>
    <mergeCell ref="L92:L93"/>
    <mergeCell ref="M92:M93"/>
    <mergeCell ref="Q90:Q91"/>
    <mergeCell ref="R90:R91"/>
    <mergeCell ref="S90:S91"/>
    <mergeCell ref="T90:T91"/>
    <mergeCell ref="U90:U91"/>
    <mergeCell ref="B92:B93"/>
    <mergeCell ref="C92:C93"/>
    <mergeCell ref="E92:E93"/>
    <mergeCell ref="F92:F93"/>
    <mergeCell ref="G92:G93"/>
    <mergeCell ref="K90:K91"/>
    <mergeCell ref="L90:L91"/>
    <mergeCell ref="M90:M91"/>
    <mergeCell ref="N90:N91"/>
    <mergeCell ref="O90:O91"/>
    <mergeCell ref="P90:P91"/>
    <mergeCell ref="T88:T89"/>
    <mergeCell ref="U88:U89"/>
    <mergeCell ref="B90:B91"/>
    <mergeCell ref="C90:C91"/>
    <mergeCell ref="E90:E91"/>
    <mergeCell ref="F90:F91"/>
    <mergeCell ref="G90:G91"/>
    <mergeCell ref="H90:H91"/>
    <mergeCell ref="I90:I91"/>
    <mergeCell ref="J90:J91"/>
    <mergeCell ref="N88:N89"/>
    <mergeCell ref="O88:O89"/>
    <mergeCell ref="P88:P89"/>
    <mergeCell ref="Q88:Q89"/>
    <mergeCell ref="R88:R89"/>
    <mergeCell ref="S88:S89"/>
    <mergeCell ref="H88:H89"/>
    <mergeCell ref="I88:I89"/>
    <mergeCell ref="J88:J89"/>
    <mergeCell ref="K88:K89"/>
    <mergeCell ref="L88:L89"/>
    <mergeCell ref="M88:M89"/>
    <mergeCell ref="Q86:Q87"/>
    <mergeCell ref="R86:R87"/>
    <mergeCell ref="S86:S87"/>
    <mergeCell ref="T86:T87"/>
    <mergeCell ref="U86:U87"/>
    <mergeCell ref="B88:B89"/>
    <mergeCell ref="C88:C89"/>
    <mergeCell ref="E88:E89"/>
    <mergeCell ref="F88:F89"/>
    <mergeCell ref="G88:G89"/>
    <mergeCell ref="K86:K87"/>
    <mergeCell ref="L86:L87"/>
    <mergeCell ref="M86:M87"/>
    <mergeCell ref="N86:N87"/>
    <mergeCell ref="O86:O87"/>
    <mergeCell ref="P86:P87"/>
    <mergeCell ref="T84:T85"/>
    <mergeCell ref="U84:U85"/>
    <mergeCell ref="B86:B87"/>
    <mergeCell ref="C86:C87"/>
    <mergeCell ref="E86:E87"/>
    <mergeCell ref="F86:F87"/>
    <mergeCell ref="G86:G87"/>
    <mergeCell ref="H86:H87"/>
    <mergeCell ref="I86:I87"/>
    <mergeCell ref="J86:J87"/>
    <mergeCell ref="N84:N85"/>
    <mergeCell ref="O84:O85"/>
    <mergeCell ref="P84:P85"/>
    <mergeCell ref="Q84:Q85"/>
    <mergeCell ref="R84:R85"/>
    <mergeCell ref="S84:S85"/>
    <mergeCell ref="H84:H85"/>
    <mergeCell ref="I84:I85"/>
    <mergeCell ref="J84:J85"/>
    <mergeCell ref="K84:K85"/>
    <mergeCell ref="L84:L85"/>
    <mergeCell ref="M84:M85"/>
    <mergeCell ref="Q82:Q83"/>
    <mergeCell ref="R82:R83"/>
    <mergeCell ref="S82:S83"/>
    <mergeCell ref="T82:T83"/>
    <mergeCell ref="U82:U83"/>
    <mergeCell ref="B84:B85"/>
    <mergeCell ref="C84:C85"/>
    <mergeCell ref="E84:E85"/>
    <mergeCell ref="F84:F85"/>
    <mergeCell ref="G84:G85"/>
    <mergeCell ref="K82:K83"/>
    <mergeCell ref="L82:L83"/>
    <mergeCell ref="M82:M83"/>
    <mergeCell ref="N82:N83"/>
    <mergeCell ref="O82:O83"/>
    <mergeCell ref="P82:P83"/>
    <mergeCell ref="T80:T81"/>
    <mergeCell ref="U80:U81"/>
    <mergeCell ref="B82:B83"/>
    <mergeCell ref="C82:C83"/>
    <mergeCell ref="E82:E83"/>
    <mergeCell ref="F82:F83"/>
    <mergeCell ref="G82:G83"/>
    <mergeCell ref="H82:H83"/>
    <mergeCell ref="I82:I83"/>
    <mergeCell ref="J82:J83"/>
    <mergeCell ref="N80:N81"/>
    <mergeCell ref="O80:O81"/>
    <mergeCell ref="P80:P81"/>
    <mergeCell ref="Q80:Q81"/>
    <mergeCell ref="R80:R81"/>
    <mergeCell ref="S80:S81"/>
    <mergeCell ref="H80:H81"/>
    <mergeCell ref="I80:I81"/>
    <mergeCell ref="J80:J81"/>
    <mergeCell ref="K80:K81"/>
    <mergeCell ref="L80:L81"/>
    <mergeCell ref="M80:M81"/>
    <mergeCell ref="Q78:Q79"/>
    <mergeCell ref="R78:R79"/>
    <mergeCell ref="S78:S79"/>
    <mergeCell ref="T78:T79"/>
    <mergeCell ref="U78:U79"/>
    <mergeCell ref="B80:B81"/>
    <mergeCell ref="C80:C81"/>
    <mergeCell ref="E80:E81"/>
    <mergeCell ref="F80:F81"/>
    <mergeCell ref="G80:G81"/>
    <mergeCell ref="K78:K79"/>
    <mergeCell ref="L78:L79"/>
    <mergeCell ref="M78:M79"/>
    <mergeCell ref="N78:N79"/>
    <mergeCell ref="O78:O79"/>
    <mergeCell ref="P78:P79"/>
    <mergeCell ref="T76:T77"/>
    <mergeCell ref="U76:U77"/>
    <mergeCell ref="B78:B79"/>
    <mergeCell ref="C78:C79"/>
    <mergeCell ref="E78:E79"/>
    <mergeCell ref="F78:F79"/>
    <mergeCell ref="G78:G79"/>
    <mergeCell ref="H78:H79"/>
    <mergeCell ref="I78:I79"/>
    <mergeCell ref="J78:J79"/>
    <mergeCell ref="N76:N77"/>
    <mergeCell ref="O76:O77"/>
    <mergeCell ref="P76:P77"/>
    <mergeCell ref="Q76:Q77"/>
    <mergeCell ref="R76:R77"/>
    <mergeCell ref="S76:S77"/>
    <mergeCell ref="H76:H77"/>
    <mergeCell ref="I76:I77"/>
    <mergeCell ref="J76:J77"/>
    <mergeCell ref="K76:K77"/>
    <mergeCell ref="L76:L77"/>
    <mergeCell ref="M76:M77"/>
    <mergeCell ref="R74:R75"/>
    <mergeCell ref="S74:S75"/>
    <mergeCell ref="T74:T75"/>
    <mergeCell ref="U74:U75"/>
    <mergeCell ref="A76:A109"/>
    <mergeCell ref="B76:B77"/>
    <mergeCell ref="C76:C77"/>
    <mergeCell ref="E76:E77"/>
    <mergeCell ref="F76:F77"/>
    <mergeCell ref="G76:G77"/>
    <mergeCell ref="L74:L75"/>
    <mergeCell ref="M74:M75"/>
    <mergeCell ref="N74:N75"/>
    <mergeCell ref="O74:O75"/>
    <mergeCell ref="P74:P75"/>
    <mergeCell ref="Q74:Q75"/>
    <mergeCell ref="U72:U73"/>
    <mergeCell ref="B74:B75"/>
    <mergeCell ref="C74:C75"/>
    <mergeCell ref="E74:E75"/>
    <mergeCell ref="F74:F75"/>
    <mergeCell ref="G74:G75"/>
    <mergeCell ref="H74:H75"/>
    <mergeCell ref="I74:I75"/>
    <mergeCell ref="J74:J75"/>
    <mergeCell ref="K74:K75"/>
    <mergeCell ref="O72:O73"/>
    <mergeCell ref="P72:P73"/>
    <mergeCell ref="Q72:Q73"/>
    <mergeCell ref="R72:R73"/>
    <mergeCell ref="S72:S73"/>
    <mergeCell ref="T72:T73"/>
    <mergeCell ref="I72:I73"/>
    <mergeCell ref="J72:J73"/>
    <mergeCell ref="K72:K73"/>
    <mergeCell ref="L72:L73"/>
    <mergeCell ref="M72:M73"/>
    <mergeCell ref="N72:N73"/>
    <mergeCell ref="R70:R71"/>
    <mergeCell ref="S70:S71"/>
    <mergeCell ref="T70:T71"/>
    <mergeCell ref="U70:U71"/>
    <mergeCell ref="B72:B73"/>
    <mergeCell ref="C72:C73"/>
    <mergeCell ref="E72:E73"/>
    <mergeCell ref="F72:F73"/>
    <mergeCell ref="G72:G73"/>
    <mergeCell ref="H72:H73"/>
    <mergeCell ref="L70:L71"/>
    <mergeCell ref="M70:M71"/>
    <mergeCell ref="N70:N71"/>
    <mergeCell ref="O70:O71"/>
    <mergeCell ref="P70:P71"/>
    <mergeCell ref="Q70:Q71"/>
    <mergeCell ref="U68:U69"/>
    <mergeCell ref="B70:B71"/>
    <mergeCell ref="C70:C71"/>
    <mergeCell ref="E70:E71"/>
    <mergeCell ref="F70:F71"/>
    <mergeCell ref="G70:G71"/>
    <mergeCell ref="H70:H71"/>
    <mergeCell ref="I70:I71"/>
    <mergeCell ref="J70:J71"/>
    <mergeCell ref="K70:K71"/>
    <mergeCell ref="O68:O69"/>
    <mergeCell ref="P68:P69"/>
    <mergeCell ref="Q68:Q69"/>
    <mergeCell ref="R68:R69"/>
    <mergeCell ref="S68:S69"/>
    <mergeCell ref="T68:T69"/>
    <mergeCell ref="I68:I69"/>
    <mergeCell ref="J68:J69"/>
    <mergeCell ref="K68:K69"/>
    <mergeCell ref="L68:L69"/>
    <mergeCell ref="M68:M69"/>
    <mergeCell ref="N68:N69"/>
    <mergeCell ref="R66:R67"/>
    <mergeCell ref="S66:S67"/>
    <mergeCell ref="T66:T67"/>
    <mergeCell ref="U66:U67"/>
    <mergeCell ref="B68:B69"/>
    <mergeCell ref="C68:C69"/>
    <mergeCell ref="E68:E69"/>
    <mergeCell ref="F68:F69"/>
    <mergeCell ref="G68:G69"/>
    <mergeCell ref="H68:H69"/>
    <mergeCell ref="L66:L67"/>
    <mergeCell ref="M66:M67"/>
    <mergeCell ref="N66:N67"/>
    <mergeCell ref="O66:O67"/>
    <mergeCell ref="P66:P67"/>
    <mergeCell ref="Q66:Q67"/>
    <mergeCell ref="U64:U65"/>
    <mergeCell ref="B66:B67"/>
    <mergeCell ref="C66:C67"/>
    <mergeCell ref="E66:E67"/>
    <mergeCell ref="F66:F67"/>
    <mergeCell ref="G66:G67"/>
    <mergeCell ref="H66:H67"/>
    <mergeCell ref="I66:I67"/>
    <mergeCell ref="J66:J67"/>
    <mergeCell ref="K66:K67"/>
    <mergeCell ref="O64:O65"/>
    <mergeCell ref="P64:P65"/>
    <mergeCell ref="Q64:Q65"/>
    <mergeCell ref="R64:R65"/>
    <mergeCell ref="S64:S65"/>
    <mergeCell ref="T64:T65"/>
    <mergeCell ref="I64:I65"/>
    <mergeCell ref="J64:J65"/>
    <mergeCell ref="K64:K65"/>
    <mergeCell ref="L64:L65"/>
    <mergeCell ref="M64:M65"/>
    <mergeCell ref="N64:N65"/>
    <mergeCell ref="R62:R63"/>
    <mergeCell ref="S62:S63"/>
    <mergeCell ref="T62:T63"/>
    <mergeCell ref="U62:U63"/>
    <mergeCell ref="B64:B65"/>
    <mergeCell ref="C64:C65"/>
    <mergeCell ref="E64:E65"/>
    <mergeCell ref="F64:F65"/>
    <mergeCell ref="G64:G65"/>
    <mergeCell ref="H64:H65"/>
    <mergeCell ref="L62:L63"/>
    <mergeCell ref="M62:M63"/>
    <mergeCell ref="N62:N63"/>
    <mergeCell ref="O62:O63"/>
    <mergeCell ref="P62:P63"/>
    <mergeCell ref="Q62:Q63"/>
    <mergeCell ref="U60:U61"/>
    <mergeCell ref="B62:B63"/>
    <mergeCell ref="C62:C63"/>
    <mergeCell ref="E62:E63"/>
    <mergeCell ref="F62:F63"/>
    <mergeCell ref="G62:G63"/>
    <mergeCell ref="H62:H63"/>
    <mergeCell ref="I62:I63"/>
    <mergeCell ref="J62:J63"/>
    <mergeCell ref="K62:K63"/>
    <mergeCell ref="O60:O61"/>
    <mergeCell ref="P60:P61"/>
    <mergeCell ref="Q60:Q61"/>
    <mergeCell ref="R60:R61"/>
    <mergeCell ref="S60:S61"/>
    <mergeCell ref="T60:T61"/>
    <mergeCell ref="I60:I61"/>
    <mergeCell ref="J60:J61"/>
    <mergeCell ref="K60:K61"/>
    <mergeCell ref="L60:L61"/>
    <mergeCell ref="M60:M61"/>
    <mergeCell ref="N60:N61"/>
    <mergeCell ref="R58:R59"/>
    <mergeCell ref="S58:S59"/>
    <mergeCell ref="T58:T59"/>
    <mergeCell ref="U58:U59"/>
    <mergeCell ref="B60:B61"/>
    <mergeCell ref="C60:C61"/>
    <mergeCell ref="E60:E61"/>
    <mergeCell ref="F60:F61"/>
    <mergeCell ref="G60:G61"/>
    <mergeCell ref="H60:H61"/>
    <mergeCell ref="L58:L59"/>
    <mergeCell ref="M58:M59"/>
    <mergeCell ref="N58:N59"/>
    <mergeCell ref="O58:O59"/>
    <mergeCell ref="P58:P59"/>
    <mergeCell ref="Q58:Q59"/>
    <mergeCell ref="U56:U57"/>
    <mergeCell ref="B58:B59"/>
    <mergeCell ref="C58:C59"/>
    <mergeCell ref="E58:E59"/>
    <mergeCell ref="F58:F59"/>
    <mergeCell ref="G58:G59"/>
    <mergeCell ref="H58:H59"/>
    <mergeCell ref="I58:I59"/>
    <mergeCell ref="J58:J59"/>
    <mergeCell ref="K58:K59"/>
    <mergeCell ref="O56:O57"/>
    <mergeCell ref="P56:P57"/>
    <mergeCell ref="Q56:Q57"/>
    <mergeCell ref="R56:R57"/>
    <mergeCell ref="S56:S57"/>
    <mergeCell ref="T56:T57"/>
    <mergeCell ref="I56:I57"/>
    <mergeCell ref="J56:J57"/>
    <mergeCell ref="K56:K57"/>
    <mergeCell ref="L56:L57"/>
    <mergeCell ref="M56:M57"/>
    <mergeCell ref="N56:N57"/>
    <mergeCell ref="R54:R55"/>
    <mergeCell ref="S54:S55"/>
    <mergeCell ref="T54:T55"/>
    <mergeCell ref="U54:U55"/>
    <mergeCell ref="B56:B57"/>
    <mergeCell ref="C56:C57"/>
    <mergeCell ref="E56:E57"/>
    <mergeCell ref="F56:F57"/>
    <mergeCell ref="G56:G57"/>
    <mergeCell ref="H56:H57"/>
    <mergeCell ref="L54:L55"/>
    <mergeCell ref="M54:M55"/>
    <mergeCell ref="N54:N55"/>
    <mergeCell ref="O54:O55"/>
    <mergeCell ref="P54:P55"/>
    <mergeCell ref="Q54:Q55"/>
    <mergeCell ref="U52:U53"/>
    <mergeCell ref="B54:B55"/>
    <mergeCell ref="C54:C55"/>
    <mergeCell ref="E54:E55"/>
    <mergeCell ref="F54:F55"/>
    <mergeCell ref="G54:G55"/>
    <mergeCell ref="H54:H55"/>
    <mergeCell ref="I54:I55"/>
    <mergeCell ref="J54:J55"/>
    <mergeCell ref="K54:K55"/>
    <mergeCell ref="O52:O53"/>
    <mergeCell ref="P52:P53"/>
    <mergeCell ref="Q52:Q53"/>
    <mergeCell ref="R52:R53"/>
    <mergeCell ref="S52:S53"/>
    <mergeCell ref="T52:T53"/>
    <mergeCell ref="I52:I53"/>
    <mergeCell ref="J52:J53"/>
    <mergeCell ref="K52:K53"/>
    <mergeCell ref="L52:L53"/>
    <mergeCell ref="M52:M53"/>
    <mergeCell ref="N52:N53"/>
    <mergeCell ref="R50:R51"/>
    <mergeCell ref="S50:S51"/>
    <mergeCell ref="T50:T51"/>
    <mergeCell ref="U50:U51"/>
    <mergeCell ref="B52:B53"/>
    <mergeCell ref="C52:C53"/>
    <mergeCell ref="E52:E53"/>
    <mergeCell ref="F52:F53"/>
    <mergeCell ref="G52:G53"/>
    <mergeCell ref="H52:H53"/>
    <mergeCell ref="L50:L51"/>
    <mergeCell ref="M50:M51"/>
    <mergeCell ref="N50:N51"/>
    <mergeCell ref="O50:O51"/>
    <mergeCell ref="P50:P51"/>
    <mergeCell ref="Q50:Q51"/>
    <mergeCell ref="U48:U49"/>
    <mergeCell ref="B50:B51"/>
    <mergeCell ref="C50:C51"/>
    <mergeCell ref="E50:E51"/>
    <mergeCell ref="F50:F51"/>
    <mergeCell ref="G50:G51"/>
    <mergeCell ref="H50:H51"/>
    <mergeCell ref="I50:I51"/>
    <mergeCell ref="J50:J51"/>
    <mergeCell ref="K50:K51"/>
    <mergeCell ref="O48:O49"/>
    <mergeCell ref="P48:P49"/>
    <mergeCell ref="Q48:Q49"/>
    <mergeCell ref="R48:R49"/>
    <mergeCell ref="S48:S49"/>
    <mergeCell ref="T48:T49"/>
    <mergeCell ref="I48:I49"/>
    <mergeCell ref="J48:J49"/>
    <mergeCell ref="K48:K49"/>
    <mergeCell ref="L48:L49"/>
    <mergeCell ref="M48:M49"/>
    <mergeCell ref="N48:N49"/>
    <mergeCell ref="R46:R47"/>
    <mergeCell ref="S46:S47"/>
    <mergeCell ref="T46:T47"/>
    <mergeCell ref="U46:U47"/>
    <mergeCell ref="B48:B49"/>
    <mergeCell ref="C48:C49"/>
    <mergeCell ref="E48:E49"/>
    <mergeCell ref="F48:F49"/>
    <mergeCell ref="G48:G49"/>
    <mergeCell ref="H48:H49"/>
    <mergeCell ref="L46:L47"/>
    <mergeCell ref="M46:M47"/>
    <mergeCell ref="N46:N47"/>
    <mergeCell ref="O46:O47"/>
    <mergeCell ref="P46:P47"/>
    <mergeCell ref="Q46:Q47"/>
    <mergeCell ref="U44:U45"/>
    <mergeCell ref="B46:B47"/>
    <mergeCell ref="C46:C47"/>
    <mergeCell ref="E46:E47"/>
    <mergeCell ref="F46:F47"/>
    <mergeCell ref="G46:G47"/>
    <mergeCell ref="H46:H47"/>
    <mergeCell ref="I46:I47"/>
    <mergeCell ref="J46:J47"/>
    <mergeCell ref="K46:K47"/>
    <mergeCell ref="O44:O45"/>
    <mergeCell ref="P44:P45"/>
    <mergeCell ref="Q44:Q45"/>
    <mergeCell ref="R44:R45"/>
    <mergeCell ref="S44:S45"/>
    <mergeCell ref="T44:T45"/>
    <mergeCell ref="I44:I45"/>
    <mergeCell ref="J44:J45"/>
    <mergeCell ref="K44:K45"/>
    <mergeCell ref="L44:L45"/>
    <mergeCell ref="M44:M45"/>
    <mergeCell ref="N44:N45"/>
    <mergeCell ref="B44:B45"/>
    <mergeCell ref="C44:C45"/>
    <mergeCell ref="E44:E45"/>
    <mergeCell ref="F44:F45"/>
    <mergeCell ref="G44:G45"/>
    <mergeCell ref="H44:H45"/>
    <mergeCell ref="P42:P43"/>
    <mergeCell ref="Q42:Q43"/>
    <mergeCell ref="R42:R43"/>
    <mergeCell ref="S42:S43"/>
    <mergeCell ref="T42:T43"/>
    <mergeCell ref="U42:U43"/>
    <mergeCell ref="J42:J43"/>
    <mergeCell ref="K42:K43"/>
    <mergeCell ref="L42:L43"/>
    <mergeCell ref="M42:M43"/>
    <mergeCell ref="N42:N43"/>
    <mergeCell ref="O42:O43"/>
    <mergeCell ref="T40:T41"/>
    <mergeCell ref="U40:U41"/>
    <mergeCell ref="A42:A75"/>
    <mergeCell ref="B42:B43"/>
    <mergeCell ref="C42:C43"/>
    <mergeCell ref="E42:E43"/>
    <mergeCell ref="F42:F43"/>
    <mergeCell ref="G42:G43"/>
    <mergeCell ref="H42:H43"/>
    <mergeCell ref="I42:I43"/>
    <mergeCell ref="N40:N41"/>
    <mergeCell ref="O40:O41"/>
    <mergeCell ref="P40:P41"/>
    <mergeCell ref="Q40:Q41"/>
    <mergeCell ref="R40:R41"/>
    <mergeCell ref="S40:S41"/>
    <mergeCell ref="H40:H41"/>
    <mergeCell ref="I40:I41"/>
    <mergeCell ref="J40:J41"/>
    <mergeCell ref="K40:K41"/>
    <mergeCell ref="L40:L41"/>
    <mergeCell ref="M40:M41"/>
    <mergeCell ref="Q38:Q39"/>
    <mergeCell ref="R38:R39"/>
    <mergeCell ref="S38:S39"/>
    <mergeCell ref="T38:T39"/>
    <mergeCell ref="U38:U39"/>
    <mergeCell ref="B40:B41"/>
    <mergeCell ref="C40:C41"/>
    <mergeCell ref="E40:E41"/>
    <mergeCell ref="F40:F41"/>
    <mergeCell ref="G40:G41"/>
    <mergeCell ref="K38:K39"/>
    <mergeCell ref="L38:L39"/>
    <mergeCell ref="M38:M39"/>
    <mergeCell ref="N38:N39"/>
    <mergeCell ref="O38:O39"/>
    <mergeCell ref="P38:P39"/>
    <mergeCell ref="T36:T37"/>
    <mergeCell ref="U36:U37"/>
    <mergeCell ref="B38:B39"/>
    <mergeCell ref="C38:C39"/>
    <mergeCell ref="E38:E39"/>
    <mergeCell ref="F38:F39"/>
    <mergeCell ref="G38:G39"/>
    <mergeCell ref="H38:H39"/>
    <mergeCell ref="I38:I39"/>
    <mergeCell ref="J38:J39"/>
    <mergeCell ref="N36:N37"/>
    <mergeCell ref="O36:O37"/>
    <mergeCell ref="P36:P37"/>
    <mergeCell ref="Q36:Q37"/>
    <mergeCell ref="R36:R37"/>
    <mergeCell ref="S36:S37"/>
    <mergeCell ref="H36:H37"/>
    <mergeCell ref="I36:I37"/>
    <mergeCell ref="J36:J37"/>
    <mergeCell ref="K36:K37"/>
    <mergeCell ref="L36:L37"/>
    <mergeCell ref="M36:M37"/>
    <mergeCell ref="Q34:Q35"/>
    <mergeCell ref="R34:R35"/>
    <mergeCell ref="S34:S35"/>
    <mergeCell ref="T34:T35"/>
    <mergeCell ref="U34:U35"/>
    <mergeCell ref="B36:B37"/>
    <mergeCell ref="C36:C37"/>
    <mergeCell ref="E36:E37"/>
    <mergeCell ref="F36:F37"/>
    <mergeCell ref="G36:G37"/>
    <mergeCell ref="K34:K35"/>
    <mergeCell ref="L34:L35"/>
    <mergeCell ref="M34:M35"/>
    <mergeCell ref="N34:N35"/>
    <mergeCell ref="O34:O35"/>
    <mergeCell ref="P34:P35"/>
    <mergeCell ref="T32:T33"/>
    <mergeCell ref="U32:U33"/>
    <mergeCell ref="B34:B35"/>
    <mergeCell ref="C34:C35"/>
    <mergeCell ref="E34:E35"/>
    <mergeCell ref="F34:F35"/>
    <mergeCell ref="G34:G35"/>
    <mergeCell ref="H34:H35"/>
    <mergeCell ref="I34:I35"/>
    <mergeCell ref="J34:J35"/>
    <mergeCell ref="N32:N33"/>
    <mergeCell ref="O32:O33"/>
    <mergeCell ref="P32:P33"/>
    <mergeCell ref="Q32:Q33"/>
    <mergeCell ref="R32:R33"/>
    <mergeCell ref="S32:S33"/>
    <mergeCell ref="H32:H33"/>
    <mergeCell ref="I32:I33"/>
    <mergeCell ref="J32:J33"/>
    <mergeCell ref="K32:K33"/>
    <mergeCell ref="L32:L33"/>
    <mergeCell ref="M32:M33"/>
    <mergeCell ref="Q30:Q31"/>
    <mergeCell ref="R30:R31"/>
    <mergeCell ref="S30:S31"/>
    <mergeCell ref="T30:T31"/>
    <mergeCell ref="U30:U31"/>
    <mergeCell ref="B32:B33"/>
    <mergeCell ref="C32:C33"/>
    <mergeCell ref="E32:E33"/>
    <mergeCell ref="F32:F33"/>
    <mergeCell ref="G32:G33"/>
    <mergeCell ref="K30:K31"/>
    <mergeCell ref="L30:L31"/>
    <mergeCell ref="M30:M31"/>
    <mergeCell ref="N30:N31"/>
    <mergeCell ref="O30:O31"/>
    <mergeCell ref="P30:P31"/>
    <mergeCell ref="Q24:Q25"/>
    <mergeCell ref="R24:R25"/>
    <mergeCell ref="S24:S25"/>
    <mergeCell ref="T28:T29"/>
    <mergeCell ref="U28:U29"/>
    <mergeCell ref="B30:B31"/>
    <mergeCell ref="C30:C31"/>
    <mergeCell ref="E30:E31"/>
    <mergeCell ref="F30:F31"/>
    <mergeCell ref="G30:G31"/>
    <mergeCell ref="H30:H31"/>
    <mergeCell ref="I30:I31"/>
    <mergeCell ref="J30:J31"/>
    <mergeCell ref="N28:N29"/>
    <mergeCell ref="O28:O29"/>
    <mergeCell ref="P28:P29"/>
    <mergeCell ref="Q28:Q29"/>
    <mergeCell ref="R28:R29"/>
    <mergeCell ref="S28:S29"/>
    <mergeCell ref="H28:H29"/>
    <mergeCell ref="I28:I29"/>
    <mergeCell ref="J28:J29"/>
    <mergeCell ref="K28:K29"/>
    <mergeCell ref="L28:L29"/>
    <mergeCell ref="M28:M29"/>
    <mergeCell ref="H22:H23"/>
    <mergeCell ref="I22:I23"/>
    <mergeCell ref="J22:J23"/>
    <mergeCell ref="Q26:Q27"/>
    <mergeCell ref="R26:R27"/>
    <mergeCell ref="S26:S27"/>
    <mergeCell ref="T26:T27"/>
    <mergeCell ref="U26:U27"/>
    <mergeCell ref="B28:B29"/>
    <mergeCell ref="C28:C29"/>
    <mergeCell ref="E28:E29"/>
    <mergeCell ref="F28:F29"/>
    <mergeCell ref="G28:G29"/>
    <mergeCell ref="K26:K27"/>
    <mergeCell ref="L26:L27"/>
    <mergeCell ref="M26:M27"/>
    <mergeCell ref="N26:N27"/>
    <mergeCell ref="O26:O27"/>
    <mergeCell ref="P26:P27"/>
    <mergeCell ref="T24:T25"/>
    <mergeCell ref="U24:U25"/>
    <mergeCell ref="B26:B27"/>
    <mergeCell ref="C26:C27"/>
    <mergeCell ref="E26:E27"/>
    <mergeCell ref="F26:F27"/>
    <mergeCell ref="G26:G27"/>
    <mergeCell ref="H26:H27"/>
    <mergeCell ref="I26:I27"/>
    <mergeCell ref="J26:J27"/>
    <mergeCell ref="N24:N25"/>
    <mergeCell ref="O24:O25"/>
    <mergeCell ref="P24:P25"/>
    <mergeCell ref="B20:B21"/>
    <mergeCell ref="C20:C21"/>
    <mergeCell ref="E20:E21"/>
    <mergeCell ref="F20:F21"/>
    <mergeCell ref="G20:G21"/>
    <mergeCell ref="H24:H25"/>
    <mergeCell ref="I24:I25"/>
    <mergeCell ref="J24:J25"/>
    <mergeCell ref="K24:K25"/>
    <mergeCell ref="L24:L25"/>
    <mergeCell ref="M24:M25"/>
    <mergeCell ref="Q22:Q23"/>
    <mergeCell ref="R22:R23"/>
    <mergeCell ref="S22:S23"/>
    <mergeCell ref="T22:T23"/>
    <mergeCell ref="U22:U23"/>
    <mergeCell ref="B24:B25"/>
    <mergeCell ref="C24:C25"/>
    <mergeCell ref="E24:E25"/>
    <mergeCell ref="F24:F25"/>
    <mergeCell ref="G24:G25"/>
    <mergeCell ref="K22:K23"/>
    <mergeCell ref="L22:L23"/>
    <mergeCell ref="M22:M23"/>
    <mergeCell ref="N22:N23"/>
    <mergeCell ref="O22:O23"/>
    <mergeCell ref="P22:P23"/>
    <mergeCell ref="B22:B23"/>
    <mergeCell ref="C22:C23"/>
    <mergeCell ref="E22:E23"/>
    <mergeCell ref="F22:F23"/>
    <mergeCell ref="G22:G23"/>
    <mergeCell ref="H18:H19"/>
    <mergeCell ref="I18:I19"/>
    <mergeCell ref="J18:J19"/>
    <mergeCell ref="N16:N17"/>
    <mergeCell ref="O16:O17"/>
    <mergeCell ref="P16:P17"/>
    <mergeCell ref="Q16:Q17"/>
    <mergeCell ref="R16:R17"/>
    <mergeCell ref="S16:S17"/>
    <mergeCell ref="N20:N21"/>
    <mergeCell ref="O20:O21"/>
    <mergeCell ref="P20:P21"/>
    <mergeCell ref="Q20:Q21"/>
    <mergeCell ref="R20:R21"/>
    <mergeCell ref="S20:S21"/>
    <mergeCell ref="H20:H21"/>
    <mergeCell ref="I20:I21"/>
    <mergeCell ref="J20:J21"/>
    <mergeCell ref="K20:K21"/>
    <mergeCell ref="L20:L21"/>
    <mergeCell ref="M20:M21"/>
    <mergeCell ref="T20:T21"/>
    <mergeCell ref="U20:U21"/>
    <mergeCell ref="U14:U15"/>
    <mergeCell ref="B16:B17"/>
    <mergeCell ref="C16:C17"/>
    <mergeCell ref="E16:E17"/>
    <mergeCell ref="F16:F17"/>
    <mergeCell ref="G16:G17"/>
    <mergeCell ref="K14:K15"/>
    <mergeCell ref="L14:L15"/>
    <mergeCell ref="M14:M15"/>
    <mergeCell ref="N14:N15"/>
    <mergeCell ref="O14:O15"/>
    <mergeCell ref="P14:P15"/>
    <mergeCell ref="Q18:Q19"/>
    <mergeCell ref="R18:R19"/>
    <mergeCell ref="S18:S19"/>
    <mergeCell ref="T18:T19"/>
    <mergeCell ref="U18:U19"/>
    <mergeCell ref="K18:K19"/>
    <mergeCell ref="L18:L19"/>
    <mergeCell ref="M18:M19"/>
    <mergeCell ref="N18:N19"/>
    <mergeCell ref="O18:O19"/>
    <mergeCell ref="P18:P19"/>
    <mergeCell ref="T16:T17"/>
    <mergeCell ref="U16:U17"/>
    <mergeCell ref="B18:B19"/>
    <mergeCell ref="C18:C19"/>
    <mergeCell ref="E18:E19"/>
    <mergeCell ref="F18:F19"/>
    <mergeCell ref="G18:G19"/>
    <mergeCell ref="S12:S13"/>
    <mergeCell ref="H12:H13"/>
    <mergeCell ref="I12:I13"/>
    <mergeCell ref="J12:J13"/>
    <mergeCell ref="K12:K13"/>
    <mergeCell ref="L12:L13"/>
    <mergeCell ref="M12:M13"/>
    <mergeCell ref="H16:H17"/>
    <mergeCell ref="I16:I17"/>
    <mergeCell ref="J16:J17"/>
    <mergeCell ref="K16:K17"/>
    <mergeCell ref="L16:L17"/>
    <mergeCell ref="M16:M17"/>
    <mergeCell ref="Q14:Q15"/>
    <mergeCell ref="R14:R15"/>
    <mergeCell ref="S14:S15"/>
    <mergeCell ref="T14:T15"/>
    <mergeCell ref="U10:U11"/>
    <mergeCell ref="B12:B13"/>
    <mergeCell ref="C12:C13"/>
    <mergeCell ref="E12:E13"/>
    <mergeCell ref="F12:F13"/>
    <mergeCell ref="G12:G13"/>
    <mergeCell ref="K10:K11"/>
    <mergeCell ref="L10:L11"/>
    <mergeCell ref="M10:M11"/>
    <mergeCell ref="N10:N11"/>
    <mergeCell ref="O10:O11"/>
    <mergeCell ref="P10:P11"/>
    <mergeCell ref="T8:T9"/>
    <mergeCell ref="U8:U9"/>
    <mergeCell ref="B10:B11"/>
    <mergeCell ref="C10:C11"/>
    <mergeCell ref="E10:E11"/>
    <mergeCell ref="F10:F11"/>
    <mergeCell ref="G10:G11"/>
    <mergeCell ref="H10:H11"/>
    <mergeCell ref="I10:I11"/>
    <mergeCell ref="J10:J11"/>
    <mergeCell ref="N8:N9"/>
    <mergeCell ref="O8:O9"/>
    <mergeCell ref="P8:P9"/>
    <mergeCell ref="Q8:Q9"/>
    <mergeCell ref="R8:R9"/>
    <mergeCell ref="S8:S9"/>
    <mergeCell ref="T12:T13"/>
    <mergeCell ref="U12:U13"/>
    <mergeCell ref="N12:N13"/>
    <mergeCell ref="O12:O13"/>
    <mergeCell ref="H8:H9"/>
    <mergeCell ref="I8:I9"/>
    <mergeCell ref="J8:J9"/>
    <mergeCell ref="K8:K9"/>
    <mergeCell ref="L8:L9"/>
    <mergeCell ref="M8:M9"/>
    <mergeCell ref="A8:A41"/>
    <mergeCell ref="B8:B9"/>
    <mergeCell ref="C8:C9"/>
    <mergeCell ref="E8:E9"/>
    <mergeCell ref="F8:F9"/>
    <mergeCell ref="G8:G9"/>
    <mergeCell ref="P4:P6"/>
    <mergeCell ref="Q4:Q6"/>
    <mergeCell ref="R4:R6"/>
    <mergeCell ref="S4:S6"/>
    <mergeCell ref="T4:T6"/>
    <mergeCell ref="Q10:Q11"/>
    <mergeCell ref="R10:R11"/>
    <mergeCell ref="S10:S11"/>
    <mergeCell ref="T10:T11"/>
    <mergeCell ref="B14:B15"/>
    <mergeCell ref="C14:C15"/>
    <mergeCell ref="E14:E15"/>
    <mergeCell ref="F14:F15"/>
    <mergeCell ref="G14:G15"/>
    <mergeCell ref="H14:H15"/>
    <mergeCell ref="I14:I15"/>
    <mergeCell ref="J14:J15"/>
    <mergeCell ref="P12:P13"/>
    <mergeCell ref="Q12:Q13"/>
    <mergeCell ref="R12:R13"/>
    <mergeCell ref="U4:U6"/>
    <mergeCell ref="J4:J6"/>
    <mergeCell ref="K4:K6"/>
    <mergeCell ref="L4:L6"/>
    <mergeCell ref="M4:M6"/>
    <mergeCell ref="N4:N6"/>
    <mergeCell ref="O4:O6"/>
    <mergeCell ref="A3:A6"/>
    <mergeCell ref="B3:B6"/>
    <mergeCell ref="C3:C6"/>
    <mergeCell ref="D3:D6"/>
    <mergeCell ref="E3:U3"/>
    <mergeCell ref="E4:E6"/>
    <mergeCell ref="F4:F6"/>
    <mergeCell ref="G4:G6"/>
    <mergeCell ref="H4:H6"/>
    <mergeCell ref="I4:I6"/>
  </mergeCells>
  <phoneticPr fontId="60"/>
  <pageMargins left="0.70866141732283472" right="0.70866141732283472" top="0.74803149606299213" bottom="0.74803149606299213" header="0.31496062992125984" footer="0.31496062992125984"/>
  <pageSetup paperSize="9" scale="62" orientation="portrait" r:id="rId1"/>
  <rowBreaks count="7" manualBreakCount="7">
    <brk id="41" max="16383" man="1"/>
    <brk id="75" max="16383" man="1"/>
    <brk id="109" max="16383" man="1"/>
    <brk id="143" max="16383" man="1"/>
    <brk id="177" max="16383" man="1"/>
    <brk id="211" max="16383" man="1"/>
    <brk id="24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FFFF00"/>
  </sheetPr>
  <dimension ref="A1:BR181"/>
  <sheetViews>
    <sheetView view="pageBreakPreview" zoomScale="115" zoomScaleNormal="100" zoomScaleSheetLayoutView="115" workbookViewId="0">
      <pane xSplit="4" ySplit="6" topLeftCell="BI7" activePane="bottomRight" state="frozen"/>
      <selection activeCell="AA52" sqref="Y6:AB78"/>
      <selection pane="topRight" activeCell="AA52" sqref="Y6:AB78"/>
      <selection pane="bottomLeft" activeCell="AA52" sqref="Y6:AB78"/>
      <selection pane="bottomRight" activeCell="AA52" sqref="Y6:AB78"/>
    </sheetView>
  </sheetViews>
  <sheetFormatPr defaultRowHeight="13.5"/>
  <cols>
    <col min="1" max="1" width="5.625" style="28" customWidth="1"/>
    <col min="2" max="2" width="6.5" style="28" customWidth="1"/>
    <col min="3" max="3" width="10.5" style="28" bestFit="1" customWidth="1"/>
    <col min="4" max="4" width="8.375" style="28" customWidth="1"/>
    <col min="5" max="5" width="2.25" style="47" customWidth="1"/>
    <col min="6" max="6" width="6.875" style="29" customWidth="1"/>
    <col min="7" max="7" width="8.125" style="30" customWidth="1"/>
    <col min="8" max="8" width="6.875" style="31" customWidth="1"/>
    <col min="9" max="9" width="8.125" style="30" customWidth="1"/>
    <col min="10" max="10" width="2.25" style="23" customWidth="1"/>
    <col min="11" max="11" width="6.25" style="29" customWidth="1"/>
    <col min="12" max="12" width="6.25" style="30" customWidth="1"/>
    <col min="13" max="13" width="6.625" style="32" customWidth="1"/>
    <col min="14" max="14" width="6.25" style="31" customWidth="1"/>
    <col min="15" max="15" width="6.25" style="30" customWidth="1"/>
    <col min="16" max="16" width="6.625" style="32" customWidth="1"/>
    <col min="17" max="17" width="2.25" style="23" customWidth="1"/>
    <col min="18" max="18" width="6.25" style="29" customWidth="1"/>
    <col min="19" max="19" width="11.375" style="33" bestFit="1" customWidth="1"/>
    <col min="20" max="20" width="2.25" style="32" customWidth="1"/>
    <col min="21" max="21" width="1.75" style="23" customWidth="1"/>
    <col min="22" max="22" width="13.625" style="31" customWidth="1"/>
    <col min="23" max="23" width="2.25" style="23" customWidth="1"/>
    <col min="24" max="24" width="13.625" style="33" customWidth="1"/>
    <col min="25" max="25" width="1.75" style="33" customWidth="1"/>
    <col min="26" max="26" width="2.25" style="23" customWidth="1"/>
    <col min="27" max="27" width="10.25" style="33" customWidth="1"/>
    <col min="28" max="28" width="2.25" style="32" customWidth="1"/>
    <col min="29" max="29" width="5.625" style="31" customWidth="1"/>
    <col min="30" max="30" width="5.375" style="31" customWidth="1"/>
    <col min="31" max="31" width="2.25" style="23" customWidth="1"/>
    <col min="32" max="32" width="9.375" style="36" customWidth="1"/>
    <col min="33" max="33" width="2.25" style="29" customWidth="1"/>
    <col min="34" max="34" width="14.125" style="29" bestFit="1" customWidth="1"/>
    <col min="35" max="35" width="3.25" style="29" bestFit="1" customWidth="1"/>
    <col min="36" max="36" width="18.375" style="29" bestFit="1" customWidth="1"/>
    <col min="37" max="37" width="2.5" style="29" customWidth="1"/>
    <col min="38" max="41" width="5.75" style="29" customWidth="1"/>
    <col min="42" max="42" width="2.25" style="29" customWidth="1"/>
    <col min="43" max="43" width="6" style="35" bestFit="1" customWidth="1"/>
    <col min="44" max="47" width="5.75" style="29" customWidth="1"/>
    <col min="48" max="48" width="2.25" style="32" customWidth="1"/>
    <col min="49" max="49" width="10.875" style="31" customWidth="1"/>
    <col min="50" max="50" width="2.25" style="32" customWidth="1"/>
    <col min="51" max="51" width="12.125" style="32" customWidth="1"/>
    <col min="52" max="52" width="2.25" style="32" customWidth="1"/>
    <col min="53" max="53" width="5.5" style="31" customWidth="1"/>
    <col min="54" max="54" width="2.25" style="23" customWidth="1"/>
    <col min="55" max="55" width="9.375" style="29" customWidth="1"/>
    <col min="56" max="56" width="2.25" style="32" customWidth="1"/>
    <col min="57" max="57" width="10.875" style="31" customWidth="1"/>
    <col min="58" max="58" width="2.25" style="32" customWidth="1"/>
    <col min="59" max="62" width="10.875" style="31" customWidth="1"/>
    <col min="63" max="63" width="2.25" style="32" customWidth="1"/>
    <col min="64" max="64" width="13.875" style="31" customWidth="1"/>
    <col min="65" max="65" width="2.25" style="32" customWidth="1"/>
    <col min="66" max="66" width="13.875" style="31" customWidth="1"/>
    <col min="67" max="67" width="2.25" style="32" customWidth="1"/>
    <col min="68" max="68" width="13.875" style="31" customWidth="1"/>
    <col min="69" max="69" width="2" style="27" customWidth="1"/>
    <col min="70" max="70" width="18.875" style="27" bestFit="1" customWidth="1"/>
    <col min="71" max="16384" width="9" style="27"/>
  </cols>
  <sheetData>
    <row r="1" spans="1:70" s="1" customFormat="1" ht="13.5" customHeight="1">
      <c r="A1" s="2020" t="s">
        <v>323</v>
      </c>
      <c r="B1" s="2020" t="s">
        <v>324</v>
      </c>
      <c r="C1" s="2020" t="s">
        <v>22</v>
      </c>
      <c r="D1" s="2020" t="s">
        <v>325</v>
      </c>
      <c r="E1" s="202"/>
      <c r="F1" s="2022" t="s">
        <v>326</v>
      </c>
      <c r="G1" s="2022"/>
      <c r="H1" s="2022"/>
      <c r="I1" s="2022"/>
      <c r="J1" s="204"/>
      <c r="K1" s="2022" t="s">
        <v>327</v>
      </c>
      <c r="L1" s="2022"/>
      <c r="M1" s="2022"/>
      <c r="N1" s="2022"/>
      <c r="O1" s="2022"/>
      <c r="P1" s="2022"/>
      <c r="Q1" s="204"/>
      <c r="R1" s="2025" t="s">
        <v>24</v>
      </c>
      <c r="S1" s="2026"/>
      <c r="T1" s="204"/>
      <c r="U1" s="204"/>
      <c r="V1" s="2025" t="s">
        <v>328</v>
      </c>
      <c r="W1" s="2030"/>
      <c r="X1" s="2030"/>
      <c r="Y1" s="2030"/>
      <c r="Z1" s="2030"/>
      <c r="AA1" s="2026"/>
      <c r="AB1" s="204"/>
      <c r="AC1" s="2025" t="s">
        <v>329</v>
      </c>
      <c r="AD1" s="2030"/>
      <c r="AE1" s="2030"/>
      <c r="AF1" s="2026"/>
      <c r="AG1" s="204"/>
      <c r="AH1" s="2008" t="s">
        <v>312</v>
      </c>
      <c r="AI1" s="2030"/>
      <c r="AJ1" s="2026"/>
      <c r="AK1" s="204"/>
      <c r="AL1" s="2025" t="s">
        <v>316</v>
      </c>
      <c r="AM1" s="2030"/>
      <c r="AN1" s="2030"/>
      <c r="AO1" s="2026"/>
      <c r="AP1" s="204"/>
      <c r="AQ1" s="2025" t="s">
        <v>330</v>
      </c>
      <c r="AR1" s="2030"/>
      <c r="AS1" s="2030"/>
      <c r="AT1" s="2030"/>
      <c r="AU1" s="2026"/>
      <c r="AV1" s="204"/>
      <c r="AW1" s="2021" t="s">
        <v>331</v>
      </c>
      <c r="AX1" s="204"/>
      <c r="AY1" s="2021" t="s">
        <v>252</v>
      </c>
      <c r="AZ1" s="204"/>
      <c r="BA1" s="2008" t="s">
        <v>332</v>
      </c>
      <c r="BB1" s="2030"/>
      <c r="BC1" s="2026"/>
      <c r="BD1" s="204"/>
      <c r="BE1" s="2021" t="s">
        <v>333</v>
      </c>
      <c r="BF1" s="204"/>
      <c r="BG1" s="2008" t="s">
        <v>257</v>
      </c>
      <c r="BH1" s="2009"/>
      <c r="BI1" s="2009"/>
      <c r="BJ1" s="2010"/>
      <c r="BK1" s="204"/>
      <c r="BL1" s="2021" t="s">
        <v>334</v>
      </c>
      <c r="BM1" s="204"/>
      <c r="BN1" s="2021" t="s">
        <v>335</v>
      </c>
      <c r="BO1" s="204"/>
      <c r="BP1" s="2021" t="s">
        <v>45</v>
      </c>
      <c r="BQ1" s="204"/>
      <c r="BR1" s="2021" t="s">
        <v>336</v>
      </c>
    </row>
    <row r="2" spans="1:70" s="1" customFormat="1" ht="13.5" customHeight="1">
      <c r="A2" s="2020"/>
      <c r="B2" s="2020"/>
      <c r="C2" s="2020"/>
      <c r="D2" s="2020"/>
      <c r="E2" s="202"/>
      <c r="F2" s="2022" t="s">
        <v>337</v>
      </c>
      <c r="G2" s="2022"/>
      <c r="H2" s="2023" t="s">
        <v>338</v>
      </c>
      <c r="I2" s="2023"/>
      <c r="J2" s="205"/>
      <c r="K2" s="2022" t="s">
        <v>337</v>
      </c>
      <c r="L2" s="2022"/>
      <c r="M2" s="2024"/>
      <c r="N2" s="2023" t="s">
        <v>338</v>
      </c>
      <c r="O2" s="2023"/>
      <c r="P2" s="2023"/>
      <c r="Q2" s="205"/>
      <c r="R2" s="2027"/>
      <c r="S2" s="2028"/>
      <c r="T2" s="205"/>
      <c r="U2" s="205"/>
      <c r="V2" s="2027"/>
      <c r="W2" s="2031"/>
      <c r="X2" s="2031"/>
      <c r="Y2" s="2031"/>
      <c r="Z2" s="2031"/>
      <c r="AA2" s="2028"/>
      <c r="AB2" s="205"/>
      <c r="AC2" s="2027"/>
      <c r="AD2" s="2031"/>
      <c r="AE2" s="2031"/>
      <c r="AF2" s="2028"/>
      <c r="AG2" s="205"/>
      <c r="AH2" s="2027"/>
      <c r="AI2" s="2031"/>
      <c r="AJ2" s="2028"/>
      <c r="AK2" s="204"/>
      <c r="AL2" s="2388" t="s">
        <v>317</v>
      </c>
      <c r="AM2" s="2389"/>
      <c r="AN2" s="2389"/>
      <c r="AO2" s="2390"/>
      <c r="AP2" s="204"/>
      <c r="AQ2" s="208"/>
      <c r="AR2" s="2391" t="s">
        <v>317</v>
      </c>
      <c r="AS2" s="2389"/>
      <c r="AT2" s="2389"/>
      <c r="AU2" s="2390"/>
      <c r="AV2" s="205"/>
      <c r="AW2" s="2038"/>
      <c r="AX2" s="204"/>
      <c r="AY2" s="2038"/>
      <c r="AZ2" s="205"/>
      <c r="BA2" s="2027"/>
      <c r="BB2" s="2031"/>
      <c r="BC2" s="2028"/>
      <c r="BD2" s="205"/>
      <c r="BE2" s="2038"/>
      <c r="BF2" s="205"/>
      <c r="BG2" s="1987" t="s">
        <v>258</v>
      </c>
      <c r="BH2" s="2384" t="s">
        <v>259</v>
      </c>
      <c r="BI2" s="1989" t="s">
        <v>260</v>
      </c>
      <c r="BJ2" s="1991" t="s">
        <v>261</v>
      </c>
      <c r="BK2" s="205"/>
      <c r="BL2" s="2038"/>
      <c r="BM2" s="205"/>
      <c r="BN2" s="2038"/>
      <c r="BO2" s="205"/>
      <c r="BP2" s="2038"/>
      <c r="BQ2" s="205"/>
      <c r="BR2" s="2038"/>
    </row>
    <row r="3" spans="1:70" s="5" customFormat="1" ht="13.5" customHeight="1">
      <c r="A3" s="2020"/>
      <c r="B3" s="2020"/>
      <c r="C3" s="2020"/>
      <c r="D3" s="2020"/>
      <c r="E3" s="198"/>
      <c r="F3" s="2008" t="s">
        <v>339</v>
      </c>
      <c r="G3" s="2010"/>
      <c r="H3" s="2008" t="s">
        <v>339</v>
      </c>
      <c r="I3" s="2010"/>
      <c r="J3" s="199"/>
      <c r="K3" s="210"/>
      <c r="L3" s="94"/>
      <c r="M3" s="95"/>
      <c r="N3" s="210"/>
      <c r="O3" s="94"/>
      <c r="P3" s="96"/>
      <c r="Q3" s="199"/>
      <c r="R3" s="207"/>
      <c r="S3" s="2386" t="s">
        <v>340</v>
      </c>
      <c r="T3" s="95"/>
      <c r="U3" s="95"/>
      <c r="V3" s="88"/>
      <c r="W3" s="200"/>
      <c r="X3" s="2040" t="s">
        <v>327</v>
      </c>
      <c r="Y3" s="99"/>
      <c r="Z3" s="199"/>
      <c r="AA3" s="2039"/>
      <c r="AB3" s="95"/>
      <c r="AC3" s="88"/>
      <c r="AD3" s="91"/>
      <c r="AE3" s="200"/>
      <c r="AF3" s="2040" t="s">
        <v>315</v>
      </c>
      <c r="AG3" s="95"/>
      <c r="AH3" s="88"/>
      <c r="AI3" s="200"/>
      <c r="AJ3" s="2021" t="s">
        <v>315</v>
      </c>
      <c r="AK3" s="199"/>
      <c r="AL3" s="2392" t="s">
        <v>318</v>
      </c>
      <c r="AM3" s="2043"/>
      <c r="AN3" s="2042" t="s">
        <v>319</v>
      </c>
      <c r="AO3" s="2043"/>
      <c r="AP3" s="199"/>
      <c r="AQ3" s="88"/>
      <c r="AR3" s="2042" t="s">
        <v>318</v>
      </c>
      <c r="AS3" s="2043"/>
      <c r="AT3" s="2042" t="s">
        <v>319</v>
      </c>
      <c r="AU3" s="2043"/>
      <c r="AV3" s="95"/>
      <c r="AW3" s="128"/>
      <c r="AX3" s="199"/>
      <c r="AY3" s="2038"/>
      <c r="AZ3" s="95"/>
      <c r="BA3" s="88"/>
      <c r="BB3" s="200"/>
      <c r="BC3" s="2021" t="s">
        <v>315</v>
      </c>
      <c r="BD3" s="95"/>
      <c r="BE3" s="2038"/>
      <c r="BF3" s="95"/>
      <c r="BG3" s="1988"/>
      <c r="BH3" s="2385"/>
      <c r="BI3" s="1990"/>
      <c r="BJ3" s="1992"/>
      <c r="BK3" s="95"/>
      <c r="BL3" s="2038"/>
      <c r="BM3" s="95"/>
      <c r="BN3" s="2038"/>
      <c r="BO3" s="95"/>
      <c r="BP3" s="2038"/>
      <c r="BQ3" s="95"/>
      <c r="BR3" s="2038"/>
    </row>
    <row r="4" spans="1:70" s="5" customFormat="1" ht="13.5" customHeight="1">
      <c r="A4" s="2021"/>
      <c r="B4" s="2021"/>
      <c r="C4" s="2021"/>
      <c r="D4" s="2021"/>
      <c r="E4" s="198"/>
      <c r="F4" s="210"/>
      <c r="G4" s="100" t="s">
        <v>341</v>
      </c>
      <c r="H4" s="210"/>
      <c r="I4" s="100" t="s">
        <v>341</v>
      </c>
      <c r="J4" s="206"/>
      <c r="K4" s="88"/>
      <c r="L4" s="101" t="s">
        <v>341</v>
      </c>
      <c r="M4" s="95"/>
      <c r="N4" s="85"/>
      <c r="O4" s="101" t="s">
        <v>341</v>
      </c>
      <c r="P4" s="96"/>
      <c r="Q4" s="205"/>
      <c r="R4" s="88"/>
      <c r="S4" s="2387"/>
      <c r="T4" s="95"/>
      <c r="U4" s="95"/>
      <c r="V4" s="210"/>
      <c r="W4" s="206"/>
      <c r="X4" s="2041"/>
      <c r="Y4" s="99"/>
      <c r="Z4" s="205"/>
      <c r="AA4" s="2039"/>
      <c r="AB4" s="95"/>
      <c r="AC4" s="210"/>
      <c r="AD4" s="100" t="s">
        <v>341</v>
      </c>
      <c r="AE4" s="206"/>
      <c r="AF4" s="2041"/>
      <c r="AG4" s="95"/>
      <c r="AH4" s="210"/>
      <c r="AI4" s="206"/>
      <c r="AJ4" s="2038"/>
      <c r="AK4" s="199"/>
      <c r="AL4" s="212" t="s">
        <v>29</v>
      </c>
      <c r="AM4" s="105" t="s">
        <v>30</v>
      </c>
      <c r="AN4" s="104" t="s">
        <v>29</v>
      </c>
      <c r="AO4" s="105" t="s">
        <v>30</v>
      </c>
      <c r="AP4" s="199"/>
      <c r="AQ4" s="88"/>
      <c r="AR4" s="104" t="s">
        <v>29</v>
      </c>
      <c r="AS4" s="105" t="s">
        <v>30</v>
      </c>
      <c r="AT4" s="104" t="s">
        <v>29</v>
      </c>
      <c r="AU4" s="105" t="s">
        <v>30</v>
      </c>
      <c r="AV4" s="95"/>
      <c r="AW4" s="207"/>
      <c r="AX4" s="199"/>
      <c r="AY4" s="2038"/>
      <c r="AZ4" s="95"/>
      <c r="BA4" s="210"/>
      <c r="BB4" s="206"/>
      <c r="BC4" s="2038"/>
      <c r="BD4" s="95"/>
      <c r="BE4" s="2038"/>
      <c r="BF4" s="95"/>
      <c r="BG4" s="1988"/>
      <c r="BH4" s="2385"/>
      <c r="BI4" s="1990"/>
      <c r="BJ4" s="1992"/>
      <c r="BK4" s="95"/>
      <c r="BL4" s="2038"/>
      <c r="BM4" s="95"/>
      <c r="BN4" s="2038"/>
      <c r="BO4" s="95"/>
      <c r="BP4" s="2038"/>
      <c r="BQ4" s="95"/>
      <c r="BR4" s="2038"/>
    </row>
    <row r="5" spans="1:70" s="5" customFormat="1" ht="13.5" customHeight="1">
      <c r="A5" s="203" t="s">
        <v>342</v>
      </c>
      <c r="B5" s="203" t="s">
        <v>343</v>
      </c>
      <c r="C5" s="203" t="s">
        <v>344</v>
      </c>
      <c r="D5" s="203" t="s">
        <v>345</v>
      </c>
      <c r="E5" s="199"/>
      <c r="F5" s="2016" t="s">
        <v>346</v>
      </c>
      <c r="G5" s="2016"/>
      <c r="H5" s="2016" t="s">
        <v>346</v>
      </c>
      <c r="I5" s="2016"/>
      <c r="J5" s="205"/>
      <c r="K5" s="2016" t="s">
        <v>347</v>
      </c>
      <c r="L5" s="2016"/>
      <c r="M5" s="2016"/>
      <c r="N5" s="2017" t="s">
        <v>348</v>
      </c>
      <c r="O5" s="2017"/>
      <c r="P5" s="2017"/>
      <c r="Q5" s="205"/>
      <c r="R5" s="2016" t="s">
        <v>349</v>
      </c>
      <c r="S5" s="2016"/>
      <c r="T5" s="95"/>
      <c r="U5" s="95"/>
      <c r="V5" s="2016" t="s">
        <v>350</v>
      </c>
      <c r="W5" s="2016"/>
      <c r="X5" s="2016"/>
      <c r="Y5" s="2016"/>
      <c r="Z5" s="2016"/>
      <c r="AA5" s="2016"/>
      <c r="AB5" s="95"/>
      <c r="AC5" s="2016" t="s">
        <v>351</v>
      </c>
      <c r="AD5" s="2016"/>
      <c r="AE5" s="2016"/>
      <c r="AF5" s="2016"/>
      <c r="AG5" s="95"/>
      <c r="AH5" s="1993" t="s">
        <v>314</v>
      </c>
      <c r="AI5" s="1994"/>
      <c r="AJ5" s="1995"/>
      <c r="AK5" s="199"/>
      <c r="AL5" s="1993" t="s">
        <v>320</v>
      </c>
      <c r="AM5" s="1994"/>
      <c r="AN5" s="1994"/>
      <c r="AO5" s="1995"/>
      <c r="AP5" s="199"/>
      <c r="AQ5" s="1993" t="s">
        <v>352</v>
      </c>
      <c r="AR5" s="1994"/>
      <c r="AS5" s="1994"/>
      <c r="AT5" s="1994"/>
      <c r="AU5" s="1995"/>
      <c r="AV5" s="95"/>
      <c r="AW5" s="201" t="s">
        <v>353</v>
      </c>
      <c r="AX5" s="199"/>
      <c r="AY5" s="201" t="s">
        <v>322</v>
      </c>
      <c r="AZ5" s="95"/>
      <c r="BA5" s="2016" t="s">
        <v>354</v>
      </c>
      <c r="BB5" s="2016"/>
      <c r="BC5" s="2016"/>
      <c r="BD5" s="95"/>
      <c r="BE5" s="201" t="s">
        <v>355</v>
      </c>
      <c r="BF5" s="95"/>
      <c r="BG5" s="1993" t="s">
        <v>356</v>
      </c>
      <c r="BH5" s="1994"/>
      <c r="BI5" s="1994"/>
      <c r="BJ5" s="1995"/>
      <c r="BK5" s="95"/>
      <c r="BL5" s="201" t="s">
        <v>357</v>
      </c>
      <c r="BM5" s="95"/>
      <c r="BN5" s="201" t="s">
        <v>358</v>
      </c>
      <c r="BO5" s="95"/>
      <c r="BP5" s="201" t="s">
        <v>359</v>
      </c>
      <c r="BQ5" s="95"/>
      <c r="BR5" s="201" t="s">
        <v>360</v>
      </c>
    </row>
    <row r="6" spans="1:70" s="4" customFormat="1" ht="3.75" customHeight="1">
      <c r="A6" s="6"/>
      <c r="B6" s="7"/>
      <c r="C6" s="7"/>
      <c r="D6" s="7"/>
      <c r="E6" s="47"/>
      <c r="F6" s="8"/>
      <c r="G6" s="9"/>
      <c r="H6" s="10"/>
      <c r="I6" s="9"/>
      <c r="J6" s="23"/>
      <c r="K6" s="11"/>
      <c r="L6" s="12"/>
      <c r="M6" s="13"/>
      <c r="N6" s="10"/>
      <c r="O6" s="12"/>
      <c r="P6" s="13"/>
      <c r="Q6" s="23"/>
      <c r="R6" s="11"/>
      <c r="S6" s="16"/>
      <c r="T6" s="3"/>
      <c r="U6" s="3"/>
      <c r="V6" s="14"/>
      <c r="W6" s="23"/>
      <c r="X6" s="17"/>
      <c r="Y6" s="18"/>
      <c r="Z6" s="23"/>
      <c r="AA6" s="17"/>
      <c r="AB6" s="3"/>
      <c r="AC6" s="14"/>
      <c r="AD6" s="14"/>
      <c r="AE6" s="23"/>
      <c r="AF6" s="19"/>
      <c r="AG6" s="20"/>
      <c r="AH6" s="20"/>
      <c r="AI6" s="20"/>
      <c r="AJ6" s="20"/>
      <c r="AK6" s="20"/>
      <c r="AL6" s="213"/>
      <c r="AM6" s="43"/>
      <c r="AN6" s="43"/>
      <c r="AO6" s="43"/>
      <c r="AP6" s="20"/>
      <c r="AQ6" s="64"/>
      <c r="AR6" s="43"/>
      <c r="AS6" s="43"/>
      <c r="AT6" s="43"/>
      <c r="AU6" s="43"/>
      <c r="AV6" s="3"/>
      <c r="AW6" s="14"/>
      <c r="AX6" s="3"/>
      <c r="AY6" s="3"/>
      <c r="AZ6" s="3"/>
      <c r="BA6" s="14"/>
      <c r="BB6" s="23"/>
      <c r="BC6" s="15"/>
      <c r="BD6" s="3"/>
      <c r="BE6" s="14"/>
      <c r="BF6" s="3"/>
      <c r="BG6" s="14"/>
      <c r="BH6" s="34"/>
      <c r="BI6" s="34"/>
      <c r="BJ6" s="34"/>
      <c r="BK6" s="3"/>
      <c r="BL6" s="14"/>
      <c r="BM6" s="3"/>
      <c r="BN6" s="14"/>
      <c r="BO6" s="3"/>
      <c r="BP6" s="14"/>
    </row>
    <row r="7" spans="1:70" s="5" customFormat="1" ht="12.75" customHeight="1">
      <c r="A7" s="2212" t="s">
        <v>1014</v>
      </c>
      <c r="B7" s="2403" t="s">
        <v>1119</v>
      </c>
      <c r="C7" s="2214" t="s">
        <v>1016</v>
      </c>
      <c r="D7" s="1122" t="s">
        <v>554</v>
      </c>
      <c r="E7" s="1123"/>
      <c r="F7" s="1142">
        <v>218750</v>
      </c>
      <c r="G7" s="1143">
        <v>225630</v>
      </c>
      <c r="H7" s="1142">
        <v>171900</v>
      </c>
      <c r="I7" s="1143">
        <v>178780</v>
      </c>
      <c r="J7" s="1144" t="s">
        <v>255</v>
      </c>
      <c r="K7" s="1145">
        <v>2160</v>
      </c>
      <c r="L7" s="1146">
        <v>2220</v>
      </c>
      <c r="M7" s="1147" t="s">
        <v>1017</v>
      </c>
      <c r="N7" s="1145">
        <v>1700</v>
      </c>
      <c r="O7" s="1146">
        <v>1760</v>
      </c>
      <c r="P7" s="1147" t="s">
        <v>1017</v>
      </c>
      <c r="Q7" s="1144" t="s">
        <v>255</v>
      </c>
      <c r="R7" s="1148">
        <v>6880</v>
      </c>
      <c r="S7" s="1149">
        <v>60</v>
      </c>
      <c r="T7" s="2059" t="s">
        <v>31</v>
      </c>
      <c r="U7" s="32"/>
      <c r="V7" s="1150"/>
      <c r="W7" s="1972" t="s">
        <v>255</v>
      </c>
      <c r="X7" s="1151"/>
      <c r="Y7" s="1152"/>
      <c r="Z7" s="2060" t="s">
        <v>1018</v>
      </c>
      <c r="AA7" s="1151"/>
      <c r="AB7" s="1972" t="s">
        <v>255</v>
      </c>
      <c r="AC7" s="2018">
        <v>54450</v>
      </c>
      <c r="AD7" s="1153"/>
      <c r="AE7" s="1972" t="s">
        <v>255</v>
      </c>
      <c r="AF7" s="1973">
        <v>470</v>
      </c>
      <c r="AG7" s="2060" t="s">
        <v>555</v>
      </c>
      <c r="AH7" s="2393" t="s">
        <v>278</v>
      </c>
      <c r="AI7" s="2059" t="s">
        <v>31</v>
      </c>
      <c r="AJ7" s="2394">
        <v>280</v>
      </c>
      <c r="AK7" s="2053" t="s">
        <v>255</v>
      </c>
      <c r="AL7" s="2378">
        <v>15800</v>
      </c>
      <c r="AM7" s="2375">
        <v>17400</v>
      </c>
      <c r="AN7" s="2378">
        <v>11000</v>
      </c>
      <c r="AO7" s="2375">
        <v>11000</v>
      </c>
      <c r="AP7" s="1959" t="s">
        <v>255</v>
      </c>
      <c r="AQ7" s="1154" t="s">
        <v>1019</v>
      </c>
      <c r="AR7" s="1306">
        <v>31600</v>
      </c>
      <c r="AS7" s="1307">
        <v>35200</v>
      </c>
      <c r="AT7" s="1308">
        <v>22100</v>
      </c>
      <c r="AU7" s="1309">
        <v>22100</v>
      </c>
      <c r="AV7" s="1972" t="s">
        <v>31</v>
      </c>
      <c r="AW7" s="1165"/>
      <c r="AX7" s="1968" t="s">
        <v>255</v>
      </c>
      <c r="AY7" s="1996">
        <v>4700</v>
      </c>
      <c r="AZ7" s="2060" t="s">
        <v>255</v>
      </c>
      <c r="BA7" s="1969">
        <v>21130</v>
      </c>
      <c r="BB7" s="1972" t="s">
        <v>255</v>
      </c>
      <c r="BC7" s="1973">
        <v>210</v>
      </c>
      <c r="BD7" s="1972" t="s">
        <v>78</v>
      </c>
      <c r="BE7" s="1150"/>
      <c r="BF7" s="1972" t="s">
        <v>78</v>
      </c>
      <c r="BG7" s="1998" t="s">
        <v>262</v>
      </c>
      <c r="BH7" s="1966" t="s">
        <v>262</v>
      </c>
      <c r="BI7" s="1966" t="s">
        <v>262</v>
      </c>
      <c r="BJ7" s="1980" t="s">
        <v>262</v>
      </c>
      <c r="BK7" s="1972" t="s">
        <v>78</v>
      </c>
      <c r="BL7" s="1310"/>
      <c r="BM7" s="1972" t="s">
        <v>78</v>
      </c>
      <c r="BN7" s="1310"/>
      <c r="BO7" s="1972" t="s">
        <v>78</v>
      </c>
      <c r="BP7" s="1310"/>
      <c r="BQ7" s="2395"/>
      <c r="BR7" s="2396"/>
    </row>
    <row r="8" spans="1:70" s="5" customFormat="1" ht="12.75" customHeight="1">
      <c r="A8" s="2335"/>
      <c r="B8" s="2402"/>
      <c r="C8" s="2215"/>
      <c r="D8" s="1133" t="s">
        <v>556</v>
      </c>
      <c r="E8" s="1123"/>
      <c r="F8" s="1158">
        <v>225630</v>
      </c>
      <c r="G8" s="1159">
        <v>282080</v>
      </c>
      <c r="H8" s="1158">
        <v>178780</v>
      </c>
      <c r="I8" s="1159">
        <v>235230</v>
      </c>
      <c r="J8" s="1144" t="s">
        <v>255</v>
      </c>
      <c r="K8" s="1160">
        <v>2220</v>
      </c>
      <c r="L8" s="1161">
        <v>2710</v>
      </c>
      <c r="M8" s="1162" t="s">
        <v>1017</v>
      </c>
      <c r="N8" s="1160">
        <v>1760</v>
      </c>
      <c r="O8" s="1161">
        <v>2240</v>
      </c>
      <c r="P8" s="1162" t="s">
        <v>1017</v>
      </c>
      <c r="Q8" s="1144" t="s">
        <v>255</v>
      </c>
      <c r="R8" s="1163">
        <v>6880</v>
      </c>
      <c r="S8" s="1164">
        <v>60</v>
      </c>
      <c r="T8" s="2059"/>
      <c r="U8" s="32"/>
      <c r="V8" s="1165"/>
      <c r="W8" s="1972"/>
      <c r="X8" s="1166"/>
      <c r="Y8" s="1152"/>
      <c r="Z8" s="2060"/>
      <c r="AA8" s="1166"/>
      <c r="AB8" s="1972"/>
      <c r="AC8" s="2019"/>
      <c r="AD8" s="1167">
        <v>52680</v>
      </c>
      <c r="AE8" s="1972"/>
      <c r="AF8" s="1974"/>
      <c r="AG8" s="2060"/>
      <c r="AH8" s="2381"/>
      <c r="AI8" s="2059"/>
      <c r="AJ8" s="2382"/>
      <c r="AK8" s="2053"/>
      <c r="AL8" s="2379"/>
      <c r="AM8" s="2376"/>
      <c r="AN8" s="2379"/>
      <c r="AO8" s="2376"/>
      <c r="AP8" s="1959"/>
      <c r="AQ8" s="1168" t="s">
        <v>1020</v>
      </c>
      <c r="AR8" s="1311">
        <v>17400</v>
      </c>
      <c r="AS8" s="1312">
        <v>19400</v>
      </c>
      <c r="AT8" s="1313">
        <v>12200</v>
      </c>
      <c r="AU8" s="1314">
        <v>12200</v>
      </c>
      <c r="AV8" s="1972"/>
      <c r="AW8" s="1165"/>
      <c r="AX8" s="1968"/>
      <c r="AY8" s="1997"/>
      <c r="AZ8" s="2060"/>
      <c r="BA8" s="1970"/>
      <c r="BB8" s="1972"/>
      <c r="BC8" s="1974"/>
      <c r="BD8" s="1972"/>
      <c r="BE8" s="1165"/>
      <c r="BF8" s="1972"/>
      <c r="BG8" s="1999"/>
      <c r="BH8" s="1967"/>
      <c r="BI8" s="1967"/>
      <c r="BJ8" s="1981"/>
      <c r="BK8" s="1972"/>
      <c r="BL8" s="1315">
        <v>12720</v>
      </c>
      <c r="BM8" s="1972"/>
      <c r="BN8" s="1315">
        <v>41300</v>
      </c>
      <c r="BO8" s="1972"/>
      <c r="BP8" s="1315">
        <v>25160</v>
      </c>
      <c r="BQ8" s="2395"/>
      <c r="BR8" s="2397"/>
    </row>
    <row r="9" spans="1:70" s="5" customFormat="1" ht="12.75" customHeight="1">
      <c r="A9" s="2335"/>
      <c r="B9" s="2402"/>
      <c r="C9" s="2398" t="s">
        <v>1021</v>
      </c>
      <c r="D9" s="1133" t="s">
        <v>1022</v>
      </c>
      <c r="E9" s="1123"/>
      <c r="F9" s="1158">
        <v>282080</v>
      </c>
      <c r="G9" s="1159">
        <v>350910</v>
      </c>
      <c r="H9" s="1158">
        <v>235230</v>
      </c>
      <c r="I9" s="1159">
        <v>304060</v>
      </c>
      <c r="J9" s="1144" t="s">
        <v>255</v>
      </c>
      <c r="K9" s="1160">
        <v>2710</v>
      </c>
      <c r="L9" s="1161">
        <v>3390</v>
      </c>
      <c r="M9" s="1162" t="s">
        <v>1017</v>
      </c>
      <c r="N9" s="1160">
        <v>2240</v>
      </c>
      <c r="O9" s="1161">
        <v>2920</v>
      </c>
      <c r="P9" s="1162" t="s">
        <v>1017</v>
      </c>
      <c r="Q9" s="1172"/>
      <c r="R9" s="1173"/>
      <c r="S9" s="1174"/>
      <c r="T9" s="2059"/>
      <c r="U9" s="32"/>
      <c r="V9" s="1165"/>
      <c r="W9" s="1972"/>
      <c r="X9" s="1166"/>
      <c r="Y9" s="1152"/>
      <c r="Z9" s="2060"/>
      <c r="AA9" s="1166"/>
      <c r="AB9" s="1972" t="s">
        <v>255</v>
      </c>
      <c r="AC9" s="2054">
        <v>52680</v>
      </c>
      <c r="AD9" s="1175"/>
      <c r="AE9" s="1972"/>
      <c r="AF9" s="1974"/>
      <c r="AG9" s="2060"/>
      <c r="AH9" s="2383">
        <v>28290</v>
      </c>
      <c r="AI9" s="2059"/>
      <c r="AJ9" s="2382"/>
      <c r="AK9" s="2053"/>
      <c r="AL9" s="2379"/>
      <c r="AM9" s="2376"/>
      <c r="AN9" s="2379"/>
      <c r="AO9" s="2376"/>
      <c r="AP9" s="1959"/>
      <c r="AQ9" s="1168" t="s">
        <v>1023</v>
      </c>
      <c r="AR9" s="1311">
        <v>15200</v>
      </c>
      <c r="AS9" s="1312">
        <v>16900</v>
      </c>
      <c r="AT9" s="1313">
        <v>10600</v>
      </c>
      <c r="AU9" s="1314">
        <v>10600</v>
      </c>
      <c r="AV9" s="1972"/>
      <c r="AW9" s="1165"/>
      <c r="AX9" s="1152"/>
      <c r="AY9" s="1316"/>
      <c r="AZ9" s="2060"/>
      <c r="BA9" s="1970"/>
      <c r="BB9" s="1972"/>
      <c r="BC9" s="1974"/>
      <c r="BD9" s="1972"/>
      <c r="BE9" s="1165"/>
      <c r="BF9" s="1972"/>
      <c r="BG9" s="1978">
        <v>0.01</v>
      </c>
      <c r="BH9" s="1976">
        <v>0.02</v>
      </c>
      <c r="BI9" s="1976">
        <v>0.04</v>
      </c>
      <c r="BJ9" s="1982">
        <v>0.05</v>
      </c>
      <c r="BK9" s="1972"/>
      <c r="BL9" s="1317">
        <v>120</v>
      </c>
      <c r="BM9" s="1972"/>
      <c r="BN9" s="1317">
        <v>410</v>
      </c>
      <c r="BO9" s="1972"/>
      <c r="BP9" s="1317">
        <v>250</v>
      </c>
      <c r="BQ9" s="2395"/>
      <c r="BR9" s="2400"/>
    </row>
    <row r="10" spans="1:70" s="25" customFormat="1" ht="12.75" customHeight="1">
      <c r="A10" s="2335"/>
      <c r="B10" s="2402"/>
      <c r="C10" s="2399"/>
      <c r="D10" s="1126" t="s">
        <v>133</v>
      </c>
      <c r="E10" s="1123"/>
      <c r="F10" s="1177">
        <v>350910</v>
      </c>
      <c r="G10" s="1178"/>
      <c r="H10" s="1177">
        <v>304060</v>
      </c>
      <c r="I10" s="1178"/>
      <c r="J10" s="1144" t="s">
        <v>255</v>
      </c>
      <c r="K10" s="1163">
        <v>3390</v>
      </c>
      <c r="L10" s="1179"/>
      <c r="M10" s="1180" t="s">
        <v>1017</v>
      </c>
      <c r="N10" s="1163">
        <v>2920</v>
      </c>
      <c r="O10" s="1179"/>
      <c r="P10" s="1180" t="s">
        <v>1017</v>
      </c>
      <c r="Q10" s="1172"/>
      <c r="R10" s="1173"/>
      <c r="S10" s="1181"/>
      <c r="T10" s="2059"/>
      <c r="U10" s="32"/>
      <c r="V10" s="1165"/>
      <c r="W10" s="1972"/>
      <c r="X10" s="1166"/>
      <c r="Y10" s="1152"/>
      <c r="Z10" s="2060"/>
      <c r="AA10" s="1166"/>
      <c r="AB10" s="1972"/>
      <c r="AC10" s="2055"/>
      <c r="AD10" s="1182"/>
      <c r="AE10" s="1972"/>
      <c r="AF10" s="1975"/>
      <c r="AG10" s="2060"/>
      <c r="AH10" s="2383"/>
      <c r="AI10" s="2059"/>
      <c r="AJ10" s="2382"/>
      <c r="AK10" s="2053"/>
      <c r="AL10" s="2380"/>
      <c r="AM10" s="2377"/>
      <c r="AN10" s="2380"/>
      <c r="AO10" s="2377"/>
      <c r="AP10" s="1959"/>
      <c r="AQ10" s="1183" t="s">
        <v>1024</v>
      </c>
      <c r="AR10" s="1318">
        <v>13600</v>
      </c>
      <c r="AS10" s="1319">
        <v>15100</v>
      </c>
      <c r="AT10" s="1320">
        <v>9500</v>
      </c>
      <c r="AU10" s="1182">
        <v>9500</v>
      </c>
      <c r="AV10" s="1972"/>
      <c r="AW10" s="1165"/>
      <c r="AX10" s="1152"/>
      <c r="AY10" s="1176"/>
      <c r="AZ10" s="2060"/>
      <c r="BA10" s="1971"/>
      <c r="BB10" s="1972"/>
      <c r="BC10" s="1975"/>
      <c r="BD10" s="1972"/>
      <c r="BE10" s="1165"/>
      <c r="BF10" s="1972"/>
      <c r="BG10" s="1979"/>
      <c r="BH10" s="1977"/>
      <c r="BI10" s="1977"/>
      <c r="BJ10" s="1983"/>
      <c r="BK10" s="1972"/>
      <c r="BL10" s="1321"/>
      <c r="BM10" s="1972"/>
      <c r="BN10" s="1322" t="s">
        <v>1120</v>
      </c>
      <c r="BO10" s="1972"/>
      <c r="BP10" s="1322" t="s">
        <v>1120</v>
      </c>
      <c r="BQ10" s="2395"/>
      <c r="BR10" s="2400"/>
    </row>
    <row r="11" spans="1:70" s="25" customFormat="1" ht="12.75" customHeight="1">
      <c r="A11" s="2335"/>
      <c r="B11" s="2403" t="s">
        <v>1121</v>
      </c>
      <c r="C11" s="2214" t="s">
        <v>1016</v>
      </c>
      <c r="D11" s="1122" t="s">
        <v>554</v>
      </c>
      <c r="E11" s="1123"/>
      <c r="F11" s="1142">
        <v>118690</v>
      </c>
      <c r="G11" s="1143">
        <v>125570</v>
      </c>
      <c r="H11" s="1142">
        <v>95270</v>
      </c>
      <c r="I11" s="1143">
        <v>102150</v>
      </c>
      <c r="J11" s="1144" t="s">
        <v>255</v>
      </c>
      <c r="K11" s="1145">
        <v>1160</v>
      </c>
      <c r="L11" s="1146">
        <v>1220</v>
      </c>
      <c r="M11" s="1147" t="s">
        <v>1017</v>
      </c>
      <c r="N11" s="1145">
        <v>930</v>
      </c>
      <c r="O11" s="1146">
        <v>990</v>
      </c>
      <c r="P11" s="1147" t="s">
        <v>1017</v>
      </c>
      <c r="Q11" s="1144" t="s">
        <v>255</v>
      </c>
      <c r="R11" s="1148">
        <v>6880</v>
      </c>
      <c r="S11" s="1149">
        <v>60</v>
      </c>
      <c r="T11" s="2059"/>
      <c r="U11" s="32"/>
      <c r="V11" s="1165"/>
      <c r="W11" s="1972"/>
      <c r="X11" s="1166"/>
      <c r="Y11" s="1152"/>
      <c r="Z11" s="2060"/>
      <c r="AA11" s="1166"/>
      <c r="AB11" s="1972" t="s">
        <v>255</v>
      </c>
      <c r="AC11" s="2018">
        <v>30750</v>
      </c>
      <c r="AD11" s="1153"/>
      <c r="AE11" s="1972" t="s">
        <v>255</v>
      </c>
      <c r="AF11" s="1973">
        <v>230</v>
      </c>
      <c r="AG11" s="2060"/>
      <c r="AH11" s="2381" t="s">
        <v>279</v>
      </c>
      <c r="AI11" s="2059" t="s">
        <v>31</v>
      </c>
      <c r="AJ11" s="2382">
        <v>160</v>
      </c>
      <c r="AK11" s="2053" t="s">
        <v>255</v>
      </c>
      <c r="AL11" s="2378">
        <v>7900</v>
      </c>
      <c r="AM11" s="2375">
        <v>8700</v>
      </c>
      <c r="AN11" s="2378">
        <v>5500</v>
      </c>
      <c r="AO11" s="2375">
        <v>5500</v>
      </c>
      <c r="AP11" s="1959" t="s">
        <v>255</v>
      </c>
      <c r="AQ11" s="1154" t="s">
        <v>1019</v>
      </c>
      <c r="AR11" s="1306">
        <v>15800</v>
      </c>
      <c r="AS11" s="1307">
        <v>17600</v>
      </c>
      <c r="AT11" s="1323">
        <v>11000</v>
      </c>
      <c r="AU11" s="1314">
        <v>11000</v>
      </c>
      <c r="AV11" s="1972"/>
      <c r="AW11" s="1165"/>
      <c r="AX11" s="1968" t="s">
        <v>255</v>
      </c>
      <c r="AY11" s="1996">
        <v>4700</v>
      </c>
      <c r="AZ11" s="2060" t="s">
        <v>255</v>
      </c>
      <c r="BA11" s="1969">
        <v>10560</v>
      </c>
      <c r="BB11" s="1972" t="s">
        <v>255</v>
      </c>
      <c r="BC11" s="1973">
        <v>100</v>
      </c>
      <c r="BD11" s="1972"/>
      <c r="BE11" s="1165"/>
      <c r="BF11" s="1972" t="s">
        <v>78</v>
      </c>
      <c r="BG11" s="1998" t="s">
        <v>262</v>
      </c>
      <c r="BH11" s="1966" t="s">
        <v>262</v>
      </c>
      <c r="BI11" s="1966" t="s">
        <v>262</v>
      </c>
      <c r="BJ11" s="1980" t="s">
        <v>262</v>
      </c>
      <c r="BK11" s="1972" t="s">
        <v>78</v>
      </c>
      <c r="BL11" s="1310"/>
      <c r="BM11" s="1972" t="s">
        <v>78</v>
      </c>
      <c r="BN11" s="1310"/>
      <c r="BO11" s="1972" t="s">
        <v>78</v>
      </c>
      <c r="BP11" s="1310"/>
      <c r="BQ11" s="2395"/>
      <c r="BR11" s="2396"/>
    </row>
    <row r="12" spans="1:70" s="25" customFormat="1" ht="12.75" customHeight="1">
      <c r="A12" s="2335"/>
      <c r="B12" s="2402"/>
      <c r="C12" s="2215"/>
      <c r="D12" s="1133" t="s">
        <v>556</v>
      </c>
      <c r="E12" s="1123"/>
      <c r="F12" s="1158">
        <v>125570</v>
      </c>
      <c r="G12" s="1159">
        <v>182020</v>
      </c>
      <c r="H12" s="1158">
        <v>102150</v>
      </c>
      <c r="I12" s="1159">
        <v>158600</v>
      </c>
      <c r="J12" s="1144" t="s">
        <v>255</v>
      </c>
      <c r="K12" s="1160">
        <v>1220</v>
      </c>
      <c r="L12" s="1161">
        <v>1710</v>
      </c>
      <c r="M12" s="1162" t="s">
        <v>1017</v>
      </c>
      <c r="N12" s="1160">
        <v>990</v>
      </c>
      <c r="O12" s="1161">
        <v>1470</v>
      </c>
      <c r="P12" s="1162" t="s">
        <v>1017</v>
      </c>
      <c r="Q12" s="1144" t="s">
        <v>255</v>
      </c>
      <c r="R12" s="1163">
        <v>6880</v>
      </c>
      <c r="S12" s="1164">
        <v>60</v>
      </c>
      <c r="T12" s="2059"/>
      <c r="U12" s="32"/>
      <c r="V12" s="1165"/>
      <c r="W12" s="1972"/>
      <c r="X12" s="1166"/>
      <c r="Y12" s="1152"/>
      <c r="Z12" s="2060"/>
      <c r="AA12" s="1166"/>
      <c r="AB12" s="1972"/>
      <c r="AC12" s="2019"/>
      <c r="AD12" s="1167">
        <v>28990</v>
      </c>
      <c r="AE12" s="1972"/>
      <c r="AF12" s="1974"/>
      <c r="AG12" s="2060"/>
      <c r="AH12" s="2381"/>
      <c r="AI12" s="2059"/>
      <c r="AJ12" s="2382"/>
      <c r="AK12" s="2053"/>
      <c r="AL12" s="2379"/>
      <c r="AM12" s="2376"/>
      <c r="AN12" s="2379"/>
      <c r="AO12" s="2376"/>
      <c r="AP12" s="1959"/>
      <c r="AQ12" s="1168" t="s">
        <v>1020</v>
      </c>
      <c r="AR12" s="1311">
        <v>8700</v>
      </c>
      <c r="AS12" s="1312">
        <v>9700</v>
      </c>
      <c r="AT12" s="1323">
        <v>6100</v>
      </c>
      <c r="AU12" s="1314">
        <v>6100</v>
      </c>
      <c r="AV12" s="1972"/>
      <c r="AW12" s="1165"/>
      <c r="AX12" s="1968"/>
      <c r="AY12" s="1997"/>
      <c r="AZ12" s="2060"/>
      <c r="BA12" s="1970"/>
      <c r="BB12" s="1972"/>
      <c r="BC12" s="1974"/>
      <c r="BD12" s="1972"/>
      <c r="BE12" s="1165"/>
      <c r="BF12" s="1972"/>
      <c r="BG12" s="1999"/>
      <c r="BH12" s="1967"/>
      <c r="BI12" s="1967"/>
      <c r="BJ12" s="1981"/>
      <c r="BK12" s="1972"/>
      <c r="BL12" s="1315">
        <v>6360</v>
      </c>
      <c r="BM12" s="1972"/>
      <c r="BN12" s="1315">
        <v>20650</v>
      </c>
      <c r="BO12" s="1972"/>
      <c r="BP12" s="1315">
        <v>12580</v>
      </c>
      <c r="BQ12" s="2395"/>
      <c r="BR12" s="2397"/>
    </row>
    <row r="13" spans="1:70" s="25" customFormat="1" ht="12.75" customHeight="1">
      <c r="A13" s="2335"/>
      <c r="B13" s="2402"/>
      <c r="C13" s="2398" t="s">
        <v>1021</v>
      </c>
      <c r="D13" s="1133" t="s">
        <v>1022</v>
      </c>
      <c r="E13" s="1123"/>
      <c r="F13" s="1158">
        <v>182020</v>
      </c>
      <c r="G13" s="1159">
        <v>250850</v>
      </c>
      <c r="H13" s="1158">
        <v>158600</v>
      </c>
      <c r="I13" s="1159">
        <v>227430</v>
      </c>
      <c r="J13" s="1144" t="s">
        <v>255</v>
      </c>
      <c r="K13" s="1160">
        <v>1710</v>
      </c>
      <c r="L13" s="1161">
        <v>2390</v>
      </c>
      <c r="M13" s="1162" t="s">
        <v>1017</v>
      </c>
      <c r="N13" s="1160">
        <v>1470</v>
      </c>
      <c r="O13" s="1161">
        <v>2150</v>
      </c>
      <c r="P13" s="1162" t="s">
        <v>1017</v>
      </c>
      <c r="Q13" s="1172"/>
      <c r="R13" s="1173"/>
      <c r="S13" s="1174"/>
      <c r="T13" s="2059"/>
      <c r="U13" s="32"/>
      <c r="V13" s="1186"/>
      <c r="W13" s="1972"/>
      <c r="X13" s="1166"/>
      <c r="Y13" s="1152"/>
      <c r="Z13" s="2060"/>
      <c r="AA13" s="1166"/>
      <c r="AB13" s="1972" t="s">
        <v>255</v>
      </c>
      <c r="AC13" s="2054">
        <v>28990</v>
      </c>
      <c r="AD13" s="1175"/>
      <c r="AE13" s="1972"/>
      <c r="AF13" s="1974"/>
      <c r="AG13" s="2060"/>
      <c r="AH13" s="2383">
        <v>16970</v>
      </c>
      <c r="AI13" s="2059"/>
      <c r="AJ13" s="2382"/>
      <c r="AK13" s="2053"/>
      <c r="AL13" s="2379"/>
      <c r="AM13" s="2376"/>
      <c r="AN13" s="2379"/>
      <c r="AO13" s="2376"/>
      <c r="AP13" s="1959"/>
      <c r="AQ13" s="1168" t="s">
        <v>1023</v>
      </c>
      <c r="AR13" s="1311">
        <v>7600</v>
      </c>
      <c r="AS13" s="1312">
        <v>8400</v>
      </c>
      <c r="AT13" s="1323">
        <v>5300</v>
      </c>
      <c r="AU13" s="1314">
        <v>5300</v>
      </c>
      <c r="AV13" s="1972"/>
      <c r="AW13" s="1186"/>
      <c r="AX13" s="1152"/>
      <c r="AY13" s="1176"/>
      <c r="AZ13" s="2060"/>
      <c r="BA13" s="1970"/>
      <c r="BB13" s="1972"/>
      <c r="BC13" s="1974"/>
      <c r="BD13" s="1972"/>
      <c r="BE13" s="1186"/>
      <c r="BF13" s="1972"/>
      <c r="BG13" s="1978">
        <v>0.01</v>
      </c>
      <c r="BH13" s="1976">
        <v>0.03</v>
      </c>
      <c r="BI13" s="1976">
        <v>0.04</v>
      </c>
      <c r="BJ13" s="1982">
        <v>0.05</v>
      </c>
      <c r="BK13" s="1972"/>
      <c r="BL13" s="1317">
        <v>60</v>
      </c>
      <c r="BM13" s="1972"/>
      <c r="BN13" s="1317">
        <v>200</v>
      </c>
      <c r="BO13" s="1972"/>
      <c r="BP13" s="1317">
        <v>120</v>
      </c>
      <c r="BQ13" s="2395"/>
      <c r="BR13" s="2400"/>
    </row>
    <row r="14" spans="1:70" s="25" customFormat="1" ht="12.75" customHeight="1">
      <c r="A14" s="2335"/>
      <c r="B14" s="2402"/>
      <c r="C14" s="2399"/>
      <c r="D14" s="1126" t="s">
        <v>133</v>
      </c>
      <c r="E14" s="1123"/>
      <c r="F14" s="1177">
        <v>250850</v>
      </c>
      <c r="G14" s="1178"/>
      <c r="H14" s="1177">
        <v>227430</v>
      </c>
      <c r="I14" s="1178"/>
      <c r="J14" s="1144" t="s">
        <v>255</v>
      </c>
      <c r="K14" s="1163">
        <v>2390</v>
      </c>
      <c r="L14" s="1179"/>
      <c r="M14" s="1180" t="s">
        <v>1017</v>
      </c>
      <c r="N14" s="1163">
        <v>2150</v>
      </c>
      <c r="O14" s="1179"/>
      <c r="P14" s="1180" t="s">
        <v>1017</v>
      </c>
      <c r="Q14" s="1172"/>
      <c r="R14" s="1173"/>
      <c r="S14" s="1181"/>
      <c r="T14" s="2059"/>
      <c r="U14" s="32"/>
      <c r="V14" s="1186"/>
      <c r="W14" s="1972"/>
      <c r="X14" s="1166"/>
      <c r="Y14" s="1152"/>
      <c r="Z14" s="2060"/>
      <c r="AA14" s="1166"/>
      <c r="AB14" s="1972"/>
      <c r="AC14" s="2055"/>
      <c r="AD14" s="1182"/>
      <c r="AE14" s="1972"/>
      <c r="AF14" s="1975"/>
      <c r="AG14" s="2060"/>
      <c r="AH14" s="2383"/>
      <c r="AI14" s="2059"/>
      <c r="AJ14" s="2382"/>
      <c r="AK14" s="2053"/>
      <c r="AL14" s="2380"/>
      <c r="AM14" s="2377"/>
      <c r="AN14" s="2380"/>
      <c r="AO14" s="2377"/>
      <c r="AP14" s="1959"/>
      <c r="AQ14" s="1183" t="s">
        <v>1024</v>
      </c>
      <c r="AR14" s="1318">
        <v>6800</v>
      </c>
      <c r="AS14" s="1319">
        <v>7500</v>
      </c>
      <c r="AT14" s="1320">
        <v>4700</v>
      </c>
      <c r="AU14" s="1182">
        <v>4700</v>
      </c>
      <c r="AV14" s="1972"/>
      <c r="AW14" s="1186"/>
      <c r="AX14" s="1152"/>
      <c r="AY14" s="1176"/>
      <c r="AZ14" s="2060"/>
      <c r="BA14" s="1971"/>
      <c r="BB14" s="1972"/>
      <c r="BC14" s="1975"/>
      <c r="BD14" s="1972"/>
      <c r="BE14" s="1186"/>
      <c r="BF14" s="1972"/>
      <c r="BG14" s="1979"/>
      <c r="BH14" s="1977"/>
      <c r="BI14" s="1977"/>
      <c r="BJ14" s="1983"/>
      <c r="BK14" s="1972"/>
      <c r="BL14" s="1321"/>
      <c r="BM14" s="1972"/>
      <c r="BN14" s="1322" t="s">
        <v>1120</v>
      </c>
      <c r="BO14" s="1972"/>
      <c r="BP14" s="1322" t="s">
        <v>1120</v>
      </c>
      <c r="BQ14" s="2395"/>
      <c r="BR14" s="2400"/>
    </row>
    <row r="15" spans="1:70" s="25" customFormat="1" ht="12.75" customHeight="1">
      <c r="A15" s="2335"/>
      <c r="B15" s="2403" t="s">
        <v>1025</v>
      </c>
      <c r="C15" s="2214" t="s">
        <v>1016</v>
      </c>
      <c r="D15" s="1122" t="s">
        <v>554</v>
      </c>
      <c r="E15" s="1123"/>
      <c r="F15" s="1142">
        <v>85240</v>
      </c>
      <c r="G15" s="1143">
        <v>92120</v>
      </c>
      <c r="H15" s="1142">
        <v>69620</v>
      </c>
      <c r="I15" s="1143">
        <v>76500</v>
      </c>
      <c r="J15" s="1144" t="s">
        <v>255</v>
      </c>
      <c r="K15" s="1145">
        <v>830</v>
      </c>
      <c r="L15" s="1146">
        <v>890</v>
      </c>
      <c r="M15" s="1147" t="s">
        <v>1017</v>
      </c>
      <c r="N15" s="1145">
        <v>670</v>
      </c>
      <c r="O15" s="1146">
        <v>730</v>
      </c>
      <c r="P15" s="1147" t="s">
        <v>1017</v>
      </c>
      <c r="Q15" s="1144" t="s">
        <v>255</v>
      </c>
      <c r="R15" s="1148">
        <v>6880</v>
      </c>
      <c r="S15" s="1149">
        <v>60</v>
      </c>
      <c r="T15" s="2059"/>
      <c r="U15" s="32"/>
      <c r="V15" s="1186"/>
      <c r="W15" s="1972"/>
      <c r="X15" s="1166"/>
      <c r="Y15" s="1152"/>
      <c r="Z15" s="2060"/>
      <c r="AA15" s="1166"/>
      <c r="AB15" s="1972" t="s">
        <v>255</v>
      </c>
      <c r="AC15" s="2018">
        <v>22860</v>
      </c>
      <c r="AD15" s="1153"/>
      <c r="AE15" s="1972" t="s">
        <v>255</v>
      </c>
      <c r="AF15" s="1973">
        <v>150</v>
      </c>
      <c r="AG15" s="2060"/>
      <c r="AH15" s="2381" t="s">
        <v>280</v>
      </c>
      <c r="AI15" s="2059" t="s">
        <v>31</v>
      </c>
      <c r="AJ15" s="2382">
        <v>120</v>
      </c>
      <c r="AK15" s="2053" t="s">
        <v>255</v>
      </c>
      <c r="AL15" s="2378">
        <v>5500</v>
      </c>
      <c r="AM15" s="2375">
        <v>6000</v>
      </c>
      <c r="AN15" s="2378">
        <v>3800</v>
      </c>
      <c r="AO15" s="2375">
        <v>3800</v>
      </c>
      <c r="AP15" s="1959" t="s">
        <v>255</v>
      </c>
      <c r="AQ15" s="1154" t="s">
        <v>1019</v>
      </c>
      <c r="AR15" s="1306">
        <v>10900</v>
      </c>
      <c r="AS15" s="1307">
        <v>12200</v>
      </c>
      <c r="AT15" s="1323">
        <v>7600</v>
      </c>
      <c r="AU15" s="1314">
        <v>7600</v>
      </c>
      <c r="AV15" s="1972"/>
      <c r="AW15" s="1186"/>
      <c r="AX15" s="1968" t="s">
        <v>255</v>
      </c>
      <c r="AY15" s="1996">
        <v>4700</v>
      </c>
      <c r="AZ15" s="2060" t="s">
        <v>255</v>
      </c>
      <c r="BA15" s="1969">
        <v>7040</v>
      </c>
      <c r="BB15" s="1972" t="s">
        <v>255</v>
      </c>
      <c r="BC15" s="1973">
        <v>70</v>
      </c>
      <c r="BD15" s="1972"/>
      <c r="BE15" s="1186"/>
      <c r="BF15" s="1972" t="s">
        <v>78</v>
      </c>
      <c r="BG15" s="1998" t="s">
        <v>262</v>
      </c>
      <c r="BH15" s="1966" t="s">
        <v>262</v>
      </c>
      <c r="BI15" s="1966" t="s">
        <v>262</v>
      </c>
      <c r="BJ15" s="1980" t="s">
        <v>262</v>
      </c>
      <c r="BK15" s="1972" t="s">
        <v>78</v>
      </c>
      <c r="BL15" s="1310"/>
      <c r="BM15" s="1972" t="s">
        <v>78</v>
      </c>
      <c r="BN15" s="1310"/>
      <c r="BO15" s="1972" t="s">
        <v>78</v>
      </c>
      <c r="BP15" s="1310"/>
      <c r="BQ15" s="2395"/>
      <c r="BR15" s="2396"/>
    </row>
    <row r="16" spans="1:70" s="25" customFormat="1" ht="12.75" customHeight="1">
      <c r="A16" s="2335"/>
      <c r="B16" s="2402"/>
      <c r="C16" s="2215"/>
      <c r="D16" s="1133" t="s">
        <v>556</v>
      </c>
      <c r="E16" s="1123"/>
      <c r="F16" s="1158">
        <v>92120</v>
      </c>
      <c r="G16" s="1159">
        <v>148570</v>
      </c>
      <c r="H16" s="1158">
        <v>76500</v>
      </c>
      <c r="I16" s="1159">
        <v>132950</v>
      </c>
      <c r="J16" s="1144" t="s">
        <v>255</v>
      </c>
      <c r="K16" s="1160">
        <v>890</v>
      </c>
      <c r="L16" s="1161">
        <v>1370</v>
      </c>
      <c r="M16" s="1162" t="s">
        <v>1017</v>
      </c>
      <c r="N16" s="1160">
        <v>730</v>
      </c>
      <c r="O16" s="1161">
        <v>1220</v>
      </c>
      <c r="P16" s="1162" t="s">
        <v>1017</v>
      </c>
      <c r="Q16" s="1144" t="s">
        <v>255</v>
      </c>
      <c r="R16" s="1163">
        <v>6880</v>
      </c>
      <c r="S16" s="1164">
        <v>60</v>
      </c>
      <c r="T16" s="2059"/>
      <c r="U16" s="32"/>
      <c r="V16" s="1186"/>
      <c r="W16" s="1972"/>
      <c r="X16" s="1166"/>
      <c r="Y16" s="1152"/>
      <c r="Z16" s="2060"/>
      <c r="AA16" s="1166"/>
      <c r="AB16" s="1972"/>
      <c r="AC16" s="2019"/>
      <c r="AD16" s="1167">
        <v>21090</v>
      </c>
      <c r="AE16" s="1972"/>
      <c r="AF16" s="1974"/>
      <c r="AG16" s="2060"/>
      <c r="AH16" s="2381"/>
      <c r="AI16" s="2059"/>
      <c r="AJ16" s="2382"/>
      <c r="AK16" s="2053"/>
      <c r="AL16" s="2379"/>
      <c r="AM16" s="2376"/>
      <c r="AN16" s="2379"/>
      <c r="AO16" s="2376"/>
      <c r="AP16" s="1959"/>
      <c r="AQ16" s="1168" t="s">
        <v>1020</v>
      </c>
      <c r="AR16" s="1311">
        <v>6000</v>
      </c>
      <c r="AS16" s="1312">
        <v>6700</v>
      </c>
      <c r="AT16" s="1323">
        <v>4200</v>
      </c>
      <c r="AU16" s="1314">
        <v>4200</v>
      </c>
      <c r="AV16" s="1972"/>
      <c r="AW16" s="2061" t="s">
        <v>1122</v>
      </c>
      <c r="AX16" s="1968"/>
      <c r="AY16" s="1997"/>
      <c r="AZ16" s="2060"/>
      <c r="BA16" s="1970"/>
      <c r="BB16" s="1972"/>
      <c r="BC16" s="1974"/>
      <c r="BD16" s="1972"/>
      <c r="BE16" s="2061"/>
      <c r="BF16" s="1972"/>
      <c r="BG16" s="1999"/>
      <c r="BH16" s="1967"/>
      <c r="BI16" s="1967"/>
      <c r="BJ16" s="1981"/>
      <c r="BK16" s="1972"/>
      <c r="BL16" s="1315">
        <v>4240</v>
      </c>
      <c r="BM16" s="1972"/>
      <c r="BN16" s="1315">
        <v>13760</v>
      </c>
      <c r="BO16" s="1972"/>
      <c r="BP16" s="1315">
        <v>8380</v>
      </c>
      <c r="BQ16" s="2395"/>
      <c r="BR16" s="2397"/>
    </row>
    <row r="17" spans="1:70" s="25" customFormat="1" ht="12.75" customHeight="1">
      <c r="A17" s="2335"/>
      <c r="B17" s="2402"/>
      <c r="C17" s="2398" t="s">
        <v>1021</v>
      </c>
      <c r="D17" s="1133" t="s">
        <v>1022</v>
      </c>
      <c r="E17" s="1123"/>
      <c r="F17" s="1158">
        <v>148570</v>
      </c>
      <c r="G17" s="1159">
        <v>217400</v>
      </c>
      <c r="H17" s="1158">
        <v>132950</v>
      </c>
      <c r="I17" s="1159">
        <v>201780</v>
      </c>
      <c r="J17" s="1144" t="s">
        <v>255</v>
      </c>
      <c r="K17" s="1160">
        <v>1370</v>
      </c>
      <c r="L17" s="1161">
        <v>2050</v>
      </c>
      <c r="M17" s="1162" t="s">
        <v>1017</v>
      </c>
      <c r="N17" s="1160">
        <v>1220</v>
      </c>
      <c r="O17" s="1161">
        <v>1900</v>
      </c>
      <c r="P17" s="1162" t="s">
        <v>1017</v>
      </c>
      <c r="Q17" s="1172"/>
      <c r="R17" s="1173"/>
      <c r="S17" s="1174"/>
      <c r="T17" s="2059"/>
      <c r="U17" s="32"/>
      <c r="V17" s="1186"/>
      <c r="W17" s="1972"/>
      <c r="X17" s="1166"/>
      <c r="Y17" s="1152"/>
      <c r="Z17" s="2060"/>
      <c r="AA17" s="1166"/>
      <c r="AB17" s="1972" t="s">
        <v>255</v>
      </c>
      <c r="AC17" s="2054">
        <v>21090</v>
      </c>
      <c r="AD17" s="1175"/>
      <c r="AE17" s="1972"/>
      <c r="AF17" s="1974">
        <v>0</v>
      </c>
      <c r="AG17" s="2060"/>
      <c r="AH17" s="2383">
        <v>12120</v>
      </c>
      <c r="AI17" s="2059"/>
      <c r="AJ17" s="2382"/>
      <c r="AK17" s="2053"/>
      <c r="AL17" s="2379"/>
      <c r="AM17" s="2376"/>
      <c r="AN17" s="2379"/>
      <c r="AO17" s="2376"/>
      <c r="AP17" s="1959"/>
      <c r="AQ17" s="1168" t="s">
        <v>1023</v>
      </c>
      <c r="AR17" s="1311">
        <v>5200</v>
      </c>
      <c r="AS17" s="1312">
        <v>5800</v>
      </c>
      <c r="AT17" s="1323">
        <v>3600</v>
      </c>
      <c r="AU17" s="1314">
        <v>3600</v>
      </c>
      <c r="AV17" s="1972"/>
      <c r="AW17" s="2061"/>
      <c r="AX17" s="1152"/>
      <c r="AY17" s="1176"/>
      <c r="AZ17" s="2060"/>
      <c r="BA17" s="1970"/>
      <c r="BB17" s="1972"/>
      <c r="BC17" s="1974"/>
      <c r="BD17" s="1972"/>
      <c r="BE17" s="2061"/>
      <c r="BF17" s="1972"/>
      <c r="BG17" s="1978">
        <v>0.01</v>
      </c>
      <c r="BH17" s="1976">
        <v>0.03</v>
      </c>
      <c r="BI17" s="1976">
        <v>0.04</v>
      </c>
      <c r="BJ17" s="1982">
        <v>0.05</v>
      </c>
      <c r="BK17" s="1972"/>
      <c r="BL17" s="1317">
        <v>40</v>
      </c>
      <c r="BM17" s="1972"/>
      <c r="BN17" s="1317">
        <v>130</v>
      </c>
      <c r="BO17" s="1972"/>
      <c r="BP17" s="1317">
        <v>80</v>
      </c>
      <c r="BQ17" s="2395"/>
      <c r="BR17" s="2400"/>
    </row>
    <row r="18" spans="1:70" s="25" customFormat="1" ht="12.75" customHeight="1">
      <c r="A18" s="2335"/>
      <c r="B18" s="2402"/>
      <c r="C18" s="2399"/>
      <c r="D18" s="1126" t="s">
        <v>133</v>
      </c>
      <c r="E18" s="1123"/>
      <c r="F18" s="1177">
        <v>217400</v>
      </c>
      <c r="G18" s="1178"/>
      <c r="H18" s="1177">
        <v>201780</v>
      </c>
      <c r="I18" s="1178"/>
      <c r="J18" s="1144" t="s">
        <v>255</v>
      </c>
      <c r="K18" s="1163">
        <v>2050</v>
      </c>
      <c r="L18" s="1179"/>
      <c r="M18" s="1180" t="s">
        <v>1017</v>
      </c>
      <c r="N18" s="1163">
        <v>1900</v>
      </c>
      <c r="O18" s="1179"/>
      <c r="P18" s="1180" t="s">
        <v>1017</v>
      </c>
      <c r="Q18" s="1172"/>
      <c r="R18" s="1173"/>
      <c r="S18" s="1181"/>
      <c r="T18" s="2059"/>
      <c r="U18" s="32"/>
      <c r="V18" s="1186"/>
      <c r="W18" s="1972"/>
      <c r="X18" s="1166"/>
      <c r="Y18" s="1152"/>
      <c r="Z18" s="2060"/>
      <c r="AA18" s="1166"/>
      <c r="AB18" s="1972"/>
      <c r="AC18" s="2055"/>
      <c r="AD18" s="1182"/>
      <c r="AE18" s="1972"/>
      <c r="AF18" s="1975"/>
      <c r="AG18" s="2060"/>
      <c r="AH18" s="2383"/>
      <c r="AI18" s="2059"/>
      <c r="AJ18" s="2382"/>
      <c r="AK18" s="2053"/>
      <c r="AL18" s="2380"/>
      <c r="AM18" s="2377"/>
      <c r="AN18" s="2380"/>
      <c r="AO18" s="2377"/>
      <c r="AP18" s="1959"/>
      <c r="AQ18" s="1183" t="s">
        <v>1024</v>
      </c>
      <c r="AR18" s="1318">
        <v>4700</v>
      </c>
      <c r="AS18" s="1319">
        <v>5200</v>
      </c>
      <c r="AT18" s="1320">
        <v>3300</v>
      </c>
      <c r="AU18" s="1182">
        <v>3300</v>
      </c>
      <c r="AV18" s="1972"/>
      <c r="AW18" s="2061"/>
      <c r="AX18" s="1152"/>
      <c r="AY18" s="1176"/>
      <c r="AZ18" s="2060"/>
      <c r="BA18" s="1971"/>
      <c r="BB18" s="1972"/>
      <c r="BC18" s="1975"/>
      <c r="BD18" s="1972"/>
      <c r="BE18" s="2061"/>
      <c r="BF18" s="1972"/>
      <c r="BG18" s="1979"/>
      <c r="BH18" s="1977"/>
      <c r="BI18" s="1977"/>
      <c r="BJ18" s="1983"/>
      <c r="BK18" s="1972"/>
      <c r="BL18" s="1321"/>
      <c r="BM18" s="1972"/>
      <c r="BN18" s="1322" t="s">
        <v>1120</v>
      </c>
      <c r="BO18" s="1972"/>
      <c r="BP18" s="1322" t="s">
        <v>1120</v>
      </c>
      <c r="BQ18" s="2395"/>
      <c r="BR18" s="2400"/>
    </row>
    <row r="19" spans="1:70" ht="12.75" customHeight="1">
      <c r="A19" s="2335"/>
      <c r="B19" s="2403" t="s">
        <v>1026</v>
      </c>
      <c r="C19" s="2214" t="s">
        <v>1016</v>
      </c>
      <c r="D19" s="1122" t="s">
        <v>554</v>
      </c>
      <c r="E19" s="1123"/>
      <c r="F19" s="1142">
        <v>68650</v>
      </c>
      <c r="G19" s="1143">
        <v>75530</v>
      </c>
      <c r="H19" s="1142">
        <v>56940</v>
      </c>
      <c r="I19" s="1143">
        <v>63820</v>
      </c>
      <c r="J19" s="1144" t="s">
        <v>255</v>
      </c>
      <c r="K19" s="1145">
        <v>660</v>
      </c>
      <c r="L19" s="1146">
        <v>720</v>
      </c>
      <c r="M19" s="1147" t="s">
        <v>1017</v>
      </c>
      <c r="N19" s="1145">
        <v>550</v>
      </c>
      <c r="O19" s="1146">
        <v>610</v>
      </c>
      <c r="P19" s="1147" t="s">
        <v>1017</v>
      </c>
      <c r="Q19" s="1144" t="s">
        <v>255</v>
      </c>
      <c r="R19" s="1148">
        <v>6880</v>
      </c>
      <c r="S19" s="1149">
        <v>60</v>
      </c>
      <c r="T19" s="2059"/>
      <c r="U19" s="32"/>
      <c r="V19" s="2061" t="s">
        <v>1028</v>
      </c>
      <c r="W19" s="1972"/>
      <c r="X19" s="2062" t="s">
        <v>1028</v>
      </c>
      <c r="Y19" s="1187"/>
      <c r="Z19" s="2060"/>
      <c r="AA19" s="1188"/>
      <c r="AB19" s="1972" t="s">
        <v>255</v>
      </c>
      <c r="AC19" s="2018">
        <v>18910</v>
      </c>
      <c r="AD19" s="1153"/>
      <c r="AE19" s="1972" t="s">
        <v>255</v>
      </c>
      <c r="AF19" s="1973">
        <v>110</v>
      </c>
      <c r="AG19" s="2060"/>
      <c r="AH19" s="2381" t="s">
        <v>281</v>
      </c>
      <c r="AI19" s="2059" t="s">
        <v>31</v>
      </c>
      <c r="AJ19" s="2382">
        <v>90</v>
      </c>
      <c r="AK19" s="2053" t="s">
        <v>255</v>
      </c>
      <c r="AL19" s="2378">
        <v>4800</v>
      </c>
      <c r="AM19" s="2375">
        <v>5300</v>
      </c>
      <c r="AN19" s="2378">
        <v>3300</v>
      </c>
      <c r="AO19" s="2375">
        <v>3300</v>
      </c>
      <c r="AP19" s="1959" t="s">
        <v>255</v>
      </c>
      <c r="AQ19" s="1154" t="s">
        <v>1019</v>
      </c>
      <c r="AR19" s="1306">
        <v>9800</v>
      </c>
      <c r="AS19" s="1307">
        <v>10900</v>
      </c>
      <c r="AT19" s="1323">
        <v>6800</v>
      </c>
      <c r="AU19" s="1314">
        <v>6800</v>
      </c>
      <c r="AV19" s="1972"/>
      <c r="AW19" s="1165" t="s">
        <v>1088</v>
      </c>
      <c r="AX19" s="1968" t="s">
        <v>255</v>
      </c>
      <c r="AY19" s="1996">
        <v>4700</v>
      </c>
      <c r="AZ19" s="2060" t="s">
        <v>255</v>
      </c>
      <c r="BA19" s="1969">
        <v>5280</v>
      </c>
      <c r="BB19" s="1972" t="s">
        <v>255</v>
      </c>
      <c r="BC19" s="1973">
        <v>50</v>
      </c>
      <c r="BD19" s="1972"/>
      <c r="BE19" s="1165"/>
      <c r="BF19" s="1972" t="s">
        <v>78</v>
      </c>
      <c r="BG19" s="1998" t="s">
        <v>262</v>
      </c>
      <c r="BH19" s="1966" t="s">
        <v>262</v>
      </c>
      <c r="BI19" s="1966" t="s">
        <v>262</v>
      </c>
      <c r="BJ19" s="1980" t="s">
        <v>262</v>
      </c>
      <c r="BK19" s="1972" t="s">
        <v>78</v>
      </c>
      <c r="BL19" s="1310"/>
      <c r="BM19" s="1972" t="s">
        <v>78</v>
      </c>
      <c r="BN19" s="1310"/>
      <c r="BO19" s="1972" t="s">
        <v>78</v>
      </c>
      <c r="BP19" s="1310"/>
      <c r="BQ19" s="2395"/>
      <c r="BR19" s="2396"/>
    </row>
    <row r="20" spans="1:70" ht="12.75" customHeight="1">
      <c r="A20" s="2335"/>
      <c r="B20" s="2402"/>
      <c r="C20" s="2215"/>
      <c r="D20" s="1133" t="s">
        <v>556</v>
      </c>
      <c r="E20" s="1123"/>
      <c r="F20" s="1158">
        <v>75530</v>
      </c>
      <c r="G20" s="1159">
        <v>131980</v>
      </c>
      <c r="H20" s="1158">
        <v>63820</v>
      </c>
      <c r="I20" s="1159">
        <v>120270</v>
      </c>
      <c r="J20" s="1144" t="s">
        <v>255</v>
      </c>
      <c r="K20" s="1160">
        <v>720</v>
      </c>
      <c r="L20" s="1161">
        <v>1210</v>
      </c>
      <c r="M20" s="1162" t="s">
        <v>1017</v>
      </c>
      <c r="N20" s="1160">
        <v>610</v>
      </c>
      <c r="O20" s="1161">
        <v>1090</v>
      </c>
      <c r="P20" s="1162" t="s">
        <v>1017</v>
      </c>
      <c r="Q20" s="1144" t="s">
        <v>255</v>
      </c>
      <c r="R20" s="1163">
        <v>6880</v>
      </c>
      <c r="S20" s="1164">
        <v>60</v>
      </c>
      <c r="T20" s="2059"/>
      <c r="U20" s="32"/>
      <c r="V20" s="2061"/>
      <c r="W20" s="1972"/>
      <c r="X20" s="2062"/>
      <c r="Y20" s="1187"/>
      <c r="Z20" s="2060"/>
      <c r="AA20" s="1188"/>
      <c r="AB20" s="1972"/>
      <c r="AC20" s="2019"/>
      <c r="AD20" s="1167">
        <v>17140</v>
      </c>
      <c r="AE20" s="1972"/>
      <c r="AF20" s="1974"/>
      <c r="AG20" s="2060"/>
      <c r="AH20" s="2381"/>
      <c r="AI20" s="2059"/>
      <c r="AJ20" s="2382"/>
      <c r="AK20" s="2053"/>
      <c r="AL20" s="2379"/>
      <c r="AM20" s="2376"/>
      <c r="AN20" s="2379"/>
      <c r="AO20" s="2376"/>
      <c r="AP20" s="1959"/>
      <c r="AQ20" s="1168" t="s">
        <v>1020</v>
      </c>
      <c r="AR20" s="1311">
        <v>5400</v>
      </c>
      <c r="AS20" s="1312">
        <v>6000</v>
      </c>
      <c r="AT20" s="1323">
        <v>3700</v>
      </c>
      <c r="AU20" s="1314">
        <v>3700</v>
      </c>
      <c r="AV20" s="1972"/>
      <c r="AW20" s="1165">
        <v>27330</v>
      </c>
      <c r="AX20" s="1968"/>
      <c r="AY20" s="1997"/>
      <c r="AZ20" s="2060"/>
      <c r="BA20" s="1970"/>
      <c r="BB20" s="1972"/>
      <c r="BC20" s="1974"/>
      <c r="BD20" s="1972"/>
      <c r="BE20" s="1165"/>
      <c r="BF20" s="1972"/>
      <c r="BG20" s="1999"/>
      <c r="BH20" s="1967"/>
      <c r="BI20" s="1967"/>
      <c r="BJ20" s="1981"/>
      <c r="BK20" s="1972"/>
      <c r="BL20" s="1315">
        <v>3180</v>
      </c>
      <c r="BM20" s="1972"/>
      <c r="BN20" s="1315">
        <v>10320</v>
      </c>
      <c r="BO20" s="1972"/>
      <c r="BP20" s="1315">
        <v>6290</v>
      </c>
      <c r="BQ20" s="2395"/>
      <c r="BR20" s="2397"/>
    </row>
    <row r="21" spans="1:70" ht="12.75" customHeight="1">
      <c r="A21" s="2335"/>
      <c r="B21" s="2402"/>
      <c r="C21" s="2398" t="s">
        <v>1021</v>
      </c>
      <c r="D21" s="1133" t="s">
        <v>1022</v>
      </c>
      <c r="E21" s="1123"/>
      <c r="F21" s="1158">
        <v>131980</v>
      </c>
      <c r="G21" s="1159">
        <v>200810</v>
      </c>
      <c r="H21" s="1158">
        <v>120270</v>
      </c>
      <c r="I21" s="1159">
        <v>189100</v>
      </c>
      <c r="J21" s="1144" t="s">
        <v>255</v>
      </c>
      <c r="K21" s="1160">
        <v>1210</v>
      </c>
      <c r="L21" s="1161">
        <v>1890</v>
      </c>
      <c r="M21" s="1162" t="s">
        <v>1017</v>
      </c>
      <c r="N21" s="1160">
        <v>1090</v>
      </c>
      <c r="O21" s="1161">
        <v>1770</v>
      </c>
      <c r="P21" s="1162" t="s">
        <v>1017</v>
      </c>
      <c r="Q21" s="1172"/>
      <c r="R21" s="1173"/>
      <c r="S21" s="1174"/>
      <c r="T21" s="2059"/>
      <c r="U21" s="32"/>
      <c r="V21" s="2061"/>
      <c r="W21" s="1972"/>
      <c r="X21" s="2062"/>
      <c r="Y21" s="1187"/>
      <c r="Z21" s="2060"/>
      <c r="AA21" s="1188"/>
      <c r="AB21" s="1972" t="s">
        <v>255</v>
      </c>
      <c r="AC21" s="2054">
        <v>17140</v>
      </c>
      <c r="AD21" s="1175"/>
      <c r="AE21" s="1972"/>
      <c r="AF21" s="1974">
        <v>0</v>
      </c>
      <c r="AG21" s="2060"/>
      <c r="AH21" s="2383">
        <v>9430</v>
      </c>
      <c r="AI21" s="2059"/>
      <c r="AJ21" s="2382"/>
      <c r="AK21" s="2053"/>
      <c r="AL21" s="2379"/>
      <c r="AM21" s="2376"/>
      <c r="AN21" s="2379"/>
      <c r="AO21" s="2376"/>
      <c r="AP21" s="1959"/>
      <c r="AQ21" s="1168" t="s">
        <v>1023</v>
      </c>
      <c r="AR21" s="1311">
        <v>4700</v>
      </c>
      <c r="AS21" s="1312">
        <v>5200</v>
      </c>
      <c r="AT21" s="1323">
        <v>3300</v>
      </c>
      <c r="AU21" s="1314">
        <v>3300</v>
      </c>
      <c r="AV21" s="1972"/>
      <c r="AW21" s="1190"/>
      <c r="AX21" s="1152"/>
      <c r="AY21" s="1176"/>
      <c r="AZ21" s="2060"/>
      <c r="BA21" s="1970"/>
      <c r="BB21" s="1972"/>
      <c r="BC21" s="1974"/>
      <c r="BD21" s="1972"/>
      <c r="BE21" s="1190"/>
      <c r="BF21" s="1972"/>
      <c r="BG21" s="1978">
        <v>0.02</v>
      </c>
      <c r="BH21" s="1976">
        <v>0.03</v>
      </c>
      <c r="BI21" s="1976">
        <v>0.04</v>
      </c>
      <c r="BJ21" s="1982">
        <v>0.06</v>
      </c>
      <c r="BK21" s="1972"/>
      <c r="BL21" s="1317">
        <v>30</v>
      </c>
      <c r="BM21" s="1972"/>
      <c r="BN21" s="1317">
        <v>100</v>
      </c>
      <c r="BO21" s="1972"/>
      <c r="BP21" s="1317">
        <v>60</v>
      </c>
      <c r="BQ21" s="2395"/>
      <c r="BR21" s="2400"/>
    </row>
    <row r="22" spans="1:70" ht="12.75" customHeight="1">
      <c r="A22" s="2335"/>
      <c r="B22" s="2402"/>
      <c r="C22" s="2399"/>
      <c r="D22" s="1126" t="s">
        <v>133</v>
      </c>
      <c r="E22" s="1123"/>
      <c r="F22" s="1177">
        <v>200810</v>
      </c>
      <c r="G22" s="1178"/>
      <c r="H22" s="1177">
        <v>189100</v>
      </c>
      <c r="I22" s="1178"/>
      <c r="J22" s="1144" t="s">
        <v>255</v>
      </c>
      <c r="K22" s="1163">
        <v>1890</v>
      </c>
      <c r="L22" s="1179"/>
      <c r="M22" s="1180" t="s">
        <v>1017</v>
      </c>
      <c r="N22" s="1163">
        <v>1770</v>
      </c>
      <c r="O22" s="1179"/>
      <c r="P22" s="1180" t="s">
        <v>1017</v>
      </c>
      <c r="Q22" s="1172"/>
      <c r="R22" s="1173"/>
      <c r="S22" s="1181"/>
      <c r="T22" s="2059"/>
      <c r="U22" s="32"/>
      <c r="V22" s="1165" t="s">
        <v>1029</v>
      </c>
      <c r="W22" s="1972"/>
      <c r="X22" s="1165" t="s">
        <v>1029</v>
      </c>
      <c r="Y22" s="1189"/>
      <c r="Z22" s="2060"/>
      <c r="AA22" s="1165"/>
      <c r="AB22" s="1972"/>
      <c r="AC22" s="2055"/>
      <c r="AD22" s="1182"/>
      <c r="AE22" s="1972"/>
      <c r="AF22" s="1975"/>
      <c r="AG22" s="2060"/>
      <c r="AH22" s="2383"/>
      <c r="AI22" s="2059"/>
      <c r="AJ22" s="2382"/>
      <c r="AK22" s="2053"/>
      <c r="AL22" s="2380"/>
      <c r="AM22" s="2377"/>
      <c r="AN22" s="2380"/>
      <c r="AO22" s="2377"/>
      <c r="AP22" s="1959"/>
      <c r="AQ22" s="1183" t="s">
        <v>1024</v>
      </c>
      <c r="AR22" s="1318">
        <v>4200</v>
      </c>
      <c r="AS22" s="1319">
        <v>4600</v>
      </c>
      <c r="AT22" s="1320">
        <v>2900</v>
      </c>
      <c r="AU22" s="1182">
        <v>2900</v>
      </c>
      <c r="AV22" s="1972"/>
      <c r="AW22" s="1165" t="s">
        <v>1090</v>
      </c>
      <c r="AX22" s="1152"/>
      <c r="AY22" s="1176"/>
      <c r="AZ22" s="2060"/>
      <c r="BA22" s="1971"/>
      <c r="BB22" s="1972"/>
      <c r="BC22" s="1975"/>
      <c r="BD22" s="1972"/>
      <c r="BE22" s="1165"/>
      <c r="BF22" s="1972"/>
      <c r="BG22" s="1979"/>
      <c r="BH22" s="1977"/>
      <c r="BI22" s="1977"/>
      <c r="BJ22" s="1983"/>
      <c r="BK22" s="1972"/>
      <c r="BL22" s="1321"/>
      <c r="BM22" s="1972"/>
      <c r="BN22" s="1322" t="s">
        <v>1120</v>
      </c>
      <c r="BO22" s="1972"/>
      <c r="BP22" s="1322" t="s">
        <v>1120</v>
      </c>
      <c r="BQ22" s="2395"/>
      <c r="BR22" s="2400"/>
    </row>
    <row r="23" spans="1:70" ht="12.75" customHeight="1">
      <c r="A23" s="2335"/>
      <c r="B23" s="2401" t="s">
        <v>1027</v>
      </c>
      <c r="C23" s="2214" t="s">
        <v>1016</v>
      </c>
      <c r="D23" s="1122" t="s">
        <v>554</v>
      </c>
      <c r="E23" s="1123"/>
      <c r="F23" s="1142">
        <v>63790</v>
      </c>
      <c r="G23" s="1143">
        <v>70670</v>
      </c>
      <c r="H23" s="1142">
        <v>54420</v>
      </c>
      <c r="I23" s="1143">
        <v>61300</v>
      </c>
      <c r="J23" s="1144" t="s">
        <v>255</v>
      </c>
      <c r="K23" s="1145">
        <v>610</v>
      </c>
      <c r="L23" s="1146">
        <v>670</v>
      </c>
      <c r="M23" s="1147" t="s">
        <v>1017</v>
      </c>
      <c r="N23" s="1145">
        <v>520</v>
      </c>
      <c r="O23" s="1146">
        <v>580</v>
      </c>
      <c r="P23" s="1147" t="s">
        <v>1017</v>
      </c>
      <c r="Q23" s="1144" t="s">
        <v>255</v>
      </c>
      <c r="R23" s="1148">
        <v>6880</v>
      </c>
      <c r="S23" s="1149">
        <v>60</v>
      </c>
      <c r="T23" s="2059"/>
      <c r="U23" s="32"/>
      <c r="V23" s="1165">
        <v>240600</v>
      </c>
      <c r="W23" s="1972"/>
      <c r="X23" s="1166">
        <v>2400</v>
      </c>
      <c r="Y23" s="1152"/>
      <c r="Z23" s="2060"/>
      <c r="AA23" s="1166"/>
      <c r="AB23" s="1972" t="s">
        <v>255</v>
      </c>
      <c r="AC23" s="2018">
        <v>16540</v>
      </c>
      <c r="AD23" s="1153"/>
      <c r="AE23" s="1972" t="s">
        <v>255</v>
      </c>
      <c r="AF23" s="1973">
        <v>90</v>
      </c>
      <c r="AG23" s="2060"/>
      <c r="AH23" s="2381" t="s">
        <v>282</v>
      </c>
      <c r="AI23" s="2059" t="s">
        <v>31</v>
      </c>
      <c r="AJ23" s="2382">
        <v>70</v>
      </c>
      <c r="AK23" s="2053" t="s">
        <v>255</v>
      </c>
      <c r="AL23" s="2378">
        <v>4300</v>
      </c>
      <c r="AM23" s="2375">
        <v>4800</v>
      </c>
      <c r="AN23" s="2378">
        <v>3000</v>
      </c>
      <c r="AO23" s="2375">
        <v>3000</v>
      </c>
      <c r="AP23" s="1959" t="s">
        <v>255</v>
      </c>
      <c r="AQ23" s="1154" t="s">
        <v>1019</v>
      </c>
      <c r="AR23" s="1306">
        <v>8800</v>
      </c>
      <c r="AS23" s="1307">
        <v>9800</v>
      </c>
      <c r="AT23" s="1323">
        <v>6100</v>
      </c>
      <c r="AU23" s="1314">
        <v>6100</v>
      </c>
      <c r="AV23" s="1972"/>
      <c r="AW23" s="1165">
        <v>16800</v>
      </c>
      <c r="AX23" s="1968" t="s">
        <v>255</v>
      </c>
      <c r="AY23" s="1996">
        <v>4700</v>
      </c>
      <c r="AZ23" s="2060" t="s">
        <v>255</v>
      </c>
      <c r="BA23" s="1969">
        <v>4220</v>
      </c>
      <c r="BB23" s="1972" t="s">
        <v>255</v>
      </c>
      <c r="BC23" s="1973">
        <v>40</v>
      </c>
      <c r="BD23" s="1972"/>
      <c r="BE23" s="1165"/>
      <c r="BF23" s="1972" t="s">
        <v>78</v>
      </c>
      <c r="BG23" s="1998" t="s">
        <v>262</v>
      </c>
      <c r="BH23" s="1966" t="s">
        <v>262</v>
      </c>
      <c r="BI23" s="1966" t="s">
        <v>262</v>
      </c>
      <c r="BJ23" s="1980" t="s">
        <v>262</v>
      </c>
      <c r="BK23" s="1972" t="s">
        <v>78</v>
      </c>
      <c r="BL23" s="1310"/>
      <c r="BM23" s="1972" t="s">
        <v>78</v>
      </c>
      <c r="BN23" s="1310"/>
      <c r="BO23" s="1972" t="s">
        <v>78</v>
      </c>
      <c r="BP23" s="1310"/>
      <c r="BQ23" s="2395"/>
      <c r="BR23" s="2396"/>
    </row>
    <row r="24" spans="1:70" ht="12.75" customHeight="1">
      <c r="A24" s="2335"/>
      <c r="B24" s="2402"/>
      <c r="C24" s="2215"/>
      <c r="D24" s="1133" t="s">
        <v>556</v>
      </c>
      <c r="E24" s="1123"/>
      <c r="F24" s="1158">
        <v>70670</v>
      </c>
      <c r="G24" s="1159">
        <v>127120</v>
      </c>
      <c r="H24" s="1158">
        <v>61300</v>
      </c>
      <c r="I24" s="1159">
        <v>117750</v>
      </c>
      <c r="J24" s="1144" t="s">
        <v>255</v>
      </c>
      <c r="K24" s="1160">
        <v>670</v>
      </c>
      <c r="L24" s="1161">
        <v>1160</v>
      </c>
      <c r="M24" s="1162" t="s">
        <v>1017</v>
      </c>
      <c r="N24" s="1160">
        <v>580</v>
      </c>
      <c r="O24" s="1161">
        <v>1060</v>
      </c>
      <c r="P24" s="1162" t="s">
        <v>1017</v>
      </c>
      <c r="Q24" s="1144" t="s">
        <v>255</v>
      </c>
      <c r="R24" s="1163">
        <v>6880</v>
      </c>
      <c r="S24" s="1164">
        <v>60</v>
      </c>
      <c r="T24" s="2059"/>
      <c r="U24" s="32"/>
      <c r="V24" s="1190"/>
      <c r="W24" s="1972"/>
      <c r="X24" s="1191"/>
      <c r="Y24" s="1192"/>
      <c r="Z24" s="2060"/>
      <c r="AA24" s="1190"/>
      <c r="AB24" s="1972"/>
      <c r="AC24" s="2019"/>
      <c r="AD24" s="1167">
        <v>14770</v>
      </c>
      <c r="AE24" s="1972"/>
      <c r="AF24" s="1974"/>
      <c r="AG24" s="2060"/>
      <c r="AH24" s="2381"/>
      <c r="AI24" s="2059"/>
      <c r="AJ24" s="2382"/>
      <c r="AK24" s="2053"/>
      <c r="AL24" s="2379"/>
      <c r="AM24" s="2376"/>
      <c r="AN24" s="2379"/>
      <c r="AO24" s="2376"/>
      <c r="AP24" s="1959"/>
      <c r="AQ24" s="1168" t="s">
        <v>1020</v>
      </c>
      <c r="AR24" s="1311">
        <v>4800</v>
      </c>
      <c r="AS24" s="1312">
        <v>5400</v>
      </c>
      <c r="AT24" s="1323">
        <v>3400</v>
      </c>
      <c r="AU24" s="1314">
        <v>3400</v>
      </c>
      <c r="AV24" s="1972"/>
      <c r="AW24" s="1190"/>
      <c r="AX24" s="1968"/>
      <c r="AY24" s="1997"/>
      <c r="AZ24" s="2060"/>
      <c r="BA24" s="1970"/>
      <c r="BB24" s="1972"/>
      <c r="BC24" s="1974"/>
      <c r="BD24" s="1972"/>
      <c r="BE24" s="1190"/>
      <c r="BF24" s="1972"/>
      <c r="BG24" s="1999"/>
      <c r="BH24" s="1967"/>
      <c r="BI24" s="1967"/>
      <c r="BJ24" s="1981"/>
      <c r="BK24" s="1972"/>
      <c r="BL24" s="1315">
        <v>2540</v>
      </c>
      <c r="BM24" s="1972"/>
      <c r="BN24" s="1315">
        <v>8260</v>
      </c>
      <c r="BO24" s="1972"/>
      <c r="BP24" s="1315">
        <v>5030</v>
      </c>
      <c r="BQ24" s="2395"/>
      <c r="BR24" s="2397"/>
    </row>
    <row r="25" spans="1:70" s="5" customFormat="1" ht="12.75" customHeight="1">
      <c r="A25" s="2335"/>
      <c r="B25" s="2402"/>
      <c r="C25" s="2398" t="s">
        <v>1021</v>
      </c>
      <c r="D25" s="1133" t="s">
        <v>1022</v>
      </c>
      <c r="E25" s="1123"/>
      <c r="F25" s="1158">
        <v>127120</v>
      </c>
      <c r="G25" s="1159">
        <v>195950</v>
      </c>
      <c r="H25" s="1158">
        <v>117750</v>
      </c>
      <c r="I25" s="1159">
        <v>186580</v>
      </c>
      <c r="J25" s="1144" t="s">
        <v>255</v>
      </c>
      <c r="K25" s="1160">
        <v>1160</v>
      </c>
      <c r="L25" s="1161">
        <v>1840</v>
      </c>
      <c r="M25" s="1162" t="s">
        <v>1017</v>
      </c>
      <c r="N25" s="1160">
        <v>1060</v>
      </c>
      <c r="O25" s="1161">
        <v>1740</v>
      </c>
      <c r="P25" s="1162" t="s">
        <v>1017</v>
      </c>
      <c r="Q25" s="1172"/>
      <c r="R25" s="1173"/>
      <c r="S25" s="1174"/>
      <c r="T25" s="2059"/>
      <c r="U25" s="32"/>
      <c r="V25" s="1165" t="s">
        <v>1031</v>
      </c>
      <c r="W25" s="1972"/>
      <c r="X25" s="1165" t="s">
        <v>1031</v>
      </c>
      <c r="Y25" s="1189"/>
      <c r="Z25" s="2060"/>
      <c r="AA25" s="1165"/>
      <c r="AB25" s="1972" t="s">
        <v>255</v>
      </c>
      <c r="AC25" s="2054">
        <v>14770</v>
      </c>
      <c r="AD25" s="1175"/>
      <c r="AE25" s="1972"/>
      <c r="AF25" s="1974">
        <v>0</v>
      </c>
      <c r="AG25" s="2060"/>
      <c r="AH25" s="2383">
        <v>7070</v>
      </c>
      <c r="AI25" s="2059"/>
      <c r="AJ25" s="2382"/>
      <c r="AK25" s="2053"/>
      <c r="AL25" s="2379"/>
      <c r="AM25" s="2376"/>
      <c r="AN25" s="2379"/>
      <c r="AO25" s="2376"/>
      <c r="AP25" s="1959"/>
      <c r="AQ25" s="1168" t="s">
        <v>1023</v>
      </c>
      <c r="AR25" s="1311">
        <v>4200</v>
      </c>
      <c r="AS25" s="1312">
        <v>4700</v>
      </c>
      <c r="AT25" s="1323">
        <v>2900</v>
      </c>
      <c r="AU25" s="1314">
        <v>2900</v>
      </c>
      <c r="AV25" s="1972"/>
      <c r="AW25" s="1165" t="s">
        <v>1091</v>
      </c>
      <c r="AX25" s="1152"/>
      <c r="AY25" s="1316"/>
      <c r="AZ25" s="2060"/>
      <c r="BA25" s="1970"/>
      <c r="BB25" s="1972"/>
      <c r="BC25" s="1974"/>
      <c r="BD25" s="1972"/>
      <c r="BE25" s="1165"/>
      <c r="BF25" s="1972"/>
      <c r="BG25" s="1978">
        <v>0.02</v>
      </c>
      <c r="BH25" s="1976">
        <v>0.03</v>
      </c>
      <c r="BI25" s="1976">
        <v>0.05</v>
      </c>
      <c r="BJ25" s="1982">
        <v>0.06</v>
      </c>
      <c r="BK25" s="1972"/>
      <c r="BL25" s="1317">
        <v>20</v>
      </c>
      <c r="BM25" s="1972"/>
      <c r="BN25" s="1317">
        <v>80</v>
      </c>
      <c r="BO25" s="1972"/>
      <c r="BP25" s="1317">
        <v>50</v>
      </c>
      <c r="BQ25" s="2395"/>
      <c r="BR25" s="2400"/>
    </row>
    <row r="26" spans="1:70" s="5" customFormat="1" ht="12.75" customHeight="1">
      <c r="A26" s="2335"/>
      <c r="B26" s="2402"/>
      <c r="C26" s="2399"/>
      <c r="D26" s="1126" t="s">
        <v>133</v>
      </c>
      <c r="E26" s="1123"/>
      <c r="F26" s="1177">
        <v>195950</v>
      </c>
      <c r="G26" s="1178"/>
      <c r="H26" s="1177">
        <v>186580</v>
      </c>
      <c r="I26" s="1178"/>
      <c r="J26" s="1144" t="s">
        <v>255</v>
      </c>
      <c r="K26" s="1163">
        <v>1840</v>
      </c>
      <c r="L26" s="1179"/>
      <c r="M26" s="1180" t="s">
        <v>1017</v>
      </c>
      <c r="N26" s="1163">
        <v>1740</v>
      </c>
      <c r="O26" s="1179"/>
      <c r="P26" s="1180" t="s">
        <v>1017</v>
      </c>
      <c r="Q26" s="1172"/>
      <c r="R26" s="1173"/>
      <c r="S26" s="1181"/>
      <c r="T26" s="2059"/>
      <c r="U26" s="32"/>
      <c r="V26" s="1165">
        <v>257500</v>
      </c>
      <c r="W26" s="1972"/>
      <c r="X26" s="1166">
        <v>2570</v>
      </c>
      <c r="Y26" s="1152"/>
      <c r="Z26" s="2060"/>
      <c r="AA26" s="1166"/>
      <c r="AB26" s="1972"/>
      <c r="AC26" s="2055"/>
      <c r="AD26" s="1182"/>
      <c r="AE26" s="1972"/>
      <c r="AF26" s="1975"/>
      <c r="AG26" s="2060"/>
      <c r="AH26" s="2383"/>
      <c r="AI26" s="2059"/>
      <c r="AJ26" s="2382"/>
      <c r="AK26" s="2053"/>
      <c r="AL26" s="2380"/>
      <c r="AM26" s="2377"/>
      <c r="AN26" s="2380"/>
      <c r="AO26" s="2377"/>
      <c r="AP26" s="1959"/>
      <c r="AQ26" s="1183" t="s">
        <v>1024</v>
      </c>
      <c r="AR26" s="1318">
        <v>3800</v>
      </c>
      <c r="AS26" s="1319">
        <v>4200</v>
      </c>
      <c r="AT26" s="1320">
        <v>2600</v>
      </c>
      <c r="AU26" s="1182">
        <v>2600</v>
      </c>
      <c r="AV26" s="1972"/>
      <c r="AW26" s="1165">
        <v>12280</v>
      </c>
      <c r="AX26" s="1152"/>
      <c r="AY26" s="1176"/>
      <c r="AZ26" s="2060"/>
      <c r="BA26" s="1971"/>
      <c r="BB26" s="1972"/>
      <c r="BC26" s="1975"/>
      <c r="BD26" s="1972"/>
      <c r="BE26" s="1165"/>
      <c r="BF26" s="1972"/>
      <c r="BG26" s="1979"/>
      <c r="BH26" s="1977"/>
      <c r="BI26" s="1977"/>
      <c r="BJ26" s="1983"/>
      <c r="BK26" s="1972"/>
      <c r="BL26" s="1321"/>
      <c r="BM26" s="1972"/>
      <c r="BN26" s="1322" t="s">
        <v>1120</v>
      </c>
      <c r="BO26" s="1972"/>
      <c r="BP26" s="1322" t="s">
        <v>1120</v>
      </c>
      <c r="BQ26" s="2395"/>
      <c r="BR26" s="2400"/>
    </row>
    <row r="27" spans="1:70" s="5" customFormat="1" ht="12.75" customHeight="1">
      <c r="A27" s="2335"/>
      <c r="B27" s="2401" t="s">
        <v>1030</v>
      </c>
      <c r="C27" s="2214" t="s">
        <v>1016</v>
      </c>
      <c r="D27" s="1122" t="s">
        <v>554</v>
      </c>
      <c r="E27" s="1123"/>
      <c r="F27" s="1142">
        <v>55790</v>
      </c>
      <c r="G27" s="1143">
        <v>62670</v>
      </c>
      <c r="H27" s="1142">
        <v>47980</v>
      </c>
      <c r="I27" s="1143">
        <v>54860</v>
      </c>
      <c r="J27" s="1144" t="s">
        <v>255</v>
      </c>
      <c r="K27" s="1145">
        <v>530</v>
      </c>
      <c r="L27" s="1146">
        <v>590</v>
      </c>
      <c r="M27" s="1147" t="s">
        <v>1017</v>
      </c>
      <c r="N27" s="1145">
        <v>460</v>
      </c>
      <c r="O27" s="1146">
        <v>520</v>
      </c>
      <c r="P27" s="1147" t="s">
        <v>1017</v>
      </c>
      <c r="Q27" s="1144" t="s">
        <v>255</v>
      </c>
      <c r="R27" s="1148">
        <v>6880</v>
      </c>
      <c r="S27" s="1149">
        <v>60</v>
      </c>
      <c r="T27" s="2059"/>
      <c r="U27" s="32"/>
      <c r="V27" s="1190"/>
      <c r="W27" s="1972"/>
      <c r="X27" s="1191"/>
      <c r="Y27" s="1192"/>
      <c r="Z27" s="2060"/>
      <c r="AA27" s="1190"/>
      <c r="AB27" s="1972" t="s">
        <v>255</v>
      </c>
      <c r="AC27" s="2018">
        <v>14960</v>
      </c>
      <c r="AD27" s="1153"/>
      <c r="AE27" s="1972" t="s">
        <v>255</v>
      </c>
      <c r="AF27" s="1973">
        <v>70</v>
      </c>
      <c r="AG27" s="2060"/>
      <c r="AH27" s="2381" t="s">
        <v>283</v>
      </c>
      <c r="AI27" s="2059" t="s">
        <v>31</v>
      </c>
      <c r="AJ27" s="2382">
        <v>50</v>
      </c>
      <c r="AK27" s="2053" t="s">
        <v>255</v>
      </c>
      <c r="AL27" s="2378">
        <v>3600</v>
      </c>
      <c r="AM27" s="2375">
        <v>4000</v>
      </c>
      <c r="AN27" s="2378">
        <v>2500</v>
      </c>
      <c r="AO27" s="2375">
        <v>2500</v>
      </c>
      <c r="AP27" s="1959" t="s">
        <v>255</v>
      </c>
      <c r="AQ27" s="1154" t="s">
        <v>1019</v>
      </c>
      <c r="AR27" s="1306">
        <v>7200</v>
      </c>
      <c r="AS27" s="1307">
        <v>8100</v>
      </c>
      <c r="AT27" s="1323">
        <v>5100</v>
      </c>
      <c r="AU27" s="1314">
        <v>5100</v>
      </c>
      <c r="AV27" s="1972"/>
      <c r="AW27" s="1190"/>
      <c r="AX27" s="1968" t="s">
        <v>255</v>
      </c>
      <c r="AY27" s="1996">
        <v>4700</v>
      </c>
      <c r="AZ27" s="2060" t="s">
        <v>255</v>
      </c>
      <c r="BA27" s="1969">
        <v>3520</v>
      </c>
      <c r="BB27" s="1972" t="s">
        <v>255</v>
      </c>
      <c r="BC27" s="1973">
        <v>30</v>
      </c>
      <c r="BD27" s="1972"/>
      <c r="BE27" s="1190"/>
      <c r="BF27" s="1972" t="s">
        <v>78</v>
      </c>
      <c r="BG27" s="1998" t="s">
        <v>262</v>
      </c>
      <c r="BH27" s="1966" t="s">
        <v>262</v>
      </c>
      <c r="BI27" s="1966" t="s">
        <v>262</v>
      </c>
      <c r="BJ27" s="1980" t="s">
        <v>262</v>
      </c>
      <c r="BK27" s="1972" t="s">
        <v>78</v>
      </c>
      <c r="BL27" s="1310"/>
      <c r="BM27" s="1972" t="s">
        <v>78</v>
      </c>
      <c r="BN27" s="1310"/>
      <c r="BO27" s="1972" t="s">
        <v>78</v>
      </c>
      <c r="BP27" s="1310"/>
      <c r="BQ27" s="2395"/>
      <c r="BR27" s="2396"/>
    </row>
    <row r="28" spans="1:70" s="25" customFormat="1" ht="12.75" customHeight="1">
      <c r="A28" s="2335"/>
      <c r="B28" s="2402"/>
      <c r="C28" s="2215"/>
      <c r="D28" s="1133" t="s">
        <v>556</v>
      </c>
      <c r="E28" s="1123"/>
      <c r="F28" s="1158">
        <v>62670</v>
      </c>
      <c r="G28" s="1159">
        <v>119120</v>
      </c>
      <c r="H28" s="1158">
        <v>54860</v>
      </c>
      <c r="I28" s="1159">
        <v>111310</v>
      </c>
      <c r="J28" s="1144" t="s">
        <v>255</v>
      </c>
      <c r="K28" s="1160">
        <v>590</v>
      </c>
      <c r="L28" s="1161">
        <v>1080</v>
      </c>
      <c r="M28" s="1162" t="s">
        <v>1017</v>
      </c>
      <c r="N28" s="1160">
        <v>520</v>
      </c>
      <c r="O28" s="1161">
        <v>1000</v>
      </c>
      <c r="P28" s="1162" t="s">
        <v>1017</v>
      </c>
      <c r="Q28" s="1144" t="s">
        <v>255</v>
      </c>
      <c r="R28" s="1163">
        <v>6880</v>
      </c>
      <c r="S28" s="1164">
        <v>60</v>
      </c>
      <c r="T28" s="2059"/>
      <c r="U28" s="32"/>
      <c r="V28" s="1165" t="s">
        <v>1033</v>
      </c>
      <c r="W28" s="1972"/>
      <c r="X28" s="1166" t="s">
        <v>1033</v>
      </c>
      <c r="Y28" s="1189"/>
      <c r="Z28" s="2060"/>
      <c r="AA28" s="1165"/>
      <c r="AB28" s="1972"/>
      <c r="AC28" s="2019"/>
      <c r="AD28" s="1167">
        <v>13190</v>
      </c>
      <c r="AE28" s="1972"/>
      <c r="AF28" s="1974"/>
      <c r="AG28" s="2060"/>
      <c r="AH28" s="2381"/>
      <c r="AI28" s="2059"/>
      <c r="AJ28" s="2382"/>
      <c r="AK28" s="2053"/>
      <c r="AL28" s="2379"/>
      <c r="AM28" s="2376"/>
      <c r="AN28" s="2379"/>
      <c r="AO28" s="2376"/>
      <c r="AP28" s="1959"/>
      <c r="AQ28" s="1168" t="s">
        <v>1020</v>
      </c>
      <c r="AR28" s="1311">
        <v>4000</v>
      </c>
      <c r="AS28" s="1312">
        <v>4400</v>
      </c>
      <c r="AT28" s="1323">
        <v>2800</v>
      </c>
      <c r="AU28" s="1314">
        <v>2800</v>
      </c>
      <c r="AV28" s="1972"/>
      <c r="AW28" s="1165" t="s">
        <v>1092</v>
      </c>
      <c r="AX28" s="1968"/>
      <c r="AY28" s="1997"/>
      <c r="AZ28" s="2060"/>
      <c r="BA28" s="1970"/>
      <c r="BB28" s="1972"/>
      <c r="BC28" s="1974"/>
      <c r="BD28" s="1972"/>
      <c r="BE28" s="1165"/>
      <c r="BF28" s="1972"/>
      <c r="BG28" s="1999"/>
      <c r="BH28" s="1967"/>
      <c r="BI28" s="1967"/>
      <c r="BJ28" s="1981"/>
      <c r="BK28" s="1972"/>
      <c r="BL28" s="1315">
        <v>2120</v>
      </c>
      <c r="BM28" s="1972"/>
      <c r="BN28" s="1315">
        <v>6880</v>
      </c>
      <c r="BO28" s="1972"/>
      <c r="BP28" s="1315">
        <v>4190</v>
      </c>
      <c r="BQ28" s="2395"/>
      <c r="BR28" s="2397"/>
    </row>
    <row r="29" spans="1:70" s="25" customFormat="1" ht="12.75" customHeight="1">
      <c r="A29" s="2335"/>
      <c r="B29" s="2402"/>
      <c r="C29" s="2398" t="s">
        <v>1021</v>
      </c>
      <c r="D29" s="1133" t="s">
        <v>1022</v>
      </c>
      <c r="E29" s="1123"/>
      <c r="F29" s="1158">
        <v>119120</v>
      </c>
      <c r="G29" s="1159">
        <v>187950</v>
      </c>
      <c r="H29" s="1158">
        <v>111310</v>
      </c>
      <c r="I29" s="1159">
        <v>180140</v>
      </c>
      <c r="J29" s="1144" t="s">
        <v>255</v>
      </c>
      <c r="K29" s="1160">
        <v>1080</v>
      </c>
      <c r="L29" s="1161">
        <v>1760</v>
      </c>
      <c r="M29" s="1162" t="s">
        <v>1017</v>
      </c>
      <c r="N29" s="1160">
        <v>1000</v>
      </c>
      <c r="O29" s="1161">
        <v>1680</v>
      </c>
      <c r="P29" s="1162" t="s">
        <v>1017</v>
      </c>
      <c r="Q29" s="1172"/>
      <c r="R29" s="1173"/>
      <c r="S29" s="1174"/>
      <c r="T29" s="2059"/>
      <c r="U29" s="32"/>
      <c r="V29" s="1165">
        <v>291300</v>
      </c>
      <c r="W29" s="1972"/>
      <c r="X29" s="1166">
        <v>2910</v>
      </c>
      <c r="Y29" s="1152"/>
      <c r="Z29" s="2060"/>
      <c r="AA29" s="1166"/>
      <c r="AB29" s="1972" t="s">
        <v>255</v>
      </c>
      <c r="AC29" s="2054">
        <v>13190</v>
      </c>
      <c r="AD29" s="1175"/>
      <c r="AE29" s="1972"/>
      <c r="AF29" s="1974">
        <v>0</v>
      </c>
      <c r="AG29" s="2060"/>
      <c r="AH29" s="2383">
        <v>5650</v>
      </c>
      <c r="AI29" s="2059"/>
      <c r="AJ29" s="2382"/>
      <c r="AK29" s="2053"/>
      <c r="AL29" s="2379"/>
      <c r="AM29" s="2376"/>
      <c r="AN29" s="2379"/>
      <c r="AO29" s="2376"/>
      <c r="AP29" s="1959"/>
      <c r="AQ29" s="1168" t="s">
        <v>1023</v>
      </c>
      <c r="AR29" s="1311">
        <v>3500</v>
      </c>
      <c r="AS29" s="1312">
        <v>3800</v>
      </c>
      <c r="AT29" s="1323">
        <v>2400</v>
      </c>
      <c r="AU29" s="1314">
        <v>2400</v>
      </c>
      <c r="AV29" s="1972"/>
      <c r="AW29" s="1165">
        <v>9770</v>
      </c>
      <c r="AX29" s="1152"/>
      <c r="AY29" s="1176"/>
      <c r="AZ29" s="2060"/>
      <c r="BA29" s="1970"/>
      <c r="BB29" s="1972"/>
      <c r="BC29" s="1974"/>
      <c r="BD29" s="1972"/>
      <c r="BE29" s="1165"/>
      <c r="BF29" s="1972"/>
      <c r="BG29" s="1978">
        <v>0.02</v>
      </c>
      <c r="BH29" s="1976">
        <v>0.03</v>
      </c>
      <c r="BI29" s="1976">
        <v>0.05</v>
      </c>
      <c r="BJ29" s="1982">
        <v>0.06</v>
      </c>
      <c r="BK29" s="1972"/>
      <c r="BL29" s="1317">
        <v>20</v>
      </c>
      <c r="BM29" s="1972"/>
      <c r="BN29" s="1317">
        <v>60</v>
      </c>
      <c r="BO29" s="1972"/>
      <c r="BP29" s="1317">
        <v>40</v>
      </c>
      <c r="BQ29" s="2395"/>
      <c r="BR29" s="2400"/>
    </row>
    <row r="30" spans="1:70" s="25" customFormat="1" ht="12.75" customHeight="1">
      <c r="A30" s="2335"/>
      <c r="B30" s="2402"/>
      <c r="C30" s="2399"/>
      <c r="D30" s="1126" t="s">
        <v>133</v>
      </c>
      <c r="E30" s="1123"/>
      <c r="F30" s="1177">
        <v>187950</v>
      </c>
      <c r="G30" s="1178"/>
      <c r="H30" s="1177">
        <v>180140</v>
      </c>
      <c r="I30" s="1178"/>
      <c r="J30" s="1144" t="s">
        <v>255</v>
      </c>
      <c r="K30" s="1163">
        <v>1760</v>
      </c>
      <c r="L30" s="1179"/>
      <c r="M30" s="1180" t="s">
        <v>1017</v>
      </c>
      <c r="N30" s="1163">
        <v>1680</v>
      </c>
      <c r="O30" s="1179"/>
      <c r="P30" s="1180" t="s">
        <v>1017</v>
      </c>
      <c r="Q30" s="1172"/>
      <c r="R30" s="1173"/>
      <c r="S30" s="1181"/>
      <c r="T30" s="2059"/>
      <c r="U30" s="32"/>
      <c r="V30" s="1190"/>
      <c r="W30" s="1972"/>
      <c r="X30" s="1191"/>
      <c r="Y30" s="1192"/>
      <c r="Z30" s="2060"/>
      <c r="AA30" s="1190"/>
      <c r="AB30" s="1972"/>
      <c r="AC30" s="2055"/>
      <c r="AD30" s="1182"/>
      <c r="AE30" s="1972"/>
      <c r="AF30" s="1975"/>
      <c r="AG30" s="2060"/>
      <c r="AH30" s="2383"/>
      <c r="AI30" s="2059"/>
      <c r="AJ30" s="2382"/>
      <c r="AK30" s="2053"/>
      <c r="AL30" s="2380"/>
      <c r="AM30" s="2377"/>
      <c r="AN30" s="2380"/>
      <c r="AO30" s="2377"/>
      <c r="AP30" s="1959"/>
      <c r="AQ30" s="1183" t="s">
        <v>1024</v>
      </c>
      <c r="AR30" s="1318">
        <v>3100</v>
      </c>
      <c r="AS30" s="1319">
        <v>3400</v>
      </c>
      <c r="AT30" s="1320">
        <v>2100</v>
      </c>
      <c r="AU30" s="1182">
        <v>2100</v>
      </c>
      <c r="AV30" s="1972"/>
      <c r="AW30" s="1190"/>
      <c r="AX30" s="1152"/>
      <c r="AY30" s="1176"/>
      <c r="AZ30" s="2060"/>
      <c r="BA30" s="1971"/>
      <c r="BB30" s="1972"/>
      <c r="BC30" s="1975"/>
      <c r="BD30" s="1972"/>
      <c r="BE30" s="1190"/>
      <c r="BF30" s="1972"/>
      <c r="BG30" s="1979"/>
      <c r="BH30" s="1977"/>
      <c r="BI30" s="1977"/>
      <c r="BJ30" s="1983"/>
      <c r="BK30" s="1972"/>
      <c r="BL30" s="1321"/>
      <c r="BM30" s="1972"/>
      <c r="BN30" s="1322" t="s">
        <v>1120</v>
      </c>
      <c r="BO30" s="1972"/>
      <c r="BP30" s="1322" t="s">
        <v>1120</v>
      </c>
      <c r="BQ30" s="2395"/>
      <c r="BR30" s="2400"/>
    </row>
    <row r="31" spans="1:70" s="25" customFormat="1" ht="12.75" customHeight="1">
      <c r="A31" s="2335"/>
      <c r="B31" s="2401" t="s">
        <v>1032</v>
      </c>
      <c r="C31" s="2214" t="s">
        <v>1016</v>
      </c>
      <c r="D31" s="1122" t="s">
        <v>554</v>
      </c>
      <c r="E31" s="1123"/>
      <c r="F31" s="1142">
        <v>50160</v>
      </c>
      <c r="G31" s="1143">
        <v>57040</v>
      </c>
      <c r="H31" s="1142">
        <v>43460</v>
      </c>
      <c r="I31" s="1143">
        <v>50340</v>
      </c>
      <c r="J31" s="1144" t="s">
        <v>255</v>
      </c>
      <c r="K31" s="1145">
        <v>480</v>
      </c>
      <c r="L31" s="1146">
        <v>540</v>
      </c>
      <c r="M31" s="1147" t="s">
        <v>1017</v>
      </c>
      <c r="N31" s="1145">
        <v>410</v>
      </c>
      <c r="O31" s="1146">
        <v>470</v>
      </c>
      <c r="P31" s="1147" t="s">
        <v>1017</v>
      </c>
      <c r="Q31" s="1144" t="s">
        <v>255</v>
      </c>
      <c r="R31" s="1148">
        <v>6880</v>
      </c>
      <c r="S31" s="1149">
        <v>60</v>
      </c>
      <c r="T31" s="2059"/>
      <c r="U31" s="32"/>
      <c r="V31" s="1165" t="s">
        <v>1035</v>
      </c>
      <c r="W31" s="1972"/>
      <c r="X31" s="1166" t="s">
        <v>1035</v>
      </c>
      <c r="Y31" s="1189"/>
      <c r="Z31" s="2060"/>
      <c r="AA31" s="1165"/>
      <c r="AB31" s="1972" t="s">
        <v>255</v>
      </c>
      <c r="AC31" s="2018">
        <v>13830</v>
      </c>
      <c r="AD31" s="1153"/>
      <c r="AE31" s="1972" t="s">
        <v>255</v>
      </c>
      <c r="AF31" s="1973">
        <v>60</v>
      </c>
      <c r="AG31" s="2060"/>
      <c r="AH31" s="2381" t="s">
        <v>284</v>
      </c>
      <c r="AI31" s="2059" t="s">
        <v>31</v>
      </c>
      <c r="AJ31" s="2382">
        <v>40</v>
      </c>
      <c r="AK31" s="2053" t="s">
        <v>255</v>
      </c>
      <c r="AL31" s="2378">
        <v>3100</v>
      </c>
      <c r="AM31" s="2375">
        <v>3400</v>
      </c>
      <c r="AN31" s="2378">
        <v>2100</v>
      </c>
      <c r="AO31" s="2375">
        <v>2100</v>
      </c>
      <c r="AP31" s="1959" t="s">
        <v>255</v>
      </c>
      <c r="AQ31" s="1154" t="s">
        <v>1019</v>
      </c>
      <c r="AR31" s="1306">
        <v>6300</v>
      </c>
      <c r="AS31" s="1307">
        <v>7100</v>
      </c>
      <c r="AT31" s="1323">
        <v>4400</v>
      </c>
      <c r="AU31" s="1314">
        <v>4400</v>
      </c>
      <c r="AV31" s="1972"/>
      <c r="AW31" s="1165" t="s">
        <v>1093</v>
      </c>
      <c r="AX31" s="1968" t="s">
        <v>255</v>
      </c>
      <c r="AY31" s="1996">
        <v>4700</v>
      </c>
      <c r="AZ31" s="2060" t="s">
        <v>255</v>
      </c>
      <c r="BA31" s="1969">
        <v>3010</v>
      </c>
      <c r="BB31" s="1972" t="s">
        <v>255</v>
      </c>
      <c r="BC31" s="1973">
        <v>30</v>
      </c>
      <c r="BD31" s="1972"/>
      <c r="BE31" s="1165"/>
      <c r="BF31" s="1972" t="s">
        <v>78</v>
      </c>
      <c r="BG31" s="1998" t="s">
        <v>262</v>
      </c>
      <c r="BH31" s="1966" t="s">
        <v>262</v>
      </c>
      <c r="BI31" s="1966" t="s">
        <v>262</v>
      </c>
      <c r="BJ31" s="1980" t="s">
        <v>262</v>
      </c>
      <c r="BK31" s="1972" t="s">
        <v>78</v>
      </c>
      <c r="BL31" s="1310"/>
      <c r="BM31" s="1972" t="s">
        <v>78</v>
      </c>
      <c r="BN31" s="1310"/>
      <c r="BO31" s="1972" t="s">
        <v>78</v>
      </c>
      <c r="BP31" s="1310"/>
      <c r="BQ31" s="2395"/>
      <c r="BR31" s="2396"/>
    </row>
    <row r="32" spans="1:70" s="25" customFormat="1" ht="12.75" customHeight="1">
      <c r="A32" s="2335"/>
      <c r="B32" s="2402"/>
      <c r="C32" s="2215"/>
      <c r="D32" s="1133" t="s">
        <v>556</v>
      </c>
      <c r="E32" s="1123"/>
      <c r="F32" s="1158">
        <v>57040</v>
      </c>
      <c r="G32" s="1159">
        <v>113490</v>
      </c>
      <c r="H32" s="1158">
        <v>50340</v>
      </c>
      <c r="I32" s="1159">
        <v>106790</v>
      </c>
      <c r="J32" s="1144" t="s">
        <v>255</v>
      </c>
      <c r="K32" s="1160">
        <v>540</v>
      </c>
      <c r="L32" s="1161">
        <v>1020</v>
      </c>
      <c r="M32" s="1162" t="s">
        <v>1017</v>
      </c>
      <c r="N32" s="1160">
        <v>470</v>
      </c>
      <c r="O32" s="1161">
        <v>950</v>
      </c>
      <c r="P32" s="1162" t="s">
        <v>1017</v>
      </c>
      <c r="Q32" s="1144" t="s">
        <v>255</v>
      </c>
      <c r="R32" s="1163">
        <v>6880</v>
      </c>
      <c r="S32" s="1164">
        <v>60</v>
      </c>
      <c r="T32" s="2059"/>
      <c r="U32" s="32"/>
      <c r="V32" s="1165">
        <v>325100</v>
      </c>
      <c r="W32" s="1972"/>
      <c r="X32" s="1166">
        <v>3250</v>
      </c>
      <c r="Y32" s="1152"/>
      <c r="Z32" s="2060"/>
      <c r="AA32" s="1166"/>
      <c r="AB32" s="1972"/>
      <c r="AC32" s="2019"/>
      <c r="AD32" s="1167">
        <v>12060</v>
      </c>
      <c r="AE32" s="1972"/>
      <c r="AF32" s="1974"/>
      <c r="AG32" s="2060"/>
      <c r="AH32" s="2381"/>
      <c r="AI32" s="2059"/>
      <c r="AJ32" s="2382"/>
      <c r="AK32" s="2053"/>
      <c r="AL32" s="2379"/>
      <c r="AM32" s="2376"/>
      <c r="AN32" s="2379"/>
      <c r="AO32" s="2376"/>
      <c r="AP32" s="1959"/>
      <c r="AQ32" s="1168" t="s">
        <v>1020</v>
      </c>
      <c r="AR32" s="1311">
        <v>3500</v>
      </c>
      <c r="AS32" s="1312">
        <v>3900</v>
      </c>
      <c r="AT32" s="1323">
        <v>2400</v>
      </c>
      <c r="AU32" s="1314">
        <v>2400</v>
      </c>
      <c r="AV32" s="1972"/>
      <c r="AW32" s="1165">
        <v>7500</v>
      </c>
      <c r="AX32" s="1968"/>
      <c r="AY32" s="1997"/>
      <c r="AZ32" s="2060"/>
      <c r="BA32" s="1970"/>
      <c r="BB32" s="1972"/>
      <c r="BC32" s="1974"/>
      <c r="BD32" s="1972"/>
      <c r="BE32" s="1165"/>
      <c r="BF32" s="1972"/>
      <c r="BG32" s="1999"/>
      <c r="BH32" s="1967"/>
      <c r="BI32" s="1967"/>
      <c r="BJ32" s="1981"/>
      <c r="BK32" s="1972"/>
      <c r="BL32" s="1315">
        <v>1810</v>
      </c>
      <c r="BM32" s="1972"/>
      <c r="BN32" s="1315">
        <v>5900</v>
      </c>
      <c r="BO32" s="1972"/>
      <c r="BP32" s="1315">
        <v>3590</v>
      </c>
      <c r="BQ32" s="2395"/>
      <c r="BR32" s="2397"/>
    </row>
    <row r="33" spans="1:70" s="25" customFormat="1" ht="12.75" customHeight="1">
      <c r="A33" s="2335"/>
      <c r="B33" s="2402"/>
      <c r="C33" s="2398" t="s">
        <v>1021</v>
      </c>
      <c r="D33" s="1133" t="s">
        <v>1022</v>
      </c>
      <c r="E33" s="1123"/>
      <c r="F33" s="1158">
        <v>113490</v>
      </c>
      <c r="G33" s="1159">
        <v>182320</v>
      </c>
      <c r="H33" s="1158">
        <v>106790</v>
      </c>
      <c r="I33" s="1159">
        <v>175620</v>
      </c>
      <c r="J33" s="1144" t="s">
        <v>255</v>
      </c>
      <c r="K33" s="1160">
        <v>1020</v>
      </c>
      <c r="L33" s="1161">
        <v>1700</v>
      </c>
      <c r="M33" s="1162" t="s">
        <v>1017</v>
      </c>
      <c r="N33" s="1160">
        <v>950</v>
      </c>
      <c r="O33" s="1161">
        <v>1630</v>
      </c>
      <c r="P33" s="1162" t="s">
        <v>1017</v>
      </c>
      <c r="Q33" s="1172"/>
      <c r="R33" s="1173"/>
      <c r="S33" s="1174"/>
      <c r="T33" s="2059"/>
      <c r="U33" s="32"/>
      <c r="V33" s="1190"/>
      <c r="W33" s="1972"/>
      <c r="X33" s="1191"/>
      <c r="Y33" s="1192"/>
      <c r="Z33" s="2060"/>
      <c r="AA33" s="1190"/>
      <c r="AB33" s="1972" t="s">
        <v>255</v>
      </c>
      <c r="AC33" s="2054">
        <v>12060</v>
      </c>
      <c r="AD33" s="1175"/>
      <c r="AE33" s="1972"/>
      <c r="AF33" s="1974">
        <v>0</v>
      </c>
      <c r="AG33" s="2060"/>
      <c r="AH33" s="2383">
        <v>4710</v>
      </c>
      <c r="AI33" s="2059"/>
      <c r="AJ33" s="2382"/>
      <c r="AK33" s="2053"/>
      <c r="AL33" s="2379"/>
      <c r="AM33" s="2376"/>
      <c r="AN33" s="2379"/>
      <c r="AO33" s="2376"/>
      <c r="AP33" s="1959"/>
      <c r="AQ33" s="1168" t="s">
        <v>1023</v>
      </c>
      <c r="AR33" s="1311">
        <v>3000</v>
      </c>
      <c r="AS33" s="1312">
        <v>3400</v>
      </c>
      <c r="AT33" s="1323">
        <v>2100</v>
      </c>
      <c r="AU33" s="1314">
        <v>2100</v>
      </c>
      <c r="AV33" s="1972"/>
      <c r="AW33" s="1190"/>
      <c r="AX33" s="1152"/>
      <c r="AY33" s="1176"/>
      <c r="AZ33" s="2060"/>
      <c r="BA33" s="1970"/>
      <c r="BB33" s="1972"/>
      <c r="BC33" s="1974"/>
      <c r="BD33" s="1972"/>
      <c r="BE33" s="1190"/>
      <c r="BF33" s="1972"/>
      <c r="BG33" s="1978">
        <v>0.02</v>
      </c>
      <c r="BH33" s="1976">
        <v>0.03</v>
      </c>
      <c r="BI33" s="1976">
        <v>0.05</v>
      </c>
      <c r="BJ33" s="1982">
        <v>0.06</v>
      </c>
      <c r="BK33" s="1972"/>
      <c r="BL33" s="1317">
        <v>10</v>
      </c>
      <c r="BM33" s="1972"/>
      <c r="BN33" s="1317">
        <v>50</v>
      </c>
      <c r="BO33" s="1972"/>
      <c r="BP33" s="1317">
        <v>30</v>
      </c>
      <c r="BQ33" s="2395"/>
      <c r="BR33" s="2400"/>
    </row>
    <row r="34" spans="1:70" s="25" customFormat="1" ht="12.75" customHeight="1">
      <c r="A34" s="2335"/>
      <c r="B34" s="2402"/>
      <c r="C34" s="2399"/>
      <c r="D34" s="1126" t="s">
        <v>133</v>
      </c>
      <c r="E34" s="1123"/>
      <c r="F34" s="1177">
        <v>182320</v>
      </c>
      <c r="G34" s="1178"/>
      <c r="H34" s="1177">
        <v>175620</v>
      </c>
      <c r="I34" s="1178"/>
      <c r="J34" s="1144" t="s">
        <v>255</v>
      </c>
      <c r="K34" s="1163">
        <v>1700</v>
      </c>
      <c r="L34" s="1179"/>
      <c r="M34" s="1180" t="s">
        <v>1017</v>
      </c>
      <c r="N34" s="1163">
        <v>1630</v>
      </c>
      <c r="O34" s="1179"/>
      <c r="P34" s="1180" t="s">
        <v>1017</v>
      </c>
      <c r="Q34" s="1172"/>
      <c r="R34" s="1173"/>
      <c r="S34" s="1181"/>
      <c r="T34" s="2059"/>
      <c r="U34" s="32"/>
      <c r="V34" s="1165" t="s">
        <v>1036</v>
      </c>
      <c r="W34" s="1972"/>
      <c r="X34" s="1166" t="s">
        <v>1036</v>
      </c>
      <c r="Y34" s="1189"/>
      <c r="Z34" s="2060"/>
      <c r="AA34" s="1165"/>
      <c r="AB34" s="1972"/>
      <c r="AC34" s="2055"/>
      <c r="AD34" s="1182"/>
      <c r="AE34" s="1972"/>
      <c r="AF34" s="1975"/>
      <c r="AG34" s="2060"/>
      <c r="AH34" s="2383"/>
      <c r="AI34" s="2059"/>
      <c r="AJ34" s="2382"/>
      <c r="AK34" s="2053"/>
      <c r="AL34" s="2380"/>
      <c r="AM34" s="2377"/>
      <c r="AN34" s="2380"/>
      <c r="AO34" s="2377"/>
      <c r="AP34" s="1959"/>
      <c r="AQ34" s="1183" t="s">
        <v>1024</v>
      </c>
      <c r="AR34" s="1318">
        <v>2700</v>
      </c>
      <c r="AS34" s="1319">
        <v>3000</v>
      </c>
      <c r="AT34" s="1320">
        <v>1900</v>
      </c>
      <c r="AU34" s="1182">
        <v>1900</v>
      </c>
      <c r="AV34" s="1972"/>
      <c r="AW34" s="1165" t="s">
        <v>1094</v>
      </c>
      <c r="AX34" s="1152"/>
      <c r="AY34" s="1176"/>
      <c r="AZ34" s="2060"/>
      <c r="BA34" s="1971"/>
      <c r="BB34" s="1972"/>
      <c r="BC34" s="1975"/>
      <c r="BD34" s="1972"/>
      <c r="BE34" s="1165"/>
      <c r="BF34" s="1972"/>
      <c r="BG34" s="1979"/>
      <c r="BH34" s="1977"/>
      <c r="BI34" s="1977"/>
      <c r="BJ34" s="1983"/>
      <c r="BK34" s="1972"/>
      <c r="BL34" s="1321"/>
      <c r="BM34" s="1972"/>
      <c r="BN34" s="1322" t="s">
        <v>1120</v>
      </c>
      <c r="BO34" s="1972"/>
      <c r="BP34" s="1322" t="s">
        <v>1120</v>
      </c>
      <c r="BQ34" s="2395"/>
      <c r="BR34" s="2400"/>
    </row>
    <row r="35" spans="1:70" s="25" customFormat="1" ht="12.75" customHeight="1">
      <c r="A35" s="2335"/>
      <c r="B35" s="2401" t="s">
        <v>1034</v>
      </c>
      <c r="C35" s="2214" t="s">
        <v>1016</v>
      </c>
      <c r="D35" s="1122" t="s">
        <v>554</v>
      </c>
      <c r="E35" s="1123"/>
      <c r="F35" s="1142">
        <v>45980</v>
      </c>
      <c r="G35" s="1143">
        <v>52860</v>
      </c>
      <c r="H35" s="1142">
        <v>40120</v>
      </c>
      <c r="I35" s="1143">
        <v>47000</v>
      </c>
      <c r="J35" s="1144" t="s">
        <v>255</v>
      </c>
      <c r="K35" s="1145">
        <v>440</v>
      </c>
      <c r="L35" s="1146">
        <v>500</v>
      </c>
      <c r="M35" s="1147" t="s">
        <v>1017</v>
      </c>
      <c r="N35" s="1145">
        <v>380</v>
      </c>
      <c r="O35" s="1146">
        <v>440</v>
      </c>
      <c r="P35" s="1147" t="s">
        <v>1017</v>
      </c>
      <c r="Q35" s="1144" t="s">
        <v>255</v>
      </c>
      <c r="R35" s="1148">
        <v>6880</v>
      </c>
      <c r="S35" s="1149">
        <v>60</v>
      </c>
      <c r="T35" s="2059"/>
      <c r="U35" s="32"/>
      <c r="V35" s="1165">
        <v>359000</v>
      </c>
      <c r="W35" s="1972"/>
      <c r="X35" s="1166">
        <v>3590</v>
      </c>
      <c r="Y35" s="1152"/>
      <c r="Z35" s="2060"/>
      <c r="AA35" s="1166"/>
      <c r="AB35" s="1972" t="s">
        <v>255</v>
      </c>
      <c r="AC35" s="2018">
        <v>12990</v>
      </c>
      <c r="AD35" s="1153"/>
      <c r="AE35" s="1972" t="s">
        <v>255</v>
      </c>
      <c r="AF35" s="1973">
        <v>50</v>
      </c>
      <c r="AG35" s="2060"/>
      <c r="AH35" s="2381" t="s">
        <v>285</v>
      </c>
      <c r="AI35" s="2059" t="s">
        <v>31</v>
      </c>
      <c r="AJ35" s="2382">
        <v>40</v>
      </c>
      <c r="AK35" s="2053" t="s">
        <v>255</v>
      </c>
      <c r="AL35" s="2378">
        <v>3500</v>
      </c>
      <c r="AM35" s="2375">
        <v>3900</v>
      </c>
      <c r="AN35" s="2378">
        <v>2500</v>
      </c>
      <c r="AO35" s="2375">
        <v>2500</v>
      </c>
      <c r="AP35" s="1959" t="s">
        <v>255</v>
      </c>
      <c r="AQ35" s="1154" t="s">
        <v>1019</v>
      </c>
      <c r="AR35" s="1306">
        <v>7100</v>
      </c>
      <c r="AS35" s="1307">
        <v>7900</v>
      </c>
      <c r="AT35" s="1323">
        <v>4900</v>
      </c>
      <c r="AU35" s="1314">
        <v>4900</v>
      </c>
      <c r="AV35" s="1972"/>
      <c r="AW35" s="1165">
        <v>6130</v>
      </c>
      <c r="AX35" s="1968" t="s">
        <v>255</v>
      </c>
      <c r="AY35" s="1996">
        <v>4700</v>
      </c>
      <c r="AZ35" s="2060" t="s">
        <v>255</v>
      </c>
      <c r="BA35" s="1969">
        <v>2640</v>
      </c>
      <c r="BB35" s="1972" t="s">
        <v>255</v>
      </c>
      <c r="BC35" s="1973">
        <v>20</v>
      </c>
      <c r="BD35" s="1972"/>
      <c r="BE35" s="1165"/>
      <c r="BF35" s="1972" t="s">
        <v>78</v>
      </c>
      <c r="BG35" s="1998" t="s">
        <v>262</v>
      </c>
      <c r="BH35" s="1966" t="s">
        <v>262</v>
      </c>
      <c r="BI35" s="1966" t="s">
        <v>262</v>
      </c>
      <c r="BJ35" s="1980" t="s">
        <v>262</v>
      </c>
      <c r="BK35" s="1972" t="s">
        <v>78</v>
      </c>
      <c r="BL35" s="1310"/>
      <c r="BM35" s="1972" t="s">
        <v>78</v>
      </c>
      <c r="BN35" s="1310"/>
      <c r="BO35" s="1972" t="s">
        <v>78</v>
      </c>
      <c r="BP35" s="1310"/>
      <c r="BQ35" s="2395"/>
      <c r="BR35" s="2396"/>
    </row>
    <row r="36" spans="1:70" s="25" customFormat="1" ht="12.75" customHeight="1">
      <c r="A36" s="2335"/>
      <c r="B36" s="2402"/>
      <c r="C36" s="2215"/>
      <c r="D36" s="1133" t="s">
        <v>556</v>
      </c>
      <c r="E36" s="1123"/>
      <c r="F36" s="1158">
        <v>52860</v>
      </c>
      <c r="G36" s="1159">
        <v>109310</v>
      </c>
      <c r="H36" s="1158">
        <v>47000</v>
      </c>
      <c r="I36" s="1159">
        <v>103450</v>
      </c>
      <c r="J36" s="1144" t="s">
        <v>255</v>
      </c>
      <c r="K36" s="1160">
        <v>500</v>
      </c>
      <c r="L36" s="1161">
        <v>980</v>
      </c>
      <c r="M36" s="1162" t="s">
        <v>1017</v>
      </c>
      <c r="N36" s="1160">
        <v>440</v>
      </c>
      <c r="O36" s="1161">
        <v>920</v>
      </c>
      <c r="P36" s="1162" t="s">
        <v>1017</v>
      </c>
      <c r="Q36" s="1144" t="s">
        <v>255</v>
      </c>
      <c r="R36" s="1163">
        <v>6880</v>
      </c>
      <c r="S36" s="1164">
        <v>60</v>
      </c>
      <c r="T36" s="2059"/>
      <c r="U36" s="32"/>
      <c r="V36" s="1190"/>
      <c r="W36" s="1972"/>
      <c r="X36" s="1191"/>
      <c r="Y36" s="1192"/>
      <c r="Z36" s="2060"/>
      <c r="AA36" s="1190"/>
      <c r="AB36" s="1972"/>
      <c r="AC36" s="2019"/>
      <c r="AD36" s="1167">
        <v>11220</v>
      </c>
      <c r="AE36" s="1972"/>
      <c r="AF36" s="1974"/>
      <c r="AG36" s="2060"/>
      <c r="AH36" s="2381"/>
      <c r="AI36" s="2059"/>
      <c r="AJ36" s="2382"/>
      <c r="AK36" s="2053"/>
      <c r="AL36" s="2379"/>
      <c r="AM36" s="2376"/>
      <c r="AN36" s="2379"/>
      <c r="AO36" s="2376"/>
      <c r="AP36" s="1959"/>
      <c r="AQ36" s="1168" t="s">
        <v>1020</v>
      </c>
      <c r="AR36" s="1311">
        <v>3900</v>
      </c>
      <c r="AS36" s="1312">
        <v>4300</v>
      </c>
      <c r="AT36" s="1323">
        <v>2700</v>
      </c>
      <c r="AU36" s="1314">
        <v>2700</v>
      </c>
      <c r="AV36" s="1972"/>
      <c r="AW36" s="1190"/>
      <c r="AX36" s="1968"/>
      <c r="AY36" s="1997"/>
      <c r="AZ36" s="2060"/>
      <c r="BA36" s="1970"/>
      <c r="BB36" s="1972"/>
      <c r="BC36" s="1974"/>
      <c r="BD36" s="1972"/>
      <c r="BE36" s="1190"/>
      <c r="BF36" s="1972"/>
      <c r="BG36" s="1999"/>
      <c r="BH36" s="1967"/>
      <c r="BI36" s="1967"/>
      <c r="BJ36" s="1981"/>
      <c r="BK36" s="1972"/>
      <c r="BL36" s="1315">
        <v>1590</v>
      </c>
      <c r="BM36" s="1972"/>
      <c r="BN36" s="1315">
        <v>5160</v>
      </c>
      <c r="BO36" s="1972"/>
      <c r="BP36" s="1315">
        <v>3140</v>
      </c>
      <c r="BQ36" s="2395"/>
      <c r="BR36" s="2397"/>
    </row>
    <row r="37" spans="1:70" ht="12.75" customHeight="1">
      <c r="A37" s="2335"/>
      <c r="B37" s="2402"/>
      <c r="C37" s="2398" t="s">
        <v>1021</v>
      </c>
      <c r="D37" s="1133" t="s">
        <v>1022</v>
      </c>
      <c r="E37" s="1123"/>
      <c r="F37" s="1158">
        <v>109310</v>
      </c>
      <c r="G37" s="1159">
        <v>178140</v>
      </c>
      <c r="H37" s="1158">
        <v>103450</v>
      </c>
      <c r="I37" s="1159">
        <v>172280</v>
      </c>
      <c r="J37" s="1144" t="s">
        <v>255</v>
      </c>
      <c r="K37" s="1160">
        <v>980</v>
      </c>
      <c r="L37" s="1161">
        <v>1660</v>
      </c>
      <c r="M37" s="1162" t="s">
        <v>1017</v>
      </c>
      <c r="N37" s="1160">
        <v>920</v>
      </c>
      <c r="O37" s="1161">
        <v>1600</v>
      </c>
      <c r="P37" s="1162" t="s">
        <v>1017</v>
      </c>
      <c r="Q37" s="1172"/>
      <c r="R37" s="1173"/>
      <c r="S37" s="1174"/>
      <c r="T37" s="2059"/>
      <c r="U37" s="32"/>
      <c r="V37" s="1165" t="s">
        <v>1038</v>
      </c>
      <c r="W37" s="1972"/>
      <c r="X37" s="1166" t="s">
        <v>1038</v>
      </c>
      <c r="Y37" s="1189"/>
      <c r="Z37" s="2060"/>
      <c r="AA37" s="1165"/>
      <c r="AB37" s="1972" t="s">
        <v>255</v>
      </c>
      <c r="AC37" s="2054">
        <v>11220</v>
      </c>
      <c r="AD37" s="1175"/>
      <c r="AE37" s="1972"/>
      <c r="AF37" s="1974">
        <v>0</v>
      </c>
      <c r="AG37" s="2060"/>
      <c r="AH37" s="2383">
        <v>4040</v>
      </c>
      <c r="AI37" s="2059"/>
      <c r="AJ37" s="2382"/>
      <c r="AK37" s="2053"/>
      <c r="AL37" s="2379"/>
      <c r="AM37" s="2376"/>
      <c r="AN37" s="2379"/>
      <c r="AO37" s="2376"/>
      <c r="AP37" s="1959"/>
      <c r="AQ37" s="1168" t="s">
        <v>1023</v>
      </c>
      <c r="AR37" s="1311">
        <v>3400</v>
      </c>
      <c r="AS37" s="1312">
        <v>3800</v>
      </c>
      <c r="AT37" s="1323">
        <v>2300</v>
      </c>
      <c r="AU37" s="1314">
        <v>2300</v>
      </c>
      <c r="AV37" s="1972"/>
      <c r="AW37" s="1165" t="s">
        <v>1095</v>
      </c>
      <c r="AX37" s="1152"/>
      <c r="AY37" s="1176"/>
      <c r="AZ37" s="2060"/>
      <c r="BA37" s="1970"/>
      <c r="BB37" s="1972"/>
      <c r="BC37" s="1974"/>
      <c r="BD37" s="1972"/>
      <c r="BE37" s="1165"/>
      <c r="BF37" s="1972"/>
      <c r="BG37" s="1978">
        <v>0.02</v>
      </c>
      <c r="BH37" s="1976">
        <v>0.03</v>
      </c>
      <c r="BI37" s="1976">
        <v>0.05</v>
      </c>
      <c r="BJ37" s="1982">
        <v>0.06</v>
      </c>
      <c r="BK37" s="1972"/>
      <c r="BL37" s="1317">
        <v>10</v>
      </c>
      <c r="BM37" s="1972"/>
      <c r="BN37" s="1317">
        <v>50</v>
      </c>
      <c r="BO37" s="1972"/>
      <c r="BP37" s="1317">
        <v>30</v>
      </c>
      <c r="BQ37" s="2395"/>
      <c r="BR37" s="2400"/>
    </row>
    <row r="38" spans="1:70" ht="12.75" customHeight="1">
      <c r="A38" s="2335"/>
      <c r="B38" s="2402"/>
      <c r="C38" s="2399"/>
      <c r="D38" s="1126" t="s">
        <v>133</v>
      </c>
      <c r="E38" s="1123"/>
      <c r="F38" s="1177">
        <v>178140</v>
      </c>
      <c r="G38" s="1178"/>
      <c r="H38" s="1177">
        <v>172280</v>
      </c>
      <c r="I38" s="1178"/>
      <c r="J38" s="1144" t="s">
        <v>255</v>
      </c>
      <c r="K38" s="1163">
        <v>1660</v>
      </c>
      <c r="L38" s="1179"/>
      <c r="M38" s="1180" t="s">
        <v>1017</v>
      </c>
      <c r="N38" s="1163">
        <v>1600</v>
      </c>
      <c r="O38" s="1179"/>
      <c r="P38" s="1180" t="s">
        <v>1017</v>
      </c>
      <c r="Q38" s="1172"/>
      <c r="R38" s="1173"/>
      <c r="S38" s="1181"/>
      <c r="T38" s="2059"/>
      <c r="U38" s="32"/>
      <c r="V38" s="1165">
        <v>392800</v>
      </c>
      <c r="W38" s="1972"/>
      <c r="X38" s="1166">
        <v>3920</v>
      </c>
      <c r="Y38" s="1152"/>
      <c r="Z38" s="2060"/>
      <c r="AA38" s="1166"/>
      <c r="AB38" s="1972"/>
      <c r="AC38" s="2055"/>
      <c r="AD38" s="1182"/>
      <c r="AE38" s="1972"/>
      <c r="AF38" s="1975"/>
      <c r="AG38" s="2060"/>
      <c r="AH38" s="2383"/>
      <c r="AI38" s="2059"/>
      <c r="AJ38" s="2382"/>
      <c r="AK38" s="2053"/>
      <c r="AL38" s="2380"/>
      <c r="AM38" s="2377"/>
      <c r="AN38" s="2380"/>
      <c r="AO38" s="2377"/>
      <c r="AP38" s="1959"/>
      <c r="AQ38" s="1183" t="s">
        <v>1024</v>
      </c>
      <c r="AR38" s="1318">
        <v>3000</v>
      </c>
      <c r="AS38" s="1319">
        <v>3400</v>
      </c>
      <c r="AT38" s="1320">
        <v>2100</v>
      </c>
      <c r="AU38" s="1182">
        <v>2100</v>
      </c>
      <c r="AV38" s="1972"/>
      <c r="AW38" s="1165">
        <v>5220</v>
      </c>
      <c r="AX38" s="1152"/>
      <c r="AY38" s="1176"/>
      <c r="AZ38" s="2060"/>
      <c r="BA38" s="1971"/>
      <c r="BB38" s="1972"/>
      <c r="BC38" s="1975"/>
      <c r="BD38" s="1972"/>
      <c r="BE38" s="1165"/>
      <c r="BF38" s="1972"/>
      <c r="BG38" s="1979"/>
      <c r="BH38" s="1977"/>
      <c r="BI38" s="1977"/>
      <c r="BJ38" s="1983"/>
      <c r="BK38" s="1972"/>
      <c r="BL38" s="1321"/>
      <c r="BM38" s="1972"/>
      <c r="BN38" s="1322" t="s">
        <v>1120</v>
      </c>
      <c r="BO38" s="1972"/>
      <c r="BP38" s="1322" t="s">
        <v>1120</v>
      </c>
      <c r="BQ38" s="2395"/>
      <c r="BR38" s="2400"/>
    </row>
    <row r="39" spans="1:70" ht="12.75" customHeight="1">
      <c r="A39" s="2335"/>
      <c r="B39" s="2401" t="s">
        <v>1037</v>
      </c>
      <c r="C39" s="2214" t="s">
        <v>1016</v>
      </c>
      <c r="D39" s="1122" t="s">
        <v>554</v>
      </c>
      <c r="E39" s="1123"/>
      <c r="F39" s="1142">
        <v>42690</v>
      </c>
      <c r="G39" s="1143">
        <v>49570</v>
      </c>
      <c r="H39" s="1142">
        <v>37480</v>
      </c>
      <c r="I39" s="1143">
        <v>44360</v>
      </c>
      <c r="J39" s="1144" t="s">
        <v>255</v>
      </c>
      <c r="K39" s="1145">
        <v>400</v>
      </c>
      <c r="L39" s="1146">
        <v>460</v>
      </c>
      <c r="M39" s="1147" t="s">
        <v>1017</v>
      </c>
      <c r="N39" s="1145">
        <v>350</v>
      </c>
      <c r="O39" s="1146">
        <v>410</v>
      </c>
      <c r="P39" s="1147" t="s">
        <v>1017</v>
      </c>
      <c r="Q39" s="1144" t="s">
        <v>255</v>
      </c>
      <c r="R39" s="1148">
        <v>6880</v>
      </c>
      <c r="S39" s="1149">
        <v>60</v>
      </c>
      <c r="T39" s="2059"/>
      <c r="U39" s="32"/>
      <c r="V39" s="1190"/>
      <c r="W39" s="1972"/>
      <c r="X39" s="1191"/>
      <c r="Y39" s="1192"/>
      <c r="Z39" s="2060"/>
      <c r="AA39" s="1190"/>
      <c r="AB39" s="1972" t="s">
        <v>255</v>
      </c>
      <c r="AC39" s="2018">
        <v>12330</v>
      </c>
      <c r="AD39" s="1153"/>
      <c r="AE39" s="1972" t="s">
        <v>255</v>
      </c>
      <c r="AF39" s="1973">
        <v>50</v>
      </c>
      <c r="AG39" s="2060"/>
      <c r="AH39" s="2381" t="s">
        <v>286</v>
      </c>
      <c r="AI39" s="2059" t="s">
        <v>31</v>
      </c>
      <c r="AJ39" s="2382">
        <v>30</v>
      </c>
      <c r="AK39" s="2053" t="s">
        <v>255</v>
      </c>
      <c r="AL39" s="2378">
        <v>3100</v>
      </c>
      <c r="AM39" s="2375">
        <v>3400</v>
      </c>
      <c r="AN39" s="2378">
        <v>2200</v>
      </c>
      <c r="AO39" s="2375">
        <v>2200</v>
      </c>
      <c r="AP39" s="1959" t="s">
        <v>255</v>
      </c>
      <c r="AQ39" s="1154" t="s">
        <v>1019</v>
      </c>
      <c r="AR39" s="1306">
        <v>6300</v>
      </c>
      <c r="AS39" s="1307">
        <v>7100</v>
      </c>
      <c r="AT39" s="1323">
        <v>4400</v>
      </c>
      <c r="AU39" s="1314">
        <v>4400</v>
      </c>
      <c r="AV39" s="1972"/>
      <c r="AW39" s="1190"/>
      <c r="AX39" s="1968" t="s">
        <v>255</v>
      </c>
      <c r="AY39" s="1996">
        <v>4700</v>
      </c>
      <c r="AZ39" s="2060" t="s">
        <v>255</v>
      </c>
      <c r="BA39" s="1969">
        <v>2350</v>
      </c>
      <c r="BB39" s="1972" t="s">
        <v>255</v>
      </c>
      <c r="BC39" s="1973">
        <v>20</v>
      </c>
      <c r="BD39" s="1972"/>
      <c r="BE39" s="1190"/>
      <c r="BF39" s="1972" t="s">
        <v>78</v>
      </c>
      <c r="BG39" s="1998" t="s">
        <v>262</v>
      </c>
      <c r="BH39" s="1966" t="s">
        <v>262</v>
      </c>
      <c r="BI39" s="1966" t="s">
        <v>262</v>
      </c>
      <c r="BJ39" s="1980" t="s">
        <v>262</v>
      </c>
      <c r="BK39" s="1972" t="s">
        <v>78</v>
      </c>
      <c r="BL39" s="1310"/>
      <c r="BM39" s="1972" t="s">
        <v>78</v>
      </c>
      <c r="BN39" s="1310"/>
      <c r="BO39" s="1972" t="s">
        <v>78</v>
      </c>
      <c r="BP39" s="1310"/>
      <c r="BQ39" s="2395"/>
      <c r="BR39" s="2396"/>
    </row>
    <row r="40" spans="1:70" ht="12.75" customHeight="1">
      <c r="A40" s="2335"/>
      <c r="B40" s="2402"/>
      <c r="C40" s="2215"/>
      <c r="D40" s="1133" t="s">
        <v>556</v>
      </c>
      <c r="E40" s="1123"/>
      <c r="F40" s="1158">
        <v>49570</v>
      </c>
      <c r="G40" s="1159">
        <v>106020</v>
      </c>
      <c r="H40" s="1158">
        <v>44360</v>
      </c>
      <c r="I40" s="1159">
        <v>100810</v>
      </c>
      <c r="J40" s="1144" t="s">
        <v>255</v>
      </c>
      <c r="K40" s="1160">
        <v>460</v>
      </c>
      <c r="L40" s="1161">
        <v>950</v>
      </c>
      <c r="M40" s="1162" t="s">
        <v>1017</v>
      </c>
      <c r="N40" s="1160">
        <v>410</v>
      </c>
      <c r="O40" s="1161">
        <v>890</v>
      </c>
      <c r="P40" s="1162" t="s">
        <v>1017</v>
      </c>
      <c r="Q40" s="1144" t="s">
        <v>255</v>
      </c>
      <c r="R40" s="1163">
        <v>6880</v>
      </c>
      <c r="S40" s="1164">
        <v>60</v>
      </c>
      <c r="T40" s="2059"/>
      <c r="U40" s="32"/>
      <c r="V40" s="1165" t="s">
        <v>1040</v>
      </c>
      <c r="W40" s="1972"/>
      <c r="X40" s="1166" t="s">
        <v>1040</v>
      </c>
      <c r="Y40" s="1189"/>
      <c r="Z40" s="2060"/>
      <c r="AA40" s="1165" t="s">
        <v>1041</v>
      </c>
      <c r="AB40" s="1972"/>
      <c r="AC40" s="2019"/>
      <c r="AD40" s="1167">
        <v>10560</v>
      </c>
      <c r="AE40" s="1972"/>
      <c r="AF40" s="1974"/>
      <c r="AG40" s="2060"/>
      <c r="AH40" s="2381"/>
      <c r="AI40" s="2059"/>
      <c r="AJ40" s="2382"/>
      <c r="AK40" s="2053"/>
      <c r="AL40" s="2379"/>
      <c r="AM40" s="2376"/>
      <c r="AN40" s="2379"/>
      <c r="AO40" s="2376"/>
      <c r="AP40" s="1959"/>
      <c r="AQ40" s="1168" t="s">
        <v>1020</v>
      </c>
      <c r="AR40" s="1311">
        <v>3500</v>
      </c>
      <c r="AS40" s="1312">
        <v>3900</v>
      </c>
      <c r="AT40" s="1323">
        <v>2400</v>
      </c>
      <c r="AU40" s="1314">
        <v>2400</v>
      </c>
      <c r="AV40" s="1972"/>
      <c r="AW40" s="1165" t="s">
        <v>1096</v>
      </c>
      <c r="AX40" s="1968"/>
      <c r="AY40" s="1997"/>
      <c r="AZ40" s="2060"/>
      <c r="BA40" s="1970"/>
      <c r="BB40" s="1972"/>
      <c r="BC40" s="1974"/>
      <c r="BD40" s="1972"/>
      <c r="BE40" s="1165"/>
      <c r="BF40" s="1972"/>
      <c r="BG40" s="1999"/>
      <c r="BH40" s="1967"/>
      <c r="BI40" s="1967"/>
      <c r="BJ40" s="1981"/>
      <c r="BK40" s="1972"/>
      <c r="BL40" s="1315">
        <v>1410</v>
      </c>
      <c r="BM40" s="1972"/>
      <c r="BN40" s="1315">
        <v>4580</v>
      </c>
      <c r="BO40" s="1972"/>
      <c r="BP40" s="1315">
        <v>2790</v>
      </c>
      <c r="BQ40" s="2395"/>
      <c r="BR40" s="2397"/>
    </row>
    <row r="41" spans="1:70" ht="12.75" customHeight="1">
      <c r="A41" s="2335"/>
      <c r="B41" s="2402"/>
      <c r="C41" s="2398" t="s">
        <v>1021</v>
      </c>
      <c r="D41" s="1133" t="s">
        <v>1022</v>
      </c>
      <c r="E41" s="1123"/>
      <c r="F41" s="1158">
        <v>106020</v>
      </c>
      <c r="G41" s="1159">
        <v>174850</v>
      </c>
      <c r="H41" s="1158">
        <v>100810</v>
      </c>
      <c r="I41" s="1159">
        <v>169640</v>
      </c>
      <c r="J41" s="1144" t="s">
        <v>255</v>
      </c>
      <c r="K41" s="1160">
        <v>950</v>
      </c>
      <c r="L41" s="1161">
        <v>1630</v>
      </c>
      <c r="M41" s="1162" t="s">
        <v>1017</v>
      </c>
      <c r="N41" s="1160">
        <v>890</v>
      </c>
      <c r="O41" s="1161">
        <v>1570</v>
      </c>
      <c r="P41" s="1162" t="s">
        <v>1017</v>
      </c>
      <c r="Q41" s="1172"/>
      <c r="R41" s="1173"/>
      <c r="S41" s="1174"/>
      <c r="T41" s="2059"/>
      <c r="U41" s="32"/>
      <c r="V41" s="1165">
        <v>426600</v>
      </c>
      <c r="W41" s="1972"/>
      <c r="X41" s="1166">
        <v>4260</v>
      </c>
      <c r="Y41" s="1152"/>
      <c r="Z41" s="2060"/>
      <c r="AA41" s="1197" t="s">
        <v>1042</v>
      </c>
      <c r="AB41" s="1972" t="s">
        <v>255</v>
      </c>
      <c r="AC41" s="2054">
        <v>10560</v>
      </c>
      <c r="AD41" s="1175"/>
      <c r="AE41" s="1972"/>
      <c r="AF41" s="1974">
        <v>0</v>
      </c>
      <c r="AG41" s="2060"/>
      <c r="AH41" s="2383">
        <v>3530</v>
      </c>
      <c r="AI41" s="2059"/>
      <c r="AJ41" s="2382"/>
      <c r="AK41" s="2053"/>
      <c r="AL41" s="2379"/>
      <c r="AM41" s="2376"/>
      <c r="AN41" s="2379"/>
      <c r="AO41" s="2376"/>
      <c r="AP41" s="1959"/>
      <c r="AQ41" s="1168" t="s">
        <v>1023</v>
      </c>
      <c r="AR41" s="1311">
        <v>3000</v>
      </c>
      <c r="AS41" s="1312">
        <v>3400</v>
      </c>
      <c r="AT41" s="1323">
        <v>2100</v>
      </c>
      <c r="AU41" s="1314">
        <v>2100</v>
      </c>
      <c r="AV41" s="1972"/>
      <c r="AW41" s="1165">
        <v>4660</v>
      </c>
      <c r="AX41" s="1152"/>
      <c r="AY41" s="1316"/>
      <c r="AZ41" s="2060"/>
      <c r="BA41" s="1970"/>
      <c r="BB41" s="1972"/>
      <c r="BC41" s="1974"/>
      <c r="BD41" s="1972"/>
      <c r="BE41" s="2061" t="s">
        <v>1123</v>
      </c>
      <c r="BF41" s="1972"/>
      <c r="BG41" s="1978">
        <v>0.02</v>
      </c>
      <c r="BH41" s="1976">
        <v>0.03</v>
      </c>
      <c r="BI41" s="1976">
        <v>0.05</v>
      </c>
      <c r="BJ41" s="1982">
        <v>0.06</v>
      </c>
      <c r="BK41" s="1972"/>
      <c r="BL41" s="1317">
        <v>10</v>
      </c>
      <c r="BM41" s="1972"/>
      <c r="BN41" s="1317">
        <v>40</v>
      </c>
      <c r="BO41" s="1972"/>
      <c r="BP41" s="1317">
        <v>20</v>
      </c>
      <c r="BQ41" s="2395"/>
      <c r="BR41" s="2400"/>
    </row>
    <row r="42" spans="1:70" ht="12.75" customHeight="1">
      <c r="A42" s="2335"/>
      <c r="B42" s="2402"/>
      <c r="C42" s="2399"/>
      <c r="D42" s="1126" t="s">
        <v>133</v>
      </c>
      <c r="E42" s="1123"/>
      <c r="F42" s="1177">
        <v>174850</v>
      </c>
      <c r="G42" s="1178"/>
      <c r="H42" s="1177">
        <v>169640</v>
      </c>
      <c r="I42" s="1178"/>
      <c r="J42" s="1144" t="s">
        <v>255</v>
      </c>
      <c r="K42" s="1163">
        <v>1630</v>
      </c>
      <c r="L42" s="1179"/>
      <c r="M42" s="1180" t="s">
        <v>1017</v>
      </c>
      <c r="N42" s="1163">
        <v>1570</v>
      </c>
      <c r="O42" s="1179"/>
      <c r="P42" s="1180" t="s">
        <v>1017</v>
      </c>
      <c r="Q42" s="1172"/>
      <c r="R42" s="1173"/>
      <c r="S42" s="1181"/>
      <c r="T42" s="2059"/>
      <c r="U42" s="32"/>
      <c r="V42" s="1190"/>
      <c r="W42" s="1972"/>
      <c r="X42" s="1191"/>
      <c r="Y42" s="1192"/>
      <c r="Z42" s="2060"/>
      <c r="AA42" s="1190"/>
      <c r="AB42" s="1972"/>
      <c r="AC42" s="2055"/>
      <c r="AD42" s="1182"/>
      <c r="AE42" s="1972"/>
      <c r="AF42" s="1975"/>
      <c r="AG42" s="2060"/>
      <c r="AH42" s="2383"/>
      <c r="AI42" s="2059"/>
      <c r="AJ42" s="2382"/>
      <c r="AK42" s="2053"/>
      <c r="AL42" s="2380"/>
      <c r="AM42" s="2377"/>
      <c r="AN42" s="2380"/>
      <c r="AO42" s="2377"/>
      <c r="AP42" s="1959"/>
      <c r="AQ42" s="1183" t="s">
        <v>1024</v>
      </c>
      <c r="AR42" s="1318">
        <v>2700</v>
      </c>
      <c r="AS42" s="1319">
        <v>3000</v>
      </c>
      <c r="AT42" s="1320">
        <v>1900</v>
      </c>
      <c r="AU42" s="1182">
        <v>1900</v>
      </c>
      <c r="AV42" s="1972"/>
      <c r="AW42" s="1190"/>
      <c r="AX42" s="1152"/>
      <c r="AY42" s="1176"/>
      <c r="AZ42" s="2060"/>
      <c r="BA42" s="1971"/>
      <c r="BB42" s="1972"/>
      <c r="BC42" s="1975"/>
      <c r="BD42" s="1972"/>
      <c r="BE42" s="2061"/>
      <c r="BF42" s="1972"/>
      <c r="BG42" s="1979"/>
      <c r="BH42" s="1977"/>
      <c r="BI42" s="1977"/>
      <c r="BJ42" s="1983"/>
      <c r="BK42" s="1972"/>
      <c r="BL42" s="1321"/>
      <c r="BM42" s="1972"/>
      <c r="BN42" s="1322" t="s">
        <v>1120</v>
      </c>
      <c r="BO42" s="1972"/>
      <c r="BP42" s="1322" t="s">
        <v>1120</v>
      </c>
      <c r="BQ42" s="2395"/>
      <c r="BR42" s="2400"/>
    </row>
    <row r="43" spans="1:70" s="5" customFormat="1" ht="12.75" customHeight="1">
      <c r="A43" s="2335"/>
      <c r="B43" s="2401" t="s">
        <v>1039</v>
      </c>
      <c r="C43" s="2214" t="s">
        <v>1016</v>
      </c>
      <c r="D43" s="1122" t="s">
        <v>554</v>
      </c>
      <c r="E43" s="1123"/>
      <c r="F43" s="1142">
        <v>37100</v>
      </c>
      <c r="G43" s="1143">
        <v>43980</v>
      </c>
      <c r="H43" s="1142">
        <v>32420</v>
      </c>
      <c r="I43" s="1143">
        <v>39300</v>
      </c>
      <c r="J43" s="1144" t="s">
        <v>255</v>
      </c>
      <c r="K43" s="1145">
        <v>350</v>
      </c>
      <c r="L43" s="1146">
        <v>410</v>
      </c>
      <c r="M43" s="1147" t="s">
        <v>1017</v>
      </c>
      <c r="N43" s="1145">
        <v>300</v>
      </c>
      <c r="O43" s="1146">
        <v>360</v>
      </c>
      <c r="P43" s="1147" t="s">
        <v>1017</v>
      </c>
      <c r="Q43" s="1144" t="s">
        <v>255</v>
      </c>
      <c r="R43" s="1148">
        <v>6880</v>
      </c>
      <c r="S43" s="1149">
        <v>60</v>
      </c>
      <c r="T43" s="2059"/>
      <c r="U43" s="32"/>
      <c r="V43" s="1165" t="s">
        <v>1044</v>
      </c>
      <c r="W43" s="1972"/>
      <c r="X43" s="1166" t="s">
        <v>1044</v>
      </c>
      <c r="Y43" s="1189"/>
      <c r="Z43" s="2060"/>
      <c r="AA43" s="1165"/>
      <c r="AB43" s="2058"/>
      <c r="AC43" s="1173"/>
      <c r="AD43" s="1173"/>
      <c r="AE43" s="2059"/>
      <c r="AF43" s="1195"/>
      <c r="AG43" s="2060"/>
      <c r="AH43" s="2381" t="s">
        <v>287</v>
      </c>
      <c r="AI43" s="2059" t="s">
        <v>31</v>
      </c>
      <c r="AJ43" s="2382">
        <v>30</v>
      </c>
      <c r="AK43" s="2053" t="s">
        <v>255</v>
      </c>
      <c r="AL43" s="2378">
        <v>2800</v>
      </c>
      <c r="AM43" s="2375">
        <v>3100</v>
      </c>
      <c r="AN43" s="2378">
        <v>2000</v>
      </c>
      <c r="AO43" s="2375">
        <v>2000</v>
      </c>
      <c r="AP43" s="1959" t="s">
        <v>255</v>
      </c>
      <c r="AQ43" s="1154" t="s">
        <v>1019</v>
      </c>
      <c r="AR43" s="1306">
        <v>5500</v>
      </c>
      <c r="AS43" s="1307">
        <v>6200</v>
      </c>
      <c r="AT43" s="1323">
        <v>3900</v>
      </c>
      <c r="AU43" s="1314">
        <v>3900</v>
      </c>
      <c r="AV43" s="1972"/>
      <c r="AW43" s="1165" t="s">
        <v>1097</v>
      </c>
      <c r="AX43" s="1968" t="s">
        <v>255</v>
      </c>
      <c r="AY43" s="1996">
        <v>4700</v>
      </c>
      <c r="AZ43" s="2060" t="s">
        <v>255</v>
      </c>
      <c r="BA43" s="1969">
        <v>2110</v>
      </c>
      <c r="BB43" s="1972" t="s">
        <v>255</v>
      </c>
      <c r="BC43" s="1973">
        <v>20</v>
      </c>
      <c r="BD43" s="1972"/>
      <c r="BE43" s="2404">
        <v>0.1</v>
      </c>
      <c r="BF43" s="1972" t="s">
        <v>78</v>
      </c>
      <c r="BG43" s="1998" t="s">
        <v>262</v>
      </c>
      <c r="BH43" s="1966" t="s">
        <v>262</v>
      </c>
      <c r="BI43" s="1966" t="s">
        <v>262</v>
      </c>
      <c r="BJ43" s="1980" t="s">
        <v>262</v>
      </c>
      <c r="BK43" s="1972" t="s">
        <v>78</v>
      </c>
      <c r="BL43" s="1310"/>
      <c r="BM43" s="1972" t="s">
        <v>78</v>
      </c>
      <c r="BN43" s="1310"/>
      <c r="BO43" s="1972" t="s">
        <v>78</v>
      </c>
      <c r="BP43" s="1310"/>
      <c r="BQ43" s="2395"/>
      <c r="BR43" s="2396"/>
    </row>
    <row r="44" spans="1:70" s="5" customFormat="1" ht="12.75" customHeight="1">
      <c r="A44" s="2335"/>
      <c r="B44" s="2402"/>
      <c r="C44" s="2215"/>
      <c r="D44" s="1133" t="s">
        <v>556</v>
      </c>
      <c r="E44" s="1123"/>
      <c r="F44" s="1158">
        <v>43980</v>
      </c>
      <c r="G44" s="1159">
        <v>100430</v>
      </c>
      <c r="H44" s="1158">
        <v>39300</v>
      </c>
      <c r="I44" s="1159">
        <v>95750</v>
      </c>
      <c r="J44" s="1144" t="s">
        <v>255</v>
      </c>
      <c r="K44" s="1160">
        <v>410</v>
      </c>
      <c r="L44" s="1161">
        <v>890</v>
      </c>
      <c r="M44" s="1162" t="s">
        <v>1017</v>
      </c>
      <c r="N44" s="1160">
        <v>360</v>
      </c>
      <c r="O44" s="1161">
        <v>840</v>
      </c>
      <c r="P44" s="1162" t="s">
        <v>1017</v>
      </c>
      <c r="Q44" s="1144" t="s">
        <v>255</v>
      </c>
      <c r="R44" s="1163">
        <v>6880</v>
      </c>
      <c r="S44" s="1164">
        <v>60</v>
      </c>
      <c r="T44" s="2059"/>
      <c r="U44" s="32"/>
      <c r="V44" s="1165">
        <v>460500</v>
      </c>
      <c r="W44" s="1972"/>
      <c r="X44" s="1166">
        <v>4600</v>
      </c>
      <c r="Y44" s="1152"/>
      <c r="Z44" s="2060"/>
      <c r="AA44" s="1166"/>
      <c r="AB44" s="2058"/>
      <c r="AC44" s="1173"/>
      <c r="AD44" s="1173"/>
      <c r="AE44" s="2059"/>
      <c r="AF44" s="1196"/>
      <c r="AG44" s="2060"/>
      <c r="AH44" s="2381"/>
      <c r="AI44" s="2059"/>
      <c r="AJ44" s="2382"/>
      <c r="AK44" s="2053"/>
      <c r="AL44" s="2379"/>
      <c r="AM44" s="2376"/>
      <c r="AN44" s="2379"/>
      <c r="AO44" s="2376"/>
      <c r="AP44" s="1959"/>
      <c r="AQ44" s="1168" t="s">
        <v>1020</v>
      </c>
      <c r="AR44" s="1311">
        <v>3000</v>
      </c>
      <c r="AS44" s="1312">
        <v>3400</v>
      </c>
      <c r="AT44" s="1323">
        <v>2100</v>
      </c>
      <c r="AU44" s="1314">
        <v>2100</v>
      </c>
      <c r="AV44" s="1972"/>
      <c r="AW44" s="1165">
        <v>4250</v>
      </c>
      <c r="AX44" s="1968"/>
      <c r="AY44" s="1997"/>
      <c r="AZ44" s="2060"/>
      <c r="BA44" s="1970"/>
      <c r="BB44" s="1972"/>
      <c r="BC44" s="1974"/>
      <c r="BD44" s="1972"/>
      <c r="BE44" s="2404"/>
      <c r="BF44" s="1972"/>
      <c r="BG44" s="1999"/>
      <c r="BH44" s="1967"/>
      <c r="BI44" s="1967"/>
      <c r="BJ44" s="1981"/>
      <c r="BK44" s="1972"/>
      <c r="BL44" s="1315">
        <v>1270</v>
      </c>
      <c r="BM44" s="1972"/>
      <c r="BN44" s="1315">
        <v>4130</v>
      </c>
      <c r="BO44" s="1972"/>
      <c r="BP44" s="1315">
        <v>2510</v>
      </c>
      <c r="BQ44" s="2395"/>
      <c r="BR44" s="2397"/>
    </row>
    <row r="45" spans="1:70" s="5" customFormat="1" ht="12.75" customHeight="1">
      <c r="A45" s="2335"/>
      <c r="B45" s="2402"/>
      <c r="C45" s="2398" t="s">
        <v>1021</v>
      </c>
      <c r="D45" s="1133" t="s">
        <v>1022</v>
      </c>
      <c r="E45" s="1123"/>
      <c r="F45" s="1158">
        <v>100430</v>
      </c>
      <c r="G45" s="1159">
        <v>169260</v>
      </c>
      <c r="H45" s="1158">
        <v>95750</v>
      </c>
      <c r="I45" s="1159">
        <v>164580</v>
      </c>
      <c r="J45" s="1144" t="s">
        <v>255</v>
      </c>
      <c r="K45" s="1160">
        <v>890</v>
      </c>
      <c r="L45" s="1161">
        <v>1570</v>
      </c>
      <c r="M45" s="1162" t="s">
        <v>1017</v>
      </c>
      <c r="N45" s="1160">
        <v>840</v>
      </c>
      <c r="O45" s="1161">
        <v>1520</v>
      </c>
      <c r="P45" s="1162" t="s">
        <v>1017</v>
      </c>
      <c r="Q45" s="1172"/>
      <c r="R45" s="1173"/>
      <c r="S45" s="1174"/>
      <c r="T45" s="2059"/>
      <c r="U45" s="32"/>
      <c r="V45" s="1190"/>
      <c r="W45" s="1972"/>
      <c r="X45" s="1191"/>
      <c r="Y45" s="1192"/>
      <c r="Z45" s="2060"/>
      <c r="AA45" s="1190"/>
      <c r="AB45" s="2058"/>
      <c r="AC45" s="1173"/>
      <c r="AD45" s="1173"/>
      <c r="AE45" s="2059"/>
      <c r="AF45" s="1196"/>
      <c r="AG45" s="2060"/>
      <c r="AH45" s="2383">
        <v>3140</v>
      </c>
      <c r="AI45" s="2059"/>
      <c r="AJ45" s="2382"/>
      <c r="AK45" s="2053"/>
      <c r="AL45" s="2379"/>
      <c r="AM45" s="2376"/>
      <c r="AN45" s="2379"/>
      <c r="AO45" s="2376"/>
      <c r="AP45" s="1959"/>
      <c r="AQ45" s="1168" t="s">
        <v>1023</v>
      </c>
      <c r="AR45" s="1311">
        <v>2600</v>
      </c>
      <c r="AS45" s="1312">
        <v>2900</v>
      </c>
      <c r="AT45" s="1323">
        <v>1800</v>
      </c>
      <c r="AU45" s="1314">
        <v>1800</v>
      </c>
      <c r="AV45" s="1972"/>
      <c r="AW45" s="1190"/>
      <c r="AX45" s="1152"/>
      <c r="AY45" s="1176"/>
      <c r="AZ45" s="2060"/>
      <c r="BA45" s="1970"/>
      <c r="BB45" s="1972"/>
      <c r="BC45" s="1974"/>
      <c r="BD45" s="1972"/>
      <c r="BE45" s="1190"/>
      <c r="BF45" s="1972"/>
      <c r="BG45" s="1978">
        <v>0.02</v>
      </c>
      <c r="BH45" s="1976">
        <v>0.03</v>
      </c>
      <c r="BI45" s="1976">
        <v>0.05</v>
      </c>
      <c r="BJ45" s="1982">
        <v>0.06</v>
      </c>
      <c r="BK45" s="1972"/>
      <c r="BL45" s="1317">
        <v>10</v>
      </c>
      <c r="BM45" s="1972"/>
      <c r="BN45" s="1317">
        <v>40</v>
      </c>
      <c r="BO45" s="1972"/>
      <c r="BP45" s="1317">
        <v>20</v>
      </c>
      <c r="BQ45" s="2395"/>
      <c r="BR45" s="2400"/>
    </row>
    <row r="46" spans="1:70" s="25" customFormat="1" ht="12.75" customHeight="1">
      <c r="A46" s="2335"/>
      <c r="B46" s="2402"/>
      <c r="C46" s="2399"/>
      <c r="D46" s="1126" t="s">
        <v>133</v>
      </c>
      <c r="E46" s="1123"/>
      <c r="F46" s="1177">
        <v>169260</v>
      </c>
      <c r="G46" s="1178"/>
      <c r="H46" s="1177">
        <v>164580</v>
      </c>
      <c r="I46" s="1178"/>
      <c r="J46" s="1144" t="s">
        <v>255</v>
      </c>
      <c r="K46" s="1163">
        <v>1570</v>
      </c>
      <c r="L46" s="1179"/>
      <c r="M46" s="1180" t="s">
        <v>1017</v>
      </c>
      <c r="N46" s="1163">
        <v>1520</v>
      </c>
      <c r="O46" s="1179"/>
      <c r="P46" s="1180" t="s">
        <v>1017</v>
      </c>
      <c r="Q46" s="1172"/>
      <c r="R46" s="1173"/>
      <c r="S46" s="1181"/>
      <c r="T46" s="2059"/>
      <c r="U46" s="32"/>
      <c r="V46" s="1165" t="s">
        <v>1045</v>
      </c>
      <c r="W46" s="1972"/>
      <c r="X46" s="1166" t="s">
        <v>1045</v>
      </c>
      <c r="Y46" s="1189"/>
      <c r="Z46" s="2060"/>
      <c r="AA46" s="1165"/>
      <c r="AB46" s="2058"/>
      <c r="AC46" s="1173"/>
      <c r="AD46" s="1173"/>
      <c r="AE46" s="2059"/>
      <c r="AF46" s="1196"/>
      <c r="AG46" s="2060"/>
      <c r="AH46" s="2383"/>
      <c r="AI46" s="2059"/>
      <c r="AJ46" s="2382"/>
      <c r="AK46" s="2053"/>
      <c r="AL46" s="2380"/>
      <c r="AM46" s="2377"/>
      <c r="AN46" s="2380"/>
      <c r="AO46" s="2377"/>
      <c r="AP46" s="1959"/>
      <c r="AQ46" s="1183" t="s">
        <v>1024</v>
      </c>
      <c r="AR46" s="1318">
        <v>2400</v>
      </c>
      <c r="AS46" s="1319">
        <v>2600</v>
      </c>
      <c r="AT46" s="1320">
        <v>1600</v>
      </c>
      <c r="AU46" s="1182">
        <v>1600</v>
      </c>
      <c r="AV46" s="1972"/>
      <c r="AW46" s="1165" t="s">
        <v>1098</v>
      </c>
      <c r="AX46" s="1152"/>
      <c r="AY46" s="1176"/>
      <c r="AZ46" s="2060"/>
      <c r="BA46" s="1971"/>
      <c r="BB46" s="1972"/>
      <c r="BC46" s="1975"/>
      <c r="BD46" s="1972"/>
      <c r="BE46" s="1165"/>
      <c r="BF46" s="1972"/>
      <c r="BG46" s="1979"/>
      <c r="BH46" s="1977"/>
      <c r="BI46" s="1977"/>
      <c r="BJ46" s="1983"/>
      <c r="BK46" s="1972"/>
      <c r="BL46" s="1321"/>
      <c r="BM46" s="1972"/>
      <c r="BN46" s="1322" t="s">
        <v>1120</v>
      </c>
      <c r="BO46" s="1972"/>
      <c r="BP46" s="1322" t="s">
        <v>1120</v>
      </c>
      <c r="BQ46" s="2395"/>
      <c r="BR46" s="2400"/>
    </row>
    <row r="47" spans="1:70" s="25" customFormat="1" ht="12.75" customHeight="1">
      <c r="A47" s="2335"/>
      <c r="B47" s="2401" t="s">
        <v>1043</v>
      </c>
      <c r="C47" s="2214" t="s">
        <v>1016</v>
      </c>
      <c r="D47" s="1122" t="s">
        <v>554</v>
      </c>
      <c r="E47" s="1123"/>
      <c r="F47" s="1142">
        <v>35250</v>
      </c>
      <c r="G47" s="1143">
        <v>42130</v>
      </c>
      <c r="H47" s="1142">
        <v>30990</v>
      </c>
      <c r="I47" s="1143">
        <v>37870</v>
      </c>
      <c r="J47" s="1144" t="s">
        <v>255</v>
      </c>
      <c r="K47" s="1145">
        <v>330</v>
      </c>
      <c r="L47" s="1146">
        <v>390</v>
      </c>
      <c r="M47" s="1147" t="s">
        <v>1017</v>
      </c>
      <c r="N47" s="1145">
        <v>290</v>
      </c>
      <c r="O47" s="1146">
        <v>350</v>
      </c>
      <c r="P47" s="1147" t="s">
        <v>1017</v>
      </c>
      <c r="Q47" s="1144" t="s">
        <v>255</v>
      </c>
      <c r="R47" s="1148">
        <v>6880</v>
      </c>
      <c r="S47" s="1149">
        <v>60</v>
      </c>
      <c r="T47" s="2059"/>
      <c r="U47" s="32"/>
      <c r="V47" s="1165">
        <v>494300</v>
      </c>
      <c r="W47" s="1972"/>
      <c r="X47" s="1166">
        <v>4940</v>
      </c>
      <c r="Y47" s="1152"/>
      <c r="Z47" s="2060"/>
      <c r="AA47" s="1166"/>
      <c r="AB47" s="2058"/>
      <c r="AC47" s="1173"/>
      <c r="AD47" s="1173"/>
      <c r="AE47" s="2059"/>
      <c r="AF47" s="1196"/>
      <c r="AG47" s="2060"/>
      <c r="AH47" s="2381" t="s">
        <v>288</v>
      </c>
      <c r="AI47" s="2059" t="s">
        <v>31</v>
      </c>
      <c r="AJ47" s="2382">
        <v>20</v>
      </c>
      <c r="AK47" s="2053" t="s">
        <v>255</v>
      </c>
      <c r="AL47" s="2378">
        <v>3100</v>
      </c>
      <c r="AM47" s="2375">
        <v>3400</v>
      </c>
      <c r="AN47" s="2378">
        <v>2100</v>
      </c>
      <c r="AO47" s="2375">
        <v>2100</v>
      </c>
      <c r="AP47" s="1959" t="s">
        <v>255</v>
      </c>
      <c r="AQ47" s="1154" t="s">
        <v>1019</v>
      </c>
      <c r="AR47" s="1306">
        <v>6100</v>
      </c>
      <c r="AS47" s="1307">
        <v>6800</v>
      </c>
      <c r="AT47" s="1323">
        <v>4200</v>
      </c>
      <c r="AU47" s="1314">
        <v>4200</v>
      </c>
      <c r="AV47" s="1972"/>
      <c r="AW47" s="1165">
        <v>3920</v>
      </c>
      <c r="AX47" s="1968" t="s">
        <v>255</v>
      </c>
      <c r="AY47" s="1996">
        <v>4700</v>
      </c>
      <c r="AZ47" s="2060" t="s">
        <v>255</v>
      </c>
      <c r="BA47" s="1969">
        <v>1920</v>
      </c>
      <c r="BB47" s="1972" t="s">
        <v>255</v>
      </c>
      <c r="BC47" s="1973">
        <v>10</v>
      </c>
      <c r="BD47" s="1972"/>
      <c r="BE47" s="1165"/>
      <c r="BF47" s="1972" t="s">
        <v>78</v>
      </c>
      <c r="BG47" s="1998" t="s">
        <v>262</v>
      </c>
      <c r="BH47" s="1966" t="s">
        <v>262</v>
      </c>
      <c r="BI47" s="1966" t="s">
        <v>262</v>
      </c>
      <c r="BJ47" s="1980" t="s">
        <v>262</v>
      </c>
      <c r="BK47" s="1972" t="s">
        <v>78</v>
      </c>
      <c r="BL47" s="1310"/>
      <c r="BM47" s="1972" t="s">
        <v>78</v>
      </c>
      <c r="BN47" s="1310"/>
      <c r="BO47" s="1972" t="s">
        <v>78</v>
      </c>
      <c r="BP47" s="1310"/>
      <c r="BQ47" s="2395"/>
      <c r="BR47" s="2396"/>
    </row>
    <row r="48" spans="1:70" s="25" customFormat="1" ht="12.75" customHeight="1">
      <c r="A48" s="2335"/>
      <c r="B48" s="2402"/>
      <c r="C48" s="2215"/>
      <c r="D48" s="1133" t="s">
        <v>556</v>
      </c>
      <c r="E48" s="1123"/>
      <c r="F48" s="1158">
        <v>42130</v>
      </c>
      <c r="G48" s="1159">
        <v>98580</v>
      </c>
      <c r="H48" s="1158">
        <v>37870</v>
      </c>
      <c r="I48" s="1159">
        <v>94320</v>
      </c>
      <c r="J48" s="1144" t="s">
        <v>255</v>
      </c>
      <c r="K48" s="1160">
        <v>390</v>
      </c>
      <c r="L48" s="1161">
        <v>870</v>
      </c>
      <c r="M48" s="1162" t="s">
        <v>1017</v>
      </c>
      <c r="N48" s="1160">
        <v>350</v>
      </c>
      <c r="O48" s="1161">
        <v>830</v>
      </c>
      <c r="P48" s="1162" t="s">
        <v>1017</v>
      </c>
      <c r="Q48" s="1144" t="s">
        <v>255</v>
      </c>
      <c r="R48" s="1163">
        <v>6880</v>
      </c>
      <c r="S48" s="1164">
        <v>60</v>
      </c>
      <c r="T48" s="2059"/>
      <c r="U48" s="32"/>
      <c r="V48" s="1190"/>
      <c r="W48" s="1972"/>
      <c r="X48" s="1191"/>
      <c r="Y48" s="1192"/>
      <c r="Z48" s="2060"/>
      <c r="AA48" s="1190"/>
      <c r="AB48" s="2058"/>
      <c r="AC48" s="1173"/>
      <c r="AD48" s="1173"/>
      <c r="AE48" s="2059"/>
      <c r="AF48" s="1196"/>
      <c r="AG48" s="2060"/>
      <c r="AH48" s="2381"/>
      <c r="AI48" s="2059"/>
      <c r="AJ48" s="2382"/>
      <c r="AK48" s="2053"/>
      <c r="AL48" s="2379"/>
      <c r="AM48" s="2376"/>
      <c r="AN48" s="2379"/>
      <c r="AO48" s="2376"/>
      <c r="AP48" s="1959"/>
      <c r="AQ48" s="1168" t="s">
        <v>1020</v>
      </c>
      <c r="AR48" s="1311">
        <v>3300</v>
      </c>
      <c r="AS48" s="1312">
        <v>3700</v>
      </c>
      <c r="AT48" s="1323">
        <v>2300</v>
      </c>
      <c r="AU48" s="1314">
        <v>2300</v>
      </c>
      <c r="AV48" s="1972"/>
      <c r="AW48" s="1190"/>
      <c r="AX48" s="1968"/>
      <c r="AY48" s="1997"/>
      <c r="AZ48" s="2060"/>
      <c r="BA48" s="1970"/>
      <c r="BB48" s="1972"/>
      <c r="BC48" s="1974"/>
      <c r="BD48" s="1972"/>
      <c r="BE48" s="1190"/>
      <c r="BF48" s="1972"/>
      <c r="BG48" s="1999"/>
      <c r="BH48" s="1967"/>
      <c r="BI48" s="1967"/>
      <c r="BJ48" s="1981"/>
      <c r="BK48" s="1972"/>
      <c r="BL48" s="1315">
        <v>1150</v>
      </c>
      <c r="BM48" s="1972"/>
      <c r="BN48" s="1315">
        <v>3750</v>
      </c>
      <c r="BO48" s="1972"/>
      <c r="BP48" s="1315">
        <v>2280</v>
      </c>
      <c r="BQ48" s="2395"/>
      <c r="BR48" s="2397"/>
    </row>
    <row r="49" spans="1:70" s="25" customFormat="1" ht="12.75" customHeight="1">
      <c r="A49" s="2335"/>
      <c r="B49" s="2402"/>
      <c r="C49" s="2398" t="s">
        <v>1021</v>
      </c>
      <c r="D49" s="1133" t="s">
        <v>1022</v>
      </c>
      <c r="E49" s="1123"/>
      <c r="F49" s="1158">
        <v>98580</v>
      </c>
      <c r="G49" s="1159">
        <v>167410</v>
      </c>
      <c r="H49" s="1158">
        <v>94320</v>
      </c>
      <c r="I49" s="1159">
        <v>163150</v>
      </c>
      <c r="J49" s="1144" t="s">
        <v>255</v>
      </c>
      <c r="K49" s="1160">
        <v>870</v>
      </c>
      <c r="L49" s="1161">
        <v>1550</v>
      </c>
      <c r="M49" s="1162" t="s">
        <v>1017</v>
      </c>
      <c r="N49" s="1160">
        <v>830</v>
      </c>
      <c r="O49" s="1161">
        <v>1510</v>
      </c>
      <c r="P49" s="1162" t="s">
        <v>1017</v>
      </c>
      <c r="Q49" s="1172"/>
      <c r="R49" s="1173"/>
      <c r="S49" s="1174"/>
      <c r="T49" s="2059"/>
      <c r="U49" s="32"/>
      <c r="V49" s="1165" t="s">
        <v>1047</v>
      </c>
      <c r="W49" s="1972"/>
      <c r="X49" s="1166" t="s">
        <v>1047</v>
      </c>
      <c r="Y49" s="1189"/>
      <c r="Z49" s="2060"/>
      <c r="AA49" s="1165"/>
      <c r="AB49" s="2058"/>
      <c r="AC49" s="1173"/>
      <c r="AD49" s="1173"/>
      <c r="AE49" s="2059"/>
      <c r="AF49" s="1196"/>
      <c r="AG49" s="2060"/>
      <c r="AH49" s="2383">
        <v>2820</v>
      </c>
      <c r="AI49" s="2059"/>
      <c r="AJ49" s="2382"/>
      <c r="AK49" s="2053"/>
      <c r="AL49" s="2379"/>
      <c r="AM49" s="2376"/>
      <c r="AN49" s="2379"/>
      <c r="AO49" s="2376"/>
      <c r="AP49" s="1959"/>
      <c r="AQ49" s="1168" t="s">
        <v>1023</v>
      </c>
      <c r="AR49" s="1311">
        <v>2900</v>
      </c>
      <c r="AS49" s="1312">
        <v>3200</v>
      </c>
      <c r="AT49" s="1323">
        <v>2000</v>
      </c>
      <c r="AU49" s="1314">
        <v>2000</v>
      </c>
      <c r="AV49" s="1972"/>
      <c r="AW49" s="1165" t="s">
        <v>1099</v>
      </c>
      <c r="AX49" s="1152"/>
      <c r="AY49" s="1176"/>
      <c r="AZ49" s="2060"/>
      <c r="BA49" s="1970"/>
      <c r="BB49" s="1972"/>
      <c r="BC49" s="1974"/>
      <c r="BD49" s="1972"/>
      <c r="BE49" s="1165"/>
      <c r="BF49" s="1972"/>
      <c r="BG49" s="1978">
        <v>0.02</v>
      </c>
      <c r="BH49" s="1976">
        <v>0.03</v>
      </c>
      <c r="BI49" s="1976">
        <v>0.05</v>
      </c>
      <c r="BJ49" s="1982">
        <v>7.0000000000000007E-2</v>
      </c>
      <c r="BK49" s="1972"/>
      <c r="BL49" s="1317">
        <v>10</v>
      </c>
      <c r="BM49" s="1972"/>
      <c r="BN49" s="1317">
        <v>30</v>
      </c>
      <c r="BO49" s="1972"/>
      <c r="BP49" s="1317">
        <v>20</v>
      </c>
      <c r="BQ49" s="2395"/>
      <c r="BR49" s="2400"/>
    </row>
    <row r="50" spans="1:70" s="25" customFormat="1" ht="12.75" customHeight="1">
      <c r="A50" s="2335"/>
      <c r="B50" s="2402"/>
      <c r="C50" s="2399"/>
      <c r="D50" s="1126" t="s">
        <v>133</v>
      </c>
      <c r="E50" s="1123"/>
      <c r="F50" s="1177">
        <v>167410</v>
      </c>
      <c r="G50" s="1178"/>
      <c r="H50" s="1177">
        <v>163150</v>
      </c>
      <c r="I50" s="1178"/>
      <c r="J50" s="1144" t="s">
        <v>255</v>
      </c>
      <c r="K50" s="1163">
        <v>1550</v>
      </c>
      <c r="L50" s="1179"/>
      <c r="M50" s="1180" t="s">
        <v>1017</v>
      </c>
      <c r="N50" s="1163">
        <v>1510</v>
      </c>
      <c r="O50" s="1179"/>
      <c r="P50" s="1180" t="s">
        <v>1017</v>
      </c>
      <c r="Q50" s="1172"/>
      <c r="R50" s="1173"/>
      <c r="S50" s="1181"/>
      <c r="T50" s="2059"/>
      <c r="U50" s="32"/>
      <c r="V50" s="1165">
        <v>528100</v>
      </c>
      <c r="W50" s="1972"/>
      <c r="X50" s="1166">
        <v>5280</v>
      </c>
      <c r="Y50" s="1152"/>
      <c r="Z50" s="2060"/>
      <c r="AA50" s="1166"/>
      <c r="AB50" s="2058"/>
      <c r="AC50" s="1173"/>
      <c r="AD50" s="1173"/>
      <c r="AE50" s="2059"/>
      <c r="AF50" s="1196"/>
      <c r="AG50" s="2060"/>
      <c r="AH50" s="2383"/>
      <c r="AI50" s="2059"/>
      <c r="AJ50" s="2382"/>
      <c r="AK50" s="2053"/>
      <c r="AL50" s="2380"/>
      <c r="AM50" s="2377"/>
      <c r="AN50" s="2380"/>
      <c r="AO50" s="2377"/>
      <c r="AP50" s="1959"/>
      <c r="AQ50" s="1183" t="s">
        <v>1024</v>
      </c>
      <c r="AR50" s="1318">
        <v>2600</v>
      </c>
      <c r="AS50" s="1319">
        <v>2900</v>
      </c>
      <c r="AT50" s="1320">
        <v>1800</v>
      </c>
      <c r="AU50" s="1182">
        <v>1800</v>
      </c>
      <c r="AV50" s="1972"/>
      <c r="AW50" s="1165">
        <v>3660</v>
      </c>
      <c r="AX50" s="1152"/>
      <c r="AY50" s="1176"/>
      <c r="AZ50" s="2060"/>
      <c r="BA50" s="1971"/>
      <c r="BB50" s="1972"/>
      <c r="BC50" s="1975"/>
      <c r="BD50" s="1972"/>
      <c r="BE50" s="1165"/>
      <c r="BF50" s="1972"/>
      <c r="BG50" s="1979"/>
      <c r="BH50" s="1977"/>
      <c r="BI50" s="1977"/>
      <c r="BJ50" s="1983"/>
      <c r="BK50" s="1972"/>
      <c r="BL50" s="1321"/>
      <c r="BM50" s="1972"/>
      <c r="BN50" s="1322" t="s">
        <v>1120</v>
      </c>
      <c r="BO50" s="1972"/>
      <c r="BP50" s="1322" t="s">
        <v>1120</v>
      </c>
      <c r="BQ50" s="2395"/>
      <c r="BR50" s="2400"/>
    </row>
    <row r="51" spans="1:70" s="25" customFormat="1" ht="12.75" customHeight="1">
      <c r="A51" s="2335"/>
      <c r="B51" s="2401" t="s">
        <v>1046</v>
      </c>
      <c r="C51" s="2214" t="s">
        <v>1016</v>
      </c>
      <c r="D51" s="1122" t="s">
        <v>554</v>
      </c>
      <c r="E51" s="1123"/>
      <c r="F51" s="1142">
        <v>33680</v>
      </c>
      <c r="G51" s="1143">
        <v>40560</v>
      </c>
      <c r="H51" s="1142">
        <v>29770</v>
      </c>
      <c r="I51" s="1143">
        <v>36650</v>
      </c>
      <c r="J51" s="1144" t="s">
        <v>255</v>
      </c>
      <c r="K51" s="1145">
        <v>310</v>
      </c>
      <c r="L51" s="1146">
        <v>370</v>
      </c>
      <c r="M51" s="1147" t="s">
        <v>1017</v>
      </c>
      <c r="N51" s="1145">
        <v>270</v>
      </c>
      <c r="O51" s="1146">
        <v>330</v>
      </c>
      <c r="P51" s="1147" t="s">
        <v>1017</v>
      </c>
      <c r="Q51" s="1144" t="s">
        <v>255</v>
      </c>
      <c r="R51" s="1148">
        <v>6880</v>
      </c>
      <c r="S51" s="1149">
        <v>60</v>
      </c>
      <c r="T51" s="2059"/>
      <c r="U51" s="32"/>
      <c r="V51" s="1190"/>
      <c r="W51" s="1972"/>
      <c r="X51" s="1191"/>
      <c r="Y51" s="1192"/>
      <c r="Z51" s="2060"/>
      <c r="AA51" s="1190"/>
      <c r="AB51" s="2058"/>
      <c r="AC51" s="1173"/>
      <c r="AD51" s="1173"/>
      <c r="AE51" s="2059"/>
      <c r="AF51" s="1196"/>
      <c r="AG51" s="2060"/>
      <c r="AH51" s="2381" t="s">
        <v>289</v>
      </c>
      <c r="AI51" s="2059" t="s">
        <v>31</v>
      </c>
      <c r="AJ51" s="2382">
        <v>20</v>
      </c>
      <c r="AK51" s="2053" t="s">
        <v>255</v>
      </c>
      <c r="AL51" s="2378">
        <v>2800</v>
      </c>
      <c r="AM51" s="2375">
        <v>3100</v>
      </c>
      <c r="AN51" s="2378">
        <v>2000</v>
      </c>
      <c r="AO51" s="2375">
        <v>2000</v>
      </c>
      <c r="AP51" s="1959" t="s">
        <v>255</v>
      </c>
      <c r="AQ51" s="1154" t="s">
        <v>1019</v>
      </c>
      <c r="AR51" s="1306">
        <v>5500</v>
      </c>
      <c r="AS51" s="1307">
        <v>6200</v>
      </c>
      <c r="AT51" s="1323">
        <v>3900</v>
      </c>
      <c r="AU51" s="1314">
        <v>3900</v>
      </c>
      <c r="AV51" s="1972"/>
      <c r="AW51" s="1190"/>
      <c r="AX51" s="1968" t="s">
        <v>255</v>
      </c>
      <c r="AY51" s="1996">
        <v>4700</v>
      </c>
      <c r="AZ51" s="2060" t="s">
        <v>255</v>
      </c>
      <c r="BA51" s="1969">
        <v>1760</v>
      </c>
      <c r="BB51" s="1972" t="s">
        <v>255</v>
      </c>
      <c r="BC51" s="1973">
        <v>10</v>
      </c>
      <c r="BD51" s="1972"/>
      <c r="BE51" s="1190"/>
      <c r="BF51" s="1972" t="s">
        <v>78</v>
      </c>
      <c r="BG51" s="1998" t="s">
        <v>262</v>
      </c>
      <c r="BH51" s="1966" t="s">
        <v>262</v>
      </c>
      <c r="BI51" s="1966" t="s">
        <v>262</v>
      </c>
      <c r="BJ51" s="1980" t="s">
        <v>262</v>
      </c>
      <c r="BK51" s="1972" t="s">
        <v>78</v>
      </c>
      <c r="BL51" s="1310"/>
      <c r="BM51" s="1972" t="s">
        <v>78</v>
      </c>
      <c r="BN51" s="1310"/>
      <c r="BO51" s="1972" t="s">
        <v>78</v>
      </c>
      <c r="BP51" s="1310"/>
      <c r="BQ51" s="2395"/>
      <c r="BR51" s="2396"/>
    </row>
    <row r="52" spans="1:70" s="25" customFormat="1" ht="12.75" customHeight="1">
      <c r="A52" s="2335"/>
      <c r="B52" s="2402"/>
      <c r="C52" s="2215"/>
      <c r="D52" s="1133" t="s">
        <v>556</v>
      </c>
      <c r="E52" s="1123"/>
      <c r="F52" s="1158">
        <v>40560</v>
      </c>
      <c r="G52" s="1159">
        <v>97010</v>
      </c>
      <c r="H52" s="1158">
        <v>36650</v>
      </c>
      <c r="I52" s="1159">
        <v>93100</v>
      </c>
      <c r="J52" s="1144" t="s">
        <v>255</v>
      </c>
      <c r="K52" s="1160">
        <v>370</v>
      </c>
      <c r="L52" s="1161">
        <v>860</v>
      </c>
      <c r="M52" s="1162" t="s">
        <v>1017</v>
      </c>
      <c r="N52" s="1160">
        <v>330</v>
      </c>
      <c r="O52" s="1161">
        <v>820</v>
      </c>
      <c r="P52" s="1162" t="s">
        <v>1017</v>
      </c>
      <c r="Q52" s="1144" t="s">
        <v>255</v>
      </c>
      <c r="R52" s="1163">
        <v>6880</v>
      </c>
      <c r="S52" s="1164">
        <v>60</v>
      </c>
      <c r="T52" s="2059"/>
      <c r="U52" s="32"/>
      <c r="V52" s="1165" t="s">
        <v>1049</v>
      </c>
      <c r="W52" s="1972"/>
      <c r="X52" s="1166" t="s">
        <v>1049</v>
      </c>
      <c r="Y52" s="1189"/>
      <c r="Z52" s="2060"/>
      <c r="AA52" s="1165"/>
      <c r="AB52" s="2058"/>
      <c r="AC52" s="1173"/>
      <c r="AD52" s="1173"/>
      <c r="AE52" s="2059"/>
      <c r="AF52" s="1196"/>
      <c r="AG52" s="2060"/>
      <c r="AH52" s="2381"/>
      <c r="AI52" s="2059"/>
      <c r="AJ52" s="2382"/>
      <c r="AK52" s="2053"/>
      <c r="AL52" s="2379"/>
      <c r="AM52" s="2376"/>
      <c r="AN52" s="2379"/>
      <c r="AO52" s="2376"/>
      <c r="AP52" s="1959"/>
      <c r="AQ52" s="1168" t="s">
        <v>1020</v>
      </c>
      <c r="AR52" s="1311">
        <v>3000</v>
      </c>
      <c r="AS52" s="1312">
        <v>3400</v>
      </c>
      <c r="AT52" s="1323">
        <v>2100</v>
      </c>
      <c r="AU52" s="1314">
        <v>2100</v>
      </c>
      <c r="AV52" s="1972"/>
      <c r="AW52" s="1165" t="s">
        <v>1100</v>
      </c>
      <c r="AX52" s="1968"/>
      <c r="AY52" s="1997"/>
      <c r="AZ52" s="2060"/>
      <c r="BA52" s="1970"/>
      <c r="BB52" s="1972"/>
      <c r="BC52" s="1974"/>
      <c r="BD52" s="1972"/>
      <c r="BE52" s="1165"/>
      <c r="BF52" s="1972"/>
      <c r="BG52" s="1999"/>
      <c r="BH52" s="1967"/>
      <c r="BI52" s="1967"/>
      <c r="BJ52" s="1981"/>
      <c r="BK52" s="1972"/>
      <c r="BL52" s="1315">
        <v>1060</v>
      </c>
      <c r="BM52" s="1972"/>
      <c r="BN52" s="1315">
        <v>3440</v>
      </c>
      <c r="BO52" s="1972"/>
      <c r="BP52" s="1315">
        <v>2090</v>
      </c>
      <c r="BQ52" s="2395"/>
      <c r="BR52" s="2397"/>
    </row>
    <row r="53" spans="1:70" s="25" customFormat="1" ht="12.75" customHeight="1">
      <c r="A53" s="2335"/>
      <c r="B53" s="2402"/>
      <c r="C53" s="2398" t="s">
        <v>1021</v>
      </c>
      <c r="D53" s="1133" t="s">
        <v>1022</v>
      </c>
      <c r="E53" s="1123"/>
      <c r="F53" s="1158">
        <v>97010</v>
      </c>
      <c r="G53" s="1159">
        <v>165840</v>
      </c>
      <c r="H53" s="1158">
        <v>93100</v>
      </c>
      <c r="I53" s="1159">
        <v>161930</v>
      </c>
      <c r="J53" s="1144" t="s">
        <v>255</v>
      </c>
      <c r="K53" s="1160">
        <v>860</v>
      </c>
      <c r="L53" s="1161">
        <v>1540</v>
      </c>
      <c r="M53" s="1162" t="s">
        <v>1017</v>
      </c>
      <c r="N53" s="1160">
        <v>820</v>
      </c>
      <c r="O53" s="1161">
        <v>1500</v>
      </c>
      <c r="P53" s="1162" t="s">
        <v>1017</v>
      </c>
      <c r="Q53" s="1172"/>
      <c r="R53" s="1173"/>
      <c r="S53" s="1174"/>
      <c r="T53" s="2059"/>
      <c r="U53" s="32"/>
      <c r="V53" s="1165">
        <v>562000</v>
      </c>
      <c r="W53" s="1972"/>
      <c r="X53" s="1166">
        <v>5620</v>
      </c>
      <c r="Y53" s="1152"/>
      <c r="Z53" s="2060"/>
      <c r="AA53" s="1166"/>
      <c r="AB53" s="2058"/>
      <c r="AC53" s="1173"/>
      <c r="AD53" s="1173"/>
      <c r="AE53" s="2059"/>
      <c r="AF53" s="1196"/>
      <c r="AG53" s="2060"/>
      <c r="AH53" s="2383">
        <v>2350</v>
      </c>
      <c r="AI53" s="2059"/>
      <c r="AJ53" s="2382"/>
      <c r="AK53" s="2053"/>
      <c r="AL53" s="2379"/>
      <c r="AM53" s="2376"/>
      <c r="AN53" s="2379"/>
      <c r="AO53" s="2376"/>
      <c r="AP53" s="1959"/>
      <c r="AQ53" s="1168" t="s">
        <v>1023</v>
      </c>
      <c r="AR53" s="1311">
        <v>2600</v>
      </c>
      <c r="AS53" s="1312">
        <v>2900</v>
      </c>
      <c r="AT53" s="1323">
        <v>1800</v>
      </c>
      <c r="AU53" s="1314">
        <v>1800</v>
      </c>
      <c r="AV53" s="1972"/>
      <c r="AW53" s="1165">
        <v>3160</v>
      </c>
      <c r="AX53" s="1152"/>
      <c r="AY53" s="1176"/>
      <c r="AZ53" s="2060"/>
      <c r="BA53" s="1970"/>
      <c r="BB53" s="1972"/>
      <c r="BC53" s="1974"/>
      <c r="BD53" s="1972"/>
      <c r="BE53" s="1165"/>
      <c r="BF53" s="1972"/>
      <c r="BG53" s="1978">
        <v>0.02</v>
      </c>
      <c r="BH53" s="1976">
        <v>0.03</v>
      </c>
      <c r="BI53" s="1976">
        <v>0.05</v>
      </c>
      <c r="BJ53" s="1982">
        <v>7.0000000000000007E-2</v>
      </c>
      <c r="BK53" s="1972"/>
      <c r="BL53" s="1317">
        <v>10</v>
      </c>
      <c r="BM53" s="1972"/>
      <c r="BN53" s="1317">
        <v>30</v>
      </c>
      <c r="BO53" s="1972"/>
      <c r="BP53" s="1317">
        <v>20</v>
      </c>
      <c r="BQ53" s="2395"/>
      <c r="BR53" s="2400"/>
    </row>
    <row r="54" spans="1:70" s="25" customFormat="1" ht="12.75" customHeight="1">
      <c r="A54" s="2335"/>
      <c r="B54" s="2402"/>
      <c r="C54" s="2399"/>
      <c r="D54" s="1126" t="s">
        <v>133</v>
      </c>
      <c r="E54" s="1123"/>
      <c r="F54" s="1177">
        <v>165840</v>
      </c>
      <c r="G54" s="1178"/>
      <c r="H54" s="1177">
        <v>161930</v>
      </c>
      <c r="I54" s="1178"/>
      <c r="J54" s="1144" t="s">
        <v>255</v>
      </c>
      <c r="K54" s="1163">
        <v>1540</v>
      </c>
      <c r="L54" s="1179"/>
      <c r="M54" s="1180" t="s">
        <v>1017</v>
      </c>
      <c r="N54" s="1163">
        <v>1500</v>
      </c>
      <c r="O54" s="1179"/>
      <c r="P54" s="1180" t="s">
        <v>1017</v>
      </c>
      <c r="Q54" s="1172"/>
      <c r="R54" s="1173"/>
      <c r="S54" s="1181"/>
      <c r="T54" s="2059"/>
      <c r="U54" s="32"/>
      <c r="V54" s="1190"/>
      <c r="W54" s="1972"/>
      <c r="X54" s="1191"/>
      <c r="Y54" s="1192"/>
      <c r="Z54" s="2060"/>
      <c r="AA54" s="1190"/>
      <c r="AB54" s="2058"/>
      <c r="AC54" s="1173"/>
      <c r="AD54" s="1173"/>
      <c r="AE54" s="2059"/>
      <c r="AF54" s="1196"/>
      <c r="AG54" s="2060"/>
      <c r="AH54" s="2383"/>
      <c r="AI54" s="2059"/>
      <c r="AJ54" s="2382"/>
      <c r="AK54" s="2053"/>
      <c r="AL54" s="2380"/>
      <c r="AM54" s="2377"/>
      <c r="AN54" s="2380"/>
      <c r="AO54" s="2377"/>
      <c r="AP54" s="1959"/>
      <c r="AQ54" s="1183" t="s">
        <v>1024</v>
      </c>
      <c r="AR54" s="1318">
        <v>2400</v>
      </c>
      <c r="AS54" s="1319">
        <v>2600</v>
      </c>
      <c r="AT54" s="1320">
        <v>1600</v>
      </c>
      <c r="AU54" s="1182">
        <v>1600</v>
      </c>
      <c r="AV54" s="1972"/>
      <c r="AW54" s="1190"/>
      <c r="AX54" s="1152"/>
      <c r="AY54" s="1176"/>
      <c r="AZ54" s="2060"/>
      <c r="BA54" s="1971"/>
      <c r="BB54" s="1972"/>
      <c r="BC54" s="1975"/>
      <c r="BD54" s="1972"/>
      <c r="BE54" s="1190"/>
      <c r="BF54" s="1972"/>
      <c r="BG54" s="1979"/>
      <c r="BH54" s="1977"/>
      <c r="BI54" s="1977"/>
      <c r="BJ54" s="1983"/>
      <c r="BK54" s="1972"/>
      <c r="BL54" s="1321"/>
      <c r="BM54" s="1972"/>
      <c r="BN54" s="1322" t="s">
        <v>1120</v>
      </c>
      <c r="BO54" s="1972"/>
      <c r="BP54" s="1322" t="s">
        <v>1120</v>
      </c>
      <c r="BQ54" s="2395"/>
      <c r="BR54" s="2400"/>
    </row>
    <row r="55" spans="1:70" ht="12.75" customHeight="1">
      <c r="A55" s="2335"/>
      <c r="B55" s="2401" t="s">
        <v>1048</v>
      </c>
      <c r="C55" s="2214" t="s">
        <v>1016</v>
      </c>
      <c r="D55" s="1122" t="s">
        <v>554</v>
      </c>
      <c r="E55" s="1123"/>
      <c r="F55" s="1142">
        <v>32340</v>
      </c>
      <c r="G55" s="1143">
        <v>39220</v>
      </c>
      <c r="H55" s="1142">
        <v>28740</v>
      </c>
      <c r="I55" s="1143">
        <v>35620</v>
      </c>
      <c r="J55" s="1144" t="s">
        <v>255</v>
      </c>
      <c r="K55" s="1145">
        <v>300</v>
      </c>
      <c r="L55" s="1146">
        <v>360</v>
      </c>
      <c r="M55" s="1147" t="s">
        <v>1017</v>
      </c>
      <c r="N55" s="1145">
        <v>260</v>
      </c>
      <c r="O55" s="1146">
        <v>320</v>
      </c>
      <c r="P55" s="1147" t="s">
        <v>1017</v>
      </c>
      <c r="Q55" s="1144" t="s">
        <v>255</v>
      </c>
      <c r="R55" s="1148">
        <v>6880</v>
      </c>
      <c r="S55" s="1149">
        <v>60</v>
      </c>
      <c r="T55" s="2059"/>
      <c r="U55" s="32"/>
      <c r="V55" s="1165" t="s">
        <v>1051</v>
      </c>
      <c r="W55" s="1972"/>
      <c r="X55" s="1166" t="s">
        <v>1051</v>
      </c>
      <c r="Y55" s="1189"/>
      <c r="Z55" s="2060"/>
      <c r="AA55" s="1165"/>
      <c r="AB55" s="2058"/>
      <c r="AC55" s="1173"/>
      <c r="AD55" s="1173"/>
      <c r="AE55" s="2059"/>
      <c r="AF55" s="1196"/>
      <c r="AG55" s="2060"/>
      <c r="AH55" s="2381" t="s">
        <v>290</v>
      </c>
      <c r="AI55" s="2059" t="s">
        <v>31</v>
      </c>
      <c r="AJ55" s="2382">
        <v>20</v>
      </c>
      <c r="AK55" s="2053" t="s">
        <v>255</v>
      </c>
      <c r="AL55" s="2378">
        <v>2600</v>
      </c>
      <c r="AM55" s="2375">
        <v>2900</v>
      </c>
      <c r="AN55" s="2378">
        <v>1800</v>
      </c>
      <c r="AO55" s="2375">
        <v>1800</v>
      </c>
      <c r="AP55" s="1959" t="s">
        <v>255</v>
      </c>
      <c r="AQ55" s="1154" t="s">
        <v>1019</v>
      </c>
      <c r="AR55" s="1306">
        <v>5100</v>
      </c>
      <c r="AS55" s="1307">
        <v>5700</v>
      </c>
      <c r="AT55" s="1323">
        <v>3500</v>
      </c>
      <c r="AU55" s="1314">
        <v>3500</v>
      </c>
      <c r="AV55" s="1972"/>
      <c r="AW55" s="1165" t="s">
        <v>1101</v>
      </c>
      <c r="AX55" s="1968" t="s">
        <v>255</v>
      </c>
      <c r="AY55" s="1996">
        <v>4700</v>
      </c>
      <c r="AZ55" s="2060" t="s">
        <v>255</v>
      </c>
      <c r="BA55" s="1969">
        <v>1620</v>
      </c>
      <c r="BB55" s="1972" t="s">
        <v>255</v>
      </c>
      <c r="BC55" s="1973">
        <v>10</v>
      </c>
      <c r="BD55" s="1972"/>
      <c r="BE55" s="1165"/>
      <c r="BF55" s="1972" t="s">
        <v>78</v>
      </c>
      <c r="BG55" s="1998" t="s">
        <v>262</v>
      </c>
      <c r="BH55" s="1966" t="s">
        <v>262</v>
      </c>
      <c r="BI55" s="1966" t="s">
        <v>262</v>
      </c>
      <c r="BJ55" s="1980" t="s">
        <v>262</v>
      </c>
      <c r="BK55" s="1972" t="s">
        <v>78</v>
      </c>
      <c r="BL55" s="1310"/>
      <c r="BM55" s="1972" t="s">
        <v>78</v>
      </c>
      <c r="BN55" s="1310"/>
      <c r="BO55" s="1972" t="s">
        <v>78</v>
      </c>
      <c r="BP55" s="1310"/>
      <c r="BQ55" s="2395"/>
      <c r="BR55" s="2396"/>
    </row>
    <row r="56" spans="1:70" ht="12.75" customHeight="1">
      <c r="A56" s="2335"/>
      <c r="B56" s="2402"/>
      <c r="C56" s="2215"/>
      <c r="D56" s="1133" t="s">
        <v>556</v>
      </c>
      <c r="E56" s="1123"/>
      <c r="F56" s="1158">
        <v>39220</v>
      </c>
      <c r="G56" s="1159">
        <v>95670</v>
      </c>
      <c r="H56" s="1158">
        <v>35620</v>
      </c>
      <c r="I56" s="1159">
        <v>92070</v>
      </c>
      <c r="J56" s="1144" t="s">
        <v>255</v>
      </c>
      <c r="K56" s="1160">
        <v>360</v>
      </c>
      <c r="L56" s="1161">
        <v>840</v>
      </c>
      <c r="M56" s="1162" t="s">
        <v>1017</v>
      </c>
      <c r="N56" s="1160">
        <v>320</v>
      </c>
      <c r="O56" s="1161">
        <v>810</v>
      </c>
      <c r="P56" s="1162" t="s">
        <v>1017</v>
      </c>
      <c r="Q56" s="1144" t="s">
        <v>255</v>
      </c>
      <c r="R56" s="1163">
        <v>6880</v>
      </c>
      <c r="S56" s="1164">
        <v>60</v>
      </c>
      <c r="T56" s="2059"/>
      <c r="U56" s="32"/>
      <c r="V56" s="1165">
        <v>595800</v>
      </c>
      <c r="W56" s="1972"/>
      <c r="X56" s="1166">
        <v>5950</v>
      </c>
      <c r="Y56" s="1152"/>
      <c r="Z56" s="2060"/>
      <c r="AA56" s="1166"/>
      <c r="AB56" s="2058"/>
      <c r="AC56" s="1173"/>
      <c r="AD56" s="1173"/>
      <c r="AE56" s="2059"/>
      <c r="AF56" s="1196"/>
      <c r="AG56" s="2060"/>
      <c r="AH56" s="2381"/>
      <c r="AI56" s="2059"/>
      <c r="AJ56" s="2382"/>
      <c r="AK56" s="2053"/>
      <c r="AL56" s="2379"/>
      <c r="AM56" s="2376"/>
      <c r="AN56" s="2379"/>
      <c r="AO56" s="2376"/>
      <c r="AP56" s="1959"/>
      <c r="AQ56" s="1168" t="s">
        <v>1020</v>
      </c>
      <c r="AR56" s="1311">
        <v>2800</v>
      </c>
      <c r="AS56" s="1312">
        <v>3100</v>
      </c>
      <c r="AT56" s="1323">
        <v>1900</v>
      </c>
      <c r="AU56" s="1314">
        <v>1900</v>
      </c>
      <c r="AV56" s="1972"/>
      <c r="AW56" s="1165">
        <v>2810</v>
      </c>
      <c r="AX56" s="1968"/>
      <c r="AY56" s="1997"/>
      <c r="AZ56" s="2060"/>
      <c r="BA56" s="1970"/>
      <c r="BB56" s="1972"/>
      <c r="BC56" s="1974"/>
      <c r="BD56" s="1972"/>
      <c r="BE56" s="1165"/>
      <c r="BF56" s="1972"/>
      <c r="BG56" s="1999"/>
      <c r="BH56" s="1967"/>
      <c r="BI56" s="1967"/>
      <c r="BJ56" s="1981"/>
      <c r="BK56" s="1972"/>
      <c r="BL56" s="1315">
        <v>970</v>
      </c>
      <c r="BM56" s="1972"/>
      <c r="BN56" s="1315">
        <v>3170</v>
      </c>
      <c r="BO56" s="1972"/>
      <c r="BP56" s="1315">
        <v>1930</v>
      </c>
      <c r="BQ56" s="2395"/>
      <c r="BR56" s="2397"/>
    </row>
    <row r="57" spans="1:70" ht="12.75" customHeight="1">
      <c r="A57" s="2335"/>
      <c r="B57" s="2402"/>
      <c r="C57" s="2398" t="s">
        <v>1021</v>
      </c>
      <c r="D57" s="1133" t="s">
        <v>1022</v>
      </c>
      <c r="E57" s="1123"/>
      <c r="F57" s="1158">
        <v>95670</v>
      </c>
      <c r="G57" s="1159">
        <v>164500</v>
      </c>
      <c r="H57" s="1158">
        <v>92070</v>
      </c>
      <c r="I57" s="1159">
        <v>160900</v>
      </c>
      <c r="J57" s="1144" t="s">
        <v>255</v>
      </c>
      <c r="K57" s="1160">
        <v>840</v>
      </c>
      <c r="L57" s="1161">
        <v>1520</v>
      </c>
      <c r="M57" s="1162" t="s">
        <v>1017</v>
      </c>
      <c r="N57" s="1160">
        <v>810</v>
      </c>
      <c r="O57" s="1161">
        <v>1490</v>
      </c>
      <c r="P57" s="1162" t="s">
        <v>1017</v>
      </c>
      <c r="Q57" s="1172"/>
      <c r="R57" s="1173"/>
      <c r="S57" s="1174"/>
      <c r="T57" s="2059"/>
      <c r="U57" s="32"/>
      <c r="V57" s="1190"/>
      <c r="W57" s="1972"/>
      <c r="X57" s="1191"/>
      <c r="Y57" s="1192"/>
      <c r="Z57" s="2060"/>
      <c r="AA57" s="1190"/>
      <c r="AB57" s="2058"/>
      <c r="AC57" s="1173"/>
      <c r="AD57" s="1173"/>
      <c r="AE57" s="2059"/>
      <c r="AF57" s="1196"/>
      <c r="AG57" s="2060"/>
      <c r="AH57" s="2383">
        <v>2020</v>
      </c>
      <c r="AI57" s="2059"/>
      <c r="AJ57" s="2382"/>
      <c r="AK57" s="2053"/>
      <c r="AL57" s="2379"/>
      <c r="AM57" s="2376"/>
      <c r="AN57" s="2379"/>
      <c r="AO57" s="2376"/>
      <c r="AP57" s="1959"/>
      <c r="AQ57" s="1168" t="s">
        <v>1023</v>
      </c>
      <c r="AR57" s="1311">
        <v>2400</v>
      </c>
      <c r="AS57" s="1312">
        <v>2700</v>
      </c>
      <c r="AT57" s="1323">
        <v>1700</v>
      </c>
      <c r="AU57" s="1314">
        <v>1700</v>
      </c>
      <c r="AV57" s="1972"/>
      <c r="AW57" s="1190"/>
      <c r="AX57" s="1152"/>
      <c r="AY57" s="1316"/>
      <c r="AZ57" s="2060"/>
      <c r="BA57" s="1970"/>
      <c r="BB57" s="1972"/>
      <c r="BC57" s="1974"/>
      <c r="BD57" s="1972"/>
      <c r="BE57" s="1190"/>
      <c r="BF57" s="1972"/>
      <c r="BG57" s="1978">
        <v>0.02</v>
      </c>
      <c r="BH57" s="1976">
        <v>0.03</v>
      </c>
      <c r="BI57" s="1976">
        <v>0.05</v>
      </c>
      <c r="BJ57" s="1982">
        <v>7.0000000000000007E-2</v>
      </c>
      <c r="BK57" s="1972"/>
      <c r="BL57" s="1317">
        <v>10</v>
      </c>
      <c r="BM57" s="1972"/>
      <c r="BN57" s="1317">
        <v>30</v>
      </c>
      <c r="BO57" s="1972"/>
      <c r="BP57" s="1317">
        <v>10</v>
      </c>
      <c r="BQ57" s="2395"/>
      <c r="BR57" s="2400"/>
    </row>
    <row r="58" spans="1:70" ht="12.75" customHeight="1">
      <c r="A58" s="2335"/>
      <c r="B58" s="2402"/>
      <c r="C58" s="2399"/>
      <c r="D58" s="1126" t="s">
        <v>133</v>
      </c>
      <c r="E58" s="1123"/>
      <c r="F58" s="1177">
        <v>164500</v>
      </c>
      <c r="G58" s="1178"/>
      <c r="H58" s="1177">
        <v>160900</v>
      </c>
      <c r="I58" s="1178"/>
      <c r="J58" s="1144" t="s">
        <v>255</v>
      </c>
      <c r="K58" s="1163">
        <v>1520</v>
      </c>
      <c r="L58" s="1179"/>
      <c r="M58" s="1180" t="s">
        <v>1017</v>
      </c>
      <c r="N58" s="1163">
        <v>1490</v>
      </c>
      <c r="O58" s="1179"/>
      <c r="P58" s="1180" t="s">
        <v>1017</v>
      </c>
      <c r="Q58" s="1172"/>
      <c r="R58" s="1173"/>
      <c r="S58" s="1181"/>
      <c r="T58" s="2059"/>
      <c r="U58" s="32"/>
      <c r="V58" s="1165" t="s">
        <v>1052</v>
      </c>
      <c r="W58" s="1972"/>
      <c r="X58" s="1166" t="s">
        <v>1052</v>
      </c>
      <c r="Y58" s="1189"/>
      <c r="Z58" s="2060"/>
      <c r="AA58" s="1165"/>
      <c r="AB58" s="2058"/>
      <c r="AC58" s="1173"/>
      <c r="AD58" s="1173"/>
      <c r="AE58" s="2059"/>
      <c r="AF58" s="1196"/>
      <c r="AG58" s="2060"/>
      <c r="AH58" s="2383"/>
      <c r="AI58" s="2059"/>
      <c r="AJ58" s="2382"/>
      <c r="AK58" s="2053"/>
      <c r="AL58" s="2380"/>
      <c r="AM58" s="2377"/>
      <c r="AN58" s="2380"/>
      <c r="AO58" s="2377"/>
      <c r="AP58" s="1959"/>
      <c r="AQ58" s="1183" t="s">
        <v>1024</v>
      </c>
      <c r="AR58" s="1318">
        <v>2200</v>
      </c>
      <c r="AS58" s="1319">
        <v>2400</v>
      </c>
      <c r="AT58" s="1320">
        <v>1500</v>
      </c>
      <c r="AU58" s="1182">
        <v>1500</v>
      </c>
      <c r="AV58" s="1972"/>
      <c r="AW58" s="1165" t="s">
        <v>1102</v>
      </c>
      <c r="AX58" s="1152"/>
      <c r="AY58" s="1176"/>
      <c r="AZ58" s="2060"/>
      <c r="BA58" s="1971"/>
      <c r="BB58" s="1972"/>
      <c r="BC58" s="1975"/>
      <c r="BD58" s="1972"/>
      <c r="BE58" s="1165"/>
      <c r="BF58" s="1972"/>
      <c r="BG58" s="1979"/>
      <c r="BH58" s="1977"/>
      <c r="BI58" s="1977"/>
      <c r="BJ58" s="1983"/>
      <c r="BK58" s="1972"/>
      <c r="BL58" s="1321"/>
      <c r="BM58" s="1972"/>
      <c r="BN58" s="1322" t="s">
        <v>1120</v>
      </c>
      <c r="BO58" s="1972"/>
      <c r="BP58" s="1322" t="s">
        <v>1120</v>
      </c>
      <c r="BQ58" s="2395"/>
      <c r="BR58" s="2400"/>
    </row>
    <row r="59" spans="1:70" ht="12.75" customHeight="1">
      <c r="A59" s="2335"/>
      <c r="B59" s="2401" t="s">
        <v>1050</v>
      </c>
      <c r="C59" s="2214" t="s">
        <v>1016</v>
      </c>
      <c r="D59" s="1122" t="s">
        <v>554</v>
      </c>
      <c r="E59" s="1123"/>
      <c r="F59" s="1142">
        <v>31230</v>
      </c>
      <c r="G59" s="1143">
        <v>38110</v>
      </c>
      <c r="H59" s="1142">
        <v>27880</v>
      </c>
      <c r="I59" s="1143">
        <v>34760</v>
      </c>
      <c r="J59" s="1144" t="s">
        <v>255</v>
      </c>
      <c r="K59" s="1145">
        <v>290</v>
      </c>
      <c r="L59" s="1146">
        <v>350</v>
      </c>
      <c r="M59" s="1147" t="s">
        <v>1017</v>
      </c>
      <c r="N59" s="1145">
        <v>260</v>
      </c>
      <c r="O59" s="1146">
        <v>320</v>
      </c>
      <c r="P59" s="1147" t="s">
        <v>1017</v>
      </c>
      <c r="Q59" s="1144" t="s">
        <v>255</v>
      </c>
      <c r="R59" s="1148">
        <v>6880</v>
      </c>
      <c r="S59" s="1149">
        <v>60</v>
      </c>
      <c r="T59" s="2059"/>
      <c r="U59" s="32"/>
      <c r="V59" s="1165">
        <v>629600</v>
      </c>
      <c r="W59" s="1972"/>
      <c r="X59" s="1166">
        <v>6290</v>
      </c>
      <c r="Y59" s="1152"/>
      <c r="Z59" s="2060"/>
      <c r="AA59" s="1166"/>
      <c r="AB59" s="2058"/>
      <c r="AC59" s="1173"/>
      <c r="AD59" s="1173"/>
      <c r="AE59" s="2059"/>
      <c r="AF59" s="1196"/>
      <c r="AG59" s="2060"/>
      <c r="AH59" s="2381" t="s">
        <v>291</v>
      </c>
      <c r="AI59" s="2059" t="s">
        <v>31</v>
      </c>
      <c r="AJ59" s="2382">
        <v>10</v>
      </c>
      <c r="AK59" s="2053" t="s">
        <v>255</v>
      </c>
      <c r="AL59" s="2378">
        <v>2800</v>
      </c>
      <c r="AM59" s="2375">
        <v>3100</v>
      </c>
      <c r="AN59" s="2378">
        <v>1900</v>
      </c>
      <c r="AO59" s="2375">
        <v>1900</v>
      </c>
      <c r="AP59" s="1959" t="s">
        <v>255</v>
      </c>
      <c r="AQ59" s="1154" t="s">
        <v>1019</v>
      </c>
      <c r="AR59" s="1306">
        <v>5500</v>
      </c>
      <c r="AS59" s="1307">
        <v>6200</v>
      </c>
      <c r="AT59" s="1323">
        <v>3900</v>
      </c>
      <c r="AU59" s="1314">
        <v>3900</v>
      </c>
      <c r="AV59" s="1972"/>
      <c r="AW59" s="1165">
        <v>2540</v>
      </c>
      <c r="AX59" s="1968" t="s">
        <v>255</v>
      </c>
      <c r="AY59" s="1996">
        <v>4700</v>
      </c>
      <c r="AZ59" s="2060" t="s">
        <v>255</v>
      </c>
      <c r="BA59" s="1969">
        <v>1510</v>
      </c>
      <c r="BB59" s="1972" t="s">
        <v>255</v>
      </c>
      <c r="BC59" s="1973">
        <v>10</v>
      </c>
      <c r="BD59" s="1972"/>
      <c r="BE59" s="1165"/>
      <c r="BF59" s="1972" t="s">
        <v>78</v>
      </c>
      <c r="BG59" s="1998" t="s">
        <v>262</v>
      </c>
      <c r="BH59" s="1966" t="s">
        <v>262</v>
      </c>
      <c r="BI59" s="1966" t="s">
        <v>262</v>
      </c>
      <c r="BJ59" s="1980" t="s">
        <v>262</v>
      </c>
      <c r="BK59" s="1972" t="s">
        <v>78</v>
      </c>
      <c r="BL59" s="1310"/>
      <c r="BM59" s="1972" t="s">
        <v>78</v>
      </c>
      <c r="BN59" s="1310"/>
      <c r="BO59" s="1972" t="s">
        <v>78</v>
      </c>
      <c r="BP59" s="1310"/>
      <c r="BQ59" s="2395"/>
      <c r="BR59" s="2396"/>
    </row>
    <row r="60" spans="1:70" ht="12.75" customHeight="1">
      <c r="A60" s="2335"/>
      <c r="B60" s="2402"/>
      <c r="C60" s="2215"/>
      <c r="D60" s="1133" t="s">
        <v>556</v>
      </c>
      <c r="E60" s="1123"/>
      <c r="F60" s="1158">
        <v>38110</v>
      </c>
      <c r="G60" s="1159">
        <v>94560</v>
      </c>
      <c r="H60" s="1158">
        <v>34760</v>
      </c>
      <c r="I60" s="1159">
        <v>91210</v>
      </c>
      <c r="J60" s="1144" t="s">
        <v>255</v>
      </c>
      <c r="K60" s="1160">
        <v>350</v>
      </c>
      <c r="L60" s="1161">
        <v>830</v>
      </c>
      <c r="M60" s="1162" t="s">
        <v>1017</v>
      </c>
      <c r="N60" s="1160">
        <v>320</v>
      </c>
      <c r="O60" s="1161">
        <v>800</v>
      </c>
      <c r="P60" s="1162" t="s">
        <v>1017</v>
      </c>
      <c r="Q60" s="1144" t="s">
        <v>255</v>
      </c>
      <c r="R60" s="1163">
        <v>6880</v>
      </c>
      <c r="S60" s="1164">
        <v>60</v>
      </c>
      <c r="T60" s="2059"/>
      <c r="U60" s="32"/>
      <c r="V60" s="1190"/>
      <c r="W60" s="1972"/>
      <c r="X60" s="1191"/>
      <c r="Y60" s="1192"/>
      <c r="Z60" s="2060"/>
      <c r="AA60" s="1190"/>
      <c r="AB60" s="2058"/>
      <c r="AC60" s="1173"/>
      <c r="AD60" s="1173"/>
      <c r="AE60" s="2059"/>
      <c r="AF60" s="1196"/>
      <c r="AG60" s="2060"/>
      <c r="AH60" s="2381"/>
      <c r="AI60" s="2059"/>
      <c r="AJ60" s="2382"/>
      <c r="AK60" s="2053"/>
      <c r="AL60" s="2379"/>
      <c r="AM60" s="2376"/>
      <c r="AN60" s="2379"/>
      <c r="AO60" s="2376"/>
      <c r="AP60" s="1959"/>
      <c r="AQ60" s="1168" t="s">
        <v>1020</v>
      </c>
      <c r="AR60" s="1311">
        <v>3000</v>
      </c>
      <c r="AS60" s="1312">
        <v>3400</v>
      </c>
      <c r="AT60" s="1323">
        <v>2100</v>
      </c>
      <c r="AU60" s="1314">
        <v>2100</v>
      </c>
      <c r="AV60" s="1972"/>
      <c r="AW60" s="1190"/>
      <c r="AX60" s="1968"/>
      <c r="AY60" s="1997"/>
      <c r="AZ60" s="2060"/>
      <c r="BA60" s="1970"/>
      <c r="BB60" s="1972"/>
      <c r="BC60" s="1974"/>
      <c r="BD60" s="1972"/>
      <c r="BE60" s="1190"/>
      <c r="BF60" s="1972"/>
      <c r="BG60" s="1999"/>
      <c r="BH60" s="1967"/>
      <c r="BI60" s="1967"/>
      <c r="BJ60" s="1981"/>
      <c r="BK60" s="1972"/>
      <c r="BL60" s="1315">
        <v>900</v>
      </c>
      <c r="BM60" s="1972"/>
      <c r="BN60" s="1315">
        <v>2950</v>
      </c>
      <c r="BO60" s="1972"/>
      <c r="BP60" s="1315">
        <v>1790</v>
      </c>
      <c r="BQ60" s="2395"/>
      <c r="BR60" s="2397"/>
    </row>
    <row r="61" spans="1:70" s="5" customFormat="1" ht="12.75" customHeight="1">
      <c r="A61" s="2335"/>
      <c r="B61" s="2402"/>
      <c r="C61" s="2398" t="s">
        <v>1021</v>
      </c>
      <c r="D61" s="1133" t="s">
        <v>1022</v>
      </c>
      <c r="E61" s="1123"/>
      <c r="F61" s="1158">
        <v>94560</v>
      </c>
      <c r="G61" s="1159">
        <v>163390</v>
      </c>
      <c r="H61" s="1158">
        <v>91210</v>
      </c>
      <c r="I61" s="1159">
        <v>160040</v>
      </c>
      <c r="J61" s="1144" t="s">
        <v>255</v>
      </c>
      <c r="K61" s="1160">
        <v>830</v>
      </c>
      <c r="L61" s="1161">
        <v>1510</v>
      </c>
      <c r="M61" s="1162" t="s">
        <v>1017</v>
      </c>
      <c r="N61" s="1160">
        <v>800</v>
      </c>
      <c r="O61" s="1161">
        <v>1480</v>
      </c>
      <c r="P61" s="1162" t="s">
        <v>1017</v>
      </c>
      <c r="Q61" s="1172"/>
      <c r="R61" s="1173"/>
      <c r="S61" s="1174"/>
      <c r="T61" s="2059"/>
      <c r="U61" s="32"/>
      <c r="V61" s="1165" t="s">
        <v>1054</v>
      </c>
      <c r="W61" s="1972"/>
      <c r="X61" s="1166" t="s">
        <v>1054</v>
      </c>
      <c r="Y61" s="1189"/>
      <c r="Z61" s="2060"/>
      <c r="AA61" s="1165"/>
      <c r="AB61" s="2058"/>
      <c r="AC61" s="1173"/>
      <c r="AD61" s="1173"/>
      <c r="AE61" s="2059"/>
      <c r="AF61" s="1196"/>
      <c r="AG61" s="2060"/>
      <c r="AH61" s="2383">
        <v>1760</v>
      </c>
      <c r="AI61" s="2059"/>
      <c r="AJ61" s="2382"/>
      <c r="AK61" s="2053"/>
      <c r="AL61" s="2379"/>
      <c r="AM61" s="2376"/>
      <c r="AN61" s="2379"/>
      <c r="AO61" s="2376"/>
      <c r="AP61" s="1959"/>
      <c r="AQ61" s="1168" t="s">
        <v>1023</v>
      </c>
      <c r="AR61" s="1311">
        <v>2600</v>
      </c>
      <c r="AS61" s="1312">
        <v>2900</v>
      </c>
      <c r="AT61" s="1323">
        <v>1800</v>
      </c>
      <c r="AU61" s="1314">
        <v>1800</v>
      </c>
      <c r="AV61" s="1972"/>
      <c r="AW61" s="1165" t="s">
        <v>1103</v>
      </c>
      <c r="AX61" s="1152"/>
      <c r="AY61" s="1176"/>
      <c r="AZ61" s="2060"/>
      <c r="BA61" s="1970"/>
      <c r="BB61" s="1972"/>
      <c r="BC61" s="1974"/>
      <c r="BD61" s="1972"/>
      <c r="BE61" s="1165"/>
      <c r="BF61" s="1972"/>
      <c r="BG61" s="1978">
        <v>0.02</v>
      </c>
      <c r="BH61" s="1976">
        <v>0.03</v>
      </c>
      <c r="BI61" s="1976">
        <v>0.05</v>
      </c>
      <c r="BJ61" s="1982">
        <v>7.0000000000000007E-2</v>
      </c>
      <c r="BK61" s="1972"/>
      <c r="BL61" s="1317">
        <v>9</v>
      </c>
      <c r="BM61" s="1972"/>
      <c r="BN61" s="1317">
        <v>30</v>
      </c>
      <c r="BO61" s="1972"/>
      <c r="BP61" s="1317">
        <v>10</v>
      </c>
      <c r="BQ61" s="2395"/>
      <c r="BR61" s="2400"/>
    </row>
    <row r="62" spans="1:70" s="5" customFormat="1" ht="12.75" customHeight="1">
      <c r="A62" s="2335"/>
      <c r="B62" s="2402"/>
      <c r="C62" s="2399"/>
      <c r="D62" s="1126" t="s">
        <v>133</v>
      </c>
      <c r="E62" s="1123"/>
      <c r="F62" s="1177">
        <v>163390</v>
      </c>
      <c r="G62" s="1178"/>
      <c r="H62" s="1177">
        <v>160040</v>
      </c>
      <c r="I62" s="1178"/>
      <c r="J62" s="1144" t="s">
        <v>255</v>
      </c>
      <c r="K62" s="1163">
        <v>1510</v>
      </c>
      <c r="L62" s="1179"/>
      <c r="M62" s="1180" t="s">
        <v>1017</v>
      </c>
      <c r="N62" s="1163">
        <v>1480</v>
      </c>
      <c r="O62" s="1179"/>
      <c r="P62" s="1180" t="s">
        <v>1017</v>
      </c>
      <c r="Q62" s="1172"/>
      <c r="R62" s="1173"/>
      <c r="S62" s="1181"/>
      <c r="T62" s="2059"/>
      <c r="U62" s="32"/>
      <c r="V62" s="1165">
        <v>663500</v>
      </c>
      <c r="W62" s="1972"/>
      <c r="X62" s="1166">
        <v>6630</v>
      </c>
      <c r="Y62" s="1152"/>
      <c r="Z62" s="2060"/>
      <c r="AA62" s="1166"/>
      <c r="AB62" s="2058"/>
      <c r="AC62" s="1173"/>
      <c r="AD62" s="1173"/>
      <c r="AE62" s="2059"/>
      <c r="AF62" s="1196"/>
      <c r="AG62" s="2060"/>
      <c r="AH62" s="2383"/>
      <c r="AI62" s="2059"/>
      <c r="AJ62" s="2382"/>
      <c r="AK62" s="2053"/>
      <c r="AL62" s="2380"/>
      <c r="AM62" s="2377"/>
      <c r="AN62" s="2380"/>
      <c r="AO62" s="2377"/>
      <c r="AP62" s="1959"/>
      <c r="AQ62" s="1183" t="s">
        <v>1024</v>
      </c>
      <c r="AR62" s="1318">
        <v>2400</v>
      </c>
      <c r="AS62" s="1319">
        <v>2600</v>
      </c>
      <c r="AT62" s="1320">
        <v>1600</v>
      </c>
      <c r="AU62" s="1182">
        <v>1600</v>
      </c>
      <c r="AV62" s="1972"/>
      <c r="AW62" s="1165">
        <v>2440</v>
      </c>
      <c r="AX62" s="1152"/>
      <c r="AY62" s="1176"/>
      <c r="AZ62" s="2060"/>
      <c r="BA62" s="1971"/>
      <c r="BB62" s="1972"/>
      <c r="BC62" s="1975"/>
      <c r="BD62" s="1972"/>
      <c r="BE62" s="1165"/>
      <c r="BF62" s="1972"/>
      <c r="BG62" s="1979"/>
      <c r="BH62" s="1977"/>
      <c r="BI62" s="1977"/>
      <c r="BJ62" s="1983"/>
      <c r="BK62" s="1972"/>
      <c r="BL62" s="1321"/>
      <c r="BM62" s="1972"/>
      <c r="BN62" s="1322" t="s">
        <v>1120</v>
      </c>
      <c r="BO62" s="1972"/>
      <c r="BP62" s="1322" t="s">
        <v>1120</v>
      </c>
      <c r="BQ62" s="2395"/>
      <c r="BR62" s="2400"/>
    </row>
    <row r="63" spans="1:70" s="5" customFormat="1" ht="12.75" customHeight="1">
      <c r="A63" s="2335"/>
      <c r="B63" s="2401" t="s">
        <v>1053</v>
      </c>
      <c r="C63" s="2214" t="s">
        <v>1016</v>
      </c>
      <c r="D63" s="1122" t="s">
        <v>554</v>
      </c>
      <c r="E63" s="1123"/>
      <c r="F63" s="1142">
        <v>30240</v>
      </c>
      <c r="G63" s="1143">
        <v>37120</v>
      </c>
      <c r="H63" s="1142">
        <v>27120</v>
      </c>
      <c r="I63" s="1143">
        <v>34000</v>
      </c>
      <c r="J63" s="1144" t="s">
        <v>255</v>
      </c>
      <c r="K63" s="1145">
        <v>280</v>
      </c>
      <c r="L63" s="1146">
        <v>340</v>
      </c>
      <c r="M63" s="1147" t="s">
        <v>1017</v>
      </c>
      <c r="N63" s="1145">
        <v>250</v>
      </c>
      <c r="O63" s="1146">
        <v>310</v>
      </c>
      <c r="P63" s="1147" t="s">
        <v>1017</v>
      </c>
      <c r="Q63" s="1144" t="s">
        <v>255</v>
      </c>
      <c r="R63" s="1148">
        <v>6880</v>
      </c>
      <c r="S63" s="1149">
        <v>60</v>
      </c>
      <c r="T63" s="2059"/>
      <c r="U63" s="32"/>
      <c r="V63" s="1190"/>
      <c r="W63" s="1972"/>
      <c r="X63" s="1324"/>
      <c r="Y63" s="1152"/>
      <c r="Z63" s="2060"/>
      <c r="AA63" s="1166"/>
      <c r="AB63" s="2058"/>
      <c r="AC63" s="1173"/>
      <c r="AD63" s="1173"/>
      <c r="AE63" s="2059"/>
      <c r="AF63" s="1196"/>
      <c r="AG63" s="2060"/>
      <c r="AH63" s="2381" t="s">
        <v>292</v>
      </c>
      <c r="AI63" s="2059" t="s">
        <v>31</v>
      </c>
      <c r="AJ63" s="2382">
        <v>10</v>
      </c>
      <c r="AK63" s="2053" t="s">
        <v>255</v>
      </c>
      <c r="AL63" s="2378">
        <v>2600</v>
      </c>
      <c r="AM63" s="2375">
        <v>2900</v>
      </c>
      <c r="AN63" s="2378">
        <v>1800</v>
      </c>
      <c r="AO63" s="2375">
        <v>1800</v>
      </c>
      <c r="AP63" s="1959" t="s">
        <v>255</v>
      </c>
      <c r="AQ63" s="1154" t="s">
        <v>1019</v>
      </c>
      <c r="AR63" s="1306">
        <v>5400</v>
      </c>
      <c r="AS63" s="1307">
        <v>6000</v>
      </c>
      <c r="AT63" s="1323">
        <v>3700</v>
      </c>
      <c r="AU63" s="1314">
        <v>3700</v>
      </c>
      <c r="AV63" s="1972"/>
      <c r="AW63" s="1165"/>
      <c r="AX63" s="1968" t="s">
        <v>255</v>
      </c>
      <c r="AY63" s="1996">
        <v>4700</v>
      </c>
      <c r="AZ63" s="2060" t="s">
        <v>255</v>
      </c>
      <c r="BA63" s="1969">
        <v>1410</v>
      </c>
      <c r="BB63" s="1972" t="s">
        <v>255</v>
      </c>
      <c r="BC63" s="1973">
        <v>10</v>
      </c>
      <c r="BD63" s="1972"/>
      <c r="BE63" s="1165"/>
      <c r="BF63" s="1972" t="s">
        <v>78</v>
      </c>
      <c r="BG63" s="1998" t="s">
        <v>262</v>
      </c>
      <c r="BH63" s="1966" t="s">
        <v>262</v>
      </c>
      <c r="BI63" s="1966" t="s">
        <v>262</v>
      </c>
      <c r="BJ63" s="1980" t="s">
        <v>262</v>
      </c>
      <c r="BK63" s="1972" t="s">
        <v>78</v>
      </c>
      <c r="BL63" s="1310"/>
      <c r="BM63" s="1972" t="s">
        <v>78</v>
      </c>
      <c r="BN63" s="1310"/>
      <c r="BO63" s="1972" t="s">
        <v>78</v>
      </c>
      <c r="BP63" s="1310"/>
      <c r="BQ63" s="2395"/>
      <c r="BR63" s="2396"/>
    </row>
    <row r="64" spans="1:70" s="25" customFormat="1" ht="12.75" customHeight="1">
      <c r="A64" s="2335"/>
      <c r="B64" s="2402"/>
      <c r="C64" s="2215"/>
      <c r="D64" s="1133" t="s">
        <v>556</v>
      </c>
      <c r="E64" s="1123"/>
      <c r="F64" s="1158">
        <v>37120</v>
      </c>
      <c r="G64" s="1159">
        <v>93570</v>
      </c>
      <c r="H64" s="1158">
        <v>34000</v>
      </c>
      <c r="I64" s="1159">
        <v>90450</v>
      </c>
      <c r="J64" s="1144" t="s">
        <v>255</v>
      </c>
      <c r="K64" s="1160">
        <v>340</v>
      </c>
      <c r="L64" s="1161">
        <v>820</v>
      </c>
      <c r="M64" s="1162" t="s">
        <v>1017</v>
      </c>
      <c r="N64" s="1160">
        <v>310</v>
      </c>
      <c r="O64" s="1161">
        <v>790</v>
      </c>
      <c r="P64" s="1162" t="s">
        <v>1017</v>
      </c>
      <c r="Q64" s="1144" t="s">
        <v>255</v>
      </c>
      <c r="R64" s="1163">
        <v>6880</v>
      </c>
      <c r="S64" s="1164">
        <v>60</v>
      </c>
      <c r="T64" s="2059"/>
      <c r="U64" s="32"/>
      <c r="V64" s="1190"/>
      <c r="W64" s="1972"/>
      <c r="X64" s="1324"/>
      <c r="Y64" s="1152"/>
      <c r="Z64" s="2060"/>
      <c r="AA64" s="1166"/>
      <c r="AB64" s="2058"/>
      <c r="AC64" s="1173"/>
      <c r="AD64" s="1173"/>
      <c r="AE64" s="2059"/>
      <c r="AF64" s="1196"/>
      <c r="AG64" s="2060"/>
      <c r="AH64" s="2381"/>
      <c r="AI64" s="2059"/>
      <c r="AJ64" s="2382"/>
      <c r="AK64" s="2053"/>
      <c r="AL64" s="2379"/>
      <c r="AM64" s="2376"/>
      <c r="AN64" s="2379"/>
      <c r="AO64" s="2376"/>
      <c r="AP64" s="1959"/>
      <c r="AQ64" s="1168" t="s">
        <v>1020</v>
      </c>
      <c r="AR64" s="1311">
        <v>2900</v>
      </c>
      <c r="AS64" s="1312">
        <v>3300</v>
      </c>
      <c r="AT64" s="1323">
        <v>2000</v>
      </c>
      <c r="AU64" s="1314">
        <v>2000</v>
      </c>
      <c r="AV64" s="1972"/>
      <c r="AW64" s="1165" t="s">
        <v>1104</v>
      </c>
      <c r="AX64" s="1968"/>
      <c r="AY64" s="1997"/>
      <c r="AZ64" s="2060"/>
      <c r="BA64" s="1970"/>
      <c r="BB64" s="1972"/>
      <c r="BC64" s="1974"/>
      <c r="BD64" s="1972"/>
      <c r="BE64" s="1165"/>
      <c r="BF64" s="1972"/>
      <c r="BG64" s="1999"/>
      <c r="BH64" s="1967"/>
      <c r="BI64" s="1967"/>
      <c r="BJ64" s="1981"/>
      <c r="BK64" s="1972"/>
      <c r="BL64" s="1315">
        <v>840</v>
      </c>
      <c r="BM64" s="1972"/>
      <c r="BN64" s="1315">
        <v>2750</v>
      </c>
      <c r="BO64" s="1972"/>
      <c r="BP64" s="1315">
        <v>1670</v>
      </c>
      <c r="BQ64" s="2395"/>
      <c r="BR64" s="2397"/>
    </row>
    <row r="65" spans="1:70" s="25" customFormat="1" ht="12.75" customHeight="1">
      <c r="A65" s="2335"/>
      <c r="B65" s="2402"/>
      <c r="C65" s="2398" t="s">
        <v>1021</v>
      </c>
      <c r="D65" s="1133" t="s">
        <v>1022</v>
      </c>
      <c r="E65" s="1123"/>
      <c r="F65" s="1158">
        <v>93570</v>
      </c>
      <c r="G65" s="1159">
        <v>162400</v>
      </c>
      <c r="H65" s="1158">
        <v>90450</v>
      </c>
      <c r="I65" s="1159">
        <v>159280</v>
      </c>
      <c r="J65" s="1144" t="s">
        <v>255</v>
      </c>
      <c r="K65" s="1160">
        <v>820</v>
      </c>
      <c r="L65" s="1161">
        <v>1500</v>
      </c>
      <c r="M65" s="1162" t="s">
        <v>1017</v>
      </c>
      <c r="N65" s="1160">
        <v>790</v>
      </c>
      <c r="O65" s="1161">
        <v>1470</v>
      </c>
      <c r="P65" s="1162" t="s">
        <v>1017</v>
      </c>
      <c r="Q65" s="1172"/>
      <c r="R65" s="1173"/>
      <c r="S65" s="1174"/>
      <c r="T65" s="2059"/>
      <c r="U65" s="32"/>
      <c r="V65" s="1190"/>
      <c r="W65" s="1972"/>
      <c r="X65" s="1324"/>
      <c r="Y65" s="1152"/>
      <c r="Z65" s="2060"/>
      <c r="AA65" s="1166"/>
      <c r="AB65" s="2058"/>
      <c r="AC65" s="1173"/>
      <c r="AD65" s="1173"/>
      <c r="AE65" s="2059"/>
      <c r="AF65" s="1196"/>
      <c r="AG65" s="2060"/>
      <c r="AH65" s="2383">
        <v>1570</v>
      </c>
      <c r="AI65" s="2059"/>
      <c r="AJ65" s="2382"/>
      <c r="AK65" s="2053"/>
      <c r="AL65" s="2379"/>
      <c r="AM65" s="2376"/>
      <c r="AN65" s="2379"/>
      <c r="AO65" s="2376"/>
      <c r="AP65" s="1959"/>
      <c r="AQ65" s="1168" t="s">
        <v>1023</v>
      </c>
      <c r="AR65" s="1311">
        <v>2500</v>
      </c>
      <c r="AS65" s="1312">
        <v>2800</v>
      </c>
      <c r="AT65" s="1323">
        <v>1800</v>
      </c>
      <c r="AU65" s="1314">
        <v>1800</v>
      </c>
      <c r="AV65" s="1972"/>
      <c r="AW65" s="1165">
        <v>2360</v>
      </c>
      <c r="AX65" s="1152"/>
      <c r="AY65" s="1176"/>
      <c r="AZ65" s="2060"/>
      <c r="BA65" s="1970"/>
      <c r="BB65" s="1972"/>
      <c r="BC65" s="1974"/>
      <c r="BD65" s="1972"/>
      <c r="BE65" s="1165"/>
      <c r="BF65" s="1972"/>
      <c r="BG65" s="1978">
        <v>0.02</v>
      </c>
      <c r="BH65" s="1976">
        <v>0.03</v>
      </c>
      <c r="BI65" s="1976">
        <v>0.05</v>
      </c>
      <c r="BJ65" s="1982">
        <v>7.0000000000000007E-2</v>
      </c>
      <c r="BK65" s="1972"/>
      <c r="BL65" s="1317">
        <v>8</v>
      </c>
      <c r="BM65" s="1972"/>
      <c r="BN65" s="1317">
        <v>20</v>
      </c>
      <c r="BO65" s="1972"/>
      <c r="BP65" s="1317">
        <v>10</v>
      </c>
      <c r="BQ65" s="2395"/>
      <c r="BR65" s="2400"/>
    </row>
    <row r="66" spans="1:70" s="25" customFormat="1" ht="12.75" customHeight="1">
      <c r="A66" s="2335"/>
      <c r="B66" s="2402"/>
      <c r="C66" s="2399"/>
      <c r="D66" s="1126" t="s">
        <v>133</v>
      </c>
      <c r="E66" s="1123"/>
      <c r="F66" s="1177">
        <v>162400</v>
      </c>
      <c r="G66" s="1178"/>
      <c r="H66" s="1177">
        <v>159280</v>
      </c>
      <c r="I66" s="1178"/>
      <c r="J66" s="1144" t="s">
        <v>255</v>
      </c>
      <c r="K66" s="1163">
        <v>1500</v>
      </c>
      <c r="L66" s="1179"/>
      <c r="M66" s="1180" t="s">
        <v>1017</v>
      </c>
      <c r="N66" s="1163">
        <v>1470</v>
      </c>
      <c r="O66" s="1179"/>
      <c r="P66" s="1180" t="s">
        <v>1017</v>
      </c>
      <c r="Q66" s="1172"/>
      <c r="R66" s="1173"/>
      <c r="S66" s="1181"/>
      <c r="T66" s="2059"/>
      <c r="U66" s="32"/>
      <c r="V66" s="1190"/>
      <c r="W66" s="1972"/>
      <c r="X66" s="1324"/>
      <c r="Y66" s="1152"/>
      <c r="Z66" s="2060"/>
      <c r="AA66" s="1166"/>
      <c r="AB66" s="2058"/>
      <c r="AC66" s="1173"/>
      <c r="AD66" s="1173"/>
      <c r="AE66" s="2059"/>
      <c r="AF66" s="1196"/>
      <c r="AG66" s="2060"/>
      <c r="AH66" s="2383"/>
      <c r="AI66" s="2059"/>
      <c r="AJ66" s="2382"/>
      <c r="AK66" s="2053"/>
      <c r="AL66" s="2380"/>
      <c r="AM66" s="2377"/>
      <c r="AN66" s="2380"/>
      <c r="AO66" s="2377"/>
      <c r="AP66" s="1959"/>
      <c r="AQ66" s="1183" t="s">
        <v>1024</v>
      </c>
      <c r="AR66" s="1318">
        <v>2300</v>
      </c>
      <c r="AS66" s="1319">
        <v>2500</v>
      </c>
      <c r="AT66" s="1320">
        <v>1600</v>
      </c>
      <c r="AU66" s="1182">
        <v>1600</v>
      </c>
      <c r="AV66" s="1972"/>
      <c r="AW66" s="1165"/>
      <c r="AX66" s="1152"/>
      <c r="AY66" s="1176"/>
      <c r="AZ66" s="2060"/>
      <c r="BA66" s="1971"/>
      <c r="BB66" s="1972"/>
      <c r="BC66" s="1975"/>
      <c r="BD66" s="1972"/>
      <c r="BE66" s="1165"/>
      <c r="BF66" s="1972"/>
      <c r="BG66" s="1979"/>
      <c r="BH66" s="1977"/>
      <c r="BI66" s="1977"/>
      <c r="BJ66" s="1983"/>
      <c r="BK66" s="1972"/>
      <c r="BL66" s="1321"/>
      <c r="BM66" s="1972"/>
      <c r="BN66" s="1322" t="s">
        <v>1120</v>
      </c>
      <c r="BO66" s="1972"/>
      <c r="BP66" s="1322" t="s">
        <v>1120</v>
      </c>
      <c r="BQ66" s="2395"/>
      <c r="BR66" s="2400"/>
    </row>
    <row r="67" spans="1:70" s="25" customFormat="1" ht="12.75" customHeight="1">
      <c r="A67" s="2335"/>
      <c r="B67" s="2401" t="s">
        <v>1055</v>
      </c>
      <c r="C67" s="2214" t="s">
        <v>1016</v>
      </c>
      <c r="D67" s="1122" t="s">
        <v>554</v>
      </c>
      <c r="E67" s="1123"/>
      <c r="F67" s="1142">
        <v>30240</v>
      </c>
      <c r="G67" s="1143">
        <v>37120</v>
      </c>
      <c r="H67" s="1142">
        <v>27320</v>
      </c>
      <c r="I67" s="1143">
        <v>34200</v>
      </c>
      <c r="J67" s="1144" t="s">
        <v>255</v>
      </c>
      <c r="K67" s="1145">
        <v>280</v>
      </c>
      <c r="L67" s="1146">
        <v>340</v>
      </c>
      <c r="M67" s="1147" t="s">
        <v>1017</v>
      </c>
      <c r="N67" s="1145">
        <v>250</v>
      </c>
      <c r="O67" s="1146">
        <v>310</v>
      </c>
      <c r="P67" s="1147" t="s">
        <v>1017</v>
      </c>
      <c r="Q67" s="1144" t="s">
        <v>255</v>
      </c>
      <c r="R67" s="1148">
        <v>6880</v>
      </c>
      <c r="S67" s="1149">
        <v>60</v>
      </c>
      <c r="T67" s="2059"/>
      <c r="U67" s="32"/>
      <c r="V67" s="1190"/>
      <c r="W67" s="1972"/>
      <c r="X67" s="1324"/>
      <c r="Y67" s="1152"/>
      <c r="Z67" s="2060"/>
      <c r="AA67" s="1166"/>
      <c r="AB67" s="2058"/>
      <c r="AC67" s="1173"/>
      <c r="AD67" s="1173"/>
      <c r="AE67" s="2059"/>
      <c r="AF67" s="1196"/>
      <c r="AG67" s="2060"/>
      <c r="AH67" s="2381" t="s">
        <v>293</v>
      </c>
      <c r="AI67" s="2059" t="s">
        <v>31</v>
      </c>
      <c r="AJ67" s="2382">
        <v>10</v>
      </c>
      <c r="AK67" s="2053" t="s">
        <v>255</v>
      </c>
      <c r="AL67" s="2378">
        <v>2400</v>
      </c>
      <c r="AM67" s="2375">
        <v>2700</v>
      </c>
      <c r="AN67" s="2378">
        <v>1700</v>
      </c>
      <c r="AO67" s="2375">
        <v>1700</v>
      </c>
      <c r="AP67" s="1959" t="s">
        <v>255</v>
      </c>
      <c r="AQ67" s="1154" t="s">
        <v>1019</v>
      </c>
      <c r="AR67" s="1306">
        <v>4800</v>
      </c>
      <c r="AS67" s="1307">
        <v>5400</v>
      </c>
      <c r="AT67" s="1323">
        <v>3400</v>
      </c>
      <c r="AU67" s="1314">
        <v>3400</v>
      </c>
      <c r="AV67" s="1972"/>
      <c r="AW67" s="1165" t="s">
        <v>1105</v>
      </c>
      <c r="AX67" s="1968" t="s">
        <v>255</v>
      </c>
      <c r="AY67" s="1996">
        <v>4700</v>
      </c>
      <c r="AZ67" s="2060" t="s">
        <v>255</v>
      </c>
      <c r="BA67" s="1969">
        <v>1320</v>
      </c>
      <c r="BB67" s="1972" t="s">
        <v>255</v>
      </c>
      <c r="BC67" s="1973">
        <v>10</v>
      </c>
      <c r="BD67" s="1972"/>
      <c r="BE67" s="1165"/>
      <c r="BF67" s="1972" t="s">
        <v>78</v>
      </c>
      <c r="BG67" s="1998" t="s">
        <v>262</v>
      </c>
      <c r="BH67" s="1966" t="s">
        <v>262</v>
      </c>
      <c r="BI67" s="1966" t="s">
        <v>262</v>
      </c>
      <c r="BJ67" s="1980" t="s">
        <v>262</v>
      </c>
      <c r="BK67" s="1972" t="s">
        <v>78</v>
      </c>
      <c r="BL67" s="1310"/>
      <c r="BM67" s="1972" t="s">
        <v>78</v>
      </c>
      <c r="BN67" s="1310"/>
      <c r="BO67" s="1972" t="s">
        <v>78</v>
      </c>
      <c r="BP67" s="1310"/>
      <c r="BQ67" s="2395"/>
      <c r="BR67" s="2396"/>
    </row>
    <row r="68" spans="1:70" s="25" customFormat="1" ht="12.75" customHeight="1">
      <c r="A68" s="2335"/>
      <c r="B68" s="2402"/>
      <c r="C68" s="2215"/>
      <c r="D68" s="1133" t="s">
        <v>556</v>
      </c>
      <c r="E68" s="1123"/>
      <c r="F68" s="1158">
        <v>37120</v>
      </c>
      <c r="G68" s="1159">
        <v>93570</v>
      </c>
      <c r="H68" s="1158">
        <v>34200</v>
      </c>
      <c r="I68" s="1159">
        <v>90650</v>
      </c>
      <c r="J68" s="1144" t="s">
        <v>255</v>
      </c>
      <c r="K68" s="1160">
        <v>340</v>
      </c>
      <c r="L68" s="1161">
        <v>820</v>
      </c>
      <c r="M68" s="1162" t="s">
        <v>1017</v>
      </c>
      <c r="N68" s="1160">
        <v>310</v>
      </c>
      <c r="O68" s="1161">
        <v>790</v>
      </c>
      <c r="P68" s="1162" t="s">
        <v>1017</v>
      </c>
      <c r="Q68" s="1144" t="s">
        <v>255</v>
      </c>
      <c r="R68" s="1163">
        <v>6880</v>
      </c>
      <c r="S68" s="1164">
        <v>60</v>
      </c>
      <c r="T68" s="2059"/>
      <c r="U68" s="32"/>
      <c r="V68" s="1190"/>
      <c r="W68" s="1972"/>
      <c r="X68" s="1324"/>
      <c r="Y68" s="1152"/>
      <c r="Z68" s="2060"/>
      <c r="AA68" s="1166"/>
      <c r="AB68" s="2058"/>
      <c r="AC68" s="1173"/>
      <c r="AD68" s="1173"/>
      <c r="AE68" s="2059"/>
      <c r="AF68" s="1196"/>
      <c r="AG68" s="2060"/>
      <c r="AH68" s="2381"/>
      <c r="AI68" s="2059"/>
      <c r="AJ68" s="2382"/>
      <c r="AK68" s="2053"/>
      <c r="AL68" s="2379"/>
      <c r="AM68" s="2376"/>
      <c r="AN68" s="2379"/>
      <c r="AO68" s="2376"/>
      <c r="AP68" s="1959"/>
      <c r="AQ68" s="1168" t="s">
        <v>1020</v>
      </c>
      <c r="AR68" s="1311">
        <v>2600</v>
      </c>
      <c r="AS68" s="1312">
        <v>2900</v>
      </c>
      <c r="AT68" s="1323">
        <v>1800</v>
      </c>
      <c r="AU68" s="1314">
        <v>1800</v>
      </c>
      <c r="AV68" s="1972"/>
      <c r="AW68" s="1165">
        <v>2150</v>
      </c>
      <c r="AX68" s="1968"/>
      <c r="AY68" s="1997"/>
      <c r="AZ68" s="2060"/>
      <c r="BA68" s="1970"/>
      <c r="BB68" s="1972"/>
      <c r="BC68" s="1974"/>
      <c r="BD68" s="1972"/>
      <c r="BE68" s="1165"/>
      <c r="BF68" s="1972"/>
      <c r="BG68" s="1999"/>
      <c r="BH68" s="1967"/>
      <c r="BI68" s="1967"/>
      <c r="BJ68" s="1981"/>
      <c r="BK68" s="1972"/>
      <c r="BL68" s="1315">
        <v>790</v>
      </c>
      <c r="BM68" s="1972"/>
      <c r="BN68" s="1315">
        <v>2580</v>
      </c>
      <c r="BO68" s="1972"/>
      <c r="BP68" s="1315">
        <v>1570</v>
      </c>
      <c r="BQ68" s="2395"/>
      <c r="BR68" s="2397"/>
    </row>
    <row r="69" spans="1:70" s="25" customFormat="1" ht="12.75" customHeight="1">
      <c r="A69" s="2335"/>
      <c r="B69" s="2402"/>
      <c r="C69" s="2398" t="s">
        <v>1021</v>
      </c>
      <c r="D69" s="1133" t="s">
        <v>1022</v>
      </c>
      <c r="E69" s="1123"/>
      <c r="F69" s="1158">
        <v>93570</v>
      </c>
      <c r="G69" s="1159">
        <v>162400</v>
      </c>
      <c r="H69" s="1158">
        <v>90650</v>
      </c>
      <c r="I69" s="1159">
        <v>159480</v>
      </c>
      <c r="J69" s="1144" t="s">
        <v>255</v>
      </c>
      <c r="K69" s="1160">
        <v>820</v>
      </c>
      <c r="L69" s="1161">
        <v>1500</v>
      </c>
      <c r="M69" s="1162" t="s">
        <v>1017</v>
      </c>
      <c r="N69" s="1160">
        <v>790</v>
      </c>
      <c r="O69" s="1161">
        <v>1470</v>
      </c>
      <c r="P69" s="1162" t="s">
        <v>1017</v>
      </c>
      <c r="Q69" s="1172"/>
      <c r="R69" s="1173"/>
      <c r="S69" s="1174"/>
      <c r="T69" s="2059"/>
      <c r="U69" s="32"/>
      <c r="V69" s="1165"/>
      <c r="W69" s="1972"/>
      <c r="X69" s="1324"/>
      <c r="Y69" s="1152"/>
      <c r="Z69" s="2060"/>
      <c r="AA69" s="1166"/>
      <c r="AB69" s="2058"/>
      <c r="AC69" s="1173"/>
      <c r="AD69" s="1173"/>
      <c r="AE69" s="2059"/>
      <c r="AF69" s="1196"/>
      <c r="AG69" s="2060"/>
      <c r="AH69" s="2383">
        <v>1410</v>
      </c>
      <c r="AI69" s="2059"/>
      <c r="AJ69" s="2382"/>
      <c r="AK69" s="2053"/>
      <c r="AL69" s="2379"/>
      <c r="AM69" s="2376"/>
      <c r="AN69" s="2379"/>
      <c r="AO69" s="2376"/>
      <c r="AP69" s="1959"/>
      <c r="AQ69" s="1168" t="s">
        <v>1023</v>
      </c>
      <c r="AR69" s="1311">
        <v>2300</v>
      </c>
      <c r="AS69" s="1312">
        <v>2500</v>
      </c>
      <c r="AT69" s="1323">
        <v>1600</v>
      </c>
      <c r="AU69" s="1314">
        <v>1600</v>
      </c>
      <c r="AV69" s="1972"/>
      <c r="AW69" s="1165"/>
      <c r="AX69" s="1152"/>
      <c r="AY69" s="1176"/>
      <c r="AZ69" s="2060"/>
      <c r="BA69" s="1970"/>
      <c r="BB69" s="1972"/>
      <c r="BC69" s="1974"/>
      <c r="BD69" s="1972"/>
      <c r="BE69" s="1165"/>
      <c r="BF69" s="1972"/>
      <c r="BG69" s="1978">
        <v>0.02</v>
      </c>
      <c r="BH69" s="1976">
        <v>0.03</v>
      </c>
      <c r="BI69" s="1976">
        <v>0.05</v>
      </c>
      <c r="BJ69" s="1982">
        <v>7.0000000000000007E-2</v>
      </c>
      <c r="BK69" s="1972"/>
      <c r="BL69" s="1317">
        <v>8</v>
      </c>
      <c r="BM69" s="1972"/>
      <c r="BN69" s="1317">
        <v>20</v>
      </c>
      <c r="BO69" s="1972"/>
      <c r="BP69" s="1317">
        <v>10</v>
      </c>
      <c r="BQ69" s="2395"/>
      <c r="BR69" s="2400"/>
    </row>
    <row r="70" spans="1:70" s="25" customFormat="1" ht="12.75" customHeight="1">
      <c r="A70" s="2335"/>
      <c r="B70" s="2402"/>
      <c r="C70" s="2399"/>
      <c r="D70" s="1126" t="s">
        <v>133</v>
      </c>
      <c r="E70" s="1123"/>
      <c r="F70" s="1177">
        <v>162400</v>
      </c>
      <c r="G70" s="1178"/>
      <c r="H70" s="1177">
        <v>159480</v>
      </c>
      <c r="I70" s="1178"/>
      <c r="J70" s="1144" t="s">
        <v>255</v>
      </c>
      <c r="K70" s="1163">
        <v>1500</v>
      </c>
      <c r="L70" s="1179"/>
      <c r="M70" s="1180" t="s">
        <v>1017</v>
      </c>
      <c r="N70" s="1163">
        <v>1470</v>
      </c>
      <c r="O70" s="1179"/>
      <c r="P70" s="1180" t="s">
        <v>1017</v>
      </c>
      <c r="Q70" s="1172"/>
      <c r="R70" s="1173"/>
      <c r="S70" s="1181"/>
      <c r="T70" s="2059"/>
      <c r="U70" s="32"/>
      <c r="V70" s="1165"/>
      <c r="W70" s="1972"/>
      <c r="X70" s="1324"/>
      <c r="Y70" s="1152"/>
      <c r="Z70" s="2060"/>
      <c r="AA70" s="1166"/>
      <c r="AB70" s="2058"/>
      <c r="AC70" s="1173"/>
      <c r="AD70" s="1173"/>
      <c r="AE70" s="2059"/>
      <c r="AF70" s="1196"/>
      <c r="AG70" s="2060"/>
      <c r="AH70" s="2383"/>
      <c r="AI70" s="2059"/>
      <c r="AJ70" s="2382"/>
      <c r="AK70" s="2053"/>
      <c r="AL70" s="2380"/>
      <c r="AM70" s="2377"/>
      <c r="AN70" s="2380"/>
      <c r="AO70" s="2377"/>
      <c r="AP70" s="1959"/>
      <c r="AQ70" s="1183" t="s">
        <v>1024</v>
      </c>
      <c r="AR70" s="1318">
        <v>2000</v>
      </c>
      <c r="AS70" s="1319">
        <v>2300</v>
      </c>
      <c r="AT70" s="1320">
        <v>1400</v>
      </c>
      <c r="AU70" s="1182">
        <v>1400</v>
      </c>
      <c r="AV70" s="1972"/>
      <c r="AW70" s="1165"/>
      <c r="AX70" s="1152"/>
      <c r="AY70" s="1176"/>
      <c r="AZ70" s="2060"/>
      <c r="BA70" s="1971"/>
      <c r="BB70" s="1972"/>
      <c r="BC70" s="1975"/>
      <c r="BD70" s="1972"/>
      <c r="BE70" s="1165"/>
      <c r="BF70" s="1972"/>
      <c r="BG70" s="1979"/>
      <c r="BH70" s="1977"/>
      <c r="BI70" s="1977"/>
      <c r="BJ70" s="1983"/>
      <c r="BK70" s="1972"/>
      <c r="BL70" s="1321"/>
      <c r="BM70" s="1972"/>
      <c r="BN70" s="1322" t="s">
        <v>1120</v>
      </c>
      <c r="BO70" s="1972"/>
      <c r="BP70" s="1322" t="s">
        <v>1120</v>
      </c>
      <c r="BQ70" s="2395"/>
      <c r="BR70" s="2400"/>
    </row>
    <row r="71" spans="1:70" s="25" customFormat="1" ht="12.75" customHeight="1">
      <c r="A71" s="2335"/>
      <c r="B71" s="2401" t="s">
        <v>1056</v>
      </c>
      <c r="C71" s="2214" t="s">
        <v>1016</v>
      </c>
      <c r="D71" s="1122" t="s">
        <v>554</v>
      </c>
      <c r="E71" s="1123"/>
      <c r="F71" s="1142">
        <v>29450</v>
      </c>
      <c r="G71" s="1143">
        <v>36330</v>
      </c>
      <c r="H71" s="1142">
        <v>26690</v>
      </c>
      <c r="I71" s="1143">
        <v>33570</v>
      </c>
      <c r="J71" s="1144" t="s">
        <v>255</v>
      </c>
      <c r="K71" s="1145">
        <v>270</v>
      </c>
      <c r="L71" s="1146">
        <v>330</v>
      </c>
      <c r="M71" s="1147" t="s">
        <v>1017</v>
      </c>
      <c r="N71" s="1145">
        <v>240</v>
      </c>
      <c r="O71" s="1146">
        <v>300</v>
      </c>
      <c r="P71" s="1147" t="s">
        <v>1017</v>
      </c>
      <c r="Q71" s="1144" t="s">
        <v>255</v>
      </c>
      <c r="R71" s="1148">
        <v>6880</v>
      </c>
      <c r="S71" s="1149">
        <v>60</v>
      </c>
      <c r="T71" s="2059"/>
      <c r="U71" s="32"/>
      <c r="V71" s="1165"/>
      <c r="W71" s="1972"/>
      <c r="X71" s="1324"/>
      <c r="Y71" s="1152"/>
      <c r="Z71" s="2060"/>
      <c r="AA71" s="1166"/>
      <c r="AB71" s="2058"/>
      <c r="AC71" s="1173"/>
      <c r="AD71" s="1173"/>
      <c r="AE71" s="2059"/>
      <c r="AF71" s="1196"/>
      <c r="AG71" s="2060"/>
      <c r="AH71" s="2381" t="s">
        <v>294</v>
      </c>
      <c r="AI71" s="2059" t="s">
        <v>31</v>
      </c>
      <c r="AJ71" s="2382">
        <v>10</v>
      </c>
      <c r="AK71" s="2053" t="s">
        <v>255</v>
      </c>
      <c r="AL71" s="2378">
        <v>2600</v>
      </c>
      <c r="AM71" s="2375">
        <v>2900</v>
      </c>
      <c r="AN71" s="2378">
        <v>1800</v>
      </c>
      <c r="AO71" s="2375">
        <v>1800</v>
      </c>
      <c r="AP71" s="1959" t="s">
        <v>255</v>
      </c>
      <c r="AQ71" s="1154" t="s">
        <v>1019</v>
      </c>
      <c r="AR71" s="1306">
        <v>5400</v>
      </c>
      <c r="AS71" s="1307">
        <v>6000</v>
      </c>
      <c r="AT71" s="1323">
        <v>3700</v>
      </c>
      <c r="AU71" s="1314">
        <v>3700</v>
      </c>
      <c r="AV71" s="1972"/>
      <c r="AW71" s="2061" t="s">
        <v>321</v>
      </c>
      <c r="AX71" s="1968" t="s">
        <v>255</v>
      </c>
      <c r="AY71" s="1996">
        <v>4700</v>
      </c>
      <c r="AZ71" s="2060" t="s">
        <v>255</v>
      </c>
      <c r="BA71" s="1969">
        <v>1240</v>
      </c>
      <c r="BB71" s="1972" t="s">
        <v>255</v>
      </c>
      <c r="BC71" s="1973">
        <v>10</v>
      </c>
      <c r="BD71" s="1972"/>
      <c r="BE71" s="2061"/>
      <c r="BF71" s="1972" t="s">
        <v>78</v>
      </c>
      <c r="BG71" s="1998" t="s">
        <v>262</v>
      </c>
      <c r="BH71" s="1966" t="s">
        <v>262</v>
      </c>
      <c r="BI71" s="1966" t="s">
        <v>262</v>
      </c>
      <c r="BJ71" s="1980" t="s">
        <v>262</v>
      </c>
      <c r="BK71" s="1972" t="s">
        <v>78</v>
      </c>
      <c r="BL71" s="1310"/>
      <c r="BM71" s="1972" t="s">
        <v>78</v>
      </c>
      <c r="BN71" s="1310"/>
      <c r="BO71" s="1972" t="s">
        <v>78</v>
      </c>
      <c r="BP71" s="1310"/>
      <c r="BQ71" s="2395"/>
      <c r="BR71" s="2396"/>
    </row>
    <row r="72" spans="1:70" s="25" customFormat="1" ht="12.75" customHeight="1">
      <c r="A72" s="2335"/>
      <c r="B72" s="2402"/>
      <c r="C72" s="2215"/>
      <c r="D72" s="1133" t="s">
        <v>556</v>
      </c>
      <c r="E72" s="1123"/>
      <c r="F72" s="1158">
        <v>36330</v>
      </c>
      <c r="G72" s="1159">
        <v>92780</v>
      </c>
      <c r="H72" s="1158">
        <v>33570</v>
      </c>
      <c r="I72" s="1159">
        <v>90020</v>
      </c>
      <c r="J72" s="1144" t="s">
        <v>255</v>
      </c>
      <c r="K72" s="1160">
        <v>330</v>
      </c>
      <c r="L72" s="1161">
        <v>810</v>
      </c>
      <c r="M72" s="1162" t="s">
        <v>1017</v>
      </c>
      <c r="N72" s="1160">
        <v>300</v>
      </c>
      <c r="O72" s="1161">
        <v>790</v>
      </c>
      <c r="P72" s="1162" t="s">
        <v>1017</v>
      </c>
      <c r="Q72" s="1144" t="s">
        <v>255</v>
      </c>
      <c r="R72" s="1163">
        <v>6880</v>
      </c>
      <c r="S72" s="1164">
        <v>60</v>
      </c>
      <c r="T72" s="2059"/>
      <c r="U72" s="32"/>
      <c r="V72" s="1165"/>
      <c r="W72" s="1972"/>
      <c r="X72" s="1324"/>
      <c r="Y72" s="1152"/>
      <c r="Z72" s="2060"/>
      <c r="AA72" s="1166"/>
      <c r="AB72" s="2058"/>
      <c r="AC72" s="1173"/>
      <c r="AD72" s="1173"/>
      <c r="AE72" s="2059"/>
      <c r="AF72" s="1196"/>
      <c r="AG72" s="2060"/>
      <c r="AH72" s="2381"/>
      <c r="AI72" s="2059"/>
      <c r="AJ72" s="2382"/>
      <c r="AK72" s="2053"/>
      <c r="AL72" s="2379"/>
      <c r="AM72" s="2376"/>
      <c r="AN72" s="2379"/>
      <c r="AO72" s="2376"/>
      <c r="AP72" s="1959"/>
      <c r="AQ72" s="1168" t="s">
        <v>1020</v>
      </c>
      <c r="AR72" s="1311">
        <v>2900</v>
      </c>
      <c r="AS72" s="1312">
        <v>3300</v>
      </c>
      <c r="AT72" s="1323">
        <v>2000</v>
      </c>
      <c r="AU72" s="1314">
        <v>2000</v>
      </c>
      <c r="AV72" s="1972"/>
      <c r="AW72" s="2061"/>
      <c r="AX72" s="1968"/>
      <c r="AY72" s="1997"/>
      <c r="AZ72" s="2060"/>
      <c r="BA72" s="1970"/>
      <c r="BB72" s="1972"/>
      <c r="BC72" s="1974"/>
      <c r="BD72" s="1972"/>
      <c r="BE72" s="2061"/>
      <c r="BF72" s="1972"/>
      <c r="BG72" s="1999"/>
      <c r="BH72" s="1967"/>
      <c r="BI72" s="1967"/>
      <c r="BJ72" s="1981"/>
      <c r="BK72" s="1972"/>
      <c r="BL72" s="1315">
        <v>740</v>
      </c>
      <c r="BM72" s="1972"/>
      <c r="BN72" s="1315">
        <v>2420</v>
      </c>
      <c r="BO72" s="1972"/>
      <c r="BP72" s="1315">
        <v>1480</v>
      </c>
      <c r="BQ72" s="2395"/>
      <c r="BR72" s="2397"/>
    </row>
    <row r="73" spans="1:70" ht="12.75" customHeight="1">
      <c r="A73" s="2335"/>
      <c r="B73" s="2402"/>
      <c r="C73" s="2398" t="s">
        <v>1021</v>
      </c>
      <c r="D73" s="1133" t="s">
        <v>1022</v>
      </c>
      <c r="E73" s="1123"/>
      <c r="F73" s="1158">
        <v>92780</v>
      </c>
      <c r="G73" s="1159">
        <v>161610</v>
      </c>
      <c r="H73" s="1158">
        <v>90020</v>
      </c>
      <c r="I73" s="1159">
        <v>158850</v>
      </c>
      <c r="J73" s="1144" t="s">
        <v>255</v>
      </c>
      <c r="K73" s="1160">
        <v>810</v>
      </c>
      <c r="L73" s="1161">
        <v>1490</v>
      </c>
      <c r="M73" s="1162" t="s">
        <v>1017</v>
      </c>
      <c r="N73" s="1160">
        <v>790</v>
      </c>
      <c r="O73" s="1161">
        <v>1470</v>
      </c>
      <c r="P73" s="1162" t="s">
        <v>1017</v>
      </c>
      <c r="Q73" s="1172"/>
      <c r="R73" s="1173"/>
      <c r="S73" s="1174"/>
      <c r="T73" s="2059"/>
      <c r="U73" s="32"/>
      <c r="V73" s="1165"/>
      <c r="W73" s="1972"/>
      <c r="X73" s="1324"/>
      <c r="Y73" s="1152"/>
      <c r="Z73" s="2060"/>
      <c r="AA73" s="1166"/>
      <c r="AB73" s="2058"/>
      <c r="AC73" s="1173"/>
      <c r="AD73" s="1173"/>
      <c r="AE73" s="2059"/>
      <c r="AF73" s="1196"/>
      <c r="AG73" s="2060"/>
      <c r="AH73" s="2383">
        <v>1280</v>
      </c>
      <c r="AI73" s="2059"/>
      <c r="AJ73" s="2382"/>
      <c r="AK73" s="2053"/>
      <c r="AL73" s="2379"/>
      <c r="AM73" s="2376"/>
      <c r="AN73" s="2379"/>
      <c r="AO73" s="2376"/>
      <c r="AP73" s="1959"/>
      <c r="AQ73" s="1168" t="s">
        <v>1023</v>
      </c>
      <c r="AR73" s="1311">
        <v>2500</v>
      </c>
      <c r="AS73" s="1312">
        <v>2800</v>
      </c>
      <c r="AT73" s="1323">
        <v>1800</v>
      </c>
      <c r="AU73" s="1314">
        <v>1800</v>
      </c>
      <c r="AV73" s="1972"/>
      <c r="AW73" s="1165"/>
      <c r="AX73" s="1152"/>
      <c r="AY73" s="1316"/>
      <c r="AZ73" s="2060"/>
      <c r="BA73" s="1970"/>
      <c r="BB73" s="1972"/>
      <c r="BC73" s="1974"/>
      <c r="BD73" s="1972"/>
      <c r="BE73" s="1165"/>
      <c r="BF73" s="1972"/>
      <c r="BG73" s="1978">
        <v>0.02</v>
      </c>
      <c r="BH73" s="1976">
        <v>0.03</v>
      </c>
      <c r="BI73" s="1976">
        <v>0.05</v>
      </c>
      <c r="BJ73" s="1982">
        <v>7.0000000000000007E-2</v>
      </c>
      <c r="BK73" s="1972"/>
      <c r="BL73" s="1317">
        <v>7</v>
      </c>
      <c r="BM73" s="1972"/>
      <c r="BN73" s="1317">
        <v>20</v>
      </c>
      <c r="BO73" s="1972"/>
      <c r="BP73" s="1317">
        <v>10</v>
      </c>
      <c r="BQ73" s="2395"/>
      <c r="BR73" s="2400"/>
    </row>
    <row r="74" spans="1:70" ht="12.75" customHeight="1">
      <c r="A74" s="2335"/>
      <c r="B74" s="2402"/>
      <c r="C74" s="2399"/>
      <c r="D74" s="1126" t="s">
        <v>133</v>
      </c>
      <c r="E74" s="1123"/>
      <c r="F74" s="1177">
        <v>161610</v>
      </c>
      <c r="G74" s="1178"/>
      <c r="H74" s="1177">
        <v>158850</v>
      </c>
      <c r="I74" s="1178"/>
      <c r="J74" s="1144" t="s">
        <v>255</v>
      </c>
      <c r="K74" s="1163">
        <v>1490</v>
      </c>
      <c r="L74" s="1179"/>
      <c r="M74" s="1180" t="s">
        <v>1017</v>
      </c>
      <c r="N74" s="1163">
        <v>1470</v>
      </c>
      <c r="O74" s="1179"/>
      <c r="P74" s="1180" t="s">
        <v>1017</v>
      </c>
      <c r="Q74" s="1172"/>
      <c r="R74" s="1173"/>
      <c r="S74" s="1181"/>
      <c r="T74" s="2059"/>
      <c r="U74" s="32"/>
      <c r="V74" s="1165"/>
      <c r="W74" s="1972"/>
      <c r="X74" s="1324"/>
      <c r="Y74" s="1152"/>
      <c r="Z74" s="2060"/>
      <c r="AA74" s="1166"/>
      <c r="AB74" s="2058"/>
      <c r="AC74" s="1173"/>
      <c r="AD74" s="1173"/>
      <c r="AE74" s="2059"/>
      <c r="AF74" s="1196"/>
      <c r="AG74" s="2060"/>
      <c r="AH74" s="2383"/>
      <c r="AI74" s="2059"/>
      <c r="AJ74" s="2382"/>
      <c r="AK74" s="2053"/>
      <c r="AL74" s="2380"/>
      <c r="AM74" s="2377"/>
      <c r="AN74" s="2380"/>
      <c r="AO74" s="2377"/>
      <c r="AP74" s="1959"/>
      <c r="AQ74" s="1183" t="s">
        <v>1024</v>
      </c>
      <c r="AR74" s="1318">
        <v>2300</v>
      </c>
      <c r="AS74" s="1319">
        <v>2500</v>
      </c>
      <c r="AT74" s="1320">
        <v>1600</v>
      </c>
      <c r="AU74" s="1182">
        <v>1600</v>
      </c>
      <c r="AV74" s="1972"/>
      <c r="AW74" s="1165"/>
      <c r="AX74" s="1152"/>
      <c r="AY74" s="1176"/>
      <c r="AZ74" s="2060"/>
      <c r="BA74" s="1971"/>
      <c r="BB74" s="1972"/>
      <c r="BC74" s="1975"/>
      <c r="BD74" s="1972"/>
      <c r="BE74" s="1165"/>
      <c r="BF74" s="1972"/>
      <c r="BG74" s="1979"/>
      <c r="BH74" s="1977"/>
      <c r="BI74" s="1977"/>
      <c r="BJ74" s="1983"/>
      <c r="BK74" s="1972"/>
      <c r="BL74" s="1321"/>
      <c r="BM74" s="1972"/>
      <c r="BN74" s="1322" t="s">
        <v>1120</v>
      </c>
      <c r="BO74" s="1972"/>
      <c r="BP74" s="1322" t="s">
        <v>1120</v>
      </c>
      <c r="BQ74" s="2395"/>
      <c r="BR74" s="2400"/>
    </row>
    <row r="75" spans="1:70" ht="12.75" customHeight="1">
      <c r="A75" s="2335"/>
      <c r="B75" s="2403" t="s">
        <v>1057</v>
      </c>
      <c r="C75" s="2214" t="s">
        <v>1016</v>
      </c>
      <c r="D75" s="1122" t="s">
        <v>554</v>
      </c>
      <c r="E75" s="1123"/>
      <c r="F75" s="1142">
        <v>28730</v>
      </c>
      <c r="G75" s="1143">
        <v>35610</v>
      </c>
      <c r="H75" s="1142">
        <v>26120</v>
      </c>
      <c r="I75" s="1143">
        <v>33000</v>
      </c>
      <c r="J75" s="1144" t="s">
        <v>255</v>
      </c>
      <c r="K75" s="1145">
        <v>260</v>
      </c>
      <c r="L75" s="1146">
        <v>320</v>
      </c>
      <c r="M75" s="1147" t="s">
        <v>1017</v>
      </c>
      <c r="N75" s="1145">
        <v>240</v>
      </c>
      <c r="O75" s="1146">
        <v>300</v>
      </c>
      <c r="P75" s="1147" t="s">
        <v>1017</v>
      </c>
      <c r="Q75" s="1144" t="s">
        <v>255</v>
      </c>
      <c r="R75" s="1148">
        <v>6880</v>
      </c>
      <c r="S75" s="1149">
        <v>60</v>
      </c>
      <c r="T75" s="2059"/>
      <c r="U75" s="32"/>
      <c r="V75" s="1325"/>
      <c r="W75" s="2059"/>
      <c r="X75" s="1166"/>
      <c r="Y75" s="1198"/>
      <c r="Z75" s="2059"/>
      <c r="AA75" s="1166"/>
      <c r="AB75" s="2059"/>
      <c r="AC75" s="1173"/>
      <c r="AD75" s="1173"/>
      <c r="AE75" s="2059"/>
      <c r="AF75" s="1196"/>
      <c r="AG75" s="2060"/>
      <c r="AH75" s="1296"/>
      <c r="AI75" s="2059"/>
      <c r="AJ75" s="2382"/>
      <c r="AK75" s="2053" t="s">
        <v>255</v>
      </c>
      <c r="AL75" s="2378">
        <v>2500</v>
      </c>
      <c r="AM75" s="2375">
        <v>2700</v>
      </c>
      <c r="AN75" s="2378">
        <v>1700</v>
      </c>
      <c r="AO75" s="2375">
        <v>1700</v>
      </c>
      <c r="AP75" s="1959" t="s">
        <v>255</v>
      </c>
      <c r="AQ75" s="1154" t="s">
        <v>1019</v>
      </c>
      <c r="AR75" s="1306">
        <v>4800</v>
      </c>
      <c r="AS75" s="1307">
        <v>5400</v>
      </c>
      <c r="AT75" s="1323">
        <v>3400</v>
      </c>
      <c r="AU75" s="1314">
        <v>3400</v>
      </c>
      <c r="AV75" s="1972"/>
      <c r="AW75" s="1165"/>
      <c r="AX75" s="1968" t="s">
        <v>255</v>
      </c>
      <c r="AY75" s="1996">
        <v>4700</v>
      </c>
      <c r="AZ75" s="2060" t="s">
        <v>255</v>
      </c>
      <c r="BA75" s="1969">
        <v>1170</v>
      </c>
      <c r="BB75" s="1972" t="s">
        <v>255</v>
      </c>
      <c r="BC75" s="1973">
        <v>10</v>
      </c>
      <c r="BD75" s="1972"/>
      <c r="BE75" s="1165"/>
      <c r="BF75" s="1972" t="s">
        <v>78</v>
      </c>
      <c r="BG75" s="1998" t="s">
        <v>262</v>
      </c>
      <c r="BH75" s="1966" t="s">
        <v>262</v>
      </c>
      <c r="BI75" s="1966" t="s">
        <v>262</v>
      </c>
      <c r="BJ75" s="1980" t="s">
        <v>262</v>
      </c>
      <c r="BK75" s="1972" t="s">
        <v>78</v>
      </c>
      <c r="BL75" s="1310"/>
      <c r="BM75" s="1972" t="s">
        <v>78</v>
      </c>
      <c r="BN75" s="1310"/>
      <c r="BO75" s="1972" t="s">
        <v>78</v>
      </c>
      <c r="BP75" s="1310"/>
      <c r="BQ75" s="1124"/>
      <c r="BR75" s="2396"/>
    </row>
    <row r="76" spans="1:70" ht="12.75" customHeight="1">
      <c r="A76" s="2335"/>
      <c r="B76" s="2402"/>
      <c r="C76" s="2215"/>
      <c r="D76" s="1133" t="s">
        <v>556</v>
      </c>
      <c r="E76" s="1123"/>
      <c r="F76" s="1158">
        <v>35610</v>
      </c>
      <c r="G76" s="1159">
        <v>92060</v>
      </c>
      <c r="H76" s="1158">
        <v>33000</v>
      </c>
      <c r="I76" s="1159">
        <v>89450</v>
      </c>
      <c r="J76" s="1144" t="s">
        <v>255</v>
      </c>
      <c r="K76" s="1160">
        <v>320</v>
      </c>
      <c r="L76" s="1161">
        <v>810</v>
      </c>
      <c r="M76" s="1162" t="s">
        <v>1017</v>
      </c>
      <c r="N76" s="1160">
        <v>300</v>
      </c>
      <c r="O76" s="1161">
        <v>780</v>
      </c>
      <c r="P76" s="1162" t="s">
        <v>1017</v>
      </c>
      <c r="Q76" s="1144" t="s">
        <v>255</v>
      </c>
      <c r="R76" s="1163">
        <v>6880</v>
      </c>
      <c r="S76" s="1164">
        <v>60</v>
      </c>
      <c r="T76" s="2059"/>
      <c r="U76" s="32"/>
      <c r="V76" s="1325"/>
      <c r="W76" s="2059"/>
      <c r="X76" s="1166"/>
      <c r="Y76" s="1198"/>
      <c r="Z76" s="2059"/>
      <c r="AA76" s="1166"/>
      <c r="AB76" s="2059"/>
      <c r="AC76" s="1173"/>
      <c r="AD76" s="1173"/>
      <c r="AE76" s="2059"/>
      <c r="AF76" s="1196"/>
      <c r="AG76" s="2060"/>
      <c r="AH76" s="1296"/>
      <c r="AI76" s="2059"/>
      <c r="AJ76" s="2382"/>
      <c r="AK76" s="2053"/>
      <c r="AL76" s="2379"/>
      <c r="AM76" s="2376"/>
      <c r="AN76" s="2379"/>
      <c r="AO76" s="2376"/>
      <c r="AP76" s="1959"/>
      <c r="AQ76" s="1168" t="s">
        <v>1020</v>
      </c>
      <c r="AR76" s="1311">
        <v>2600</v>
      </c>
      <c r="AS76" s="1312">
        <v>2900</v>
      </c>
      <c r="AT76" s="1323">
        <v>1800</v>
      </c>
      <c r="AU76" s="1314">
        <v>1800</v>
      </c>
      <c r="AV76" s="1972"/>
      <c r="AW76" s="1165"/>
      <c r="AX76" s="1968"/>
      <c r="AY76" s="1997"/>
      <c r="AZ76" s="2060"/>
      <c r="BA76" s="1970"/>
      <c r="BB76" s="1972"/>
      <c r="BC76" s="1974"/>
      <c r="BD76" s="1972"/>
      <c r="BE76" s="1165"/>
      <c r="BF76" s="1972"/>
      <c r="BG76" s="1999"/>
      <c r="BH76" s="1967"/>
      <c r="BI76" s="1967"/>
      <c r="BJ76" s="1981"/>
      <c r="BK76" s="1972"/>
      <c r="BL76" s="1315">
        <v>700</v>
      </c>
      <c r="BM76" s="1972"/>
      <c r="BN76" s="1315">
        <v>2290</v>
      </c>
      <c r="BO76" s="1972"/>
      <c r="BP76" s="1315">
        <v>1390</v>
      </c>
      <c r="BQ76" s="1124"/>
      <c r="BR76" s="2397"/>
    </row>
    <row r="77" spans="1:70" ht="12.75" customHeight="1">
      <c r="A77" s="2335"/>
      <c r="B77" s="2402"/>
      <c r="C77" s="2398" t="s">
        <v>1021</v>
      </c>
      <c r="D77" s="1133" t="s">
        <v>1022</v>
      </c>
      <c r="E77" s="1123"/>
      <c r="F77" s="1158">
        <v>92060</v>
      </c>
      <c r="G77" s="1159">
        <v>160890</v>
      </c>
      <c r="H77" s="1158">
        <v>89450</v>
      </c>
      <c r="I77" s="1159">
        <v>158280</v>
      </c>
      <c r="J77" s="1144" t="s">
        <v>255</v>
      </c>
      <c r="K77" s="1160">
        <v>810</v>
      </c>
      <c r="L77" s="1161">
        <v>1490</v>
      </c>
      <c r="M77" s="1162" t="s">
        <v>1017</v>
      </c>
      <c r="N77" s="1160">
        <v>780</v>
      </c>
      <c r="O77" s="1161">
        <v>1460</v>
      </c>
      <c r="P77" s="1162" t="s">
        <v>1017</v>
      </c>
      <c r="Q77" s="1172"/>
      <c r="R77" s="1173"/>
      <c r="S77" s="1174"/>
      <c r="T77" s="2059"/>
      <c r="U77" s="32"/>
      <c r="V77" s="1325"/>
      <c r="W77" s="2059"/>
      <c r="X77" s="1166"/>
      <c r="Y77" s="1198"/>
      <c r="Z77" s="2059"/>
      <c r="AA77" s="1166"/>
      <c r="AB77" s="2059"/>
      <c r="AC77" s="1173"/>
      <c r="AD77" s="1173"/>
      <c r="AE77" s="2059"/>
      <c r="AF77" s="1196"/>
      <c r="AG77" s="2060"/>
      <c r="AH77" s="1296"/>
      <c r="AI77" s="2059"/>
      <c r="AJ77" s="2382"/>
      <c r="AK77" s="2053"/>
      <c r="AL77" s="2379"/>
      <c r="AM77" s="2376"/>
      <c r="AN77" s="2379"/>
      <c r="AO77" s="2376"/>
      <c r="AP77" s="1959"/>
      <c r="AQ77" s="1168" t="s">
        <v>1023</v>
      </c>
      <c r="AR77" s="1311">
        <v>2300</v>
      </c>
      <c r="AS77" s="1312">
        <v>2500</v>
      </c>
      <c r="AT77" s="1323">
        <v>1600</v>
      </c>
      <c r="AU77" s="1314">
        <v>1600</v>
      </c>
      <c r="AV77" s="1972"/>
      <c r="AW77" s="1165"/>
      <c r="AX77" s="1152"/>
      <c r="AY77" s="1176"/>
      <c r="AZ77" s="2060"/>
      <c r="BA77" s="1970"/>
      <c r="BB77" s="1972"/>
      <c r="BC77" s="1974"/>
      <c r="BD77" s="1972"/>
      <c r="BE77" s="1165"/>
      <c r="BF77" s="1972"/>
      <c r="BG77" s="1978">
        <v>0.02</v>
      </c>
      <c r="BH77" s="1976">
        <v>0.03</v>
      </c>
      <c r="BI77" s="1976">
        <v>0.05</v>
      </c>
      <c r="BJ77" s="1982">
        <v>7.0000000000000007E-2</v>
      </c>
      <c r="BK77" s="1972"/>
      <c r="BL77" s="1317">
        <v>7</v>
      </c>
      <c r="BM77" s="1972"/>
      <c r="BN77" s="1317">
        <v>20</v>
      </c>
      <c r="BO77" s="1972"/>
      <c r="BP77" s="1317">
        <v>10</v>
      </c>
      <c r="BQ77" s="1124"/>
      <c r="BR77" s="2400"/>
    </row>
    <row r="78" spans="1:70" ht="12.75" customHeight="1">
      <c r="A78" s="2213"/>
      <c r="B78" s="2402"/>
      <c r="C78" s="2399"/>
      <c r="D78" s="1126" t="s">
        <v>133</v>
      </c>
      <c r="E78" s="1123"/>
      <c r="F78" s="1177">
        <v>160890</v>
      </c>
      <c r="G78" s="1178"/>
      <c r="H78" s="1177">
        <v>158280</v>
      </c>
      <c r="I78" s="1178"/>
      <c r="J78" s="1144" t="s">
        <v>255</v>
      </c>
      <c r="K78" s="1163">
        <v>1490</v>
      </c>
      <c r="L78" s="1179"/>
      <c r="M78" s="1180" t="s">
        <v>1017</v>
      </c>
      <c r="N78" s="1163">
        <v>1460</v>
      </c>
      <c r="O78" s="1179"/>
      <c r="P78" s="1180" t="s">
        <v>1017</v>
      </c>
      <c r="Q78" s="1172"/>
      <c r="R78" s="1173"/>
      <c r="S78" s="1198"/>
      <c r="T78" s="2059"/>
      <c r="U78" s="32"/>
      <c r="V78" s="1326"/>
      <c r="W78" s="2059"/>
      <c r="X78" s="1200"/>
      <c r="Y78" s="1198"/>
      <c r="Z78" s="2059"/>
      <c r="AA78" s="1200"/>
      <c r="AB78" s="2059"/>
      <c r="AC78" s="1173"/>
      <c r="AD78" s="1173"/>
      <c r="AE78" s="2059"/>
      <c r="AF78" s="1196"/>
      <c r="AG78" s="2060"/>
      <c r="AH78" s="1327"/>
      <c r="AI78" s="2059"/>
      <c r="AJ78" s="2406"/>
      <c r="AK78" s="2053"/>
      <c r="AL78" s="2380"/>
      <c r="AM78" s="2377"/>
      <c r="AN78" s="2380"/>
      <c r="AO78" s="2377"/>
      <c r="AP78" s="1959"/>
      <c r="AQ78" s="1183" t="s">
        <v>1024</v>
      </c>
      <c r="AR78" s="1318">
        <v>2000</v>
      </c>
      <c r="AS78" s="1319">
        <v>2300</v>
      </c>
      <c r="AT78" s="1320">
        <v>1400</v>
      </c>
      <c r="AU78" s="1182">
        <v>1400</v>
      </c>
      <c r="AV78" s="1972"/>
      <c r="AW78" s="1199"/>
      <c r="AX78" s="1152"/>
      <c r="AY78" s="1176"/>
      <c r="AZ78" s="2060"/>
      <c r="BA78" s="1971"/>
      <c r="BB78" s="1972"/>
      <c r="BC78" s="1975"/>
      <c r="BD78" s="1972"/>
      <c r="BE78" s="1199"/>
      <c r="BF78" s="1972"/>
      <c r="BG78" s="1979"/>
      <c r="BH78" s="1977"/>
      <c r="BI78" s="1977"/>
      <c r="BJ78" s="1983"/>
      <c r="BK78" s="1972"/>
      <c r="BL78" s="1321"/>
      <c r="BM78" s="1972"/>
      <c r="BN78" s="1322" t="s">
        <v>1120</v>
      </c>
      <c r="BO78" s="1972"/>
      <c r="BP78" s="1322" t="s">
        <v>1120</v>
      </c>
      <c r="BQ78" s="1124"/>
      <c r="BR78" s="2405"/>
    </row>
    <row r="80" spans="1:70">
      <c r="B80" s="28">
        <v>1</v>
      </c>
      <c r="C80" s="28">
        <v>2</v>
      </c>
      <c r="D80" s="28">
        <v>3</v>
      </c>
      <c r="E80" s="28">
        <v>4</v>
      </c>
      <c r="F80" s="28">
        <v>5</v>
      </c>
      <c r="G80" s="28">
        <v>6</v>
      </c>
      <c r="H80" s="28">
        <v>7</v>
      </c>
      <c r="I80" s="28">
        <v>8</v>
      </c>
      <c r="J80" s="28">
        <v>9</v>
      </c>
      <c r="K80" s="28">
        <v>10</v>
      </c>
      <c r="L80" s="28">
        <v>11</v>
      </c>
      <c r="M80" s="28">
        <v>12</v>
      </c>
      <c r="N80" s="28">
        <v>13</v>
      </c>
      <c r="O80" s="28">
        <v>14</v>
      </c>
      <c r="P80" s="28">
        <v>15</v>
      </c>
      <c r="Q80" s="28">
        <v>16</v>
      </c>
      <c r="R80" s="28">
        <v>17</v>
      </c>
      <c r="S80" s="28">
        <v>18</v>
      </c>
      <c r="T80" s="28">
        <v>19</v>
      </c>
      <c r="U80" s="28">
        <v>20</v>
      </c>
      <c r="V80" s="28">
        <v>21</v>
      </c>
      <c r="W80" s="28">
        <v>22</v>
      </c>
      <c r="X80" s="28">
        <v>23</v>
      </c>
      <c r="Y80" s="28">
        <v>24</v>
      </c>
      <c r="Z80" s="28">
        <v>25</v>
      </c>
      <c r="AA80" s="28">
        <v>26</v>
      </c>
      <c r="AB80" s="28">
        <v>27</v>
      </c>
      <c r="AC80" s="28">
        <v>28</v>
      </c>
      <c r="AD80" s="28">
        <v>29</v>
      </c>
      <c r="AE80" s="28">
        <v>30</v>
      </c>
      <c r="AF80" s="28">
        <v>31</v>
      </c>
      <c r="AG80" s="28">
        <v>32</v>
      </c>
      <c r="AH80" s="28">
        <v>33</v>
      </c>
      <c r="AI80" s="28">
        <v>34</v>
      </c>
      <c r="AJ80" s="28">
        <v>35</v>
      </c>
      <c r="AK80" s="28">
        <v>36</v>
      </c>
      <c r="AL80" s="28">
        <v>37</v>
      </c>
      <c r="AM80" s="28">
        <v>38</v>
      </c>
      <c r="AN80" s="28">
        <v>39</v>
      </c>
      <c r="AO80" s="28">
        <v>40</v>
      </c>
      <c r="AP80" s="28">
        <v>41</v>
      </c>
      <c r="AQ80" s="28">
        <v>42</v>
      </c>
      <c r="AR80" s="28">
        <v>43</v>
      </c>
      <c r="AS80" s="28">
        <v>44</v>
      </c>
      <c r="AT80" s="28">
        <v>45</v>
      </c>
      <c r="AU80" s="28">
        <v>46</v>
      </c>
      <c r="AV80" s="28">
        <v>47</v>
      </c>
      <c r="AW80" s="28">
        <v>48</v>
      </c>
      <c r="AX80" s="28">
        <v>49</v>
      </c>
      <c r="AY80" s="28">
        <v>50</v>
      </c>
      <c r="AZ80" s="28">
        <v>51</v>
      </c>
      <c r="BA80" s="28">
        <v>52</v>
      </c>
      <c r="BB80" s="28">
        <v>53</v>
      </c>
      <c r="BC80" s="28">
        <v>54</v>
      </c>
      <c r="BD80" s="28">
        <v>55</v>
      </c>
      <c r="BE80" s="28">
        <v>56</v>
      </c>
      <c r="BF80" s="28">
        <v>57</v>
      </c>
      <c r="BG80" s="28">
        <v>58</v>
      </c>
      <c r="BH80" s="28">
        <v>59</v>
      </c>
      <c r="BI80" s="28">
        <v>60</v>
      </c>
      <c r="BJ80" s="28">
        <v>61</v>
      </c>
      <c r="BK80" s="28">
        <v>62</v>
      </c>
      <c r="BL80" s="28">
        <v>63</v>
      </c>
      <c r="BM80" s="28">
        <v>64</v>
      </c>
      <c r="BN80" s="28">
        <v>65</v>
      </c>
      <c r="BO80" s="28">
        <v>66</v>
      </c>
      <c r="BP80" s="28">
        <v>67</v>
      </c>
      <c r="BQ80" s="28">
        <v>68</v>
      </c>
      <c r="BR80" s="28">
        <v>69</v>
      </c>
    </row>
    <row r="81" spans="2:70">
      <c r="B81" s="28">
        <v>1</v>
      </c>
      <c r="D81" s="28" t="str">
        <f>D7</f>
        <v>４歳以上児</v>
      </c>
      <c r="E81" s="28">
        <f t="shared" ref="E81:BQ81" si="0">E7</f>
        <v>0</v>
      </c>
      <c r="F81" s="28">
        <f t="shared" si="0"/>
        <v>218750</v>
      </c>
      <c r="G81" s="28">
        <f t="shared" si="0"/>
        <v>225630</v>
      </c>
      <c r="H81" s="28">
        <f t="shared" si="0"/>
        <v>171900</v>
      </c>
      <c r="I81" s="28">
        <f t="shared" si="0"/>
        <v>178780</v>
      </c>
      <c r="J81" s="28" t="str">
        <f t="shared" si="0"/>
        <v>＋</v>
      </c>
      <c r="K81" s="28">
        <f t="shared" si="0"/>
        <v>2160</v>
      </c>
      <c r="L81" s="28">
        <f t="shared" si="0"/>
        <v>2220</v>
      </c>
      <c r="M81" s="28" t="str">
        <f t="shared" si="0"/>
        <v>×加算率</v>
      </c>
      <c r="N81" s="28">
        <f t="shared" si="0"/>
        <v>1700</v>
      </c>
      <c r="O81" s="28">
        <f t="shared" si="0"/>
        <v>1760</v>
      </c>
      <c r="P81" s="28" t="str">
        <f t="shared" si="0"/>
        <v>×加算率</v>
      </c>
      <c r="Q81" s="28" t="str">
        <f t="shared" si="0"/>
        <v>＋</v>
      </c>
      <c r="R81" s="28">
        <f t="shared" si="0"/>
        <v>6880</v>
      </c>
      <c r="S81" s="28">
        <f t="shared" si="0"/>
        <v>60</v>
      </c>
      <c r="T81" s="28" t="str">
        <f t="shared" si="0"/>
        <v>＋</v>
      </c>
      <c r="U81" s="28">
        <f t="shared" si="0"/>
        <v>0</v>
      </c>
      <c r="V81" s="28">
        <f t="shared" si="0"/>
        <v>0</v>
      </c>
      <c r="W81" s="28" t="str">
        <f t="shared" si="0"/>
        <v>＋</v>
      </c>
      <c r="X81" s="28">
        <f t="shared" si="0"/>
        <v>0</v>
      </c>
      <c r="Y81" s="28">
        <f t="shared" si="0"/>
        <v>0</v>
      </c>
      <c r="Z81" s="28" t="str">
        <f t="shared" si="0"/>
        <v>÷</v>
      </c>
      <c r="AA81" s="28">
        <f t="shared" si="0"/>
        <v>0</v>
      </c>
      <c r="AB81" s="28" t="str">
        <f t="shared" si="0"/>
        <v>＋</v>
      </c>
      <c r="AC81" s="28">
        <f t="shared" si="0"/>
        <v>54450</v>
      </c>
      <c r="AD81" s="28">
        <f t="shared" si="0"/>
        <v>0</v>
      </c>
      <c r="AE81" s="28" t="str">
        <f t="shared" si="0"/>
        <v>＋</v>
      </c>
      <c r="AF81" s="28">
        <f t="shared" si="0"/>
        <v>470</v>
      </c>
      <c r="AG81" s="28" t="str">
        <f t="shared" si="0"/>
        <v>＋</v>
      </c>
      <c r="AH81" s="28"/>
      <c r="AI81" s="28"/>
      <c r="AJ81" s="28"/>
      <c r="AK81" s="28"/>
      <c r="AL81" s="28"/>
      <c r="AM81" s="28"/>
      <c r="AN81" s="28"/>
      <c r="AO81" s="28"/>
      <c r="AP81" s="28" t="str">
        <f t="shared" si="0"/>
        <v>＋</v>
      </c>
      <c r="AQ81" s="28" t="str">
        <f t="shared" si="0"/>
        <v>ａ地域</v>
      </c>
      <c r="AR81" s="28">
        <f t="shared" si="0"/>
        <v>31600</v>
      </c>
      <c r="AS81" s="28">
        <f t="shared" si="0"/>
        <v>35200</v>
      </c>
      <c r="AT81" s="28">
        <f t="shared" si="0"/>
        <v>22100</v>
      </c>
      <c r="AU81" s="28">
        <f t="shared" si="0"/>
        <v>22100</v>
      </c>
      <c r="AV81" s="28" t="str">
        <f t="shared" si="0"/>
        <v>＋</v>
      </c>
      <c r="AW81" s="28">
        <f t="shared" si="0"/>
        <v>0</v>
      </c>
      <c r="AX81" s="28" t="str">
        <f t="shared" si="0"/>
        <v>＋</v>
      </c>
      <c r="AY81" s="28"/>
      <c r="AZ81" s="28"/>
      <c r="BA81" s="28">
        <f t="shared" si="0"/>
        <v>21130</v>
      </c>
      <c r="BB81" s="28" t="str">
        <f t="shared" si="0"/>
        <v>＋</v>
      </c>
      <c r="BC81" s="28">
        <f t="shared" si="0"/>
        <v>210</v>
      </c>
      <c r="BD81" s="28" t="str">
        <f t="shared" si="0"/>
        <v>－</v>
      </c>
      <c r="BE81" s="28">
        <f t="shared" si="0"/>
        <v>0</v>
      </c>
      <c r="BF81" s="28" t="str">
        <f t="shared" si="0"/>
        <v>－</v>
      </c>
      <c r="BG81" s="222">
        <f>BG9</f>
        <v>0.01</v>
      </c>
      <c r="BH81" s="222">
        <f>BH9</f>
        <v>0.02</v>
      </c>
      <c r="BI81" s="222">
        <f>BI9</f>
        <v>0.04</v>
      </c>
      <c r="BJ81" s="222">
        <f>BJ9</f>
        <v>0.05</v>
      </c>
      <c r="BK81" s="28" t="str">
        <f t="shared" si="0"/>
        <v>－</v>
      </c>
      <c r="BL81" s="28">
        <f>BL9</f>
        <v>120</v>
      </c>
      <c r="BM81" s="28" t="str">
        <f t="shared" si="0"/>
        <v>－</v>
      </c>
      <c r="BN81" s="28">
        <f>BN9</f>
        <v>410</v>
      </c>
      <c r="BO81" s="28" t="str">
        <f t="shared" si="0"/>
        <v>－</v>
      </c>
      <c r="BP81" s="28">
        <f>BP9</f>
        <v>250</v>
      </c>
      <c r="BQ81" s="28">
        <f t="shared" si="0"/>
        <v>0</v>
      </c>
      <c r="BR81" s="234">
        <f>BR9</f>
        <v>0</v>
      </c>
    </row>
    <row r="82" spans="2:70">
      <c r="B82" s="28">
        <v>11</v>
      </c>
      <c r="D82" s="28" t="str">
        <f>D11</f>
        <v>４歳以上児</v>
      </c>
      <c r="E82" s="28">
        <f t="shared" ref="E82:BQ82" si="1">E11</f>
        <v>0</v>
      </c>
      <c r="F82" s="28">
        <f t="shared" si="1"/>
        <v>118690</v>
      </c>
      <c r="G82" s="28">
        <f t="shared" si="1"/>
        <v>125570</v>
      </c>
      <c r="H82" s="28">
        <f t="shared" si="1"/>
        <v>95270</v>
      </c>
      <c r="I82" s="28">
        <f t="shared" si="1"/>
        <v>102150</v>
      </c>
      <c r="J82" s="28" t="str">
        <f t="shared" si="1"/>
        <v>＋</v>
      </c>
      <c r="K82" s="28">
        <f t="shared" si="1"/>
        <v>1160</v>
      </c>
      <c r="L82" s="28">
        <f t="shared" si="1"/>
        <v>1220</v>
      </c>
      <c r="M82" s="28" t="str">
        <f t="shared" si="1"/>
        <v>×加算率</v>
      </c>
      <c r="N82" s="28">
        <f t="shared" si="1"/>
        <v>930</v>
      </c>
      <c r="O82" s="28">
        <f t="shared" si="1"/>
        <v>990</v>
      </c>
      <c r="P82" s="28" t="str">
        <f t="shared" si="1"/>
        <v>×加算率</v>
      </c>
      <c r="Q82" s="28" t="str">
        <f t="shared" si="1"/>
        <v>＋</v>
      </c>
      <c r="R82" s="28">
        <f t="shared" si="1"/>
        <v>6880</v>
      </c>
      <c r="S82" s="28">
        <f t="shared" si="1"/>
        <v>60</v>
      </c>
      <c r="T82" s="28">
        <f t="shared" si="1"/>
        <v>0</v>
      </c>
      <c r="U82" s="28">
        <f t="shared" si="1"/>
        <v>0</v>
      </c>
      <c r="V82" s="28">
        <f t="shared" si="1"/>
        <v>0</v>
      </c>
      <c r="W82" s="28">
        <f t="shared" si="1"/>
        <v>0</v>
      </c>
      <c r="X82" s="28">
        <f t="shared" si="1"/>
        <v>0</v>
      </c>
      <c r="Y82" s="28">
        <f t="shared" si="1"/>
        <v>0</v>
      </c>
      <c r="Z82" s="28">
        <f t="shared" si="1"/>
        <v>0</v>
      </c>
      <c r="AA82" s="28">
        <f t="shared" si="1"/>
        <v>0</v>
      </c>
      <c r="AB82" s="28" t="str">
        <f t="shared" si="1"/>
        <v>＋</v>
      </c>
      <c r="AC82" s="28">
        <f t="shared" si="1"/>
        <v>30750</v>
      </c>
      <c r="AD82" s="28">
        <f t="shared" si="1"/>
        <v>0</v>
      </c>
      <c r="AE82" s="28" t="str">
        <f t="shared" si="1"/>
        <v>＋</v>
      </c>
      <c r="AF82" s="28">
        <f t="shared" si="1"/>
        <v>230</v>
      </c>
      <c r="AG82" s="28">
        <f t="shared" si="1"/>
        <v>0</v>
      </c>
      <c r="AH82" s="28"/>
      <c r="AI82" s="28"/>
      <c r="AJ82" s="28"/>
      <c r="AK82" s="28"/>
      <c r="AL82" s="28"/>
      <c r="AM82" s="28"/>
      <c r="AN82" s="28"/>
      <c r="AO82" s="28"/>
      <c r="AP82" s="28" t="str">
        <f t="shared" si="1"/>
        <v>＋</v>
      </c>
      <c r="AQ82" s="28" t="str">
        <f t="shared" si="1"/>
        <v>ａ地域</v>
      </c>
      <c r="AR82" s="28">
        <f t="shared" si="1"/>
        <v>15800</v>
      </c>
      <c r="AS82" s="28">
        <f t="shared" si="1"/>
        <v>17600</v>
      </c>
      <c r="AT82" s="28">
        <f t="shared" si="1"/>
        <v>11000</v>
      </c>
      <c r="AU82" s="28">
        <f t="shared" si="1"/>
        <v>11000</v>
      </c>
      <c r="AV82" s="28">
        <f t="shared" si="1"/>
        <v>0</v>
      </c>
      <c r="AW82" s="28">
        <f t="shared" si="1"/>
        <v>0</v>
      </c>
      <c r="AX82" s="28" t="str">
        <f t="shared" si="1"/>
        <v>＋</v>
      </c>
      <c r="AY82" s="28"/>
      <c r="AZ82" s="28"/>
      <c r="BA82" s="28">
        <f t="shared" si="1"/>
        <v>10560</v>
      </c>
      <c r="BB82" s="28" t="str">
        <f t="shared" si="1"/>
        <v>＋</v>
      </c>
      <c r="BC82" s="28">
        <f t="shared" si="1"/>
        <v>100</v>
      </c>
      <c r="BD82" s="28">
        <f t="shared" si="1"/>
        <v>0</v>
      </c>
      <c r="BE82" s="28">
        <f t="shared" si="1"/>
        <v>0</v>
      </c>
      <c r="BF82" s="28" t="str">
        <f t="shared" si="1"/>
        <v>－</v>
      </c>
      <c r="BG82" s="222">
        <f>BG13</f>
        <v>0.01</v>
      </c>
      <c r="BH82" s="222">
        <f>BH13</f>
        <v>0.03</v>
      </c>
      <c r="BI82" s="222">
        <f>BI13</f>
        <v>0.04</v>
      </c>
      <c r="BJ82" s="222">
        <f>BJ13</f>
        <v>0.05</v>
      </c>
      <c r="BK82" s="28" t="str">
        <f t="shared" si="1"/>
        <v>－</v>
      </c>
      <c r="BL82" s="28">
        <f>BL13</f>
        <v>60</v>
      </c>
      <c r="BM82" s="28" t="str">
        <f t="shared" si="1"/>
        <v>－</v>
      </c>
      <c r="BN82" s="28">
        <f>BN13</f>
        <v>200</v>
      </c>
      <c r="BO82" s="28" t="str">
        <f t="shared" si="1"/>
        <v>－</v>
      </c>
      <c r="BP82" s="28">
        <f>BP13</f>
        <v>120</v>
      </c>
      <c r="BQ82" s="28">
        <f t="shared" si="1"/>
        <v>0</v>
      </c>
      <c r="BR82" s="234">
        <f>BR13</f>
        <v>0</v>
      </c>
    </row>
    <row r="83" spans="2:70">
      <c r="B83" s="28">
        <v>21</v>
      </c>
      <c r="D83" s="28" t="str">
        <f>D15</f>
        <v>４歳以上児</v>
      </c>
      <c r="E83" s="28">
        <f t="shared" ref="E83:BQ83" si="2">E15</f>
        <v>0</v>
      </c>
      <c r="F83" s="28">
        <f t="shared" si="2"/>
        <v>85240</v>
      </c>
      <c r="G83" s="28">
        <f t="shared" si="2"/>
        <v>92120</v>
      </c>
      <c r="H83" s="28">
        <f t="shared" si="2"/>
        <v>69620</v>
      </c>
      <c r="I83" s="28">
        <f t="shared" si="2"/>
        <v>76500</v>
      </c>
      <c r="J83" s="28" t="str">
        <f t="shared" si="2"/>
        <v>＋</v>
      </c>
      <c r="K83" s="28">
        <f t="shared" si="2"/>
        <v>830</v>
      </c>
      <c r="L83" s="28">
        <f t="shared" si="2"/>
        <v>890</v>
      </c>
      <c r="M83" s="28" t="str">
        <f t="shared" si="2"/>
        <v>×加算率</v>
      </c>
      <c r="N83" s="28">
        <f t="shared" si="2"/>
        <v>670</v>
      </c>
      <c r="O83" s="28">
        <f t="shared" si="2"/>
        <v>730</v>
      </c>
      <c r="P83" s="28" t="str">
        <f t="shared" si="2"/>
        <v>×加算率</v>
      </c>
      <c r="Q83" s="28" t="str">
        <f t="shared" si="2"/>
        <v>＋</v>
      </c>
      <c r="R83" s="28">
        <f t="shared" si="2"/>
        <v>6880</v>
      </c>
      <c r="S83" s="28">
        <f t="shared" si="2"/>
        <v>60</v>
      </c>
      <c r="T83" s="28">
        <f t="shared" si="2"/>
        <v>0</v>
      </c>
      <c r="U83" s="28">
        <f t="shared" si="2"/>
        <v>0</v>
      </c>
      <c r="V83" s="28">
        <f t="shared" si="2"/>
        <v>0</v>
      </c>
      <c r="W83" s="28">
        <f t="shared" si="2"/>
        <v>0</v>
      </c>
      <c r="X83" s="28">
        <f t="shared" si="2"/>
        <v>0</v>
      </c>
      <c r="Y83" s="28">
        <f t="shared" si="2"/>
        <v>0</v>
      </c>
      <c r="Z83" s="28">
        <f t="shared" si="2"/>
        <v>0</v>
      </c>
      <c r="AA83" s="28">
        <f t="shared" si="2"/>
        <v>0</v>
      </c>
      <c r="AB83" s="28" t="str">
        <f t="shared" si="2"/>
        <v>＋</v>
      </c>
      <c r="AC83" s="28">
        <f t="shared" si="2"/>
        <v>22860</v>
      </c>
      <c r="AD83" s="28">
        <f t="shared" si="2"/>
        <v>0</v>
      </c>
      <c r="AE83" s="28" t="str">
        <f t="shared" si="2"/>
        <v>＋</v>
      </c>
      <c r="AF83" s="28">
        <f t="shared" si="2"/>
        <v>150</v>
      </c>
      <c r="AG83" s="28">
        <f t="shared" si="2"/>
        <v>0</v>
      </c>
      <c r="AH83" s="28"/>
      <c r="AI83" s="28"/>
      <c r="AJ83" s="28"/>
      <c r="AK83" s="28"/>
      <c r="AL83" s="28"/>
      <c r="AM83" s="28"/>
      <c r="AN83" s="28"/>
      <c r="AO83" s="28"/>
      <c r="AP83" s="28" t="str">
        <f t="shared" si="2"/>
        <v>＋</v>
      </c>
      <c r="AQ83" s="28" t="str">
        <f t="shared" si="2"/>
        <v>ａ地域</v>
      </c>
      <c r="AR83" s="28">
        <f t="shared" si="2"/>
        <v>10900</v>
      </c>
      <c r="AS83" s="28">
        <f t="shared" si="2"/>
        <v>12200</v>
      </c>
      <c r="AT83" s="28">
        <f t="shared" si="2"/>
        <v>7600</v>
      </c>
      <c r="AU83" s="28">
        <f t="shared" si="2"/>
        <v>7600</v>
      </c>
      <c r="AV83" s="28">
        <f t="shared" si="2"/>
        <v>0</v>
      </c>
      <c r="AW83" s="28">
        <f t="shared" si="2"/>
        <v>0</v>
      </c>
      <c r="AX83" s="28" t="str">
        <f t="shared" si="2"/>
        <v>＋</v>
      </c>
      <c r="AY83" s="28"/>
      <c r="AZ83" s="28"/>
      <c r="BA83" s="28">
        <f t="shared" si="2"/>
        <v>7040</v>
      </c>
      <c r="BB83" s="28" t="str">
        <f t="shared" si="2"/>
        <v>＋</v>
      </c>
      <c r="BC83" s="28">
        <f t="shared" si="2"/>
        <v>70</v>
      </c>
      <c r="BD83" s="28">
        <f t="shared" si="2"/>
        <v>0</v>
      </c>
      <c r="BE83" s="28">
        <f t="shared" si="2"/>
        <v>0</v>
      </c>
      <c r="BF83" s="28" t="str">
        <f t="shared" si="2"/>
        <v>－</v>
      </c>
      <c r="BG83" s="222">
        <f>BG17</f>
        <v>0.01</v>
      </c>
      <c r="BH83" s="222">
        <f>BH17</f>
        <v>0.03</v>
      </c>
      <c r="BI83" s="222">
        <f>BI17</f>
        <v>0.04</v>
      </c>
      <c r="BJ83" s="222">
        <f>BJ17</f>
        <v>0.05</v>
      </c>
      <c r="BK83" s="28" t="str">
        <f t="shared" si="2"/>
        <v>－</v>
      </c>
      <c r="BL83" s="28">
        <f>BL17</f>
        <v>40</v>
      </c>
      <c r="BM83" s="28" t="str">
        <f t="shared" si="2"/>
        <v>－</v>
      </c>
      <c r="BN83" s="28">
        <f>BN17</f>
        <v>130</v>
      </c>
      <c r="BO83" s="28" t="str">
        <f t="shared" si="2"/>
        <v>－</v>
      </c>
      <c r="BP83" s="28">
        <f>BP17</f>
        <v>80</v>
      </c>
      <c r="BQ83" s="28">
        <f t="shared" si="2"/>
        <v>0</v>
      </c>
      <c r="BR83" s="234">
        <f>BR17</f>
        <v>0</v>
      </c>
    </row>
    <row r="84" spans="2:70">
      <c r="B84" s="28">
        <v>31</v>
      </c>
      <c r="D84" s="28" t="str">
        <f>D19</f>
        <v>４歳以上児</v>
      </c>
      <c r="E84" s="28">
        <f t="shared" ref="E84:BQ84" si="3">E19</f>
        <v>0</v>
      </c>
      <c r="F84" s="28">
        <f t="shared" si="3"/>
        <v>68650</v>
      </c>
      <c r="G84" s="28">
        <f t="shared" si="3"/>
        <v>75530</v>
      </c>
      <c r="H84" s="28">
        <f t="shared" si="3"/>
        <v>56940</v>
      </c>
      <c r="I84" s="28">
        <f t="shared" si="3"/>
        <v>63820</v>
      </c>
      <c r="J84" s="28" t="str">
        <f t="shared" si="3"/>
        <v>＋</v>
      </c>
      <c r="K84" s="28">
        <f t="shared" si="3"/>
        <v>660</v>
      </c>
      <c r="L84" s="28">
        <f t="shared" si="3"/>
        <v>720</v>
      </c>
      <c r="M84" s="28" t="str">
        <f t="shared" si="3"/>
        <v>×加算率</v>
      </c>
      <c r="N84" s="28">
        <f t="shared" si="3"/>
        <v>550</v>
      </c>
      <c r="O84" s="28">
        <f t="shared" si="3"/>
        <v>610</v>
      </c>
      <c r="P84" s="28" t="str">
        <f t="shared" si="3"/>
        <v>×加算率</v>
      </c>
      <c r="Q84" s="28" t="str">
        <f t="shared" si="3"/>
        <v>＋</v>
      </c>
      <c r="R84" s="28">
        <f t="shared" si="3"/>
        <v>6880</v>
      </c>
      <c r="S84" s="28">
        <f t="shared" si="3"/>
        <v>60</v>
      </c>
      <c r="T84" s="28">
        <f t="shared" si="3"/>
        <v>0</v>
      </c>
      <c r="U84" s="28">
        <f t="shared" si="3"/>
        <v>0</v>
      </c>
      <c r="V84" s="28" t="str">
        <f t="shared" si="3"/>
        <v>休日保育の年間延べ利用子ども数</v>
      </c>
      <c r="W84" s="28">
        <f t="shared" si="3"/>
        <v>0</v>
      </c>
      <c r="X84" s="28" t="str">
        <f t="shared" si="3"/>
        <v>休日保育の年間延べ利用子ども数</v>
      </c>
      <c r="Y84" s="28">
        <f t="shared" si="3"/>
        <v>0</v>
      </c>
      <c r="Z84" s="28">
        <f t="shared" si="3"/>
        <v>0</v>
      </c>
      <c r="AA84" s="28">
        <f t="shared" si="3"/>
        <v>0</v>
      </c>
      <c r="AB84" s="28" t="str">
        <f t="shared" si="3"/>
        <v>＋</v>
      </c>
      <c r="AC84" s="28">
        <f t="shared" si="3"/>
        <v>18910</v>
      </c>
      <c r="AD84" s="28">
        <f t="shared" si="3"/>
        <v>0</v>
      </c>
      <c r="AE84" s="28" t="str">
        <f t="shared" si="3"/>
        <v>＋</v>
      </c>
      <c r="AF84" s="28">
        <f t="shared" si="3"/>
        <v>110</v>
      </c>
      <c r="AG84" s="28">
        <f t="shared" si="3"/>
        <v>0</v>
      </c>
      <c r="AH84" s="28"/>
      <c r="AI84" s="28"/>
      <c r="AJ84" s="28"/>
      <c r="AK84" s="28"/>
      <c r="AL84" s="28"/>
      <c r="AM84" s="28"/>
      <c r="AN84" s="28"/>
      <c r="AO84" s="28"/>
      <c r="AP84" s="28" t="str">
        <f t="shared" si="3"/>
        <v>＋</v>
      </c>
      <c r="AQ84" s="28" t="str">
        <f t="shared" si="3"/>
        <v>ａ地域</v>
      </c>
      <c r="AR84" s="28">
        <f t="shared" si="3"/>
        <v>9800</v>
      </c>
      <c r="AS84" s="28">
        <f t="shared" si="3"/>
        <v>10900</v>
      </c>
      <c r="AT84" s="28">
        <f t="shared" si="3"/>
        <v>6800</v>
      </c>
      <c r="AU84" s="28">
        <f t="shared" si="3"/>
        <v>6800</v>
      </c>
      <c r="AV84" s="28">
        <f t="shared" si="3"/>
        <v>0</v>
      </c>
      <c r="AW84" s="28" t="str">
        <f t="shared" si="3"/>
        <v xml:space="preserve"> 　　 ～　15人</v>
      </c>
      <c r="AX84" s="28" t="str">
        <f t="shared" si="3"/>
        <v>＋</v>
      </c>
      <c r="AY84" s="28"/>
      <c r="AZ84" s="28"/>
      <c r="BA84" s="28">
        <f t="shared" si="3"/>
        <v>5280</v>
      </c>
      <c r="BB84" s="28" t="str">
        <f t="shared" si="3"/>
        <v>＋</v>
      </c>
      <c r="BC84" s="28">
        <f t="shared" si="3"/>
        <v>50</v>
      </c>
      <c r="BD84" s="28">
        <f t="shared" si="3"/>
        <v>0</v>
      </c>
      <c r="BE84" s="28">
        <f t="shared" si="3"/>
        <v>0</v>
      </c>
      <c r="BF84" s="28" t="str">
        <f t="shared" si="3"/>
        <v>－</v>
      </c>
      <c r="BG84" s="222">
        <f>BG21</f>
        <v>0.02</v>
      </c>
      <c r="BH84" s="222">
        <f>BH21</f>
        <v>0.03</v>
      </c>
      <c r="BI84" s="222">
        <f>BI21</f>
        <v>0.04</v>
      </c>
      <c r="BJ84" s="222">
        <f>BJ21</f>
        <v>0.06</v>
      </c>
      <c r="BK84" s="28" t="str">
        <f t="shared" si="3"/>
        <v>－</v>
      </c>
      <c r="BL84" s="28">
        <f>BL21</f>
        <v>30</v>
      </c>
      <c r="BM84" s="28" t="str">
        <f t="shared" si="3"/>
        <v>－</v>
      </c>
      <c r="BN84" s="28">
        <f>BN21</f>
        <v>100</v>
      </c>
      <c r="BO84" s="28" t="str">
        <f t="shared" si="3"/>
        <v>－</v>
      </c>
      <c r="BP84" s="28">
        <f>BP21</f>
        <v>60</v>
      </c>
      <c r="BQ84" s="28">
        <f t="shared" si="3"/>
        <v>0</v>
      </c>
      <c r="BR84" s="234">
        <f>BR21</f>
        <v>0</v>
      </c>
    </row>
    <row r="85" spans="2:70">
      <c r="B85" s="28">
        <v>41</v>
      </c>
      <c r="D85" s="28" t="str">
        <f>D23</f>
        <v>４歳以上児</v>
      </c>
      <c r="E85" s="28">
        <f t="shared" ref="E85:BQ85" si="4">E23</f>
        <v>0</v>
      </c>
      <c r="F85" s="28">
        <f t="shared" si="4"/>
        <v>63790</v>
      </c>
      <c r="G85" s="28">
        <f t="shared" si="4"/>
        <v>70670</v>
      </c>
      <c r="H85" s="28">
        <f t="shared" si="4"/>
        <v>54420</v>
      </c>
      <c r="I85" s="28">
        <f t="shared" si="4"/>
        <v>61300</v>
      </c>
      <c r="J85" s="28" t="str">
        <f t="shared" si="4"/>
        <v>＋</v>
      </c>
      <c r="K85" s="28">
        <f t="shared" si="4"/>
        <v>610</v>
      </c>
      <c r="L85" s="28">
        <f t="shared" si="4"/>
        <v>670</v>
      </c>
      <c r="M85" s="28" t="str">
        <f t="shared" si="4"/>
        <v>×加算率</v>
      </c>
      <c r="N85" s="28">
        <f t="shared" si="4"/>
        <v>520</v>
      </c>
      <c r="O85" s="28">
        <f t="shared" si="4"/>
        <v>580</v>
      </c>
      <c r="P85" s="28" t="str">
        <f t="shared" si="4"/>
        <v>×加算率</v>
      </c>
      <c r="Q85" s="28" t="str">
        <f t="shared" si="4"/>
        <v>＋</v>
      </c>
      <c r="R85" s="28">
        <f t="shared" si="4"/>
        <v>6880</v>
      </c>
      <c r="S85" s="28">
        <f t="shared" si="4"/>
        <v>60</v>
      </c>
      <c r="T85" s="28">
        <f t="shared" si="4"/>
        <v>0</v>
      </c>
      <c r="U85" s="28">
        <f t="shared" si="4"/>
        <v>0</v>
      </c>
      <c r="V85" s="28">
        <f t="shared" si="4"/>
        <v>240600</v>
      </c>
      <c r="W85" s="28">
        <f t="shared" si="4"/>
        <v>0</v>
      </c>
      <c r="X85" s="28">
        <f t="shared" si="4"/>
        <v>2400</v>
      </c>
      <c r="Y85" s="28">
        <f t="shared" si="4"/>
        <v>0</v>
      </c>
      <c r="Z85" s="28">
        <f t="shared" si="4"/>
        <v>0</v>
      </c>
      <c r="AA85" s="28">
        <f t="shared" si="4"/>
        <v>0</v>
      </c>
      <c r="AB85" s="28" t="str">
        <f t="shared" si="4"/>
        <v>＋</v>
      </c>
      <c r="AC85" s="28">
        <f t="shared" si="4"/>
        <v>16540</v>
      </c>
      <c r="AD85" s="28">
        <f t="shared" si="4"/>
        <v>0</v>
      </c>
      <c r="AE85" s="28" t="str">
        <f t="shared" si="4"/>
        <v>＋</v>
      </c>
      <c r="AF85" s="28">
        <f t="shared" si="4"/>
        <v>90</v>
      </c>
      <c r="AG85" s="28">
        <f t="shared" si="4"/>
        <v>0</v>
      </c>
      <c r="AH85" s="28"/>
      <c r="AI85" s="28"/>
      <c r="AJ85" s="28"/>
      <c r="AK85" s="28"/>
      <c r="AL85" s="28"/>
      <c r="AM85" s="28"/>
      <c r="AN85" s="28"/>
      <c r="AO85" s="28"/>
      <c r="AP85" s="28" t="str">
        <f t="shared" si="4"/>
        <v>＋</v>
      </c>
      <c r="AQ85" s="28" t="str">
        <f t="shared" si="4"/>
        <v>ａ地域</v>
      </c>
      <c r="AR85" s="28">
        <f t="shared" si="4"/>
        <v>8800</v>
      </c>
      <c r="AS85" s="28">
        <f t="shared" si="4"/>
        <v>9800</v>
      </c>
      <c r="AT85" s="28">
        <f t="shared" si="4"/>
        <v>6100</v>
      </c>
      <c r="AU85" s="28">
        <f t="shared" si="4"/>
        <v>6100</v>
      </c>
      <c r="AV85" s="28">
        <f t="shared" si="4"/>
        <v>0</v>
      </c>
      <c r="AW85" s="28">
        <f t="shared" si="4"/>
        <v>16800</v>
      </c>
      <c r="AX85" s="28" t="str">
        <f t="shared" si="4"/>
        <v>＋</v>
      </c>
      <c r="AY85" s="28"/>
      <c r="AZ85" s="28"/>
      <c r="BA85" s="28">
        <f t="shared" si="4"/>
        <v>4220</v>
      </c>
      <c r="BB85" s="28" t="str">
        <f t="shared" si="4"/>
        <v>＋</v>
      </c>
      <c r="BC85" s="28">
        <f t="shared" si="4"/>
        <v>40</v>
      </c>
      <c r="BD85" s="28">
        <f t="shared" si="4"/>
        <v>0</v>
      </c>
      <c r="BE85" s="28">
        <f t="shared" si="4"/>
        <v>0</v>
      </c>
      <c r="BF85" s="28" t="str">
        <f t="shared" si="4"/>
        <v>－</v>
      </c>
      <c r="BG85" s="222">
        <f>BG25</f>
        <v>0.02</v>
      </c>
      <c r="BH85" s="222">
        <f>BH25</f>
        <v>0.03</v>
      </c>
      <c r="BI85" s="222">
        <f>BI25</f>
        <v>0.05</v>
      </c>
      <c r="BJ85" s="222">
        <f>BJ25</f>
        <v>0.06</v>
      </c>
      <c r="BK85" s="28" t="str">
        <f t="shared" si="4"/>
        <v>－</v>
      </c>
      <c r="BL85" s="28">
        <f>BL25</f>
        <v>20</v>
      </c>
      <c r="BM85" s="28" t="str">
        <f t="shared" si="4"/>
        <v>－</v>
      </c>
      <c r="BN85" s="28">
        <f>BN25</f>
        <v>80</v>
      </c>
      <c r="BO85" s="28" t="str">
        <f t="shared" si="4"/>
        <v>－</v>
      </c>
      <c r="BP85" s="28">
        <f>BP25</f>
        <v>50</v>
      </c>
      <c r="BQ85" s="28">
        <f t="shared" si="4"/>
        <v>0</v>
      </c>
      <c r="BR85" s="234">
        <f>BR25</f>
        <v>0</v>
      </c>
    </row>
    <row r="86" spans="2:70">
      <c r="B86" s="28">
        <v>51</v>
      </c>
      <c r="D86" s="28" t="str">
        <f>D27</f>
        <v>４歳以上児</v>
      </c>
      <c r="E86" s="28">
        <f t="shared" ref="E86:BQ86" si="5">E27</f>
        <v>0</v>
      </c>
      <c r="F86" s="28">
        <f t="shared" si="5"/>
        <v>55790</v>
      </c>
      <c r="G86" s="28">
        <f t="shared" si="5"/>
        <v>62670</v>
      </c>
      <c r="H86" s="28">
        <f t="shared" si="5"/>
        <v>47980</v>
      </c>
      <c r="I86" s="28">
        <f t="shared" si="5"/>
        <v>54860</v>
      </c>
      <c r="J86" s="28" t="str">
        <f t="shared" si="5"/>
        <v>＋</v>
      </c>
      <c r="K86" s="28">
        <f t="shared" si="5"/>
        <v>530</v>
      </c>
      <c r="L86" s="28">
        <f t="shared" si="5"/>
        <v>590</v>
      </c>
      <c r="M86" s="28" t="str">
        <f t="shared" si="5"/>
        <v>×加算率</v>
      </c>
      <c r="N86" s="28">
        <f t="shared" si="5"/>
        <v>460</v>
      </c>
      <c r="O86" s="28">
        <f t="shared" si="5"/>
        <v>520</v>
      </c>
      <c r="P86" s="28" t="str">
        <f t="shared" si="5"/>
        <v>×加算率</v>
      </c>
      <c r="Q86" s="28" t="str">
        <f t="shared" si="5"/>
        <v>＋</v>
      </c>
      <c r="R86" s="28">
        <f t="shared" si="5"/>
        <v>6880</v>
      </c>
      <c r="S86" s="28">
        <f t="shared" si="5"/>
        <v>60</v>
      </c>
      <c r="T86" s="28">
        <f t="shared" si="5"/>
        <v>0</v>
      </c>
      <c r="U86" s="28">
        <f t="shared" si="5"/>
        <v>0</v>
      </c>
      <c r="V86" s="28">
        <f t="shared" si="5"/>
        <v>0</v>
      </c>
      <c r="W86" s="28">
        <f t="shared" si="5"/>
        <v>0</v>
      </c>
      <c r="X86" s="28">
        <f t="shared" si="5"/>
        <v>0</v>
      </c>
      <c r="Y86" s="28">
        <f t="shared" si="5"/>
        <v>0</v>
      </c>
      <c r="Z86" s="28">
        <f t="shared" si="5"/>
        <v>0</v>
      </c>
      <c r="AA86" s="28">
        <f t="shared" si="5"/>
        <v>0</v>
      </c>
      <c r="AB86" s="28" t="str">
        <f t="shared" si="5"/>
        <v>＋</v>
      </c>
      <c r="AC86" s="28">
        <f t="shared" si="5"/>
        <v>14960</v>
      </c>
      <c r="AD86" s="28">
        <f t="shared" si="5"/>
        <v>0</v>
      </c>
      <c r="AE86" s="28" t="str">
        <f t="shared" si="5"/>
        <v>＋</v>
      </c>
      <c r="AF86" s="28">
        <f t="shared" si="5"/>
        <v>70</v>
      </c>
      <c r="AG86" s="28">
        <f t="shared" si="5"/>
        <v>0</v>
      </c>
      <c r="AH86" s="28"/>
      <c r="AI86" s="28"/>
      <c r="AJ86" s="28"/>
      <c r="AK86" s="28"/>
      <c r="AL86" s="28"/>
      <c r="AM86" s="28"/>
      <c r="AN86" s="28"/>
      <c r="AO86" s="28"/>
      <c r="AP86" s="28" t="str">
        <f t="shared" si="5"/>
        <v>＋</v>
      </c>
      <c r="AQ86" s="28" t="str">
        <f t="shared" si="5"/>
        <v>ａ地域</v>
      </c>
      <c r="AR86" s="28">
        <f t="shared" si="5"/>
        <v>7200</v>
      </c>
      <c r="AS86" s="28">
        <f t="shared" si="5"/>
        <v>8100</v>
      </c>
      <c r="AT86" s="28">
        <f t="shared" si="5"/>
        <v>5100</v>
      </c>
      <c r="AU86" s="28">
        <f t="shared" si="5"/>
        <v>5100</v>
      </c>
      <c r="AV86" s="28">
        <f t="shared" si="5"/>
        <v>0</v>
      </c>
      <c r="AW86" s="28">
        <f t="shared" si="5"/>
        <v>0</v>
      </c>
      <c r="AX86" s="28" t="str">
        <f t="shared" si="5"/>
        <v>＋</v>
      </c>
      <c r="AY86" s="28"/>
      <c r="AZ86" s="28"/>
      <c r="BA86" s="28">
        <f t="shared" si="5"/>
        <v>3520</v>
      </c>
      <c r="BB86" s="28" t="str">
        <f t="shared" si="5"/>
        <v>＋</v>
      </c>
      <c r="BC86" s="28">
        <f t="shared" si="5"/>
        <v>30</v>
      </c>
      <c r="BD86" s="28">
        <f t="shared" si="5"/>
        <v>0</v>
      </c>
      <c r="BE86" s="28">
        <f t="shared" si="5"/>
        <v>0</v>
      </c>
      <c r="BF86" s="28" t="str">
        <f t="shared" si="5"/>
        <v>－</v>
      </c>
      <c r="BG86" s="222">
        <f>BG29</f>
        <v>0.02</v>
      </c>
      <c r="BH86" s="222">
        <f>BH29</f>
        <v>0.03</v>
      </c>
      <c r="BI86" s="222">
        <f>BI29</f>
        <v>0.05</v>
      </c>
      <c r="BJ86" s="222">
        <f>BJ29</f>
        <v>0.06</v>
      </c>
      <c r="BK86" s="28" t="str">
        <f t="shared" si="5"/>
        <v>－</v>
      </c>
      <c r="BL86" s="28">
        <f>BL29</f>
        <v>20</v>
      </c>
      <c r="BM86" s="28" t="str">
        <f t="shared" si="5"/>
        <v>－</v>
      </c>
      <c r="BN86" s="28">
        <f>BN29</f>
        <v>60</v>
      </c>
      <c r="BO86" s="28" t="str">
        <f t="shared" si="5"/>
        <v>－</v>
      </c>
      <c r="BP86" s="28">
        <f>BP29</f>
        <v>40</v>
      </c>
      <c r="BQ86" s="28">
        <f t="shared" si="5"/>
        <v>0</v>
      </c>
      <c r="BR86" s="234">
        <f>BR29</f>
        <v>0</v>
      </c>
    </row>
    <row r="87" spans="2:70">
      <c r="B87" s="28">
        <v>61</v>
      </c>
      <c r="D87" s="28" t="str">
        <f>D31</f>
        <v>４歳以上児</v>
      </c>
      <c r="E87" s="28">
        <f t="shared" ref="E87:BQ87" si="6">E31</f>
        <v>0</v>
      </c>
      <c r="F87" s="28">
        <f t="shared" si="6"/>
        <v>50160</v>
      </c>
      <c r="G87" s="28">
        <f t="shared" si="6"/>
        <v>57040</v>
      </c>
      <c r="H87" s="28">
        <f t="shared" si="6"/>
        <v>43460</v>
      </c>
      <c r="I87" s="28">
        <f t="shared" si="6"/>
        <v>50340</v>
      </c>
      <c r="J87" s="28" t="str">
        <f t="shared" si="6"/>
        <v>＋</v>
      </c>
      <c r="K87" s="28">
        <f t="shared" si="6"/>
        <v>480</v>
      </c>
      <c r="L87" s="28">
        <f t="shared" si="6"/>
        <v>540</v>
      </c>
      <c r="M87" s="28" t="str">
        <f t="shared" si="6"/>
        <v>×加算率</v>
      </c>
      <c r="N87" s="28">
        <f t="shared" si="6"/>
        <v>410</v>
      </c>
      <c r="O87" s="28">
        <f t="shared" si="6"/>
        <v>470</v>
      </c>
      <c r="P87" s="28" t="str">
        <f t="shared" si="6"/>
        <v>×加算率</v>
      </c>
      <c r="Q87" s="28" t="str">
        <f t="shared" si="6"/>
        <v>＋</v>
      </c>
      <c r="R87" s="28">
        <f t="shared" si="6"/>
        <v>6880</v>
      </c>
      <c r="S87" s="28">
        <f t="shared" si="6"/>
        <v>60</v>
      </c>
      <c r="T87" s="28">
        <f t="shared" si="6"/>
        <v>0</v>
      </c>
      <c r="U87" s="28">
        <f t="shared" si="6"/>
        <v>0</v>
      </c>
      <c r="V87" s="28" t="str">
        <f t="shared" si="6"/>
        <v xml:space="preserve"> 　350人～　419人</v>
      </c>
      <c r="W87" s="28">
        <f t="shared" si="6"/>
        <v>0</v>
      </c>
      <c r="X87" s="28" t="str">
        <f t="shared" si="6"/>
        <v xml:space="preserve"> 　350人～　419人</v>
      </c>
      <c r="Y87" s="28">
        <f t="shared" si="6"/>
        <v>0</v>
      </c>
      <c r="Z87" s="28">
        <f t="shared" si="6"/>
        <v>0</v>
      </c>
      <c r="AA87" s="28">
        <f t="shared" si="6"/>
        <v>0</v>
      </c>
      <c r="AB87" s="28" t="str">
        <f t="shared" si="6"/>
        <v>＋</v>
      </c>
      <c r="AC87" s="28">
        <f t="shared" si="6"/>
        <v>13830</v>
      </c>
      <c r="AD87" s="28">
        <f t="shared" si="6"/>
        <v>0</v>
      </c>
      <c r="AE87" s="28" t="str">
        <f t="shared" si="6"/>
        <v>＋</v>
      </c>
      <c r="AF87" s="28">
        <f t="shared" si="6"/>
        <v>60</v>
      </c>
      <c r="AG87" s="28">
        <f t="shared" si="6"/>
        <v>0</v>
      </c>
      <c r="AH87" s="28"/>
      <c r="AI87" s="28"/>
      <c r="AJ87" s="28"/>
      <c r="AK87" s="28"/>
      <c r="AL87" s="28"/>
      <c r="AM87" s="28"/>
      <c r="AN87" s="28"/>
      <c r="AO87" s="28"/>
      <c r="AP87" s="28" t="str">
        <f t="shared" si="6"/>
        <v>＋</v>
      </c>
      <c r="AQ87" s="28" t="str">
        <f t="shared" si="6"/>
        <v>ａ地域</v>
      </c>
      <c r="AR87" s="28">
        <f t="shared" si="6"/>
        <v>6300</v>
      </c>
      <c r="AS87" s="28">
        <f t="shared" si="6"/>
        <v>7100</v>
      </c>
      <c r="AT87" s="28">
        <f t="shared" si="6"/>
        <v>4400</v>
      </c>
      <c r="AU87" s="28">
        <f t="shared" si="6"/>
        <v>4400</v>
      </c>
      <c r="AV87" s="28">
        <f t="shared" si="6"/>
        <v>0</v>
      </c>
      <c r="AW87" s="28" t="str">
        <f t="shared" si="6"/>
        <v xml:space="preserve">  46人～　60人</v>
      </c>
      <c r="AX87" s="28" t="str">
        <f t="shared" si="6"/>
        <v>＋</v>
      </c>
      <c r="AY87" s="28"/>
      <c r="AZ87" s="28"/>
      <c r="BA87" s="28">
        <f t="shared" si="6"/>
        <v>3010</v>
      </c>
      <c r="BB87" s="28" t="str">
        <f t="shared" si="6"/>
        <v>＋</v>
      </c>
      <c r="BC87" s="28">
        <f t="shared" si="6"/>
        <v>30</v>
      </c>
      <c r="BD87" s="28">
        <f t="shared" si="6"/>
        <v>0</v>
      </c>
      <c r="BE87" s="28">
        <f t="shared" si="6"/>
        <v>0</v>
      </c>
      <c r="BF87" s="28" t="str">
        <f t="shared" si="6"/>
        <v>－</v>
      </c>
      <c r="BG87" s="222">
        <f>BG33</f>
        <v>0.02</v>
      </c>
      <c r="BH87" s="222">
        <f>BH33</f>
        <v>0.03</v>
      </c>
      <c r="BI87" s="222">
        <f>BI33</f>
        <v>0.05</v>
      </c>
      <c r="BJ87" s="222">
        <f>BJ33</f>
        <v>0.06</v>
      </c>
      <c r="BK87" s="28" t="str">
        <f t="shared" si="6"/>
        <v>－</v>
      </c>
      <c r="BL87" s="28">
        <f>BL33</f>
        <v>10</v>
      </c>
      <c r="BM87" s="28" t="str">
        <f t="shared" si="6"/>
        <v>－</v>
      </c>
      <c r="BN87" s="28">
        <f>BN33</f>
        <v>50</v>
      </c>
      <c r="BO87" s="28" t="str">
        <f t="shared" si="6"/>
        <v>－</v>
      </c>
      <c r="BP87" s="28">
        <f>BP33</f>
        <v>30</v>
      </c>
      <c r="BQ87" s="28">
        <f t="shared" si="6"/>
        <v>0</v>
      </c>
      <c r="BR87" s="234">
        <f>BR33</f>
        <v>0</v>
      </c>
    </row>
    <row r="88" spans="2:70">
      <c r="B88" s="28">
        <v>71</v>
      </c>
      <c r="D88" s="28" t="str">
        <f>D35</f>
        <v>４歳以上児</v>
      </c>
      <c r="E88" s="28">
        <f t="shared" ref="E88:BQ88" si="7">E35</f>
        <v>0</v>
      </c>
      <c r="F88" s="28">
        <f t="shared" si="7"/>
        <v>45980</v>
      </c>
      <c r="G88" s="28">
        <f t="shared" si="7"/>
        <v>52860</v>
      </c>
      <c r="H88" s="28">
        <f t="shared" si="7"/>
        <v>40120</v>
      </c>
      <c r="I88" s="28">
        <f t="shared" si="7"/>
        <v>47000</v>
      </c>
      <c r="J88" s="28" t="str">
        <f t="shared" si="7"/>
        <v>＋</v>
      </c>
      <c r="K88" s="28">
        <f t="shared" si="7"/>
        <v>440</v>
      </c>
      <c r="L88" s="28">
        <f t="shared" si="7"/>
        <v>500</v>
      </c>
      <c r="M88" s="28" t="str">
        <f t="shared" si="7"/>
        <v>×加算率</v>
      </c>
      <c r="N88" s="28">
        <f t="shared" si="7"/>
        <v>380</v>
      </c>
      <c r="O88" s="28">
        <f t="shared" si="7"/>
        <v>440</v>
      </c>
      <c r="P88" s="28" t="str">
        <f t="shared" si="7"/>
        <v>×加算率</v>
      </c>
      <c r="Q88" s="28" t="str">
        <f t="shared" si="7"/>
        <v>＋</v>
      </c>
      <c r="R88" s="28">
        <f t="shared" si="7"/>
        <v>6880</v>
      </c>
      <c r="S88" s="28">
        <f t="shared" si="7"/>
        <v>60</v>
      </c>
      <c r="T88" s="28">
        <f t="shared" si="7"/>
        <v>0</v>
      </c>
      <c r="U88" s="28">
        <f t="shared" si="7"/>
        <v>0</v>
      </c>
      <c r="V88" s="28">
        <f t="shared" si="7"/>
        <v>359000</v>
      </c>
      <c r="W88" s="28">
        <f t="shared" si="7"/>
        <v>0</v>
      </c>
      <c r="X88" s="28">
        <f t="shared" si="7"/>
        <v>3590</v>
      </c>
      <c r="Y88" s="28">
        <f t="shared" si="7"/>
        <v>0</v>
      </c>
      <c r="Z88" s="28">
        <f t="shared" si="7"/>
        <v>0</v>
      </c>
      <c r="AA88" s="28">
        <f t="shared" si="7"/>
        <v>0</v>
      </c>
      <c r="AB88" s="28" t="str">
        <f t="shared" si="7"/>
        <v>＋</v>
      </c>
      <c r="AC88" s="28">
        <f t="shared" si="7"/>
        <v>12990</v>
      </c>
      <c r="AD88" s="28">
        <f t="shared" si="7"/>
        <v>0</v>
      </c>
      <c r="AE88" s="28" t="str">
        <f t="shared" si="7"/>
        <v>＋</v>
      </c>
      <c r="AF88" s="28">
        <f t="shared" si="7"/>
        <v>50</v>
      </c>
      <c r="AG88" s="28">
        <f t="shared" si="7"/>
        <v>0</v>
      </c>
      <c r="AH88" s="28"/>
      <c r="AI88" s="28"/>
      <c r="AJ88" s="28"/>
      <c r="AK88" s="28"/>
      <c r="AL88" s="28"/>
      <c r="AM88" s="28"/>
      <c r="AN88" s="28"/>
      <c r="AO88" s="28"/>
      <c r="AP88" s="28" t="str">
        <f t="shared" si="7"/>
        <v>＋</v>
      </c>
      <c r="AQ88" s="28" t="str">
        <f t="shared" si="7"/>
        <v>ａ地域</v>
      </c>
      <c r="AR88" s="28">
        <f t="shared" si="7"/>
        <v>7100</v>
      </c>
      <c r="AS88" s="28">
        <f t="shared" si="7"/>
        <v>7900</v>
      </c>
      <c r="AT88" s="28">
        <f t="shared" si="7"/>
        <v>4900</v>
      </c>
      <c r="AU88" s="28">
        <f t="shared" si="7"/>
        <v>4900</v>
      </c>
      <c r="AV88" s="28">
        <f t="shared" si="7"/>
        <v>0</v>
      </c>
      <c r="AW88" s="28">
        <f t="shared" si="7"/>
        <v>6130</v>
      </c>
      <c r="AX88" s="28" t="str">
        <f t="shared" si="7"/>
        <v>＋</v>
      </c>
      <c r="AY88" s="28"/>
      <c r="AZ88" s="28"/>
      <c r="BA88" s="28">
        <f t="shared" si="7"/>
        <v>2640</v>
      </c>
      <c r="BB88" s="28" t="str">
        <f t="shared" si="7"/>
        <v>＋</v>
      </c>
      <c r="BC88" s="28">
        <f t="shared" si="7"/>
        <v>20</v>
      </c>
      <c r="BD88" s="28">
        <f t="shared" si="7"/>
        <v>0</v>
      </c>
      <c r="BE88" s="28">
        <f t="shared" si="7"/>
        <v>0</v>
      </c>
      <c r="BF88" s="28" t="str">
        <f t="shared" si="7"/>
        <v>－</v>
      </c>
      <c r="BG88" s="222">
        <f>BG37</f>
        <v>0.02</v>
      </c>
      <c r="BH88" s="222">
        <f>BH37</f>
        <v>0.03</v>
      </c>
      <c r="BI88" s="222">
        <f>BI37</f>
        <v>0.05</v>
      </c>
      <c r="BJ88" s="222">
        <f>BJ37</f>
        <v>0.06</v>
      </c>
      <c r="BK88" s="28" t="str">
        <f t="shared" si="7"/>
        <v>－</v>
      </c>
      <c r="BL88" s="28">
        <f>BL37</f>
        <v>10</v>
      </c>
      <c r="BM88" s="28" t="str">
        <f t="shared" si="7"/>
        <v>－</v>
      </c>
      <c r="BN88" s="28">
        <f>BN37</f>
        <v>50</v>
      </c>
      <c r="BO88" s="28" t="str">
        <f t="shared" si="7"/>
        <v>－</v>
      </c>
      <c r="BP88" s="28">
        <f>BP37</f>
        <v>30</v>
      </c>
      <c r="BQ88" s="28">
        <f t="shared" si="7"/>
        <v>0</v>
      </c>
      <c r="BR88" s="234">
        <f>BR37</f>
        <v>0</v>
      </c>
    </row>
    <row r="89" spans="2:70">
      <c r="B89" s="28">
        <v>81</v>
      </c>
      <c r="D89" s="28" t="str">
        <f>D39</f>
        <v>４歳以上児</v>
      </c>
      <c r="E89" s="28">
        <f t="shared" ref="E89:BQ89" si="8">E39</f>
        <v>0</v>
      </c>
      <c r="F89" s="28">
        <f t="shared" si="8"/>
        <v>42690</v>
      </c>
      <c r="G89" s="28">
        <f t="shared" si="8"/>
        <v>49570</v>
      </c>
      <c r="H89" s="28">
        <f t="shared" si="8"/>
        <v>37480</v>
      </c>
      <c r="I89" s="28">
        <f t="shared" si="8"/>
        <v>44360</v>
      </c>
      <c r="J89" s="28" t="str">
        <f t="shared" si="8"/>
        <v>＋</v>
      </c>
      <c r="K89" s="28">
        <f t="shared" si="8"/>
        <v>400</v>
      </c>
      <c r="L89" s="28">
        <f t="shared" si="8"/>
        <v>460</v>
      </c>
      <c r="M89" s="28" t="str">
        <f t="shared" si="8"/>
        <v>×加算率</v>
      </c>
      <c r="N89" s="28">
        <f t="shared" si="8"/>
        <v>350</v>
      </c>
      <c r="O89" s="28">
        <f t="shared" si="8"/>
        <v>410</v>
      </c>
      <c r="P89" s="28" t="str">
        <f t="shared" si="8"/>
        <v>×加算率</v>
      </c>
      <c r="Q89" s="28" t="str">
        <f t="shared" si="8"/>
        <v>＋</v>
      </c>
      <c r="R89" s="28">
        <f t="shared" si="8"/>
        <v>6880</v>
      </c>
      <c r="S89" s="28">
        <f t="shared" si="8"/>
        <v>60</v>
      </c>
      <c r="T89" s="28">
        <f t="shared" si="8"/>
        <v>0</v>
      </c>
      <c r="U89" s="28">
        <f t="shared" si="8"/>
        <v>0</v>
      </c>
      <c r="V89" s="28">
        <f t="shared" si="8"/>
        <v>0</v>
      </c>
      <c r="W89" s="28">
        <f t="shared" si="8"/>
        <v>0</v>
      </c>
      <c r="X89" s="28">
        <f t="shared" si="8"/>
        <v>0</v>
      </c>
      <c r="Y89" s="28">
        <f t="shared" si="8"/>
        <v>0</v>
      </c>
      <c r="Z89" s="28">
        <f t="shared" si="8"/>
        <v>0</v>
      </c>
      <c r="AA89" s="28">
        <f t="shared" si="8"/>
        <v>0</v>
      </c>
      <c r="AB89" s="28" t="str">
        <f t="shared" si="8"/>
        <v>＋</v>
      </c>
      <c r="AC89" s="28">
        <f t="shared" si="8"/>
        <v>12330</v>
      </c>
      <c r="AD89" s="28">
        <f t="shared" si="8"/>
        <v>0</v>
      </c>
      <c r="AE89" s="28" t="str">
        <f t="shared" si="8"/>
        <v>＋</v>
      </c>
      <c r="AF89" s="28">
        <f t="shared" si="8"/>
        <v>50</v>
      </c>
      <c r="AG89" s="28">
        <f t="shared" si="8"/>
        <v>0</v>
      </c>
      <c r="AH89" s="28"/>
      <c r="AI89" s="28"/>
      <c r="AJ89" s="28"/>
      <c r="AK89" s="28"/>
      <c r="AL89" s="28"/>
      <c r="AM89" s="28"/>
      <c r="AN89" s="28"/>
      <c r="AO89" s="28"/>
      <c r="AP89" s="28" t="str">
        <f t="shared" si="8"/>
        <v>＋</v>
      </c>
      <c r="AQ89" s="28" t="str">
        <f t="shared" si="8"/>
        <v>ａ地域</v>
      </c>
      <c r="AR89" s="28">
        <f t="shared" si="8"/>
        <v>6300</v>
      </c>
      <c r="AS89" s="28">
        <f t="shared" si="8"/>
        <v>7100</v>
      </c>
      <c r="AT89" s="28">
        <f t="shared" si="8"/>
        <v>4400</v>
      </c>
      <c r="AU89" s="28">
        <f t="shared" si="8"/>
        <v>4400</v>
      </c>
      <c r="AV89" s="28">
        <f t="shared" si="8"/>
        <v>0</v>
      </c>
      <c r="AW89" s="28">
        <f t="shared" si="8"/>
        <v>0</v>
      </c>
      <c r="AX89" s="28" t="str">
        <f t="shared" si="8"/>
        <v>＋</v>
      </c>
      <c r="AY89" s="28"/>
      <c r="AZ89" s="28"/>
      <c r="BA89" s="28">
        <f t="shared" si="8"/>
        <v>2350</v>
      </c>
      <c r="BB89" s="28" t="str">
        <f t="shared" si="8"/>
        <v>＋</v>
      </c>
      <c r="BC89" s="28">
        <f t="shared" si="8"/>
        <v>20</v>
      </c>
      <c r="BD89" s="28">
        <f t="shared" si="8"/>
        <v>0</v>
      </c>
      <c r="BE89" s="28">
        <f t="shared" si="8"/>
        <v>0</v>
      </c>
      <c r="BF89" s="28" t="str">
        <f t="shared" si="8"/>
        <v>－</v>
      </c>
      <c r="BG89" s="222">
        <f>BG41</f>
        <v>0.02</v>
      </c>
      <c r="BH89" s="222">
        <f>BH41</f>
        <v>0.03</v>
      </c>
      <c r="BI89" s="222">
        <f>BI41</f>
        <v>0.05</v>
      </c>
      <c r="BJ89" s="222">
        <f>BJ41</f>
        <v>0.06</v>
      </c>
      <c r="BK89" s="28" t="str">
        <f t="shared" si="8"/>
        <v>－</v>
      </c>
      <c r="BL89" s="28">
        <f>BL41</f>
        <v>10</v>
      </c>
      <c r="BM89" s="28" t="str">
        <f t="shared" si="8"/>
        <v>－</v>
      </c>
      <c r="BN89" s="28">
        <f>BN41</f>
        <v>40</v>
      </c>
      <c r="BO89" s="28" t="str">
        <f t="shared" si="8"/>
        <v>－</v>
      </c>
      <c r="BP89" s="28">
        <f>BP41</f>
        <v>20</v>
      </c>
      <c r="BQ89" s="28">
        <f t="shared" si="8"/>
        <v>0</v>
      </c>
      <c r="BR89" s="234">
        <f>BR41</f>
        <v>0</v>
      </c>
    </row>
    <row r="90" spans="2:70">
      <c r="B90" s="28">
        <v>91</v>
      </c>
      <c r="D90" s="28" t="str">
        <f>D43</f>
        <v>４歳以上児</v>
      </c>
      <c r="E90" s="28">
        <f t="shared" ref="E90:BQ90" si="9">E43</f>
        <v>0</v>
      </c>
      <c r="F90" s="28">
        <f t="shared" si="9"/>
        <v>37100</v>
      </c>
      <c r="G90" s="28">
        <f t="shared" si="9"/>
        <v>43980</v>
      </c>
      <c r="H90" s="28">
        <f t="shared" si="9"/>
        <v>32420</v>
      </c>
      <c r="I90" s="28">
        <f t="shared" si="9"/>
        <v>39300</v>
      </c>
      <c r="J90" s="28" t="str">
        <f t="shared" si="9"/>
        <v>＋</v>
      </c>
      <c r="K90" s="28">
        <f t="shared" si="9"/>
        <v>350</v>
      </c>
      <c r="L90" s="28">
        <f t="shared" si="9"/>
        <v>410</v>
      </c>
      <c r="M90" s="28" t="str">
        <f t="shared" si="9"/>
        <v>×加算率</v>
      </c>
      <c r="N90" s="28">
        <f t="shared" si="9"/>
        <v>300</v>
      </c>
      <c r="O90" s="28">
        <f t="shared" si="9"/>
        <v>360</v>
      </c>
      <c r="P90" s="28" t="str">
        <f t="shared" si="9"/>
        <v>×加算率</v>
      </c>
      <c r="Q90" s="28" t="str">
        <f t="shared" si="9"/>
        <v>＋</v>
      </c>
      <c r="R90" s="28">
        <f t="shared" si="9"/>
        <v>6880</v>
      </c>
      <c r="S90" s="28">
        <f t="shared" si="9"/>
        <v>60</v>
      </c>
      <c r="T90" s="28">
        <f t="shared" si="9"/>
        <v>0</v>
      </c>
      <c r="U90" s="28">
        <f t="shared" si="9"/>
        <v>0</v>
      </c>
      <c r="V90" s="28" t="str">
        <f t="shared" si="9"/>
        <v>　 630人～　699人</v>
      </c>
      <c r="W90" s="28">
        <f t="shared" si="9"/>
        <v>0</v>
      </c>
      <c r="X90" s="28" t="str">
        <f t="shared" si="9"/>
        <v>　 630人～　699人</v>
      </c>
      <c r="Y90" s="28">
        <f t="shared" si="9"/>
        <v>0</v>
      </c>
      <c r="Z90" s="28">
        <f t="shared" si="9"/>
        <v>0</v>
      </c>
      <c r="AA90" s="28">
        <f t="shared" si="9"/>
        <v>0</v>
      </c>
      <c r="AB90" s="28">
        <f t="shared" si="9"/>
        <v>0</v>
      </c>
      <c r="AC90" s="28">
        <f t="shared" si="9"/>
        <v>0</v>
      </c>
      <c r="AD90" s="28">
        <f t="shared" si="9"/>
        <v>0</v>
      </c>
      <c r="AE90" s="28">
        <f t="shared" si="9"/>
        <v>0</v>
      </c>
      <c r="AF90" s="28">
        <f t="shared" si="9"/>
        <v>0</v>
      </c>
      <c r="AG90" s="28">
        <f t="shared" si="9"/>
        <v>0</v>
      </c>
      <c r="AH90" s="28"/>
      <c r="AI90" s="28"/>
      <c r="AJ90" s="28"/>
      <c r="AK90" s="28"/>
      <c r="AL90" s="28"/>
      <c r="AM90" s="28"/>
      <c r="AN90" s="28"/>
      <c r="AO90" s="28"/>
      <c r="AP90" s="28" t="str">
        <f t="shared" si="9"/>
        <v>＋</v>
      </c>
      <c r="AQ90" s="28" t="str">
        <f t="shared" si="9"/>
        <v>ａ地域</v>
      </c>
      <c r="AR90" s="28">
        <f t="shared" si="9"/>
        <v>5500</v>
      </c>
      <c r="AS90" s="28">
        <f t="shared" si="9"/>
        <v>6200</v>
      </c>
      <c r="AT90" s="28">
        <f t="shared" si="9"/>
        <v>3900</v>
      </c>
      <c r="AU90" s="28">
        <f t="shared" si="9"/>
        <v>3900</v>
      </c>
      <c r="AV90" s="28">
        <f t="shared" si="9"/>
        <v>0</v>
      </c>
      <c r="AW90" s="28" t="str">
        <f t="shared" si="9"/>
        <v xml:space="preserve"> 106人～ 120人</v>
      </c>
      <c r="AX90" s="28" t="str">
        <f t="shared" si="9"/>
        <v>＋</v>
      </c>
      <c r="AY90" s="28"/>
      <c r="AZ90" s="28"/>
      <c r="BA90" s="28">
        <f t="shared" si="9"/>
        <v>2110</v>
      </c>
      <c r="BB90" s="28" t="str">
        <f t="shared" si="9"/>
        <v>＋</v>
      </c>
      <c r="BC90" s="28">
        <f t="shared" si="9"/>
        <v>20</v>
      </c>
      <c r="BD90" s="28">
        <f t="shared" si="9"/>
        <v>0</v>
      </c>
      <c r="BE90" s="28">
        <f t="shared" si="9"/>
        <v>0.1</v>
      </c>
      <c r="BF90" s="28" t="str">
        <f t="shared" si="9"/>
        <v>－</v>
      </c>
      <c r="BG90" s="222">
        <f>BG45</f>
        <v>0.02</v>
      </c>
      <c r="BH90" s="222">
        <f>BH45</f>
        <v>0.03</v>
      </c>
      <c r="BI90" s="222">
        <f>BI45</f>
        <v>0.05</v>
      </c>
      <c r="BJ90" s="222">
        <f>BJ45</f>
        <v>0.06</v>
      </c>
      <c r="BK90" s="28" t="str">
        <f t="shared" si="9"/>
        <v>－</v>
      </c>
      <c r="BL90" s="28">
        <f>BL45</f>
        <v>10</v>
      </c>
      <c r="BM90" s="28" t="str">
        <f t="shared" si="9"/>
        <v>－</v>
      </c>
      <c r="BN90" s="28">
        <f>BN45</f>
        <v>40</v>
      </c>
      <c r="BO90" s="28" t="str">
        <f t="shared" si="9"/>
        <v>－</v>
      </c>
      <c r="BP90" s="28">
        <f>BP45</f>
        <v>20</v>
      </c>
      <c r="BQ90" s="28">
        <f t="shared" si="9"/>
        <v>0</v>
      </c>
      <c r="BR90" s="234">
        <f>BR45</f>
        <v>0</v>
      </c>
    </row>
    <row r="91" spans="2:70">
      <c r="B91" s="28">
        <v>101</v>
      </c>
      <c r="D91" s="28" t="str">
        <f>D47</f>
        <v>４歳以上児</v>
      </c>
      <c r="E91" s="28">
        <f t="shared" ref="E91:BQ91" si="10">E47</f>
        <v>0</v>
      </c>
      <c r="F91" s="28">
        <f t="shared" si="10"/>
        <v>35250</v>
      </c>
      <c r="G91" s="28">
        <f t="shared" si="10"/>
        <v>42130</v>
      </c>
      <c r="H91" s="28">
        <f t="shared" si="10"/>
        <v>30990</v>
      </c>
      <c r="I91" s="28">
        <f t="shared" si="10"/>
        <v>37870</v>
      </c>
      <c r="J91" s="28" t="str">
        <f t="shared" si="10"/>
        <v>＋</v>
      </c>
      <c r="K91" s="28">
        <f t="shared" si="10"/>
        <v>330</v>
      </c>
      <c r="L91" s="28">
        <f t="shared" si="10"/>
        <v>390</v>
      </c>
      <c r="M91" s="28" t="str">
        <f t="shared" si="10"/>
        <v>×加算率</v>
      </c>
      <c r="N91" s="28">
        <f t="shared" si="10"/>
        <v>290</v>
      </c>
      <c r="O91" s="28">
        <f t="shared" si="10"/>
        <v>350</v>
      </c>
      <c r="P91" s="28" t="str">
        <f t="shared" si="10"/>
        <v>×加算率</v>
      </c>
      <c r="Q91" s="28" t="str">
        <f t="shared" si="10"/>
        <v>＋</v>
      </c>
      <c r="R91" s="28">
        <f t="shared" si="10"/>
        <v>6880</v>
      </c>
      <c r="S91" s="28">
        <f t="shared" si="10"/>
        <v>60</v>
      </c>
      <c r="T91" s="28">
        <f t="shared" si="10"/>
        <v>0</v>
      </c>
      <c r="U91" s="28">
        <f t="shared" si="10"/>
        <v>0</v>
      </c>
      <c r="V91" s="28">
        <f t="shared" si="10"/>
        <v>494300</v>
      </c>
      <c r="W91" s="28">
        <f t="shared" si="10"/>
        <v>0</v>
      </c>
      <c r="X91" s="28">
        <f t="shared" si="10"/>
        <v>4940</v>
      </c>
      <c r="Y91" s="28">
        <f t="shared" si="10"/>
        <v>0</v>
      </c>
      <c r="Z91" s="28">
        <f t="shared" si="10"/>
        <v>0</v>
      </c>
      <c r="AA91" s="28">
        <f t="shared" si="10"/>
        <v>0</v>
      </c>
      <c r="AB91" s="28">
        <f t="shared" si="10"/>
        <v>0</v>
      </c>
      <c r="AC91" s="28">
        <f t="shared" si="10"/>
        <v>0</v>
      </c>
      <c r="AD91" s="28">
        <f t="shared" si="10"/>
        <v>0</v>
      </c>
      <c r="AE91" s="28">
        <f t="shared" si="10"/>
        <v>0</v>
      </c>
      <c r="AF91" s="28">
        <f t="shared" si="10"/>
        <v>0</v>
      </c>
      <c r="AG91" s="28">
        <f t="shared" si="10"/>
        <v>0</v>
      </c>
      <c r="AH91" s="28"/>
      <c r="AI91" s="28"/>
      <c r="AJ91" s="28"/>
      <c r="AK91" s="28"/>
      <c r="AL91" s="28"/>
      <c r="AM91" s="28"/>
      <c r="AN91" s="28"/>
      <c r="AO91" s="28"/>
      <c r="AP91" s="28" t="str">
        <f t="shared" si="10"/>
        <v>＋</v>
      </c>
      <c r="AQ91" s="28" t="str">
        <f t="shared" si="10"/>
        <v>ａ地域</v>
      </c>
      <c r="AR91" s="28">
        <f t="shared" si="10"/>
        <v>6100</v>
      </c>
      <c r="AS91" s="28">
        <f t="shared" si="10"/>
        <v>6800</v>
      </c>
      <c r="AT91" s="28">
        <f t="shared" si="10"/>
        <v>4200</v>
      </c>
      <c r="AU91" s="28">
        <f t="shared" si="10"/>
        <v>4200</v>
      </c>
      <c r="AV91" s="28">
        <f t="shared" si="10"/>
        <v>0</v>
      </c>
      <c r="AW91" s="28">
        <f t="shared" si="10"/>
        <v>3920</v>
      </c>
      <c r="AX91" s="28" t="str">
        <f t="shared" si="10"/>
        <v>＋</v>
      </c>
      <c r="AY91" s="28"/>
      <c r="AZ91" s="28"/>
      <c r="BA91" s="28">
        <f t="shared" si="10"/>
        <v>1920</v>
      </c>
      <c r="BB91" s="28" t="str">
        <f t="shared" si="10"/>
        <v>＋</v>
      </c>
      <c r="BC91" s="28">
        <f t="shared" si="10"/>
        <v>10</v>
      </c>
      <c r="BD91" s="28">
        <f t="shared" si="10"/>
        <v>0</v>
      </c>
      <c r="BE91" s="28">
        <f t="shared" si="10"/>
        <v>0</v>
      </c>
      <c r="BF91" s="28" t="str">
        <f t="shared" si="10"/>
        <v>－</v>
      </c>
      <c r="BG91" s="222">
        <f>BG49</f>
        <v>0.02</v>
      </c>
      <c r="BH91" s="222">
        <f>BH49</f>
        <v>0.03</v>
      </c>
      <c r="BI91" s="222">
        <f>BI49</f>
        <v>0.05</v>
      </c>
      <c r="BJ91" s="222">
        <f>BJ49</f>
        <v>7.0000000000000007E-2</v>
      </c>
      <c r="BK91" s="28" t="str">
        <f t="shared" si="10"/>
        <v>－</v>
      </c>
      <c r="BL91" s="28">
        <f>BL49</f>
        <v>10</v>
      </c>
      <c r="BM91" s="28" t="str">
        <f t="shared" si="10"/>
        <v>－</v>
      </c>
      <c r="BN91" s="28">
        <f>BN49</f>
        <v>30</v>
      </c>
      <c r="BO91" s="28" t="str">
        <f t="shared" si="10"/>
        <v>－</v>
      </c>
      <c r="BP91" s="28">
        <f>BP49</f>
        <v>20</v>
      </c>
      <c r="BQ91" s="28">
        <f t="shared" si="10"/>
        <v>0</v>
      </c>
      <c r="BR91" s="234">
        <f>BR49</f>
        <v>0</v>
      </c>
    </row>
    <row r="92" spans="2:70">
      <c r="B92" s="28">
        <v>111</v>
      </c>
      <c r="D92" s="28" t="str">
        <f>D51</f>
        <v>４歳以上児</v>
      </c>
      <c r="E92" s="28">
        <f t="shared" ref="E92:BQ92" si="11">E51</f>
        <v>0</v>
      </c>
      <c r="F92" s="28">
        <f t="shared" si="11"/>
        <v>33680</v>
      </c>
      <c r="G92" s="28">
        <f t="shared" si="11"/>
        <v>40560</v>
      </c>
      <c r="H92" s="28">
        <f t="shared" si="11"/>
        <v>29770</v>
      </c>
      <c r="I92" s="28">
        <f t="shared" si="11"/>
        <v>36650</v>
      </c>
      <c r="J92" s="28" t="str">
        <f t="shared" si="11"/>
        <v>＋</v>
      </c>
      <c r="K92" s="28">
        <f t="shared" si="11"/>
        <v>310</v>
      </c>
      <c r="L92" s="28">
        <f t="shared" si="11"/>
        <v>370</v>
      </c>
      <c r="M92" s="28" t="str">
        <f t="shared" si="11"/>
        <v>×加算率</v>
      </c>
      <c r="N92" s="28">
        <f t="shared" si="11"/>
        <v>270</v>
      </c>
      <c r="O92" s="28">
        <f t="shared" si="11"/>
        <v>330</v>
      </c>
      <c r="P92" s="28" t="str">
        <f t="shared" si="11"/>
        <v>×加算率</v>
      </c>
      <c r="Q92" s="28" t="str">
        <f t="shared" si="11"/>
        <v>＋</v>
      </c>
      <c r="R92" s="28">
        <f t="shared" si="11"/>
        <v>6880</v>
      </c>
      <c r="S92" s="28">
        <f t="shared" si="11"/>
        <v>60</v>
      </c>
      <c r="T92" s="28">
        <f t="shared" si="11"/>
        <v>0</v>
      </c>
      <c r="U92" s="28">
        <f t="shared" si="11"/>
        <v>0</v>
      </c>
      <c r="V92" s="28">
        <f t="shared" si="11"/>
        <v>0</v>
      </c>
      <c r="W92" s="28">
        <f t="shared" si="11"/>
        <v>0</v>
      </c>
      <c r="X92" s="28">
        <f t="shared" si="11"/>
        <v>0</v>
      </c>
      <c r="Y92" s="28">
        <f t="shared" si="11"/>
        <v>0</v>
      </c>
      <c r="Z92" s="28">
        <f t="shared" si="11"/>
        <v>0</v>
      </c>
      <c r="AA92" s="28">
        <f t="shared" si="11"/>
        <v>0</v>
      </c>
      <c r="AB92" s="28">
        <f t="shared" si="11"/>
        <v>0</v>
      </c>
      <c r="AC92" s="28">
        <f t="shared" si="11"/>
        <v>0</v>
      </c>
      <c r="AD92" s="28">
        <f t="shared" si="11"/>
        <v>0</v>
      </c>
      <c r="AE92" s="28">
        <f t="shared" si="11"/>
        <v>0</v>
      </c>
      <c r="AF92" s="28">
        <f t="shared" si="11"/>
        <v>0</v>
      </c>
      <c r="AG92" s="28">
        <f t="shared" si="11"/>
        <v>0</v>
      </c>
      <c r="AH92" s="28"/>
      <c r="AI92" s="28"/>
      <c r="AJ92" s="28"/>
      <c r="AK92" s="28"/>
      <c r="AL92" s="28"/>
      <c r="AM92" s="28"/>
      <c r="AN92" s="28"/>
      <c r="AO92" s="28"/>
      <c r="AP92" s="28" t="str">
        <f t="shared" si="11"/>
        <v>＋</v>
      </c>
      <c r="AQ92" s="28" t="str">
        <f t="shared" si="11"/>
        <v>ａ地域</v>
      </c>
      <c r="AR92" s="28">
        <f t="shared" si="11"/>
        <v>5500</v>
      </c>
      <c r="AS92" s="28">
        <f t="shared" si="11"/>
        <v>6200</v>
      </c>
      <c r="AT92" s="28">
        <f t="shared" si="11"/>
        <v>3900</v>
      </c>
      <c r="AU92" s="28">
        <f t="shared" si="11"/>
        <v>3900</v>
      </c>
      <c r="AV92" s="28">
        <f t="shared" si="11"/>
        <v>0</v>
      </c>
      <c r="AW92" s="28">
        <f t="shared" si="11"/>
        <v>0</v>
      </c>
      <c r="AX92" s="28" t="str">
        <f t="shared" si="11"/>
        <v>＋</v>
      </c>
      <c r="AY92" s="28"/>
      <c r="AZ92" s="28"/>
      <c r="BA92" s="28">
        <f t="shared" si="11"/>
        <v>1760</v>
      </c>
      <c r="BB92" s="28" t="str">
        <f t="shared" si="11"/>
        <v>＋</v>
      </c>
      <c r="BC92" s="28">
        <f t="shared" si="11"/>
        <v>10</v>
      </c>
      <c r="BD92" s="28">
        <f t="shared" si="11"/>
        <v>0</v>
      </c>
      <c r="BE92" s="28">
        <f t="shared" si="11"/>
        <v>0</v>
      </c>
      <c r="BF92" s="28" t="str">
        <f t="shared" si="11"/>
        <v>－</v>
      </c>
      <c r="BG92" s="222">
        <f>BG53</f>
        <v>0.02</v>
      </c>
      <c r="BH92" s="222">
        <f>BH53</f>
        <v>0.03</v>
      </c>
      <c r="BI92" s="222">
        <f>BI53</f>
        <v>0.05</v>
      </c>
      <c r="BJ92" s="222">
        <f>BJ53</f>
        <v>7.0000000000000007E-2</v>
      </c>
      <c r="BK92" s="28" t="str">
        <f t="shared" si="11"/>
        <v>－</v>
      </c>
      <c r="BL92" s="28">
        <f>BL53</f>
        <v>10</v>
      </c>
      <c r="BM92" s="28" t="str">
        <f t="shared" si="11"/>
        <v>－</v>
      </c>
      <c r="BN92" s="28">
        <f>BN53</f>
        <v>30</v>
      </c>
      <c r="BO92" s="28" t="str">
        <f t="shared" si="11"/>
        <v>－</v>
      </c>
      <c r="BP92" s="28">
        <f>BP53</f>
        <v>20</v>
      </c>
      <c r="BQ92" s="28">
        <f t="shared" si="11"/>
        <v>0</v>
      </c>
      <c r="BR92" s="234">
        <f>BR53</f>
        <v>0</v>
      </c>
    </row>
    <row r="93" spans="2:70">
      <c r="B93" s="28">
        <v>121</v>
      </c>
      <c r="D93" s="28" t="str">
        <f>D55</f>
        <v>４歳以上児</v>
      </c>
      <c r="E93" s="28">
        <f t="shared" ref="E93:BQ93" si="12">E55</f>
        <v>0</v>
      </c>
      <c r="F93" s="28">
        <f t="shared" si="12"/>
        <v>32340</v>
      </c>
      <c r="G93" s="28">
        <f t="shared" si="12"/>
        <v>39220</v>
      </c>
      <c r="H93" s="28">
        <f t="shared" si="12"/>
        <v>28740</v>
      </c>
      <c r="I93" s="28">
        <f t="shared" si="12"/>
        <v>35620</v>
      </c>
      <c r="J93" s="28" t="str">
        <f t="shared" si="12"/>
        <v>＋</v>
      </c>
      <c r="K93" s="28">
        <f t="shared" si="12"/>
        <v>300</v>
      </c>
      <c r="L93" s="28">
        <f t="shared" si="12"/>
        <v>360</v>
      </c>
      <c r="M93" s="28" t="str">
        <f t="shared" si="12"/>
        <v>×加算率</v>
      </c>
      <c r="N93" s="28">
        <f t="shared" si="12"/>
        <v>260</v>
      </c>
      <c r="O93" s="28">
        <f t="shared" si="12"/>
        <v>320</v>
      </c>
      <c r="P93" s="28" t="str">
        <f t="shared" si="12"/>
        <v>×加算率</v>
      </c>
      <c r="Q93" s="28" t="str">
        <f t="shared" si="12"/>
        <v>＋</v>
      </c>
      <c r="R93" s="28">
        <f t="shared" si="12"/>
        <v>6880</v>
      </c>
      <c r="S93" s="28">
        <f t="shared" si="12"/>
        <v>60</v>
      </c>
      <c r="T93" s="28">
        <f t="shared" si="12"/>
        <v>0</v>
      </c>
      <c r="U93" s="28">
        <f t="shared" si="12"/>
        <v>0</v>
      </c>
      <c r="V93" s="28" t="str">
        <f t="shared" si="12"/>
        <v xml:space="preserve"> 　910人～　979人</v>
      </c>
      <c r="W93" s="28">
        <f t="shared" si="12"/>
        <v>0</v>
      </c>
      <c r="X93" s="28" t="str">
        <f t="shared" si="12"/>
        <v xml:space="preserve"> 　910人～　979人</v>
      </c>
      <c r="Y93" s="28">
        <f t="shared" si="12"/>
        <v>0</v>
      </c>
      <c r="Z93" s="28">
        <f t="shared" si="12"/>
        <v>0</v>
      </c>
      <c r="AA93" s="28">
        <f t="shared" si="12"/>
        <v>0</v>
      </c>
      <c r="AB93" s="28">
        <f t="shared" si="12"/>
        <v>0</v>
      </c>
      <c r="AC93" s="28">
        <f t="shared" si="12"/>
        <v>0</v>
      </c>
      <c r="AD93" s="28">
        <f t="shared" si="12"/>
        <v>0</v>
      </c>
      <c r="AE93" s="28">
        <f t="shared" si="12"/>
        <v>0</v>
      </c>
      <c r="AF93" s="28">
        <f t="shared" si="12"/>
        <v>0</v>
      </c>
      <c r="AG93" s="28">
        <f t="shared" si="12"/>
        <v>0</v>
      </c>
      <c r="AH93" s="28"/>
      <c r="AI93" s="28"/>
      <c r="AJ93" s="28"/>
      <c r="AK93" s="28"/>
      <c r="AL93" s="28"/>
      <c r="AM93" s="28"/>
      <c r="AN93" s="28"/>
      <c r="AO93" s="28"/>
      <c r="AP93" s="28" t="str">
        <f t="shared" si="12"/>
        <v>＋</v>
      </c>
      <c r="AQ93" s="28" t="str">
        <f t="shared" si="12"/>
        <v>ａ地域</v>
      </c>
      <c r="AR93" s="28">
        <f t="shared" si="12"/>
        <v>5100</v>
      </c>
      <c r="AS93" s="28">
        <f t="shared" si="12"/>
        <v>5700</v>
      </c>
      <c r="AT93" s="28">
        <f t="shared" si="12"/>
        <v>3500</v>
      </c>
      <c r="AU93" s="28">
        <f t="shared" si="12"/>
        <v>3500</v>
      </c>
      <c r="AV93" s="28">
        <f t="shared" si="12"/>
        <v>0</v>
      </c>
      <c r="AW93" s="28" t="str">
        <f t="shared" si="12"/>
        <v xml:space="preserve"> 181人～ 210人</v>
      </c>
      <c r="AX93" s="28" t="str">
        <f t="shared" si="12"/>
        <v>＋</v>
      </c>
      <c r="AY93" s="28"/>
      <c r="AZ93" s="28"/>
      <c r="BA93" s="28">
        <f t="shared" si="12"/>
        <v>1620</v>
      </c>
      <c r="BB93" s="28" t="str">
        <f t="shared" si="12"/>
        <v>＋</v>
      </c>
      <c r="BC93" s="28">
        <f t="shared" si="12"/>
        <v>10</v>
      </c>
      <c r="BD93" s="28">
        <f t="shared" si="12"/>
        <v>0</v>
      </c>
      <c r="BE93" s="28">
        <f t="shared" si="12"/>
        <v>0</v>
      </c>
      <c r="BF93" s="28" t="str">
        <f t="shared" si="12"/>
        <v>－</v>
      </c>
      <c r="BG93" s="222">
        <f>BG57</f>
        <v>0.02</v>
      </c>
      <c r="BH93" s="222">
        <f>BH57</f>
        <v>0.03</v>
      </c>
      <c r="BI93" s="222">
        <f>BI57</f>
        <v>0.05</v>
      </c>
      <c r="BJ93" s="222">
        <f>BJ57</f>
        <v>7.0000000000000007E-2</v>
      </c>
      <c r="BK93" s="28" t="str">
        <f t="shared" si="12"/>
        <v>－</v>
      </c>
      <c r="BL93" s="28">
        <f>BL57</f>
        <v>10</v>
      </c>
      <c r="BM93" s="28" t="str">
        <f t="shared" si="12"/>
        <v>－</v>
      </c>
      <c r="BN93" s="28">
        <f>BN57</f>
        <v>30</v>
      </c>
      <c r="BO93" s="28" t="str">
        <f t="shared" si="12"/>
        <v>－</v>
      </c>
      <c r="BP93" s="28">
        <f>BP57</f>
        <v>10</v>
      </c>
      <c r="BQ93" s="28">
        <f t="shared" si="12"/>
        <v>0</v>
      </c>
      <c r="BR93" s="234">
        <f>BR57</f>
        <v>0</v>
      </c>
    </row>
    <row r="94" spans="2:70">
      <c r="B94" s="28">
        <v>131</v>
      </c>
      <c r="D94" s="28" t="str">
        <f>D59</f>
        <v>４歳以上児</v>
      </c>
      <c r="E94" s="28">
        <f t="shared" ref="E94:BQ94" si="13">E59</f>
        <v>0</v>
      </c>
      <c r="F94" s="28">
        <f t="shared" si="13"/>
        <v>31230</v>
      </c>
      <c r="G94" s="28">
        <f t="shared" si="13"/>
        <v>38110</v>
      </c>
      <c r="H94" s="28">
        <f t="shared" si="13"/>
        <v>27880</v>
      </c>
      <c r="I94" s="28">
        <f t="shared" si="13"/>
        <v>34760</v>
      </c>
      <c r="J94" s="28" t="str">
        <f t="shared" si="13"/>
        <v>＋</v>
      </c>
      <c r="K94" s="28">
        <f t="shared" si="13"/>
        <v>290</v>
      </c>
      <c r="L94" s="28">
        <f t="shared" si="13"/>
        <v>350</v>
      </c>
      <c r="M94" s="28" t="str">
        <f t="shared" si="13"/>
        <v>×加算率</v>
      </c>
      <c r="N94" s="28">
        <f t="shared" si="13"/>
        <v>260</v>
      </c>
      <c r="O94" s="28">
        <f t="shared" si="13"/>
        <v>320</v>
      </c>
      <c r="P94" s="28" t="str">
        <f t="shared" si="13"/>
        <v>×加算率</v>
      </c>
      <c r="Q94" s="28" t="str">
        <f t="shared" si="13"/>
        <v>＋</v>
      </c>
      <c r="R94" s="28">
        <f t="shared" si="13"/>
        <v>6880</v>
      </c>
      <c r="S94" s="28">
        <f t="shared" si="13"/>
        <v>60</v>
      </c>
      <c r="T94" s="28">
        <f t="shared" si="13"/>
        <v>0</v>
      </c>
      <c r="U94" s="28">
        <f t="shared" si="13"/>
        <v>0</v>
      </c>
      <c r="V94" s="28">
        <f t="shared" si="13"/>
        <v>629600</v>
      </c>
      <c r="W94" s="28">
        <f t="shared" si="13"/>
        <v>0</v>
      </c>
      <c r="X94" s="28">
        <f t="shared" si="13"/>
        <v>6290</v>
      </c>
      <c r="Y94" s="28">
        <f t="shared" si="13"/>
        <v>0</v>
      </c>
      <c r="Z94" s="28">
        <f t="shared" si="13"/>
        <v>0</v>
      </c>
      <c r="AA94" s="28">
        <f t="shared" si="13"/>
        <v>0</v>
      </c>
      <c r="AB94" s="28">
        <f t="shared" si="13"/>
        <v>0</v>
      </c>
      <c r="AC94" s="28">
        <f t="shared" si="13"/>
        <v>0</v>
      </c>
      <c r="AD94" s="28">
        <f t="shared" si="13"/>
        <v>0</v>
      </c>
      <c r="AE94" s="28">
        <f t="shared" si="13"/>
        <v>0</v>
      </c>
      <c r="AF94" s="28">
        <f t="shared" si="13"/>
        <v>0</v>
      </c>
      <c r="AG94" s="28">
        <f t="shared" si="13"/>
        <v>0</v>
      </c>
      <c r="AH94" s="28"/>
      <c r="AI94" s="28"/>
      <c r="AJ94" s="28"/>
      <c r="AK94" s="28"/>
      <c r="AL94" s="28"/>
      <c r="AM94" s="28"/>
      <c r="AN94" s="28"/>
      <c r="AO94" s="28"/>
      <c r="AP94" s="28" t="str">
        <f t="shared" si="13"/>
        <v>＋</v>
      </c>
      <c r="AQ94" s="28" t="str">
        <f t="shared" si="13"/>
        <v>ａ地域</v>
      </c>
      <c r="AR94" s="28">
        <f t="shared" si="13"/>
        <v>5500</v>
      </c>
      <c r="AS94" s="28">
        <f t="shared" si="13"/>
        <v>6200</v>
      </c>
      <c r="AT94" s="28">
        <f t="shared" si="13"/>
        <v>3900</v>
      </c>
      <c r="AU94" s="28">
        <f t="shared" si="13"/>
        <v>3900</v>
      </c>
      <c r="AV94" s="28">
        <f t="shared" si="13"/>
        <v>0</v>
      </c>
      <c r="AW94" s="28">
        <f t="shared" si="13"/>
        <v>2540</v>
      </c>
      <c r="AX94" s="28" t="str">
        <f t="shared" si="13"/>
        <v>＋</v>
      </c>
      <c r="AY94" s="28"/>
      <c r="AZ94" s="28"/>
      <c r="BA94" s="28">
        <f t="shared" si="13"/>
        <v>1510</v>
      </c>
      <c r="BB94" s="28" t="str">
        <f t="shared" si="13"/>
        <v>＋</v>
      </c>
      <c r="BC94" s="28">
        <f t="shared" si="13"/>
        <v>10</v>
      </c>
      <c r="BD94" s="28">
        <f t="shared" si="13"/>
        <v>0</v>
      </c>
      <c r="BE94" s="28">
        <f t="shared" si="13"/>
        <v>0</v>
      </c>
      <c r="BF94" s="28" t="str">
        <f t="shared" si="13"/>
        <v>－</v>
      </c>
      <c r="BG94" s="222">
        <f>BG61</f>
        <v>0.02</v>
      </c>
      <c r="BH94" s="222">
        <f>BH61</f>
        <v>0.03</v>
      </c>
      <c r="BI94" s="222">
        <f>BI61</f>
        <v>0.05</v>
      </c>
      <c r="BJ94" s="222">
        <f>BJ61</f>
        <v>7.0000000000000007E-2</v>
      </c>
      <c r="BK94" s="28" t="str">
        <f t="shared" si="13"/>
        <v>－</v>
      </c>
      <c r="BL94" s="28">
        <f>BL61</f>
        <v>9</v>
      </c>
      <c r="BM94" s="28" t="str">
        <f t="shared" si="13"/>
        <v>－</v>
      </c>
      <c r="BN94" s="28">
        <f>BN61</f>
        <v>30</v>
      </c>
      <c r="BO94" s="28" t="str">
        <f t="shared" si="13"/>
        <v>－</v>
      </c>
      <c r="BP94" s="28">
        <f>BP61</f>
        <v>10</v>
      </c>
      <c r="BQ94" s="28">
        <f t="shared" si="13"/>
        <v>0</v>
      </c>
      <c r="BR94" s="234">
        <f>BR61</f>
        <v>0</v>
      </c>
    </row>
    <row r="95" spans="2:70">
      <c r="B95" s="28">
        <v>141</v>
      </c>
      <c r="D95" s="28" t="str">
        <f>D63</f>
        <v>４歳以上児</v>
      </c>
      <c r="E95" s="28">
        <f t="shared" ref="E95:BQ95" si="14">E63</f>
        <v>0</v>
      </c>
      <c r="F95" s="28">
        <f t="shared" si="14"/>
        <v>30240</v>
      </c>
      <c r="G95" s="28">
        <f t="shared" si="14"/>
        <v>37120</v>
      </c>
      <c r="H95" s="28">
        <f t="shared" si="14"/>
        <v>27120</v>
      </c>
      <c r="I95" s="28">
        <f t="shared" si="14"/>
        <v>34000</v>
      </c>
      <c r="J95" s="28" t="str">
        <f t="shared" si="14"/>
        <v>＋</v>
      </c>
      <c r="K95" s="28">
        <f t="shared" si="14"/>
        <v>280</v>
      </c>
      <c r="L95" s="28">
        <f t="shared" si="14"/>
        <v>340</v>
      </c>
      <c r="M95" s="28" t="str">
        <f t="shared" si="14"/>
        <v>×加算率</v>
      </c>
      <c r="N95" s="28">
        <f t="shared" si="14"/>
        <v>250</v>
      </c>
      <c r="O95" s="28">
        <f t="shared" si="14"/>
        <v>310</v>
      </c>
      <c r="P95" s="28" t="str">
        <f t="shared" si="14"/>
        <v>×加算率</v>
      </c>
      <c r="Q95" s="28" t="str">
        <f t="shared" si="14"/>
        <v>＋</v>
      </c>
      <c r="R95" s="28">
        <f t="shared" si="14"/>
        <v>6880</v>
      </c>
      <c r="S95" s="28">
        <f t="shared" si="14"/>
        <v>60</v>
      </c>
      <c r="T95" s="28">
        <f t="shared" si="14"/>
        <v>0</v>
      </c>
      <c r="U95" s="28">
        <f t="shared" si="14"/>
        <v>0</v>
      </c>
      <c r="V95" s="28">
        <f t="shared" si="14"/>
        <v>0</v>
      </c>
      <c r="W95" s="28">
        <f t="shared" si="14"/>
        <v>0</v>
      </c>
      <c r="X95" s="28">
        <f t="shared" si="14"/>
        <v>0</v>
      </c>
      <c r="Y95" s="28">
        <f t="shared" si="14"/>
        <v>0</v>
      </c>
      <c r="Z95" s="28">
        <f t="shared" si="14"/>
        <v>0</v>
      </c>
      <c r="AA95" s="28">
        <f t="shared" si="14"/>
        <v>0</v>
      </c>
      <c r="AB95" s="28">
        <f t="shared" si="14"/>
        <v>0</v>
      </c>
      <c r="AC95" s="28">
        <f t="shared" si="14"/>
        <v>0</v>
      </c>
      <c r="AD95" s="28">
        <f t="shared" si="14"/>
        <v>0</v>
      </c>
      <c r="AE95" s="28">
        <f t="shared" si="14"/>
        <v>0</v>
      </c>
      <c r="AF95" s="28">
        <f t="shared" si="14"/>
        <v>0</v>
      </c>
      <c r="AG95" s="28">
        <f t="shared" si="14"/>
        <v>0</v>
      </c>
      <c r="AH95" s="28"/>
      <c r="AI95" s="28"/>
      <c r="AJ95" s="28"/>
      <c r="AK95" s="28"/>
      <c r="AL95" s="28"/>
      <c r="AM95" s="28"/>
      <c r="AN95" s="28"/>
      <c r="AO95" s="28"/>
      <c r="AP95" s="28" t="str">
        <f t="shared" si="14"/>
        <v>＋</v>
      </c>
      <c r="AQ95" s="28" t="str">
        <f t="shared" si="14"/>
        <v>ａ地域</v>
      </c>
      <c r="AR95" s="28">
        <f t="shared" si="14"/>
        <v>5400</v>
      </c>
      <c r="AS95" s="28">
        <f t="shared" si="14"/>
        <v>6000</v>
      </c>
      <c r="AT95" s="28">
        <f t="shared" si="14"/>
        <v>3700</v>
      </c>
      <c r="AU95" s="28">
        <f t="shared" si="14"/>
        <v>3700</v>
      </c>
      <c r="AV95" s="28">
        <f t="shared" si="14"/>
        <v>0</v>
      </c>
      <c r="AW95" s="28">
        <f t="shared" si="14"/>
        <v>0</v>
      </c>
      <c r="AX95" s="28" t="str">
        <f t="shared" si="14"/>
        <v>＋</v>
      </c>
      <c r="AY95" s="28"/>
      <c r="AZ95" s="28"/>
      <c r="BA95" s="28">
        <f t="shared" si="14"/>
        <v>1410</v>
      </c>
      <c r="BB95" s="28" t="str">
        <f t="shared" si="14"/>
        <v>＋</v>
      </c>
      <c r="BC95" s="28">
        <f t="shared" si="14"/>
        <v>10</v>
      </c>
      <c r="BD95" s="28">
        <f t="shared" si="14"/>
        <v>0</v>
      </c>
      <c r="BE95" s="28">
        <f t="shared" si="14"/>
        <v>0</v>
      </c>
      <c r="BF95" s="28" t="str">
        <f t="shared" si="14"/>
        <v>－</v>
      </c>
      <c r="BG95" s="222">
        <f>BG65</f>
        <v>0.02</v>
      </c>
      <c r="BH95" s="222">
        <f>BH65</f>
        <v>0.03</v>
      </c>
      <c r="BI95" s="222">
        <f>BI65</f>
        <v>0.05</v>
      </c>
      <c r="BJ95" s="222">
        <f>BJ65</f>
        <v>7.0000000000000007E-2</v>
      </c>
      <c r="BK95" s="28" t="str">
        <f t="shared" si="14"/>
        <v>－</v>
      </c>
      <c r="BL95" s="28">
        <f>BL65</f>
        <v>8</v>
      </c>
      <c r="BM95" s="28" t="str">
        <f t="shared" si="14"/>
        <v>－</v>
      </c>
      <c r="BN95" s="28">
        <f>BN65</f>
        <v>20</v>
      </c>
      <c r="BO95" s="28" t="str">
        <f t="shared" si="14"/>
        <v>－</v>
      </c>
      <c r="BP95" s="28">
        <f>BP65</f>
        <v>10</v>
      </c>
      <c r="BQ95" s="28">
        <f t="shared" si="14"/>
        <v>0</v>
      </c>
      <c r="BR95" s="234">
        <f>BR65</f>
        <v>0</v>
      </c>
    </row>
    <row r="96" spans="2:70">
      <c r="B96" s="28">
        <v>151</v>
      </c>
      <c r="D96" s="28" t="str">
        <f>D67</f>
        <v>４歳以上児</v>
      </c>
      <c r="E96" s="28">
        <f t="shared" ref="E96:BQ96" si="15">E67</f>
        <v>0</v>
      </c>
      <c r="F96" s="28">
        <f t="shared" si="15"/>
        <v>30240</v>
      </c>
      <c r="G96" s="28">
        <f t="shared" si="15"/>
        <v>37120</v>
      </c>
      <c r="H96" s="28">
        <f t="shared" si="15"/>
        <v>27320</v>
      </c>
      <c r="I96" s="28">
        <f t="shared" si="15"/>
        <v>34200</v>
      </c>
      <c r="J96" s="28" t="str">
        <f t="shared" si="15"/>
        <v>＋</v>
      </c>
      <c r="K96" s="28">
        <f t="shared" si="15"/>
        <v>280</v>
      </c>
      <c r="L96" s="28">
        <f t="shared" si="15"/>
        <v>340</v>
      </c>
      <c r="M96" s="28" t="str">
        <f t="shared" si="15"/>
        <v>×加算率</v>
      </c>
      <c r="N96" s="28">
        <f t="shared" si="15"/>
        <v>250</v>
      </c>
      <c r="O96" s="28">
        <f t="shared" si="15"/>
        <v>310</v>
      </c>
      <c r="P96" s="28" t="str">
        <f t="shared" si="15"/>
        <v>×加算率</v>
      </c>
      <c r="Q96" s="28" t="str">
        <f t="shared" si="15"/>
        <v>＋</v>
      </c>
      <c r="R96" s="28">
        <f t="shared" si="15"/>
        <v>6880</v>
      </c>
      <c r="S96" s="28">
        <f t="shared" si="15"/>
        <v>60</v>
      </c>
      <c r="T96" s="28">
        <f t="shared" si="15"/>
        <v>0</v>
      </c>
      <c r="U96" s="28">
        <f t="shared" si="15"/>
        <v>0</v>
      </c>
      <c r="V96" s="28">
        <f t="shared" si="15"/>
        <v>0</v>
      </c>
      <c r="W96" s="28">
        <f t="shared" si="15"/>
        <v>0</v>
      </c>
      <c r="X96" s="28">
        <f t="shared" si="15"/>
        <v>0</v>
      </c>
      <c r="Y96" s="28">
        <f t="shared" si="15"/>
        <v>0</v>
      </c>
      <c r="Z96" s="28">
        <f t="shared" si="15"/>
        <v>0</v>
      </c>
      <c r="AA96" s="28">
        <f t="shared" si="15"/>
        <v>0</v>
      </c>
      <c r="AB96" s="28">
        <f t="shared" si="15"/>
        <v>0</v>
      </c>
      <c r="AC96" s="28">
        <f t="shared" si="15"/>
        <v>0</v>
      </c>
      <c r="AD96" s="28">
        <f t="shared" si="15"/>
        <v>0</v>
      </c>
      <c r="AE96" s="28">
        <f t="shared" si="15"/>
        <v>0</v>
      </c>
      <c r="AF96" s="28">
        <f t="shared" si="15"/>
        <v>0</v>
      </c>
      <c r="AG96" s="28">
        <f t="shared" si="15"/>
        <v>0</v>
      </c>
      <c r="AH96" s="28"/>
      <c r="AI96" s="28"/>
      <c r="AJ96" s="28"/>
      <c r="AK96" s="28"/>
      <c r="AL96" s="28"/>
      <c r="AM96" s="28"/>
      <c r="AN96" s="28"/>
      <c r="AO96" s="28"/>
      <c r="AP96" s="28" t="str">
        <f t="shared" si="15"/>
        <v>＋</v>
      </c>
      <c r="AQ96" s="28" t="str">
        <f t="shared" si="15"/>
        <v>ａ地域</v>
      </c>
      <c r="AR96" s="28">
        <f t="shared" si="15"/>
        <v>4800</v>
      </c>
      <c r="AS96" s="28">
        <f t="shared" si="15"/>
        <v>5400</v>
      </c>
      <c r="AT96" s="28">
        <f t="shared" si="15"/>
        <v>3400</v>
      </c>
      <c r="AU96" s="28">
        <f t="shared" si="15"/>
        <v>3400</v>
      </c>
      <c r="AV96" s="28">
        <f t="shared" si="15"/>
        <v>0</v>
      </c>
      <c r="AW96" s="28" t="str">
        <f t="shared" si="15"/>
        <v xml:space="preserve"> 301人～</v>
      </c>
      <c r="AX96" s="28" t="str">
        <f t="shared" si="15"/>
        <v>＋</v>
      </c>
      <c r="AY96" s="28"/>
      <c r="AZ96" s="28"/>
      <c r="BA96" s="28">
        <f t="shared" si="15"/>
        <v>1320</v>
      </c>
      <c r="BB96" s="28" t="str">
        <f t="shared" si="15"/>
        <v>＋</v>
      </c>
      <c r="BC96" s="28">
        <f t="shared" si="15"/>
        <v>10</v>
      </c>
      <c r="BD96" s="28">
        <f t="shared" si="15"/>
        <v>0</v>
      </c>
      <c r="BE96" s="28">
        <f t="shared" si="15"/>
        <v>0</v>
      </c>
      <c r="BF96" s="28" t="str">
        <f t="shared" si="15"/>
        <v>－</v>
      </c>
      <c r="BG96" s="222">
        <f>BG69</f>
        <v>0.02</v>
      </c>
      <c r="BH96" s="222">
        <f>BH69</f>
        <v>0.03</v>
      </c>
      <c r="BI96" s="222">
        <f>BI69</f>
        <v>0.05</v>
      </c>
      <c r="BJ96" s="222">
        <f>BJ69</f>
        <v>7.0000000000000007E-2</v>
      </c>
      <c r="BK96" s="28" t="str">
        <f t="shared" si="15"/>
        <v>－</v>
      </c>
      <c r="BL96" s="28">
        <f>BL69</f>
        <v>8</v>
      </c>
      <c r="BM96" s="28" t="str">
        <f t="shared" si="15"/>
        <v>－</v>
      </c>
      <c r="BN96" s="28">
        <f>BN69</f>
        <v>20</v>
      </c>
      <c r="BO96" s="28" t="str">
        <f t="shared" si="15"/>
        <v>－</v>
      </c>
      <c r="BP96" s="28">
        <f>BP69</f>
        <v>10</v>
      </c>
      <c r="BQ96" s="28">
        <f t="shared" si="15"/>
        <v>0</v>
      </c>
      <c r="BR96" s="234">
        <f>BR69</f>
        <v>0</v>
      </c>
    </row>
    <row r="97" spans="2:70">
      <c r="B97" s="28">
        <v>161</v>
      </c>
      <c r="D97" s="28" t="str">
        <f>D71</f>
        <v>４歳以上児</v>
      </c>
      <c r="E97" s="28">
        <f t="shared" ref="E97:BQ97" si="16">E71</f>
        <v>0</v>
      </c>
      <c r="F97" s="28">
        <f t="shared" si="16"/>
        <v>29450</v>
      </c>
      <c r="G97" s="28">
        <f t="shared" si="16"/>
        <v>36330</v>
      </c>
      <c r="H97" s="28">
        <f t="shared" si="16"/>
        <v>26690</v>
      </c>
      <c r="I97" s="28">
        <f t="shared" si="16"/>
        <v>33570</v>
      </c>
      <c r="J97" s="28" t="str">
        <f t="shared" si="16"/>
        <v>＋</v>
      </c>
      <c r="K97" s="28">
        <f t="shared" si="16"/>
        <v>270</v>
      </c>
      <c r="L97" s="28">
        <f t="shared" si="16"/>
        <v>330</v>
      </c>
      <c r="M97" s="28" t="str">
        <f t="shared" si="16"/>
        <v>×加算率</v>
      </c>
      <c r="N97" s="28">
        <f t="shared" si="16"/>
        <v>240</v>
      </c>
      <c r="O97" s="28">
        <f t="shared" si="16"/>
        <v>300</v>
      </c>
      <c r="P97" s="28" t="str">
        <f t="shared" si="16"/>
        <v>×加算率</v>
      </c>
      <c r="Q97" s="28" t="str">
        <f t="shared" si="16"/>
        <v>＋</v>
      </c>
      <c r="R97" s="28">
        <f t="shared" si="16"/>
        <v>6880</v>
      </c>
      <c r="S97" s="28">
        <f t="shared" si="16"/>
        <v>60</v>
      </c>
      <c r="T97" s="28">
        <f t="shared" si="16"/>
        <v>0</v>
      </c>
      <c r="U97" s="28">
        <f t="shared" si="16"/>
        <v>0</v>
      </c>
      <c r="V97" s="28">
        <f t="shared" si="16"/>
        <v>0</v>
      </c>
      <c r="W97" s="28">
        <f t="shared" si="16"/>
        <v>0</v>
      </c>
      <c r="X97" s="28">
        <f t="shared" si="16"/>
        <v>0</v>
      </c>
      <c r="Y97" s="28">
        <f t="shared" si="16"/>
        <v>0</v>
      </c>
      <c r="Z97" s="28">
        <f t="shared" si="16"/>
        <v>0</v>
      </c>
      <c r="AA97" s="28">
        <f t="shared" si="16"/>
        <v>0</v>
      </c>
      <c r="AB97" s="28">
        <f t="shared" si="16"/>
        <v>0</v>
      </c>
      <c r="AC97" s="28">
        <f t="shared" si="16"/>
        <v>0</v>
      </c>
      <c r="AD97" s="28">
        <f t="shared" si="16"/>
        <v>0</v>
      </c>
      <c r="AE97" s="28">
        <f t="shared" si="16"/>
        <v>0</v>
      </c>
      <c r="AF97" s="28">
        <f t="shared" si="16"/>
        <v>0</v>
      </c>
      <c r="AG97" s="28">
        <f t="shared" si="16"/>
        <v>0</v>
      </c>
      <c r="AH97" s="28"/>
      <c r="AI97" s="28"/>
      <c r="AJ97" s="28"/>
      <c r="AK97" s="28"/>
      <c r="AL97" s="28"/>
      <c r="AM97" s="28"/>
      <c r="AN97" s="28"/>
      <c r="AO97" s="28"/>
      <c r="AP97" s="28" t="str">
        <f t="shared" si="16"/>
        <v>＋</v>
      </c>
      <c r="AQ97" s="28" t="str">
        <f t="shared" si="16"/>
        <v>ａ地域</v>
      </c>
      <c r="AR97" s="28">
        <f t="shared" si="16"/>
        <v>5400</v>
      </c>
      <c r="AS97" s="28">
        <f t="shared" si="16"/>
        <v>6000</v>
      </c>
      <c r="AT97" s="28">
        <f t="shared" si="16"/>
        <v>3700</v>
      </c>
      <c r="AU97" s="28">
        <f t="shared" si="16"/>
        <v>3700</v>
      </c>
      <c r="AV97" s="28">
        <f t="shared" si="16"/>
        <v>0</v>
      </c>
      <c r="AW97" s="28" t="str">
        <f t="shared" si="16"/>
        <v>※3月分の単価に加算</v>
      </c>
      <c r="AX97" s="28" t="str">
        <f t="shared" si="16"/>
        <v>＋</v>
      </c>
      <c r="AY97" s="28"/>
      <c r="AZ97" s="28"/>
      <c r="BA97" s="28">
        <f t="shared" si="16"/>
        <v>1240</v>
      </c>
      <c r="BB97" s="28" t="str">
        <f t="shared" si="16"/>
        <v>＋</v>
      </c>
      <c r="BC97" s="28">
        <f t="shared" si="16"/>
        <v>10</v>
      </c>
      <c r="BD97" s="28">
        <f t="shared" si="16"/>
        <v>0</v>
      </c>
      <c r="BE97" s="28">
        <f t="shared" si="16"/>
        <v>0</v>
      </c>
      <c r="BF97" s="28" t="str">
        <f t="shared" si="16"/>
        <v>－</v>
      </c>
      <c r="BG97" s="222">
        <f>BG73</f>
        <v>0.02</v>
      </c>
      <c r="BH97" s="222">
        <f>BH73</f>
        <v>0.03</v>
      </c>
      <c r="BI97" s="222">
        <f>BI73</f>
        <v>0.05</v>
      </c>
      <c r="BJ97" s="222">
        <f>BJ73</f>
        <v>7.0000000000000007E-2</v>
      </c>
      <c r="BK97" s="28" t="str">
        <f t="shared" si="16"/>
        <v>－</v>
      </c>
      <c r="BL97" s="28">
        <f>BL73</f>
        <v>7</v>
      </c>
      <c r="BM97" s="28" t="str">
        <f t="shared" si="16"/>
        <v>－</v>
      </c>
      <c r="BN97" s="28">
        <f>BN73</f>
        <v>20</v>
      </c>
      <c r="BO97" s="28" t="str">
        <f t="shared" si="16"/>
        <v>－</v>
      </c>
      <c r="BP97" s="28">
        <f>BP73</f>
        <v>10</v>
      </c>
      <c r="BQ97" s="28">
        <f t="shared" si="16"/>
        <v>0</v>
      </c>
      <c r="BR97" s="234">
        <f>BR73</f>
        <v>0</v>
      </c>
    </row>
    <row r="98" spans="2:70">
      <c r="B98" s="28">
        <v>171</v>
      </c>
      <c r="D98" s="28" t="str">
        <f>D75</f>
        <v>４歳以上児</v>
      </c>
      <c r="E98" s="28">
        <f t="shared" ref="E98:BQ98" si="17">E75</f>
        <v>0</v>
      </c>
      <c r="F98" s="28">
        <f t="shared" si="17"/>
        <v>28730</v>
      </c>
      <c r="G98" s="28">
        <f t="shared" si="17"/>
        <v>35610</v>
      </c>
      <c r="H98" s="28">
        <f t="shared" si="17"/>
        <v>26120</v>
      </c>
      <c r="I98" s="28">
        <f t="shared" si="17"/>
        <v>33000</v>
      </c>
      <c r="J98" s="28" t="str">
        <f t="shared" si="17"/>
        <v>＋</v>
      </c>
      <c r="K98" s="28">
        <f t="shared" si="17"/>
        <v>260</v>
      </c>
      <c r="L98" s="28">
        <f t="shared" si="17"/>
        <v>320</v>
      </c>
      <c r="M98" s="28" t="str">
        <f t="shared" si="17"/>
        <v>×加算率</v>
      </c>
      <c r="N98" s="28">
        <f t="shared" si="17"/>
        <v>240</v>
      </c>
      <c r="O98" s="28">
        <f t="shared" si="17"/>
        <v>300</v>
      </c>
      <c r="P98" s="28" t="str">
        <f t="shared" si="17"/>
        <v>×加算率</v>
      </c>
      <c r="Q98" s="28" t="str">
        <f t="shared" si="17"/>
        <v>＋</v>
      </c>
      <c r="R98" s="28">
        <f t="shared" si="17"/>
        <v>6880</v>
      </c>
      <c r="S98" s="28">
        <f t="shared" si="17"/>
        <v>60</v>
      </c>
      <c r="T98" s="28">
        <f t="shared" si="17"/>
        <v>0</v>
      </c>
      <c r="U98" s="28">
        <f t="shared" si="17"/>
        <v>0</v>
      </c>
      <c r="V98" s="28">
        <f t="shared" si="17"/>
        <v>0</v>
      </c>
      <c r="W98" s="28">
        <f t="shared" si="17"/>
        <v>0</v>
      </c>
      <c r="X98" s="28">
        <f t="shared" si="17"/>
        <v>0</v>
      </c>
      <c r="Y98" s="28">
        <f t="shared" si="17"/>
        <v>0</v>
      </c>
      <c r="Z98" s="28">
        <f t="shared" si="17"/>
        <v>0</v>
      </c>
      <c r="AA98" s="28">
        <f t="shared" si="17"/>
        <v>0</v>
      </c>
      <c r="AB98" s="28">
        <f t="shared" si="17"/>
        <v>0</v>
      </c>
      <c r="AC98" s="28">
        <f t="shared" si="17"/>
        <v>0</v>
      </c>
      <c r="AD98" s="28">
        <f t="shared" si="17"/>
        <v>0</v>
      </c>
      <c r="AE98" s="28">
        <f t="shared" si="17"/>
        <v>0</v>
      </c>
      <c r="AF98" s="28">
        <f t="shared" si="17"/>
        <v>0</v>
      </c>
      <c r="AG98" s="28">
        <f t="shared" si="17"/>
        <v>0</v>
      </c>
      <c r="AH98" s="28"/>
      <c r="AI98" s="28"/>
      <c r="AJ98" s="28"/>
      <c r="AK98" s="28"/>
      <c r="AL98" s="28"/>
      <c r="AM98" s="28"/>
      <c r="AN98" s="28"/>
      <c r="AO98" s="28"/>
      <c r="AP98" s="28" t="str">
        <f t="shared" si="17"/>
        <v>＋</v>
      </c>
      <c r="AQ98" s="28" t="str">
        <f t="shared" si="17"/>
        <v>ａ地域</v>
      </c>
      <c r="AR98" s="28">
        <f t="shared" si="17"/>
        <v>4800</v>
      </c>
      <c r="AS98" s="28">
        <f t="shared" si="17"/>
        <v>5400</v>
      </c>
      <c r="AT98" s="28">
        <f t="shared" si="17"/>
        <v>3400</v>
      </c>
      <c r="AU98" s="28">
        <f t="shared" si="17"/>
        <v>3400</v>
      </c>
      <c r="AV98" s="28">
        <f t="shared" si="17"/>
        <v>0</v>
      </c>
      <c r="AW98" s="28">
        <f t="shared" si="17"/>
        <v>0</v>
      </c>
      <c r="AX98" s="28" t="str">
        <f t="shared" si="17"/>
        <v>＋</v>
      </c>
      <c r="AY98" s="28"/>
      <c r="AZ98" s="28"/>
      <c r="BA98" s="28">
        <f t="shared" si="17"/>
        <v>1170</v>
      </c>
      <c r="BB98" s="28" t="str">
        <f t="shared" si="17"/>
        <v>＋</v>
      </c>
      <c r="BC98" s="28">
        <f t="shared" si="17"/>
        <v>10</v>
      </c>
      <c r="BD98" s="28">
        <f t="shared" si="17"/>
        <v>0</v>
      </c>
      <c r="BE98" s="28">
        <f t="shared" si="17"/>
        <v>0</v>
      </c>
      <c r="BF98" s="28" t="str">
        <f t="shared" si="17"/>
        <v>－</v>
      </c>
      <c r="BG98" s="222">
        <f>BG77</f>
        <v>0.02</v>
      </c>
      <c r="BH98" s="222">
        <f>BH77</f>
        <v>0.03</v>
      </c>
      <c r="BI98" s="222">
        <f>BI77</f>
        <v>0.05</v>
      </c>
      <c r="BJ98" s="222">
        <f>BJ77</f>
        <v>7.0000000000000007E-2</v>
      </c>
      <c r="BK98" s="28" t="str">
        <f t="shared" si="17"/>
        <v>－</v>
      </c>
      <c r="BL98" s="28">
        <f>BL77</f>
        <v>7</v>
      </c>
      <c r="BM98" s="28" t="str">
        <f t="shared" si="17"/>
        <v>－</v>
      </c>
      <c r="BN98" s="28">
        <f>BN77</f>
        <v>20</v>
      </c>
      <c r="BO98" s="28" t="str">
        <f t="shared" si="17"/>
        <v>－</v>
      </c>
      <c r="BP98" s="28">
        <f>BP77</f>
        <v>10</v>
      </c>
      <c r="BQ98" s="28">
        <f t="shared" si="17"/>
        <v>0</v>
      </c>
      <c r="BR98" s="234">
        <f>BR77</f>
        <v>0</v>
      </c>
    </row>
    <row r="101" spans="2:70">
      <c r="B101" s="28">
        <v>1</v>
      </c>
      <c r="D101" s="28" t="str">
        <f>D8</f>
        <v>３歳児</v>
      </c>
      <c r="E101" s="28">
        <f t="shared" ref="E101:BQ101" si="18">E8</f>
        <v>0</v>
      </c>
      <c r="F101" s="28">
        <f t="shared" si="18"/>
        <v>225630</v>
      </c>
      <c r="G101" s="28">
        <f t="shared" si="18"/>
        <v>282080</v>
      </c>
      <c r="H101" s="28">
        <f t="shared" si="18"/>
        <v>178780</v>
      </c>
      <c r="I101" s="28">
        <f t="shared" si="18"/>
        <v>235230</v>
      </c>
      <c r="J101" s="28" t="str">
        <f t="shared" si="18"/>
        <v>＋</v>
      </c>
      <c r="K101" s="28">
        <f t="shared" si="18"/>
        <v>2220</v>
      </c>
      <c r="L101" s="28">
        <f t="shared" si="18"/>
        <v>2710</v>
      </c>
      <c r="M101" s="28" t="str">
        <f t="shared" si="18"/>
        <v>×加算率</v>
      </c>
      <c r="N101" s="28">
        <f t="shared" si="18"/>
        <v>1760</v>
      </c>
      <c r="O101" s="28">
        <f t="shared" si="18"/>
        <v>2240</v>
      </c>
      <c r="P101" s="28" t="str">
        <f t="shared" si="18"/>
        <v>×加算率</v>
      </c>
      <c r="Q101" s="28" t="str">
        <f t="shared" si="18"/>
        <v>＋</v>
      </c>
      <c r="R101" s="28">
        <f t="shared" si="18"/>
        <v>6880</v>
      </c>
      <c r="S101" s="28">
        <f t="shared" si="18"/>
        <v>60</v>
      </c>
      <c r="T101" s="28">
        <f t="shared" si="18"/>
        <v>0</v>
      </c>
      <c r="U101" s="28">
        <f t="shared" si="18"/>
        <v>0</v>
      </c>
      <c r="V101" s="28">
        <f t="shared" si="18"/>
        <v>0</v>
      </c>
      <c r="W101" s="28">
        <f t="shared" si="18"/>
        <v>0</v>
      </c>
      <c r="X101" s="28">
        <f t="shared" si="18"/>
        <v>0</v>
      </c>
      <c r="Y101" s="28">
        <f t="shared" si="18"/>
        <v>0</v>
      </c>
      <c r="Z101" s="28">
        <f t="shared" si="18"/>
        <v>0</v>
      </c>
      <c r="AA101" s="28">
        <f t="shared" si="18"/>
        <v>0</v>
      </c>
      <c r="AB101" s="28">
        <f t="shared" si="18"/>
        <v>0</v>
      </c>
      <c r="AC101" s="28">
        <f t="shared" si="18"/>
        <v>0</v>
      </c>
      <c r="AD101" s="28">
        <f t="shared" si="18"/>
        <v>52680</v>
      </c>
      <c r="AE101" s="28">
        <f t="shared" si="18"/>
        <v>0</v>
      </c>
      <c r="AF101" s="28">
        <f t="shared" si="18"/>
        <v>0</v>
      </c>
      <c r="AG101" s="28">
        <f t="shared" si="18"/>
        <v>0</v>
      </c>
      <c r="AH101" s="28"/>
      <c r="AI101" s="28"/>
      <c r="AJ101" s="28"/>
      <c r="AK101" s="28"/>
      <c r="AL101" s="28"/>
      <c r="AM101" s="28"/>
      <c r="AN101" s="28"/>
      <c r="AO101" s="28"/>
      <c r="AP101" s="28">
        <f t="shared" si="18"/>
        <v>0</v>
      </c>
      <c r="AQ101" s="28" t="str">
        <f t="shared" si="18"/>
        <v>ｂ地域</v>
      </c>
      <c r="AR101" s="28">
        <f t="shared" si="18"/>
        <v>17400</v>
      </c>
      <c r="AS101" s="28">
        <f t="shared" si="18"/>
        <v>19400</v>
      </c>
      <c r="AT101" s="28">
        <f t="shared" si="18"/>
        <v>12200</v>
      </c>
      <c r="AU101" s="28">
        <f t="shared" si="18"/>
        <v>12200</v>
      </c>
      <c r="AV101" s="28">
        <f t="shared" si="18"/>
        <v>0</v>
      </c>
      <c r="AW101" s="28">
        <f t="shared" si="18"/>
        <v>0</v>
      </c>
      <c r="AX101" s="28">
        <f t="shared" si="18"/>
        <v>0</v>
      </c>
      <c r="AY101" s="28"/>
      <c r="AZ101" s="28"/>
      <c r="BA101" s="28">
        <f t="shared" si="18"/>
        <v>0</v>
      </c>
      <c r="BB101" s="28">
        <f t="shared" si="18"/>
        <v>0</v>
      </c>
      <c r="BC101" s="28">
        <f t="shared" si="18"/>
        <v>0</v>
      </c>
      <c r="BD101" s="28">
        <f t="shared" si="18"/>
        <v>0</v>
      </c>
      <c r="BE101" s="28">
        <f t="shared" si="18"/>
        <v>0</v>
      </c>
      <c r="BF101" s="28">
        <f t="shared" si="18"/>
        <v>0</v>
      </c>
      <c r="BG101" s="28">
        <f t="shared" si="18"/>
        <v>0</v>
      </c>
      <c r="BH101" s="28"/>
      <c r="BI101" s="28"/>
      <c r="BJ101" s="28"/>
      <c r="BK101" s="28">
        <f t="shared" si="18"/>
        <v>0</v>
      </c>
      <c r="BL101" s="28"/>
      <c r="BM101" s="28">
        <f t="shared" si="18"/>
        <v>0</v>
      </c>
      <c r="BN101" s="28"/>
      <c r="BO101" s="28">
        <f t="shared" si="18"/>
        <v>0</v>
      </c>
      <c r="BP101" s="28"/>
      <c r="BQ101" s="28">
        <f t="shared" si="18"/>
        <v>0</v>
      </c>
      <c r="BR101" s="28"/>
    </row>
    <row r="102" spans="2:70">
      <c r="B102" s="28">
        <v>11</v>
      </c>
      <c r="D102" s="28" t="str">
        <f>D12</f>
        <v>３歳児</v>
      </c>
      <c r="E102" s="28">
        <f t="shared" ref="E102:BQ102" si="19">E12</f>
        <v>0</v>
      </c>
      <c r="F102" s="28">
        <f t="shared" si="19"/>
        <v>125570</v>
      </c>
      <c r="G102" s="28">
        <f t="shared" si="19"/>
        <v>182020</v>
      </c>
      <c r="H102" s="28">
        <f t="shared" si="19"/>
        <v>102150</v>
      </c>
      <c r="I102" s="28">
        <f t="shared" si="19"/>
        <v>158600</v>
      </c>
      <c r="J102" s="28" t="str">
        <f t="shared" si="19"/>
        <v>＋</v>
      </c>
      <c r="K102" s="28">
        <f t="shared" si="19"/>
        <v>1220</v>
      </c>
      <c r="L102" s="28">
        <f t="shared" si="19"/>
        <v>1710</v>
      </c>
      <c r="M102" s="28" t="str">
        <f t="shared" si="19"/>
        <v>×加算率</v>
      </c>
      <c r="N102" s="28">
        <f t="shared" si="19"/>
        <v>990</v>
      </c>
      <c r="O102" s="28">
        <f t="shared" si="19"/>
        <v>1470</v>
      </c>
      <c r="P102" s="28" t="str">
        <f t="shared" si="19"/>
        <v>×加算率</v>
      </c>
      <c r="Q102" s="28" t="str">
        <f t="shared" si="19"/>
        <v>＋</v>
      </c>
      <c r="R102" s="28">
        <f t="shared" si="19"/>
        <v>6880</v>
      </c>
      <c r="S102" s="28">
        <f t="shared" si="19"/>
        <v>60</v>
      </c>
      <c r="T102" s="28">
        <f t="shared" si="19"/>
        <v>0</v>
      </c>
      <c r="U102" s="28">
        <f t="shared" si="19"/>
        <v>0</v>
      </c>
      <c r="V102" s="28">
        <f t="shared" si="19"/>
        <v>0</v>
      </c>
      <c r="W102" s="28">
        <f t="shared" si="19"/>
        <v>0</v>
      </c>
      <c r="X102" s="28">
        <f t="shared" si="19"/>
        <v>0</v>
      </c>
      <c r="Y102" s="28">
        <f t="shared" si="19"/>
        <v>0</v>
      </c>
      <c r="Z102" s="28">
        <f t="shared" si="19"/>
        <v>0</v>
      </c>
      <c r="AA102" s="28">
        <f t="shared" si="19"/>
        <v>0</v>
      </c>
      <c r="AB102" s="28">
        <f t="shared" si="19"/>
        <v>0</v>
      </c>
      <c r="AC102" s="28">
        <f t="shared" si="19"/>
        <v>0</v>
      </c>
      <c r="AD102" s="28">
        <f t="shared" si="19"/>
        <v>28990</v>
      </c>
      <c r="AE102" s="28">
        <f t="shared" si="19"/>
        <v>0</v>
      </c>
      <c r="AF102" s="28">
        <f t="shared" si="19"/>
        <v>0</v>
      </c>
      <c r="AG102" s="28">
        <f t="shared" si="19"/>
        <v>0</v>
      </c>
      <c r="AH102" s="28"/>
      <c r="AI102" s="28"/>
      <c r="AJ102" s="28"/>
      <c r="AK102" s="28"/>
      <c r="AL102" s="28"/>
      <c r="AM102" s="28"/>
      <c r="AN102" s="28"/>
      <c r="AO102" s="28"/>
      <c r="AP102" s="28">
        <f t="shared" si="19"/>
        <v>0</v>
      </c>
      <c r="AQ102" s="28" t="str">
        <f t="shared" si="19"/>
        <v>ｂ地域</v>
      </c>
      <c r="AR102" s="28">
        <f t="shared" si="19"/>
        <v>8700</v>
      </c>
      <c r="AS102" s="28">
        <f t="shared" si="19"/>
        <v>9700</v>
      </c>
      <c r="AT102" s="28">
        <f t="shared" si="19"/>
        <v>6100</v>
      </c>
      <c r="AU102" s="28">
        <f t="shared" si="19"/>
        <v>6100</v>
      </c>
      <c r="AV102" s="28">
        <f t="shared" si="19"/>
        <v>0</v>
      </c>
      <c r="AW102" s="28">
        <f t="shared" si="19"/>
        <v>0</v>
      </c>
      <c r="AX102" s="28">
        <f t="shared" si="19"/>
        <v>0</v>
      </c>
      <c r="AY102" s="28"/>
      <c r="AZ102" s="28"/>
      <c r="BA102" s="28">
        <f t="shared" si="19"/>
        <v>0</v>
      </c>
      <c r="BB102" s="28">
        <f t="shared" si="19"/>
        <v>0</v>
      </c>
      <c r="BC102" s="28">
        <f t="shared" si="19"/>
        <v>0</v>
      </c>
      <c r="BD102" s="28">
        <f t="shared" si="19"/>
        <v>0</v>
      </c>
      <c r="BE102" s="28">
        <f t="shared" si="19"/>
        <v>0</v>
      </c>
      <c r="BF102" s="28">
        <f t="shared" si="19"/>
        <v>0</v>
      </c>
      <c r="BG102" s="28">
        <f t="shared" si="19"/>
        <v>0</v>
      </c>
      <c r="BH102" s="28"/>
      <c r="BI102" s="28"/>
      <c r="BJ102" s="28"/>
      <c r="BK102" s="28">
        <f t="shared" si="19"/>
        <v>0</v>
      </c>
      <c r="BL102" s="28"/>
      <c r="BM102" s="28">
        <f t="shared" si="19"/>
        <v>0</v>
      </c>
      <c r="BN102" s="28"/>
      <c r="BO102" s="28">
        <f t="shared" si="19"/>
        <v>0</v>
      </c>
      <c r="BP102" s="28"/>
      <c r="BQ102" s="28">
        <f t="shared" si="19"/>
        <v>0</v>
      </c>
      <c r="BR102" s="28"/>
    </row>
    <row r="103" spans="2:70">
      <c r="B103" s="28">
        <v>21</v>
      </c>
      <c r="D103" s="28" t="str">
        <f>D16</f>
        <v>３歳児</v>
      </c>
      <c r="E103" s="28">
        <f t="shared" ref="E103:BQ103" si="20">E16</f>
        <v>0</v>
      </c>
      <c r="F103" s="28">
        <f t="shared" si="20"/>
        <v>92120</v>
      </c>
      <c r="G103" s="28">
        <f t="shared" si="20"/>
        <v>148570</v>
      </c>
      <c r="H103" s="28">
        <f t="shared" si="20"/>
        <v>76500</v>
      </c>
      <c r="I103" s="28">
        <f t="shared" si="20"/>
        <v>132950</v>
      </c>
      <c r="J103" s="28" t="str">
        <f t="shared" si="20"/>
        <v>＋</v>
      </c>
      <c r="K103" s="28">
        <f t="shared" si="20"/>
        <v>890</v>
      </c>
      <c r="L103" s="28">
        <f t="shared" si="20"/>
        <v>1370</v>
      </c>
      <c r="M103" s="28" t="str">
        <f t="shared" si="20"/>
        <v>×加算率</v>
      </c>
      <c r="N103" s="28">
        <f t="shared" si="20"/>
        <v>730</v>
      </c>
      <c r="O103" s="28">
        <f t="shared" si="20"/>
        <v>1220</v>
      </c>
      <c r="P103" s="28" t="str">
        <f t="shared" si="20"/>
        <v>×加算率</v>
      </c>
      <c r="Q103" s="28" t="str">
        <f t="shared" si="20"/>
        <v>＋</v>
      </c>
      <c r="R103" s="28">
        <f t="shared" si="20"/>
        <v>6880</v>
      </c>
      <c r="S103" s="28">
        <f t="shared" si="20"/>
        <v>60</v>
      </c>
      <c r="T103" s="28">
        <f t="shared" si="20"/>
        <v>0</v>
      </c>
      <c r="U103" s="28">
        <f t="shared" si="20"/>
        <v>0</v>
      </c>
      <c r="V103" s="28">
        <f t="shared" si="20"/>
        <v>0</v>
      </c>
      <c r="W103" s="28">
        <f t="shared" si="20"/>
        <v>0</v>
      </c>
      <c r="X103" s="28">
        <f t="shared" si="20"/>
        <v>0</v>
      </c>
      <c r="Y103" s="28">
        <f t="shared" si="20"/>
        <v>0</v>
      </c>
      <c r="Z103" s="28">
        <f t="shared" si="20"/>
        <v>0</v>
      </c>
      <c r="AA103" s="28">
        <f t="shared" si="20"/>
        <v>0</v>
      </c>
      <c r="AB103" s="28">
        <f t="shared" si="20"/>
        <v>0</v>
      </c>
      <c r="AC103" s="28">
        <f t="shared" si="20"/>
        <v>0</v>
      </c>
      <c r="AD103" s="28">
        <f t="shared" si="20"/>
        <v>21090</v>
      </c>
      <c r="AE103" s="28">
        <f t="shared" si="20"/>
        <v>0</v>
      </c>
      <c r="AF103" s="28">
        <f t="shared" si="20"/>
        <v>0</v>
      </c>
      <c r="AG103" s="28">
        <f t="shared" si="20"/>
        <v>0</v>
      </c>
      <c r="AH103" s="28"/>
      <c r="AI103" s="28"/>
      <c r="AJ103" s="28"/>
      <c r="AK103" s="28"/>
      <c r="AL103" s="28"/>
      <c r="AM103" s="28"/>
      <c r="AN103" s="28"/>
      <c r="AO103" s="28"/>
      <c r="AP103" s="28">
        <f t="shared" si="20"/>
        <v>0</v>
      </c>
      <c r="AQ103" s="28" t="str">
        <f t="shared" si="20"/>
        <v>ｂ地域</v>
      </c>
      <c r="AR103" s="28">
        <f t="shared" si="20"/>
        <v>6000</v>
      </c>
      <c r="AS103" s="28">
        <f t="shared" si="20"/>
        <v>6700</v>
      </c>
      <c r="AT103" s="28">
        <f t="shared" si="20"/>
        <v>4200</v>
      </c>
      <c r="AU103" s="28">
        <f t="shared" si="20"/>
        <v>4200</v>
      </c>
      <c r="AV103" s="28">
        <f t="shared" si="20"/>
        <v>0</v>
      </c>
      <c r="AW103" s="28" t="str">
        <f t="shared" si="20"/>
        <v>認定こども園全体の利用定員</v>
      </c>
      <c r="AX103" s="28">
        <f t="shared" si="20"/>
        <v>0</v>
      </c>
      <c r="AY103" s="28"/>
      <c r="AZ103" s="28"/>
      <c r="BA103" s="28">
        <f t="shared" si="20"/>
        <v>0</v>
      </c>
      <c r="BB103" s="28">
        <f t="shared" si="20"/>
        <v>0</v>
      </c>
      <c r="BC103" s="28">
        <f t="shared" si="20"/>
        <v>0</v>
      </c>
      <c r="BD103" s="28">
        <f t="shared" si="20"/>
        <v>0</v>
      </c>
      <c r="BE103" s="28">
        <f t="shared" si="20"/>
        <v>0</v>
      </c>
      <c r="BF103" s="28">
        <f t="shared" si="20"/>
        <v>0</v>
      </c>
      <c r="BG103" s="28">
        <f t="shared" si="20"/>
        <v>0</v>
      </c>
      <c r="BH103" s="28"/>
      <c r="BI103" s="28"/>
      <c r="BJ103" s="28"/>
      <c r="BK103" s="28">
        <f t="shared" si="20"/>
        <v>0</v>
      </c>
      <c r="BL103" s="28"/>
      <c r="BM103" s="28">
        <f t="shared" si="20"/>
        <v>0</v>
      </c>
      <c r="BN103" s="28"/>
      <c r="BO103" s="28">
        <f t="shared" si="20"/>
        <v>0</v>
      </c>
      <c r="BP103" s="28"/>
      <c r="BQ103" s="28">
        <f t="shared" si="20"/>
        <v>0</v>
      </c>
      <c r="BR103" s="28"/>
    </row>
    <row r="104" spans="2:70">
      <c r="B104" s="28">
        <v>31</v>
      </c>
      <c r="D104" s="28" t="str">
        <f>D20</f>
        <v>３歳児</v>
      </c>
      <c r="E104" s="28">
        <f t="shared" ref="E104:BQ104" si="21">E20</f>
        <v>0</v>
      </c>
      <c r="F104" s="28">
        <f t="shared" si="21"/>
        <v>75530</v>
      </c>
      <c r="G104" s="28">
        <f t="shared" si="21"/>
        <v>131980</v>
      </c>
      <c r="H104" s="28">
        <f t="shared" si="21"/>
        <v>63820</v>
      </c>
      <c r="I104" s="28">
        <f t="shared" si="21"/>
        <v>120270</v>
      </c>
      <c r="J104" s="28" t="str">
        <f t="shared" si="21"/>
        <v>＋</v>
      </c>
      <c r="K104" s="28">
        <f t="shared" si="21"/>
        <v>720</v>
      </c>
      <c r="L104" s="28">
        <f t="shared" si="21"/>
        <v>1210</v>
      </c>
      <c r="M104" s="28" t="str">
        <f t="shared" si="21"/>
        <v>×加算率</v>
      </c>
      <c r="N104" s="28">
        <f t="shared" si="21"/>
        <v>610</v>
      </c>
      <c r="O104" s="28">
        <f t="shared" si="21"/>
        <v>1090</v>
      </c>
      <c r="P104" s="28" t="str">
        <f t="shared" si="21"/>
        <v>×加算率</v>
      </c>
      <c r="Q104" s="28" t="str">
        <f t="shared" si="21"/>
        <v>＋</v>
      </c>
      <c r="R104" s="28">
        <f t="shared" si="21"/>
        <v>6880</v>
      </c>
      <c r="S104" s="28">
        <f t="shared" si="21"/>
        <v>60</v>
      </c>
      <c r="T104" s="28">
        <f t="shared" si="21"/>
        <v>0</v>
      </c>
      <c r="U104" s="28">
        <f t="shared" si="21"/>
        <v>0</v>
      </c>
      <c r="V104" s="28">
        <f t="shared" si="21"/>
        <v>0</v>
      </c>
      <c r="W104" s="28">
        <f t="shared" si="21"/>
        <v>0</v>
      </c>
      <c r="X104" s="28">
        <f t="shared" si="21"/>
        <v>0</v>
      </c>
      <c r="Y104" s="28">
        <f t="shared" si="21"/>
        <v>0</v>
      </c>
      <c r="Z104" s="28">
        <f t="shared" si="21"/>
        <v>0</v>
      </c>
      <c r="AA104" s="28">
        <f t="shared" si="21"/>
        <v>0</v>
      </c>
      <c r="AB104" s="28">
        <f t="shared" si="21"/>
        <v>0</v>
      </c>
      <c r="AC104" s="28">
        <f t="shared" si="21"/>
        <v>0</v>
      </c>
      <c r="AD104" s="28">
        <f t="shared" si="21"/>
        <v>17140</v>
      </c>
      <c r="AE104" s="28">
        <f t="shared" si="21"/>
        <v>0</v>
      </c>
      <c r="AF104" s="28">
        <f t="shared" si="21"/>
        <v>0</v>
      </c>
      <c r="AG104" s="28">
        <f t="shared" si="21"/>
        <v>0</v>
      </c>
      <c r="AH104" s="28"/>
      <c r="AI104" s="28"/>
      <c r="AJ104" s="28"/>
      <c r="AK104" s="28"/>
      <c r="AL104" s="28"/>
      <c r="AM104" s="28"/>
      <c r="AN104" s="28"/>
      <c r="AO104" s="28"/>
      <c r="AP104" s="28">
        <f t="shared" si="21"/>
        <v>0</v>
      </c>
      <c r="AQ104" s="28" t="str">
        <f t="shared" si="21"/>
        <v>ｂ地域</v>
      </c>
      <c r="AR104" s="28">
        <f t="shared" si="21"/>
        <v>5400</v>
      </c>
      <c r="AS104" s="28">
        <f t="shared" si="21"/>
        <v>6000</v>
      </c>
      <c r="AT104" s="28">
        <f t="shared" si="21"/>
        <v>3700</v>
      </c>
      <c r="AU104" s="28">
        <f t="shared" si="21"/>
        <v>3700</v>
      </c>
      <c r="AV104" s="28">
        <f t="shared" si="21"/>
        <v>0</v>
      </c>
      <c r="AW104" s="28">
        <f t="shared" si="21"/>
        <v>27330</v>
      </c>
      <c r="AX104" s="28">
        <f t="shared" si="21"/>
        <v>0</v>
      </c>
      <c r="AY104" s="28"/>
      <c r="AZ104" s="28"/>
      <c r="BA104" s="28">
        <f t="shared" si="21"/>
        <v>0</v>
      </c>
      <c r="BB104" s="28">
        <f t="shared" si="21"/>
        <v>0</v>
      </c>
      <c r="BC104" s="28">
        <f t="shared" si="21"/>
        <v>0</v>
      </c>
      <c r="BD104" s="28">
        <f t="shared" si="21"/>
        <v>0</v>
      </c>
      <c r="BE104" s="28">
        <f t="shared" si="21"/>
        <v>0</v>
      </c>
      <c r="BF104" s="28">
        <f t="shared" si="21"/>
        <v>0</v>
      </c>
      <c r="BG104" s="28">
        <f t="shared" si="21"/>
        <v>0</v>
      </c>
      <c r="BH104" s="28"/>
      <c r="BI104" s="28"/>
      <c r="BJ104" s="28"/>
      <c r="BK104" s="28">
        <f t="shared" si="21"/>
        <v>0</v>
      </c>
      <c r="BL104" s="28"/>
      <c r="BM104" s="28">
        <f t="shared" si="21"/>
        <v>0</v>
      </c>
      <c r="BN104" s="28"/>
      <c r="BO104" s="28">
        <f t="shared" si="21"/>
        <v>0</v>
      </c>
      <c r="BP104" s="28"/>
      <c r="BQ104" s="28">
        <f t="shared" si="21"/>
        <v>0</v>
      </c>
      <c r="BR104" s="28"/>
    </row>
    <row r="105" spans="2:70">
      <c r="B105" s="28">
        <v>41</v>
      </c>
      <c r="D105" s="28" t="str">
        <f>D24</f>
        <v>３歳児</v>
      </c>
      <c r="E105" s="28">
        <f t="shared" ref="E105:BQ105" si="22">E24</f>
        <v>0</v>
      </c>
      <c r="F105" s="28">
        <f t="shared" si="22"/>
        <v>70670</v>
      </c>
      <c r="G105" s="28">
        <f t="shared" si="22"/>
        <v>127120</v>
      </c>
      <c r="H105" s="28">
        <f t="shared" si="22"/>
        <v>61300</v>
      </c>
      <c r="I105" s="28">
        <f t="shared" si="22"/>
        <v>117750</v>
      </c>
      <c r="J105" s="28" t="str">
        <f t="shared" si="22"/>
        <v>＋</v>
      </c>
      <c r="K105" s="28">
        <f t="shared" si="22"/>
        <v>670</v>
      </c>
      <c r="L105" s="28">
        <f t="shared" si="22"/>
        <v>1160</v>
      </c>
      <c r="M105" s="28" t="str">
        <f t="shared" si="22"/>
        <v>×加算率</v>
      </c>
      <c r="N105" s="28">
        <f t="shared" si="22"/>
        <v>580</v>
      </c>
      <c r="O105" s="28">
        <f t="shared" si="22"/>
        <v>1060</v>
      </c>
      <c r="P105" s="28" t="str">
        <f t="shared" si="22"/>
        <v>×加算率</v>
      </c>
      <c r="Q105" s="28" t="str">
        <f t="shared" si="22"/>
        <v>＋</v>
      </c>
      <c r="R105" s="28">
        <f t="shared" si="22"/>
        <v>6880</v>
      </c>
      <c r="S105" s="28">
        <f t="shared" si="22"/>
        <v>60</v>
      </c>
      <c r="T105" s="28">
        <f t="shared" si="22"/>
        <v>0</v>
      </c>
      <c r="U105" s="28">
        <f t="shared" si="22"/>
        <v>0</v>
      </c>
      <c r="V105" s="28">
        <f t="shared" si="22"/>
        <v>0</v>
      </c>
      <c r="W105" s="28">
        <f t="shared" si="22"/>
        <v>0</v>
      </c>
      <c r="X105" s="28">
        <f t="shared" si="22"/>
        <v>0</v>
      </c>
      <c r="Y105" s="28">
        <f t="shared" si="22"/>
        <v>0</v>
      </c>
      <c r="Z105" s="28">
        <f t="shared" si="22"/>
        <v>0</v>
      </c>
      <c r="AA105" s="28">
        <f t="shared" si="22"/>
        <v>0</v>
      </c>
      <c r="AB105" s="28">
        <f t="shared" si="22"/>
        <v>0</v>
      </c>
      <c r="AC105" s="28">
        <f t="shared" si="22"/>
        <v>0</v>
      </c>
      <c r="AD105" s="28">
        <f t="shared" si="22"/>
        <v>14770</v>
      </c>
      <c r="AE105" s="28">
        <f t="shared" si="22"/>
        <v>0</v>
      </c>
      <c r="AF105" s="28">
        <f t="shared" si="22"/>
        <v>0</v>
      </c>
      <c r="AG105" s="28">
        <f t="shared" si="22"/>
        <v>0</v>
      </c>
      <c r="AH105" s="28"/>
      <c r="AI105" s="28"/>
      <c r="AJ105" s="28"/>
      <c r="AK105" s="28"/>
      <c r="AL105" s="28"/>
      <c r="AM105" s="28"/>
      <c r="AN105" s="28"/>
      <c r="AO105" s="28"/>
      <c r="AP105" s="28">
        <f t="shared" si="22"/>
        <v>0</v>
      </c>
      <c r="AQ105" s="28" t="str">
        <f t="shared" si="22"/>
        <v>ｂ地域</v>
      </c>
      <c r="AR105" s="28">
        <f t="shared" si="22"/>
        <v>4800</v>
      </c>
      <c r="AS105" s="28">
        <f t="shared" si="22"/>
        <v>5400</v>
      </c>
      <c r="AT105" s="28">
        <f t="shared" si="22"/>
        <v>3400</v>
      </c>
      <c r="AU105" s="28">
        <f t="shared" si="22"/>
        <v>3400</v>
      </c>
      <c r="AV105" s="28">
        <f t="shared" si="22"/>
        <v>0</v>
      </c>
      <c r="AW105" s="28">
        <f t="shared" si="22"/>
        <v>0</v>
      </c>
      <c r="AX105" s="28">
        <f t="shared" si="22"/>
        <v>0</v>
      </c>
      <c r="AY105" s="28"/>
      <c r="AZ105" s="28"/>
      <c r="BA105" s="28">
        <f t="shared" si="22"/>
        <v>0</v>
      </c>
      <c r="BB105" s="28">
        <f t="shared" si="22"/>
        <v>0</v>
      </c>
      <c r="BC105" s="28">
        <f t="shared" si="22"/>
        <v>0</v>
      </c>
      <c r="BD105" s="28">
        <f t="shared" si="22"/>
        <v>0</v>
      </c>
      <c r="BE105" s="28">
        <f t="shared" si="22"/>
        <v>0</v>
      </c>
      <c r="BF105" s="28">
        <f t="shared" si="22"/>
        <v>0</v>
      </c>
      <c r="BG105" s="28">
        <f t="shared" si="22"/>
        <v>0</v>
      </c>
      <c r="BH105" s="28"/>
      <c r="BI105" s="28"/>
      <c r="BJ105" s="28"/>
      <c r="BK105" s="28">
        <f t="shared" si="22"/>
        <v>0</v>
      </c>
      <c r="BL105" s="28"/>
      <c r="BM105" s="28">
        <f t="shared" si="22"/>
        <v>0</v>
      </c>
      <c r="BN105" s="28"/>
      <c r="BO105" s="28">
        <f t="shared" si="22"/>
        <v>0</v>
      </c>
      <c r="BP105" s="28"/>
      <c r="BQ105" s="28">
        <f t="shared" si="22"/>
        <v>0</v>
      </c>
      <c r="BR105" s="28"/>
    </row>
    <row r="106" spans="2:70">
      <c r="B106" s="28">
        <v>51</v>
      </c>
      <c r="D106" s="28" t="str">
        <f>D28</f>
        <v>３歳児</v>
      </c>
      <c r="E106" s="28">
        <f t="shared" ref="E106:BQ106" si="23">E28</f>
        <v>0</v>
      </c>
      <c r="F106" s="28">
        <f t="shared" si="23"/>
        <v>62670</v>
      </c>
      <c r="G106" s="28">
        <f t="shared" si="23"/>
        <v>119120</v>
      </c>
      <c r="H106" s="28">
        <f t="shared" si="23"/>
        <v>54860</v>
      </c>
      <c r="I106" s="28">
        <f t="shared" si="23"/>
        <v>111310</v>
      </c>
      <c r="J106" s="28" t="str">
        <f t="shared" si="23"/>
        <v>＋</v>
      </c>
      <c r="K106" s="28">
        <f t="shared" si="23"/>
        <v>590</v>
      </c>
      <c r="L106" s="28">
        <f t="shared" si="23"/>
        <v>1080</v>
      </c>
      <c r="M106" s="28" t="str">
        <f t="shared" si="23"/>
        <v>×加算率</v>
      </c>
      <c r="N106" s="28">
        <f t="shared" si="23"/>
        <v>520</v>
      </c>
      <c r="O106" s="28">
        <f t="shared" si="23"/>
        <v>1000</v>
      </c>
      <c r="P106" s="28" t="str">
        <f t="shared" si="23"/>
        <v>×加算率</v>
      </c>
      <c r="Q106" s="28" t="str">
        <f t="shared" si="23"/>
        <v>＋</v>
      </c>
      <c r="R106" s="28">
        <f t="shared" si="23"/>
        <v>6880</v>
      </c>
      <c r="S106" s="28">
        <f t="shared" si="23"/>
        <v>60</v>
      </c>
      <c r="T106" s="28">
        <f t="shared" si="23"/>
        <v>0</v>
      </c>
      <c r="U106" s="28">
        <f t="shared" si="23"/>
        <v>0</v>
      </c>
      <c r="V106" s="28" t="str">
        <f t="shared" si="23"/>
        <v>　 280人～　349人</v>
      </c>
      <c r="W106" s="28">
        <f t="shared" si="23"/>
        <v>0</v>
      </c>
      <c r="X106" s="28" t="str">
        <f t="shared" si="23"/>
        <v>　 280人～　349人</v>
      </c>
      <c r="Y106" s="28">
        <f t="shared" si="23"/>
        <v>0</v>
      </c>
      <c r="Z106" s="28">
        <f t="shared" si="23"/>
        <v>0</v>
      </c>
      <c r="AA106" s="28">
        <f t="shared" si="23"/>
        <v>0</v>
      </c>
      <c r="AB106" s="28">
        <f t="shared" si="23"/>
        <v>0</v>
      </c>
      <c r="AC106" s="28">
        <f t="shared" si="23"/>
        <v>0</v>
      </c>
      <c r="AD106" s="28">
        <f t="shared" si="23"/>
        <v>13190</v>
      </c>
      <c r="AE106" s="28">
        <f t="shared" si="23"/>
        <v>0</v>
      </c>
      <c r="AF106" s="28">
        <f t="shared" si="23"/>
        <v>0</v>
      </c>
      <c r="AG106" s="28">
        <f t="shared" si="23"/>
        <v>0</v>
      </c>
      <c r="AH106" s="28"/>
      <c r="AI106" s="28"/>
      <c r="AJ106" s="28"/>
      <c r="AK106" s="28"/>
      <c r="AL106" s="28"/>
      <c r="AM106" s="28"/>
      <c r="AN106" s="28"/>
      <c r="AO106" s="28"/>
      <c r="AP106" s="28">
        <f t="shared" si="23"/>
        <v>0</v>
      </c>
      <c r="AQ106" s="28" t="str">
        <f t="shared" si="23"/>
        <v>ｂ地域</v>
      </c>
      <c r="AR106" s="28">
        <f t="shared" si="23"/>
        <v>4000</v>
      </c>
      <c r="AS106" s="28">
        <f t="shared" si="23"/>
        <v>4400</v>
      </c>
      <c r="AT106" s="28">
        <f t="shared" si="23"/>
        <v>2800</v>
      </c>
      <c r="AU106" s="28">
        <f t="shared" si="23"/>
        <v>2800</v>
      </c>
      <c r="AV106" s="28">
        <f t="shared" si="23"/>
        <v>0</v>
      </c>
      <c r="AW106" s="28" t="str">
        <f t="shared" si="23"/>
        <v xml:space="preserve">  36人～　45人</v>
      </c>
      <c r="AX106" s="28">
        <f t="shared" si="23"/>
        <v>0</v>
      </c>
      <c r="AY106" s="28"/>
      <c r="AZ106" s="28"/>
      <c r="BA106" s="28">
        <f t="shared" si="23"/>
        <v>0</v>
      </c>
      <c r="BB106" s="28">
        <f t="shared" si="23"/>
        <v>0</v>
      </c>
      <c r="BC106" s="28">
        <f t="shared" si="23"/>
        <v>0</v>
      </c>
      <c r="BD106" s="28">
        <f t="shared" si="23"/>
        <v>0</v>
      </c>
      <c r="BE106" s="28">
        <f t="shared" si="23"/>
        <v>0</v>
      </c>
      <c r="BF106" s="28">
        <f t="shared" si="23"/>
        <v>0</v>
      </c>
      <c r="BG106" s="28">
        <f t="shared" si="23"/>
        <v>0</v>
      </c>
      <c r="BH106" s="28"/>
      <c r="BI106" s="28"/>
      <c r="BJ106" s="28"/>
      <c r="BK106" s="28">
        <f t="shared" si="23"/>
        <v>0</v>
      </c>
      <c r="BL106" s="28"/>
      <c r="BM106" s="28">
        <f t="shared" si="23"/>
        <v>0</v>
      </c>
      <c r="BN106" s="28"/>
      <c r="BO106" s="28">
        <f t="shared" si="23"/>
        <v>0</v>
      </c>
      <c r="BP106" s="28"/>
      <c r="BQ106" s="28">
        <f t="shared" si="23"/>
        <v>0</v>
      </c>
      <c r="BR106" s="28"/>
    </row>
    <row r="107" spans="2:70">
      <c r="B107" s="28">
        <v>61</v>
      </c>
      <c r="D107" s="28" t="str">
        <f>D32</f>
        <v>３歳児</v>
      </c>
      <c r="E107" s="28">
        <f t="shared" ref="E107:BQ107" si="24">E32</f>
        <v>0</v>
      </c>
      <c r="F107" s="28">
        <f t="shared" si="24"/>
        <v>57040</v>
      </c>
      <c r="G107" s="28">
        <f t="shared" si="24"/>
        <v>113490</v>
      </c>
      <c r="H107" s="28">
        <f t="shared" si="24"/>
        <v>50340</v>
      </c>
      <c r="I107" s="28">
        <f t="shared" si="24"/>
        <v>106790</v>
      </c>
      <c r="J107" s="28" t="str">
        <f t="shared" si="24"/>
        <v>＋</v>
      </c>
      <c r="K107" s="28">
        <f t="shared" si="24"/>
        <v>540</v>
      </c>
      <c r="L107" s="28">
        <f t="shared" si="24"/>
        <v>1020</v>
      </c>
      <c r="M107" s="28" t="str">
        <f t="shared" si="24"/>
        <v>×加算率</v>
      </c>
      <c r="N107" s="28">
        <f t="shared" si="24"/>
        <v>470</v>
      </c>
      <c r="O107" s="28">
        <f t="shared" si="24"/>
        <v>950</v>
      </c>
      <c r="P107" s="28" t="str">
        <f t="shared" si="24"/>
        <v>×加算率</v>
      </c>
      <c r="Q107" s="28" t="str">
        <f t="shared" si="24"/>
        <v>＋</v>
      </c>
      <c r="R107" s="28">
        <f t="shared" si="24"/>
        <v>6880</v>
      </c>
      <c r="S107" s="28">
        <f t="shared" si="24"/>
        <v>60</v>
      </c>
      <c r="T107" s="28">
        <f t="shared" si="24"/>
        <v>0</v>
      </c>
      <c r="U107" s="28">
        <f t="shared" si="24"/>
        <v>0</v>
      </c>
      <c r="V107" s="28">
        <f t="shared" si="24"/>
        <v>325100</v>
      </c>
      <c r="W107" s="28">
        <f t="shared" si="24"/>
        <v>0</v>
      </c>
      <c r="X107" s="28">
        <f t="shared" si="24"/>
        <v>3250</v>
      </c>
      <c r="Y107" s="28">
        <f t="shared" si="24"/>
        <v>0</v>
      </c>
      <c r="Z107" s="28">
        <f t="shared" si="24"/>
        <v>0</v>
      </c>
      <c r="AA107" s="28">
        <f t="shared" si="24"/>
        <v>0</v>
      </c>
      <c r="AB107" s="28">
        <f t="shared" si="24"/>
        <v>0</v>
      </c>
      <c r="AC107" s="28">
        <f t="shared" si="24"/>
        <v>0</v>
      </c>
      <c r="AD107" s="28">
        <f t="shared" si="24"/>
        <v>12060</v>
      </c>
      <c r="AE107" s="28">
        <f t="shared" si="24"/>
        <v>0</v>
      </c>
      <c r="AF107" s="28">
        <f t="shared" si="24"/>
        <v>0</v>
      </c>
      <c r="AG107" s="28">
        <f t="shared" si="24"/>
        <v>0</v>
      </c>
      <c r="AH107" s="28"/>
      <c r="AI107" s="28"/>
      <c r="AJ107" s="28"/>
      <c r="AK107" s="28"/>
      <c r="AL107" s="28"/>
      <c r="AM107" s="28"/>
      <c r="AN107" s="28"/>
      <c r="AO107" s="28"/>
      <c r="AP107" s="28">
        <f t="shared" si="24"/>
        <v>0</v>
      </c>
      <c r="AQ107" s="28" t="str">
        <f t="shared" si="24"/>
        <v>ｂ地域</v>
      </c>
      <c r="AR107" s="28">
        <f t="shared" si="24"/>
        <v>3500</v>
      </c>
      <c r="AS107" s="28">
        <f t="shared" si="24"/>
        <v>3900</v>
      </c>
      <c r="AT107" s="28">
        <f t="shared" si="24"/>
        <v>2400</v>
      </c>
      <c r="AU107" s="28">
        <f t="shared" si="24"/>
        <v>2400</v>
      </c>
      <c r="AV107" s="28">
        <f t="shared" si="24"/>
        <v>0</v>
      </c>
      <c r="AW107" s="28">
        <f t="shared" si="24"/>
        <v>7500</v>
      </c>
      <c r="AX107" s="28">
        <f t="shared" si="24"/>
        <v>0</v>
      </c>
      <c r="AY107" s="28"/>
      <c r="AZ107" s="28"/>
      <c r="BA107" s="28">
        <f t="shared" si="24"/>
        <v>0</v>
      </c>
      <c r="BB107" s="28">
        <f t="shared" si="24"/>
        <v>0</v>
      </c>
      <c r="BC107" s="28">
        <f t="shared" si="24"/>
        <v>0</v>
      </c>
      <c r="BD107" s="28">
        <f t="shared" si="24"/>
        <v>0</v>
      </c>
      <c r="BE107" s="28">
        <f t="shared" si="24"/>
        <v>0</v>
      </c>
      <c r="BF107" s="28">
        <f t="shared" si="24"/>
        <v>0</v>
      </c>
      <c r="BG107" s="28">
        <f t="shared" si="24"/>
        <v>0</v>
      </c>
      <c r="BH107" s="28"/>
      <c r="BI107" s="28"/>
      <c r="BJ107" s="28"/>
      <c r="BK107" s="28">
        <f t="shared" si="24"/>
        <v>0</v>
      </c>
      <c r="BL107" s="28"/>
      <c r="BM107" s="28">
        <f t="shared" si="24"/>
        <v>0</v>
      </c>
      <c r="BN107" s="28"/>
      <c r="BO107" s="28">
        <f t="shared" si="24"/>
        <v>0</v>
      </c>
      <c r="BP107" s="28"/>
      <c r="BQ107" s="28">
        <f t="shared" si="24"/>
        <v>0</v>
      </c>
      <c r="BR107" s="28"/>
    </row>
    <row r="108" spans="2:70">
      <c r="B108" s="28">
        <v>71</v>
      </c>
      <c r="D108" s="28" t="str">
        <f>D36</f>
        <v>３歳児</v>
      </c>
      <c r="E108" s="28">
        <f t="shared" ref="E108:BQ108" si="25">E36</f>
        <v>0</v>
      </c>
      <c r="F108" s="28">
        <f t="shared" si="25"/>
        <v>52860</v>
      </c>
      <c r="G108" s="28">
        <f t="shared" si="25"/>
        <v>109310</v>
      </c>
      <c r="H108" s="28">
        <f t="shared" si="25"/>
        <v>47000</v>
      </c>
      <c r="I108" s="28">
        <f t="shared" si="25"/>
        <v>103450</v>
      </c>
      <c r="J108" s="28" t="str">
        <f t="shared" si="25"/>
        <v>＋</v>
      </c>
      <c r="K108" s="28">
        <f t="shared" si="25"/>
        <v>500</v>
      </c>
      <c r="L108" s="28">
        <f t="shared" si="25"/>
        <v>980</v>
      </c>
      <c r="M108" s="28" t="str">
        <f t="shared" si="25"/>
        <v>×加算率</v>
      </c>
      <c r="N108" s="28">
        <f t="shared" si="25"/>
        <v>440</v>
      </c>
      <c r="O108" s="28">
        <f t="shared" si="25"/>
        <v>920</v>
      </c>
      <c r="P108" s="28" t="str">
        <f t="shared" si="25"/>
        <v>×加算率</v>
      </c>
      <c r="Q108" s="28" t="str">
        <f t="shared" si="25"/>
        <v>＋</v>
      </c>
      <c r="R108" s="28">
        <f t="shared" si="25"/>
        <v>6880</v>
      </c>
      <c r="S108" s="28">
        <f t="shared" si="25"/>
        <v>60</v>
      </c>
      <c r="T108" s="28">
        <f t="shared" si="25"/>
        <v>0</v>
      </c>
      <c r="U108" s="28">
        <f t="shared" si="25"/>
        <v>0</v>
      </c>
      <c r="V108" s="28">
        <f t="shared" si="25"/>
        <v>0</v>
      </c>
      <c r="W108" s="28">
        <f t="shared" si="25"/>
        <v>0</v>
      </c>
      <c r="X108" s="28">
        <f t="shared" si="25"/>
        <v>0</v>
      </c>
      <c r="Y108" s="28">
        <f t="shared" si="25"/>
        <v>0</v>
      </c>
      <c r="Z108" s="28">
        <f t="shared" si="25"/>
        <v>0</v>
      </c>
      <c r="AA108" s="28">
        <f t="shared" si="25"/>
        <v>0</v>
      </c>
      <c r="AB108" s="28">
        <f t="shared" si="25"/>
        <v>0</v>
      </c>
      <c r="AC108" s="28">
        <f t="shared" si="25"/>
        <v>0</v>
      </c>
      <c r="AD108" s="28">
        <f t="shared" si="25"/>
        <v>11220</v>
      </c>
      <c r="AE108" s="28">
        <f t="shared" si="25"/>
        <v>0</v>
      </c>
      <c r="AF108" s="28">
        <f t="shared" si="25"/>
        <v>0</v>
      </c>
      <c r="AG108" s="28">
        <f t="shared" si="25"/>
        <v>0</v>
      </c>
      <c r="AH108" s="28"/>
      <c r="AI108" s="28"/>
      <c r="AJ108" s="28"/>
      <c r="AK108" s="28"/>
      <c r="AL108" s="28"/>
      <c r="AM108" s="28"/>
      <c r="AN108" s="28"/>
      <c r="AO108" s="28"/>
      <c r="AP108" s="28">
        <f t="shared" si="25"/>
        <v>0</v>
      </c>
      <c r="AQ108" s="28" t="str">
        <f t="shared" si="25"/>
        <v>ｂ地域</v>
      </c>
      <c r="AR108" s="28">
        <f t="shared" si="25"/>
        <v>3900</v>
      </c>
      <c r="AS108" s="28">
        <f t="shared" si="25"/>
        <v>4300</v>
      </c>
      <c r="AT108" s="28">
        <f t="shared" si="25"/>
        <v>2700</v>
      </c>
      <c r="AU108" s="28">
        <f t="shared" si="25"/>
        <v>2700</v>
      </c>
      <c r="AV108" s="28">
        <f t="shared" si="25"/>
        <v>0</v>
      </c>
      <c r="AW108" s="28">
        <f t="shared" si="25"/>
        <v>0</v>
      </c>
      <c r="AX108" s="28">
        <f t="shared" si="25"/>
        <v>0</v>
      </c>
      <c r="AY108" s="28"/>
      <c r="AZ108" s="28"/>
      <c r="BA108" s="28">
        <f t="shared" si="25"/>
        <v>0</v>
      </c>
      <c r="BB108" s="28">
        <f t="shared" si="25"/>
        <v>0</v>
      </c>
      <c r="BC108" s="28">
        <f t="shared" si="25"/>
        <v>0</v>
      </c>
      <c r="BD108" s="28">
        <f t="shared" si="25"/>
        <v>0</v>
      </c>
      <c r="BE108" s="28">
        <f t="shared" si="25"/>
        <v>0</v>
      </c>
      <c r="BF108" s="28">
        <f t="shared" si="25"/>
        <v>0</v>
      </c>
      <c r="BG108" s="28">
        <f t="shared" si="25"/>
        <v>0</v>
      </c>
      <c r="BH108" s="28"/>
      <c r="BI108" s="28"/>
      <c r="BJ108" s="28"/>
      <c r="BK108" s="28">
        <f t="shared" si="25"/>
        <v>0</v>
      </c>
      <c r="BL108" s="28"/>
      <c r="BM108" s="28">
        <f t="shared" si="25"/>
        <v>0</v>
      </c>
      <c r="BN108" s="28"/>
      <c r="BO108" s="28">
        <f t="shared" si="25"/>
        <v>0</v>
      </c>
      <c r="BP108" s="28"/>
      <c r="BQ108" s="28">
        <f t="shared" si="25"/>
        <v>0</v>
      </c>
      <c r="BR108" s="28"/>
    </row>
    <row r="109" spans="2:70">
      <c r="B109" s="28">
        <v>81</v>
      </c>
      <c r="D109" s="28" t="str">
        <f>D40</f>
        <v>３歳児</v>
      </c>
      <c r="E109" s="28">
        <f t="shared" ref="E109:BQ109" si="26">E40</f>
        <v>0</v>
      </c>
      <c r="F109" s="28">
        <f t="shared" si="26"/>
        <v>49570</v>
      </c>
      <c r="G109" s="28">
        <f t="shared" si="26"/>
        <v>106020</v>
      </c>
      <c r="H109" s="28">
        <f t="shared" si="26"/>
        <v>44360</v>
      </c>
      <c r="I109" s="28">
        <f t="shared" si="26"/>
        <v>100810</v>
      </c>
      <c r="J109" s="28" t="str">
        <f t="shared" si="26"/>
        <v>＋</v>
      </c>
      <c r="K109" s="28">
        <f t="shared" si="26"/>
        <v>460</v>
      </c>
      <c r="L109" s="28">
        <f t="shared" si="26"/>
        <v>950</v>
      </c>
      <c r="M109" s="28" t="str">
        <f t="shared" si="26"/>
        <v>×加算率</v>
      </c>
      <c r="N109" s="28">
        <f t="shared" si="26"/>
        <v>410</v>
      </c>
      <c r="O109" s="28">
        <f t="shared" si="26"/>
        <v>890</v>
      </c>
      <c r="P109" s="28" t="str">
        <f t="shared" si="26"/>
        <v>×加算率</v>
      </c>
      <c r="Q109" s="28" t="str">
        <f t="shared" si="26"/>
        <v>＋</v>
      </c>
      <c r="R109" s="28">
        <f t="shared" si="26"/>
        <v>6880</v>
      </c>
      <c r="S109" s="28">
        <f t="shared" si="26"/>
        <v>60</v>
      </c>
      <c r="T109" s="28">
        <f t="shared" si="26"/>
        <v>0</v>
      </c>
      <c r="U109" s="28">
        <f t="shared" si="26"/>
        <v>0</v>
      </c>
      <c r="V109" s="28" t="str">
        <f t="shared" si="26"/>
        <v>　 560人～　629人</v>
      </c>
      <c r="W109" s="28">
        <f t="shared" si="26"/>
        <v>0</v>
      </c>
      <c r="X109" s="28" t="str">
        <f t="shared" si="26"/>
        <v>　 560人～　629人</v>
      </c>
      <c r="Y109" s="28">
        <f t="shared" si="26"/>
        <v>0</v>
      </c>
      <c r="Z109" s="28">
        <f t="shared" si="26"/>
        <v>0</v>
      </c>
      <c r="AA109" s="28" t="str">
        <f t="shared" si="26"/>
        <v>各月初日の</v>
      </c>
      <c r="AB109" s="28">
        <f t="shared" si="26"/>
        <v>0</v>
      </c>
      <c r="AC109" s="28">
        <f t="shared" si="26"/>
        <v>0</v>
      </c>
      <c r="AD109" s="28">
        <f t="shared" si="26"/>
        <v>10560</v>
      </c>
      <c r="AE109" s="28">
        <f t="shared" si="26"/>
        <v>0</v>
      </c>
      <c r="AF109" s="28">
        <f t="shared" si="26"/>
        <v>0</v>
      </c>
      <c r="AG109" s="28">
        <f t="shared" si="26"/>
        <v>0</v>
      </c>
      <c r="AH109" s="28"/>
      <c r="AI109" s="28"/>
      <c r="AJ109" s="28"/>
      <c r="AK109" s="28"/>
      <c r="AL109" s="28"/>
      <c r="AM109" s="28"/>
      <c r="AN109" s="28"/>
      <c r="AO109" s="28"/>
      <c r="AP109" s="28">
        <f t="shared" si="26"/>
        <v>0</v>
      </c>
      <c r="AQ109" s="28" t="str">
        <f t="shared" si="26"/>
        <v>ｂ地域</v>
      </c>
      <c r="AR109" s="28">
        <f t="shared" si="26"/>
        <v>3500</v>
      </c>
      <c r="AS109" s="28">
        <f t="shared" si="26"/>
        <v>3900</v>
      </c>
      <c r="AT109" s="28">
        <f t="shared" si="26"/>
        <v>2400</v>
      </c>
      <c r="AU109" s="28">
        <f t="shared" si="26"/>
        <v>2400</v>
      </c>
      <c r="AV109" s="28">
        <f t="shared" si="26"/>
        <v>0</v>
      </c>
      <c r="AW109" s="28" t="str">
        <f t="shared" si="26"/>
        <v xml:space="preserve">  91人～ 105人</v>
      </c>
      <c r="AX109" s="28">
        <f t="shared" si="26"/>
        <v>0</v>
      </c>
      <c r="AY109" s="28"/>
      <c r="AZ109" s="28"/>
      <c r="BA109" s="28">
        <f t="shared" si="26"/>
        <v>0</v>
      </c>
      <c r="BB109" s="28">
        <f t="shared" si="26"/>
        <v>0</v>
      </c>
      <c r="BC109" s="28">
        <f t="shared" si="26"/>
        <v>0</v>
      </c>
      <c r="BD109" s="28">
        <f t="shared" si="26"/>
        <v>0</v>
      </c>
      <c r="BE109" s="28">
        <f t="shared" si="26"/>
        <v>0</v>
      </c>
      <c r="BF109" s="28">
        <f t="shared" si="26"/>
        <v>0</v>
      </c>
      <c r="BG109" s="28">
        <f t="shared" si="26"/>
        <v>0</v>
      </c>
      <c r="BH109" s="28"/>
      <c r="BI109" s="28"/>
      <c r="BJ109" s="28"/>
      <c r="BK109" s="28">
        <f t="shared" si="26"/>
        <v>0</v>
      </c>
      <c r="BL109" s="28"/>
      <c r="BM109" s="28">
        <f t="shared" si="26"/>
        <v>0</v>
      </c>
      <c r="BN109" s="28"/>
      <c r="BO109" s="28">
        <f t="shared" si="26"/>
        <v>0</v>
      </c>
      <c r="BP109" s="28"/>
      <c r="BQ109" s="28">
        <f t="shared" si="26"/>
        <v>0</v>
      </c>
      <c r="BR109" s="28"/>
    </row>
    <row r="110" spans="2:70">
      <c r="B110" s="28">
        <v>91</v>
      </c>
      <c r="D110" s="28" t="str">
        <f>D44</f>
        <v>３歳児</v>
      </c>
      <c r="E110" s="28">
        <f t="shared" ref="E110:BQ110" si="27">E44</f>
        <v>0</v>
      </c>
      <c r="F110" s="28">
        <f t="shared" si="27"/>
        <v>43980</v>
      </c>
      <c r="G110" s="28">
        <f t="shared" si="27"/>
        <v>100430</v>
      </c>
      <c r="H110" s="28">
        <f t="shared" si="27"/>
        <v>39300</v>
      </c>
      <c r="I110" s="28">
        <f t="shared" si="27"/>
        <v>95750</v>
      </c>
      <c r="J110" s="28" t="str">
        <f t="shared" si="27"/>
        <v>＋</v>
      </c>
      <c r="K110" s="28">
        <f t="shared" si="27"/>
        <v>410</v>
      </c>
      <c r="L110" s="28">
        <f t="shared" si="27"/>
        <v>890</v>
      </c>
      <c r="M110" s="28" t="str">
        <f t="shared" si="27"/>
        <v>×加算率</v>
      </c>
      <c r="N110" s="28">
        <f t="shared" si="27"/>
        <v>360</v>
      </c>
      <c r="O110" s="28">
        <f t="shared" si="27"/>
        <v>840</v>
      </c>
      <c r="P110" s="28" t="str">
        <f t="shared" si="27"/>
        <v>×加算率</v>
      </c>
      <c r="Q110" s="28" t="str">
        <f t="shared" si="27"/>
        <v>＋</v>
      </c>
      <c r="R110" s="28">
        <f t="shared" si="27"/>
        <v>6880</v>
      </c>
      <c r="S110" s="28">
        <f t="shared" si="27"/>
        <v>60</v>
      </c>
      <c r="T110" s="28">
        <f t="shared" si="27"/>
        <v>0</v>
      </c>
      <c r="U110" s="28">
        <f t="shared" si="27"/>
        <v>0</v>
      </c>
      <c r="V110" s="28">
        <f t="shared" si="27"/>
        <v>460500</v>
      </c>
      <c r="W110" s="28">
        <f t="shared" si="27"/>
        <v>0</v>
      </c>
      <c r="X110" s="28">
        <f t="shared" si="27"/>
        <v>4600</v>
      </c>
      <c r="Y110" s="28">
        <f t="shared" si="27"/>
        <v>0</v>
      </c>
      <c r="Z110" s="28">
        <f t="shared" si="27"/>
        <v>0</v>
      </c>
      <c r="AA110" s="28">
        <f t="shared" si="27"/>
        <v>0</v>
      </c>
      <c r="AB110" s="28">
        <f t="shared" si="27"/>
        <v>0</v>
      </c>
      <c r="AC110" s="28">
        <f t="shared" si="27"/>
        <v>0</v>
      </c>
      <c r="AD110" s="28">
        <f t="shared" si="27"/>
        <v>0</v>
      </c>
      <c r="AE110" s="28">
        <f t="shared" si="27"/>
        <v>0</v>
      </c>
      <c r="AF110" s="28">
        <f t="shared" si="27"/>
        <v>0</v>
      </c>
      <c r="AG110" s="28">
        <f t="shared" si="27"/>
        <v>0</v>
      </c>
      <c r="AH110" s="28"/>
      <c r="AI110" s="28"/>
      <c r="AJ110" s="28"/>
      <c r="AK110" s="28"/>
      <c r="AL110" s="28"/>
      <c r="AM110" s="28"/>
      <c r="AN110" s="28"/>
      <c r="AO110" s="28"/>
      <c r="AP110" s="28">
        <f t="shared" si="27"/>
        <v>0</v>
      </c>
      <c r="AQ110" s="28" t="str">
        <f t="shared" si="27"/>
        <v>ｂ地域</v>
      </c>
      <c r="AR110" s="28">
        <f t="shared" si="27"/>
        <v>3000</v>
      </c>
      <c r="AS110" s="28">
        <f t="shared" si="27"/>
        <v>3400</v>
      </c>
      <c r="AT110" s="28">
        <f t="shared" si="27"/>
        <v>2100</v>
      </c>
      <c r="AU110" s="28">
        <f t="shared" si="27"/>
        <v>2100</v>
      </c>
      <c r="AV110" s="28">
        <f t="shared" si="27"/>
        <v>0</v>
      </c>
      <c r="AW110" s="28">
        <f t="shared" si="27"/>
        <v>4250</v>
      </c>
      <c r="AX110" s="28">
        <f t="shared" si="27"/>
        <v>0</v>
      </c>
      <c r="AY110" s="28"/>
      <c r="AZ110" s="28"/>
      <c r="BA110" s="28">
        <f t="shared" si="27"/>
        <v>0</v>
      </c>
      <c r="BB110" s="28">
        <f t="shared" si="27"/>
        <v>0</v>
      </c>
      <c r="BC110" s="28">
        <f t="shared" si="27"/>
        <v>0</v>
      </c>
      <c r="BD110" s="28">
        <f t="shared" si="27"/>
        <v>0</v>
      </c>
      <c r="BE110" s="28">
        <f t="shared" si="27"/>
        <v>0</v>
      </c>
      <c r="BF110" s="28">
        <f t="shared" si="27"/>
        <v>0</v>
      </c>
      <c r="BG110" s="28">
        <f t="shared" si="27"/>
        <v>0</v>
      </c>
      <c r="BH110" s="28"/>
      <c r="BI110" s="28"/>
      <c r="BJ110" s="28"/>
      <c r="BK110" s="28">
        <f t="shared" si="27"/>
        <v>0</v>
      </c>
      <c r="BL110" s="28"/>
      <c r="BM110" s="28">
        <f t="shared" si="27"/>
        <v>0</v>
      </c>
      <c r="BN110" s="28"/>
      <c r="BO110" s="28">
        <f t="shared" si="27"/>
        <v>0</v>
      </c>
      <c r="BP110" s="28"/>
      <c r="BQ110" s="28">
        <f t="shared" si="27"/>
        <v>0</v>
      </c>
      <c r="BR110" s="28"/>
    </row>
    <row r="111" spans="2:70">
      <c r="B111" s="28">
        <v>101</v>
      </c>
      <c r="D111" s="28" t="str">
        <f>D48</f>
        <v>３歳児</v>
      </c>
      <c r="E111" s="28">
        <f t="shared" ref="E111:BQ111" si="28">E48</f>
        <v>0</v>
      </c>
      <c r="F111" s="28">
        <f t="shared" si="28"/>
        <v>42130</v>
      </c>
      <c r="G111" s="28">
        <f t="shared" si="28"/>
        <v>98580</v>
      </c>
      <c r="H111" s="28">
        <f t="shared" si="28"/>
        <v>37870</v>
      </c>
      <c r="I111" s="28">
        <f t="shared" si="28"/>
        <v>94320</v>
      </c>
      <c r="J111" s="28" t="str">
        <f t="shared" si="28"/>
        <v>＋</v>
      </c>
      <c r="K111" s="28">
        <f t="shared" si="28"/>
        <v>390</v>
      </c>
      <c r="L111" s="28">
        <f t="shared" si="28"/>
        <v>870</v>
      </c>
      <c r="M111" s="28" t="str">
        <f t="shared" si="28"/>
        <v>×加算率</v>
      </c>
      <c r="N111" s="28">
        <f t="shared" si="28"/>
        <v>350</v>
      </c>
      <c r="O111" s="28">
        <f t="shared" si="28"/>
        <v>830</v>
      </c>
      <c r="P111" s="28" t="str">
        <f t="shared" si="28"/>
        <v>×加算率</v>
      </c>
      <c r="Q111" s="28" t="str">
        <f t="shared" si="28"/>
        <v>＋</v>
      </c>
      <c r="R111" s="28">
        <f t="shared" si="28"/>
        <v>6880</v>
      </c>
      <c r="S111" s="28">
        <f t="shared" si="28"/>
        <v>60</v>
      </c>
      <c r="T111" s="28">
        <f t="shared" si="28"/>
        <v>0</v>
      </c>
      <c r="U111" s="28">
        <f t="shared" si="28"/>
        <v>0</v>
      </c>
      <c r="V111" s="28">
        <f t="shared" si="28"/>
        <v>0</v>
      </c>
      <c r="W111" s="28">
        <f t="shared" si="28"/>
        <v>0</v>
      </c>
      <c r="X111" s="28">
        <f t="shared" si="28"/>
        <v>0</v>
      </c>
      <c r="Y111" s="28">
        <f t="shared" si="28"/>
        <v>0</v>
      </c>
      <c r="Z111" s="28">
        <f t="shared" si="28"/>
        <v>0</v>
      </c>
      <c r="AA111" s="28">
        <f t="shared" si="28"/>
        <v>0</v>
      </c>
      <c r="AB111" s="28">
        <f t="shared" si="28"/>
        <v>0</v>
      </c>
      <c r="AC111" s="28">
        <f t="shared" si="28"/>
        <v>0</v>
      </c>
      <c r="AD111" s="28">
        <f t="shared" si="28"/>
        <v>0</v>
      </c>
      <c r="AE111" s="28">
        <f t="shared" si="28"/>
        <v>0</v>
      </c>
      <c r="AF111" s="28">
        <f t="shared" si="28"/>
        <v>0</v>
      </c>
      <c r="AG111" s="28">
        <f t="shared" si="28"/>
        <v>0</v>
      </c>
      <c r="AH111" s="28"/>
      <c r="AI111" s="28"/>
      <c r="AJ111" s="28"/>
      <c r="AK111" s="28"/>
      <c r="AL111" s="28"/>
      <c r="AM111" s="28"/>
      <c r="AN111" s="28"/>
      <c r="AO111" s="28"/>
      <c r="AP111" s="28">
        <f t="shared" si="28"/>
        <v>0</v>
      </c>
      <c r="AQ111" s="28" t="str">
        <f t="shared" si="28"/>
        <v>ｂ地域</v>
      </c>
      <c r="AR111" s="28">
        <f t="shared" si="28"/>
        <v>3300</v>
      </c>
      <c r="AS111" s="28">
        <f t="shared" si="28"/>
        <v>3700</v>
      </c>
      <c r="AT111" s="28">
        <f t="shared" si="28"/>
        <v>2300</v>
      </c>
      <c r="AU111" s="28">
        <f t="shared" si="28"/>
        <v>2300</v>
      </c>
      <c r="AV111" s="28">
        <f t="shared" si="28"/>
        <v>0</v>
      </c>
      <c r="AW111" s="28">
        <f t="shared" si="28"/>
        <v>0</v>
      </c>
      <c r="AX111" s="28">
        <f t="shared" si="28"/>
        <v>0</v>
      </c>
      <c r="AY111" s="28"/>
      <c r="AZ111" s="28"/>
      <c r="BA111" s="28">
        <f t="shared" si="28"/>
        <v>0</v>
      </c>
      <c r="BB111" s="28">
        <f t="shared" si="28"/>
        <v>0</v>
      </c>
      <c r="BC111" s="28">
        <f t="shared" si="28"/>
        <v>0</v>
      </c>
      <c r="BD111" s="28">
        <f t="shared" si="28"/>
        <v>0</v>
      </c>
      <c r="BE111" s="28">
        <f t="shared" si="28"/>
        <v>0</v>
      </c>
      <c r="BF111" s="28">
        <f t="shared" si="28"/>
        <v>0</v>
      </c>
      <c r="BG111" s="28">
        <f t="shared" si="28"/>
        <v>0</v>
      </c>
      <c r="BH111" s="28"/>
      <c r="BI111" s="28"/>
      <c r="BJ111" s="28"/>
      <c r="BK111" s="28">
        <f t="shared" si="28"/>
        <v>0</v>
      </c>
      <c r="BL111" s="28"/>
      <c r="BM111" s="28">
        <f t="shared" si="28"/>
        <v>0</v>
      </c>
      <c r="BN111" s="28"/>
      <c r="BO111" s="28">
        <f t="shared" si="28"/>
        <v>0</v>
      </c>
      <c r="BP111" s="28"/>
      <c r="BQ111" s="28">
        <f t="shared" si="28"/>
        <v>0</v>
      </c>
      <c r="BR111" s="28"/>
    </row>
    <row r="112" spans="2:70">
      <c r="B112" s="28">
        <v>111</v>
      </c>
      <c r="D112" s="28" t="str">
        <f>D52</f>
        <v>３歳児</v>
      </c>
      <c r="E112" s="28">
        <f t="shared" ref="E112:BQ112" si="29">E52</f>
        <v>0</v>
      </c>
      <c r="F112" s="28">
        <f t="shared" si="29"/>
        <v>40560</v>
      </c>
      <c r="G112" s="28">
        <f t="shared" si="29"/>
        <v>97010</v>
      </c>
      <c r="H112" s="28">
        <f t="shared" si="29"/>
        <v>36650</v>
      </c>
      <c r="I112" s="28">
        <f t="shared" si="29"/>
        <v>93100</v>
      </c>
      <c r="J112" s="28" t="str">
        <f t="shared" si="29"/>
        <v>＋</v>
      </c>
      <c r="K112" s="28">
        <f t="shared" si="29"/>
        <v>370</v>
      </c>
      <c r="L112" s="28">
        <f t="shared" si="29"/>
        <v>860</v>
      </c>
      <c r="M112" s="28" t="str">
        <f t="shared" si="29"/>
        <v>×加算率</v>
      </c>
      <c r="N112" s="28">
        <f t="shared" si="29"/>
        <v>330</v>
      </c>
      <c r="O112" s="28">
        <f t="shared" si="29"/>
        <v>820</v>
      </c>
      <c r="P112" s="28" t="str">
        <f t="shared" si="29"/>
        <v>×加算率</v>
      </c>
      <c r="Q112" s="28" t="str">
        <f t="shared" si="29"/>
        <v>＋</v>
      </c>
      <c r="R112" s="28">
        <f t="shared" si="29"/>
        <v>6880</v>
      </c>
      <c r="S112" s="28">
        <f t="shared" si="29"/>
        <v>60</v>
      </c>
      <c r="T112" s="28">
        <f t="shared" si="29"/>
        <v>0</v>
      </c>
      <c r="U112" s="28">
        <f t="shared" si="29"/>
        <v>0</v>
      </c>
      <c r="V112" s="28" t="str">
        <f t="shared" si="29"/>
        <v>　 840人～　909人</v>
      </c>
      <c r="W112" s="28">
        <f t="shared" si="29"/>
        <v>0</v>
      </c>
      <c r="X112" s="28" t="str">
        <f t="shared" si="29"/>
        <v>　 840人～　909人</v>
      </c>
      <c r="Y112" s="28">
        <f t="shared" si="29"/>
        <v>0</v>
      </c>
      <c r="Z112" s="28">
        <f t="shared" si="29"/>
        <v>0</v>
      </c>
      <c r="AA112" s="28">
        <f t="shared" si="29"/>
        <v>0</v>
      </c>
      <c r="AB112" s="28">
        <f t="shared" si="29"/>
        <v>0</v>
      </c>
      <c r="AC112" s="28">
        <f t="shared" si="29"/>
        <v>0</v>
      </c>
      <c r="AD112" s="28">
        <f t="shared" si="29"/>
        <v>0</v>
      </c>
      <c r="AE112" s="28">
        <f t="shared" si="29"/>
        <v>0</v>
      </c>
      <c r="AF112" s="28">
        <f t="shared" si="29"/>
        <v>0</v>
      </c>
      <c r="AG112" s="28">
        <f t="shared" si="29"/>
        <v>0</v>
      </c>
      <c r="AH112" s="28"/>
      <c r="AI112" s="28"/>
      <c r="AJ112" s="28"/>
      <c r="AK112" s="28"/>
      <c r="AL112" s="28"/>
      <c r="AM112" s="28"/>
      <c r="AN112" s="28"/>
      <c r="AO112" s="28"/>
      <c r="AP112" s="28">
        <f t="shared" si="29"/>
        <v>0</v>
      </c>
      <c r="AQ112" s="28" t="str">
        <f t="shared" si="29"/>
        <v>ｂ地域</v>
      </c>
      <c r="AR112" s="28">
        <f t="shared" si="29"/>
        <v>3000</v>
      </c>
      <c r="AS112" s="28">
        <f t="shared" si="29"/>
        <v>3400</v>
      </c>
      <c r="AT112" s="28">
        <f t="shared" si="29"/>
        <v>2100</v>
      </c>
      <c r="AU112" s="28">
        <f t="shared" si="29"/>
        <v>2100</v>
      </c>
      <c r="AV112" s="28">
        <f t="shared" si="29"/>
        <v>0</v>
      </c>
      <c r="AW112" s="28" t="str">
        <f t="shared" si="29"/>
        <v xml:space="preserve"> 151人～ 180人</v>
      </c>
      <c r="AX112" s="28">
        <f t="shared" si="29"/>
        <v>0</v>
      </c>
      <c r="AY112" s="28"/>
      <c r="AZ112" s="28"/>
      <c r="BA112" s="28">
        <f t="shared" si="29"/>
        <v>0</v>
      </c>
      <c r="BB112" s="28">
        <f t="shared" si="29"/>
        <v>0</v>
      </c>
      <c r="BC112" s="28">
        <f t="shared" si="29"/>
        <v>0</v>
      </c>
      <c r="BD112" s="28">
        <f t="shared" si="29"/>
        <v>0</v>
      </c>
      <c r="BE112" s="28">
        <f t="shared" si="29"/>
        <v>0</v>
      </c>
      <c r="BF112" s="28">
        <f t="shared" si="29"/>
        <v>0</v>
      </c>
      <c r="BG112" s="28">
        <f t="shared" si="29"/>
        <v>0</v>
      </c>
      <c r="BH112" s="28"/>
      <c r="BI112" s="28"/>
      <c r="BJ112" s="28"/>
      <c r="BK112" s="28">
        <f t="shared" si="29"/>
        <v>0</v>
      </c>
      <c r="BL112" s="28"/>
      <c r="BM112" s="28">
        <f t="shared" si="29"/>
        <v>0</v>
      </c>
      <c r="BN112" s="28"/>
      <c r="BO112" s="28">
        <f t="shared" si="29"/>
        <v>0</v>
      </c>
      <c r="BP112" s="28"/>
      <c r="BQ112" s="28">
        <f t="shared" si="29"/>
        <v>0</v>
      </c>
      <c r="BR112" s="28"/>
    </row>
    <row r="113" spans="2:70">
      <c r="B113" s="28">
        <v>121</v>
      </c>
      <c r="D113" s="28" t="str">
        <f>D56</f>
        <v>３歳児</v>
      </c>
      <c r="E113" s="28">
        <f t="shared" ref="E113:BQ113" si="30">E56</f>
        <v>0</v>
      </c>
      <c r="F113" s="28">
        <f t="shared" si="30"/>
        <v>39220</v>
      </c>
      <c r="G113" s="28">
        <f t="shared" si="30"/>
        <v>95670</v>
      </c>
      <c r="H113" s="28">
        <f t="shared" si="30"/>
        <v>35620</v>
      </c>
      <c r="I113" s="28">
        <f t="shared" si="30"/>
        <v>92070</v>
      </c>
      <c r="J113" s="28" t="str">
        <f t="shared" si="30"/>
        <v>＋</v>
      </c>
      <c r="K113" s="28">
        <f t="shared" si="30"/>
        <v>360</v>
      </c>
      <c r="L113" s="28">
        <f t="shared" si="30"/>
        <v>840</v>
      </c>
      <c r="M113" s="28" t="str">
        <f t="shared" si="30"/>
        <v>×加算率</v>
      </c>
      <c r="N113" s="28">
        <f t="shared" si="30"/>
        <v>320</v>
      </c>
      <c r="O113" s="28">
        <f t="shared" si="30"/>
        <v>810</v>
      </c>
      <c r="P113" s="28" t="str">
        <f t="shared" si="30"/>
        <v>×加算率</v>
      </c>
      <c r="Q113" s="28" t="str">
        <f t="shared" si="30"/>
        <v>＋</v>
      </c>
      <c r="R113" s="28">
        <f t="shared" si="30"/>
        <v>6880</v>
      </c>
      <c r="S113" s="28">
        <f t="shared" si="30"/>
        <v>60</v>
      </c>
      <c r="T113" s="28">
        <f t="shared" si="30"/>
        <v>0</v>
      </c>
      <c r="U113" s="28">
        <f t="shared" si="30"/>
        <v>0</v>
      </c>
      <c r="V113" s="28">
        <f t="shared" si="30"/>
        <v>595800</v>
      </c>
      <c r="W113" s="28">
        <f t="shared" si="30"/>
        <v>0</v>
      </c>
      <c r="X113" s="28">
        <f t="shared" si="30"/>
        <v>5950</v>
      </c>
      <c r="Y113" s="28">
        <f t="shared" si="30"/>
        <v>0</v>
      </c>
      <c r="Z113" s="28">
        <f t="shared" si="30"/>
        <v>0</v>
      </c>
      <c r="AA113" s="28">
        <f t="shared" si="30"/>
        <v>0</v>
      </c>
      <c r="AB113" s="28">
        <f t="shared" si="30"/>
        <v>0</v>
      </c>
      <c r="AC113" s="28">
        <f t="shared" si="30"/>
        <v>0</v>
      </c>
      <c r="AD113" s="28">
        <f t="shared" si="30"/>
        <v>0</v>
      </c>
      <c r="AE113" s="28">
        <f t="shared" si="30"/>
        <v>0</v>
      </c>
      <c r="AF113" s="28">
        <f t="shared" si="30"/>
        <v>0</v>
      </c>
      <c r="AG113" s="28">
        <f t="shared" si="30"/>
        <v>0</v>
      </c>
      <c r="AH113" s="28"/>
      <c r="AI113" s="28"/>
      <c r="AJ113" s="28"/>
      <c r="AK113" s="28"/>
      <c r="AL113" s="28"/>
      <c r="AM113" s="28"/>
      <c r="AN113" s="28"/>
      <c r="AO113" s="28"/>
      <c r="AP113" s="28">
        <f t="shared" si="30"/>
        <v>0</v>
      </c>
      <c r="AQ113" s="28" t="str">
        <f t="shared" si="30"/>
        <v>ｂ地域</v>
      </c>
      <c r="AR113" s="28">
        <f t="shared" si="30"/>
        <v>2800</v>
      </c>
      <c r="AS113" s="28">
        <f t="shared" si="30"/>
        <v>3100</v>
      </c>
      <c r="AT113" s="28">
        <f t="shared" si="30"/>
        <v>1900</v>
      </c>
      <c r="AU113" s="28">
        <f t="shared" si="30"/>
        <v>1900</v>
      </c>
      <c r="AV113" s="28">
        <f t="shared" si="30"/>
        <v>0</v>
      </c>
      <c r="AW113" s="28">
        <f t="shared" si="30"/>
        <v>2810</v>
      </c>
      <c r="AX113" s="28">
        <f t="shared" si="30"/>
        <v>0</v>
      </c>
      <c r="AY113" s="28"/>
      <c r="AZ113" s="28"/>
      <c r="BA113" s="28">
        <f t="shared" si="30"/>
        <v>0</v>
      </c>
      <c r="BB113" s="28">
        <f t="shared" si="30"/>
        <v>0</v>
      </c>
      <c r="BC113" s="28">
        <f t="shared" si="30"/>
        <v>0</v>
      </c>
      <c r="BD113" s="28">
        <f t="shared" si="30"/>
        <v>0</v>
      </c>
      <c r="BE113" s="28">
        <f t="shared" si="30"/>
        <v>0</v>
      </c>
      <c r="BF113" s="28">
        <f t="shared" si="30"/>
        <v>0</v>
      </c>
      <c r="BG113" s="28">
        <f t="shared" si="30"/>
        <v>0</v>
      </c>
      <c r="BH113" s="28"/>
      <c r="BI113" s="28"/>
      <c r="BJ113" s="28"/>
      <c r="BK113" s="28">
        <f t="shared" si="30"/>
        <v>0</v>
      </c>
      <c r="BL113" s="28"/>
      <c r="BM113" s="28">
        <f t="shared" si="30"/>
        <v>0</v>
      </c>
      <c r="BN113" s="28"/>
      <c r="BO113" s="28">
        <f t="shared" si="30"/>
        <v>0</v>
      </c>
      <c r="BP113" s="28"/>
      <c r="BQ113" s="28">
        <f t="shared" si="30"/>
        <v>0</v>
      </c>
      <c r="BR113" s="28"/>
    </row>
    <row r="114" spans="2:70">
      <c r="B114" s="28">
        <v>131</v>
      </c>
      <c r="D114" s="28" t="str">
        <f>D60</f>
        <v>３歳児</v>
      </c>
      <c r="E114" s="28">
        <f t="shared" ref="E114:BQ114" si="31">E60</f>
        <v>0</v>
      </c>
      <c r="F114" s="28">
        <f t="shared" si="31"/>
        <v>38110</v>
      </c>
      <c r="G114" s="28">
        <f t="shared" si="31"/>
        <v>94560</v>
      </c>
      <c r="H114" s="28">
        <f t="shared" si="31"/>
        <v>34760</v>
      </c>
      <c r="I114" s="28">
        <f t="shared" si="31"/>
        <v>91210</v>
      </c>
      <c r="J114" s="28" t="str">
        <f t="shared" si="31"/>
        <v>＋</v>
      </c>
      <c r="K114" s="28">
        <f t="shared" si="31"/>
        <v>350</v>
      </c>
      <c r="L114" s="28">
        <f t="shared" si="31"/>
        <v>830</v>
      </c>
      <c r="M114" s="28" t="str">
        <f t="shared" si="31"/>
        <v>×加算率</v>
      </c>
      <c r="N114" s="28">
        <f t="shared" si="31"/>
        <v>320</v>
      </c>
      <c r="O114" s="28">
        <f t="shared" si="31"/>
        <v>800</v>
      </c>
      <c r="P114" s="28" t="str">
        <f t="shared" si="31"/>
        <v>×加算率</v>
      </c>
      <c r="Q114" s="28" t="str">
        <f t="shared" si="31"/>
        <v>＋</v>
      </c>
      <c r="R114" s="28">
        <f t="shared" si="31"/>
        <v>6880</v>
      </c>
      <c r="S114" s="28">
        <f t="shared" si="31"/>
        <v>60</v>
      </c>
      <c r="T114" s="28">
        <f t="shared" si="31"/>
        <v>0</v>
      </c>
      <c r="U114" s="28">
        <f t="shared" si="31"/>
        <v>0</v>
      </c>
      <c r="V114" s="28">
        <f t="shared" si="31"/>
        <v>0</v>
      </c>
      <c r="W114" s="28">
        <f t="shared" si="31"/>
        <v>0</v>
      </c>
      <c r="X114" s="28">
        <f t="shared" si="31"/>
        <v>0</v>
      </c>
      <c r="Y114" s="28">
        <f t="shared" si="31"/>
        <v>0</v>
      </c>
      <c r="Z114" s="28">
        <f t="shared" si="31"/>
        <v>0</v>
      </c>
      <c r="AA114" s="28">
        <f t="shared" si="31"/>
        <v>0</v>
      </c>
      <c r="AB114" s="28">
        <f t="shared" si="31"/>
        <v>0</v>
      </c>
      <c r="AC114" s="28">
        <f t="shared" si="31"/>
        <v>0</v>
      </c>
      <c r="AD114" s="28">
        <f t="shared" si="31"/>
        <v>0</v>
      </c>
      <c r="AE114" s="28">
        <f t="shared" si="31"/>
        <v>0</v>
      </c>
      <c r="AF114" s="28">
        <f t="shared" si="31"/>
        <v>0</v>
      </c>
      <c r="AG114" s="28">
        <f t="shared" si="31"/>
        <v>0</v>
      </c>
      <c r="AH114" s="28"/>
      <c r="AI114" s="28"/>
      <c r="AJ114" s="28"/>
      <c r="AK114" s="28"/>
      <c r="AL114" s="28"/>
      <c r="AM114" s="28"/>
      <c r="AN114" s="28"/>
      <c r="AO114" s="28"/>
      <c r="AP114" s="28">
        <f t="shared" si="31"/>
        <v>0</v>
      </c>
      <c r="AQ114" s="28" t="str">
        <f t="shared" si="31"/>
        <v>ｂ地域</v>
      </c>
      <c r="AR114" s="28">
        <f t="shared" si="31"/>
        <v>3000</v>
      </c>
      <c r="AS114" s="28">
        <f t="shared" si="31"/>
        <v>3400</v>
      </c>
      <c r="AT114" s="28">
        <f t="shared" si="31"/>
        <v>2100</v>
      </c>
      <c r="AU114" s="28">
        <f t="shared" si="31"/>
        <v>2100</v>
      </c>
      <c r="AV114" s="28">
        <f t="shared" si="31"/>
        <v>0</v>
      </c>
      <c r="AW114" s="28">
        <f t="shared" si="31"/>
        <v>0</v>
      </c>
      <c r="AX114" s="28">
        <f t="shared" si="31"/>
        <v>0</v>
      </c>
      <c r="AY114" s="28"/>
      <c r="AZ114" s="28"/>
      <c r="BA114" s="28">
        <f t="shared" si="31"/>
        <v>0</v>
      </c>
      <c r="BB114" s="28">
        <f t="shared" si="31"/>
        <v>0</v>
      </c>
      <c r="BC114" s="28">
        <f t="shared" si="31"/>
        <v>0</v>
      </c>
      <c r="BD114" s="28">
        <f t="shared" si="31"/>
        <v>0</v>
      </c>
      <c r="BE114" s="28">
        <f t="shared" si="31"/>
        <v>0</v>
      </c>
      <c r="BF114" s="28">
        <f t="shared" si="31"/>
        <v>0</v>
      </c>
      <c r="BG114" s="28">
        <f t="shared" si="31"/>
        <v>0</v>
      </c>
      <c r="BH114" s="28"/>
      <c r="BI114" s="28"/>
      <c r="BJ114" s="28"/>
      <c r="BK114" s="28">
        <f t="shared" si="31"/>
        <v>0</v>
      </c>
      <c r="BL114" s="28"/>
      <c r="BM114" s="28">
        <f t="shared" si="31"/>
        <v>0</v>
      </c>
      <c r="BN114" s="28"/>
      <c r="BO114" s="28">
        <f t="shared" si="31"/>
        <v>0</v>
      </c>
      <c r="BP114" s="28"/>
      <c r="BQ114" s="28">
        <f t="shared" si="31"/>
        <v>0</v>
      </c>
      <c r="BR114" s="28"/>
    </row>
    <row r="115" spans="2:70">
      <c r="B115" s="28">
        <v>141</v>
      </c>
      <c r="D115" s="28" t="str">
        <f>D64</f>
        <v>３歳児</v>
      </c>
      <c r="E115" s="28">
        <f t="shared" ref="E115:BQ115" si="32">E64</f>
        <v>0</v>
      </c>
      <c r="F115" s="28">
        <f t="shared" si="32"/>
        <v>37120</v>
      </c>
      <c r="G115" s="28">
        <f t="shared" si="32"/>
        <v>93570</v>
      </c>
      <c r="H115" s="28">
        <f t="shared" si="32"/>
        <v>34000</v>
      </c>
      <c r="I115" s="28">
        <f t="shared" si="32"/>
        <v>90450</v>
      </c>
      <c r="J115" s="28" t="str">
        <f t="shared" si="32"/>
        <v>＋</v>
      </c>
      <c r="K115" s="28">
        <f t="shared" si="32"/>
        <v>340</v>
      </c>
      <c r="L115" s="28">
        <f t="shared" si="32"/>
        <v>820</v>
      </c>
      <c r="M115" s="28" t="str">
        <f t="shared" si="32"/>
        <v>×加算率</v>
      </c>
      <c r="N115" s="28">
        <f t="shared" si="32"/>
        <v>310</v>
      </c>
      <c r="O115" s="28">
        <f t="shared" si="32"/>
        <v>790</v>
      </c>
      <c r="P115" s="28" t="str">
        <f t="shared" si="32"/>
        <v>×加算率</v>
      </c>
      <c r="Q115" s="28" t="str">
        <f t="shared" si="32"/>
        <v>＋</v>
      </c>
      <c r="R115" s="28">
        <f t="shared" si="32"/>
        <v>6880</v>
      </c>
      <c r="S115" s="28">
        <f t="shared" si="32"/>
        <v>60</v>
      </c>
      <c r="T115" s="28">
        <f t="shared" si="32"/>
        <v>0</v>
      </c>
      <c r="U115" s="28">
        <f t="shared" si="32"/>
        <v>0</v>
      </c>
      <c r="V115" s="28">
        <f t="shared" si="32"/>
        <v>0</v>
      </c>
      <c r="W115" s="28">
        <f t="shared" si="32"/>
        <v>0</v>
      </c>
      <c r="X115" s="28">
        <f t="shared" si="32"/>
        <v>0</v>
      </c>
      <c r="Y115" s="28">
        <f t="shared" si="32"/>
        <v>0</v>
      </c>
      <c r="Z115" s="28">
        <f t="shared" si="32"/>
        <v>0</v>
      </c>
      <c r="AA115" s="28">
        <f t="shared" si="32"/>
        <v>0</v>
      </c>
      <c r="AB115" s="28">
        <f t="shared" si="32"/>
        <v>0</v>
      </c>
      <c r="AC115" s="28">
        <f t="shared" si="32"/>
        <v>0</v>
      </c>
      <c r="AD115" s="28">
        <f t="shared" si="32"/>
        <v>0</v>
      </c>
      <c r="AE115" s="28">
        <f t="shared" si="32"/>
        <v>0</v>
      </c>
      <c r="AF115" s="28">
        <f t="shared" si="32"/>
        <v>0</v>
      </c>
      <c r="AG115" s="28">
        <f t="shared" si="32"/>
        <v>0</v>
      </c>
      <c r="AH115" s="28"/>
      <c r="AI115" s="28"/>
      <c r="AJ115" s="28"/>
      <c r="AK115" s="28"/>
      <c r="AL115" s="28"/>
      <c r="AM115" s="28"/>
      <c r="AN115" s="28"/>
      <c r="AO115" s="28"/>
      <c r="AP115" s="28">
        <f t="shared" si="32"/>
        <v>0</v>
      </c>
      <c r="AQ115" s="28" t="str">
        <f t="shared" si="32"/>
        <v>ｂ地域</v>
      </c>
      <c r="AR115" s="28">
        <f t="shared" si="32"/>
        <v>2900</v>
      </c>
      <c r="AS115" s="28">
        <f t="shared" si="32"/>
        <v>3300</v>
      </c>
      <c r="AT115" s="28">
        <f t="shared" si="32"/>
        <v>2000</v>
      </c>
      <c r="AU115" s="28">
        <f t="shared" si="32"/>
        <v>2000</v>
      </c>
      <c r="AV115" s="28">
        <f t="shared" si="32"/>
        <v>0</v>
      </c>
      <c r="AW115" s="28" t="str">
        <f t="shared" si="32"/>
        <v xml:space="preserve"> 271人～ 300人</v>
      </c>
      <c r="AX115" s="28">
        <f t="shared" si="32"/>
        <v>0</v>
      </c>
      <c r="AY115" s="28"/>
      <c r="AZ115" s="28"/>
      <c r="BA115" s="28">
        <f t="shared" si="32"/>
        <v>0</v>
      </c>
      <c r="BB115" s="28">
        <f t="shared" si="32"/>
        <v>0</v>
      </c>
      <c r="BC115" s="28">
        <f t="shared" si="32"/>
        <v>0</v>
      </c>
      <c r="BD115" s="28">
        <f t="shared" si="32"/>
        <v>0</v>
      </c>
      <c r="BE115" s="28">
        <f t="shared" si="32"/>
        <v>0</v>
      </c>
      <c r="BF115" s="28">
        <f t="shared" si="32"/>
        <v>0</v>
      </c>
      <c r="BG115" s="28">
        <f t="shared" si="32"/>
        <v>0</v>
      </c>
      <c r="BH115" s="28"/>
      <c r="BI115" s="28"/>
      <c r="BJ115" s="28"/>
      <c r="BK115" s="28">
        <f t="shared" si="32"/>
        <v>0</v>
      </c>
      <c r="BL115" s="28"/>
      <c r="BM115" s="28">
        <f t="shared" si="32"/>
        <v>0</v>
      </c>
      <c r="BN115" s="28"/>
      <c r="BO115" s="28">
        <f t="shared" si="32"/>
        <v>0</v>
      </c>
      <c r="BP115" s="28"/>
      <c r="BQ115" s="28">
        <f t="shared" si="32"/>
        <v>0</v>
      </c>
      <c r="BR115" s="28"/>
    </row>
    <row r="116" spans="2:70">
      <c r="B116" s="28">
        <v>151</v>
      </c>
      <c r="D116" s="28" t="str">
        <f>D68</f>
        <v>３歳児</v>
      </c>
      <c r="E116" s="28">
        <f t="shared" ref="E116:BQ116" si="33">E68</f>
        <v>0</v>
      </c>
      <c r="F116" s="28">
        <f t="shared" si="33"/>
        <v>37120</v>
      </c>
      <c r="G116" s="28">
        <f t="shared" si="33"/>
        <v>93570</v>
      </c>
      <c r="H116" s="28">
        <f t="shared" si="33"/>
        <v>34200</v>
      </c>
      <c r="I116" s="28">
        <f t="shared" si="33"/>
        <v>90650</v>
      </c>
      <c r="J116" s="28" t="str">
        <f t="shared" si="33"/>
        <v>＋</v>
      </c>
      <c r="K116" s="28">
        <f t="shared" si="33"/>
        <v>340</v>
      </c>
      <c r="L116" s="28">
        <f t="shared" si="33"/>
        <v>820</v>
      </c>
      <c r="M116" s="28" t="str">
        <f t="shared" si="33"/>
        <v>×加算率</v>
      </c>
      <c r="N116" s="28">
        <f t="shared" si="33"/>
        <v>310</v>
      </c>
      <c r="O116" s="28">
        <f t="shared" si="33"/>
        <v>790</v>
      </c>
      <c r="P116" s="28" t="str">
        <f t="shared" si="33"/>
        <v>×加算率</v>
      </c>
      <c r="Q116" s="28" t="str">
        <f t="shared" si="33"/>
        <v>＋</v>
      </c>
      <c r="R116" s="28">
        <f t="shared" si="33"/>
        <v>6880</v>
      </c>
      <c r="S116" s="28">
        <f t="shared" si="33"/>
        <v>60</v>
      </c>
      <c r="T116" s="28">
        <f t="shared" si="33"/>
        <v>0</v>
      </c>
      <c r="U116" s="28">
        <f t="shared" si="33"/>
        <v>0</v>
      </c>
      <c r="V116" s="28">
        <f t="shared" si="33"/>
        <v>0</v>
      </c>
      <c r="W116" s="28">
        <f t="shared" si="33"/>
        <v>0</v>
      </c>
      <c r="X116" s="28">
        <f t="shared" si="33"/>
        <v>0</v>
      </c>
      <c r="Y116" s="28">
        <f t="shared" si="33"/>
        <v>0</v>
      </c>
      <c r="Z116" s="28">
        <f t="shared" si="33"/>
        <v>0</v>
      </c>
      <c r="AA116" s="28">
        <f t="shared" si="33"/>
        <v>0</v>
      </c>
      <c r="AB116" s="28">
        <f t="shared" si="33"/>
        <v>0</v>
      </c>
      <c r="AC116" s="28">
        <f t="shared" si="33"/>
        <v>0</v>
      </c>
      <c r="AD116" s="28">
        <f t="shared" si="33"/>
        <v>0</v>
      </c>
      <c r="AE116" s="28">
        <f t="shared" si="33"/>
        <v>0</v>
      </c>
      <c r="AF116" s="28">
        <f t="shared" si="33"/>
        <v>0</v>
      </c>
      <c r="AG116" s="28">
        <f t="shared" si="33"/>
        <v>0</v>
      </c>
      <c r="AH116" s="28"/>
      <c r="AI116" s="28"/>
      <c r="AJ116" s="28"/>
      <c r="AK116" s="28"/>
      <c r="AL116" s="28"/>
      <c r="AM116" s="28"/>
      <c r="AN116" s="28"/>
      <c r="AO116" s="28"/>
      <c r="AP116" s="28">
        <f t="shared" si="33"/>
        <v>0</v>
      </c>
      <c r="AQ116" s="28" t="str">
        <f t="shared" si="33"/>
        <v>ｂ地域</v>
      </c>
      <c r="AR116" s="28">
        <f t="shared" si="33"/>
        <v>2600</v>
      </c>
      <c r="AS116" s="28">
        <f t="shared" si="33"/>
        <v>2900</v>
      </c>
      <c r="AT116" s="28">
        <f t="shared" si="33"/>
        <v>1800</v>
      </c>
      <c r="AU116" s="28">
        <f t="shared" si="33"/>
        <v>1800</v>
      </c>
      <c r="AV116" s="28">
        <f t="shared" si="33"/>
        <v>0</v>
      </c>
      <c r="AW116" s="28">
        <f t="shared" si="33"/>
        <v>2150</v>
      </c>
      <c r="AX116" s="28">
        <f t="shared" si="33"/>
        <v>0</v>
      </c>
      <c r="AY116" s="28"/>
      <c r="AZ116" s="28"/>
      <c r="BA116" s="28">
        <f t="shared" si="33"/>
        <v>0</v>
      </c>
      <c r="BB116" s="28">
        <f t="shared" si="33"/>
        <v>0</v>
      </c>
      <c r="BC116" s="28">
        <f t="shared" si="33"/>
        <v>0</v>
      </c>
      <c r="BD116" s="28">
        <f t="shared" si="33"/>
        <v>0</v>
      </c>
      <c r="BE116" s="28">
        <f t="shared" si="33"/>
        <v>0</v>
      </c>
      <c r="BF116" s="28">
        <f t="shared" si="33"/>
        <v>0</v>
      </c>
      <c r="BG116" s="28">
        <f t="shared" si="33"/>
        <v>0</v>
      </c>
      <c r="BH116" s="28"/>
      <c r="BI116" s="28"/>
      <c r="BJ116" s="28"/>
      <c r="BK116" s="28">
        <f t="shared" si="33"/>
        <v>0</v>
      </c>
      <c r="BL116" s="28"/>
      <c r="BM116" s="28">
        <f t="shared" si="33"/>
        <v>0</v>
      </c>
      <c r="BN116" s="28"/>
      <c r="BO116" s="28">
        <f t="shared" si="33"/>
        <v>0</v>
      </c>
      <c r="BP116" s="28"/>
      <c r="BQ116" s="28">
        <f t="shared" si="33"/>
        <v>0</v>
      </c>
      <c r="BR116" s="28"/>
    </row>
    <row r="117" spans="2:70">
      <c r="B117" s="28">
        <v>161</v>
      </c>
      <c r="D117" s="28" t="str">
        <f>D72</f>
        <v>３歳児</v>
      </c>
      <c r="E117" s="28">
        <f t="shared" ref="E117:BQ117" si="34">E72</f>
        <v>0</v>
      </c>
      <c r="F117" s="28">
        <f t="shared" si="34"/>
        <v>36330</v>
      </c>
      <c r="G117" s="28">
        <f t="shared" si="34"/>
        <v>92780</v>
      </c>
      <c r="H117" s="28">
        <f t="shared" si="34"/>
        <v>33570</v>
      </c>
      <c r="I117" s="28">
        <f t="shared" si="34"/>
        <v>90020</v>
      </c>
      <c r="J117" s="28" t="str">
        <f t="shared" si="34"/>
        <v>＋</v>
      </c>
      <c r="K117" s="28">
        <f t="shared" si="34"/>
        <v>330</v>
      </c>
      <c r="L117" s="28">
        <f t="shared" si="34"/>
        <v>810</v>
      </c>
      <c r="M117" s="28" t="str">
        <f t="shared" si="34"/>
        <v>×加算率</v>
      </c>
      <c r="N117" s="28">
        <f t="shared" si="34"/>
        <v>300</v>
      </c>
      <c r="O117" s="28">
        <f t="shared" si="34"/>
        <v>790</v>
      </c>
      <c r="P117" s="28" t="str">
        <f t="shared" si="34"/>
        <v>×加算率</v>
      </c>
      <c r="Q117" s="28" t="str">
        <f t="shared" si="34"/>
        <v>＋</v>
      </c>
      <c r="R117" s="28">
        <f t="shared" si="34"/>
        <v>6880</v>
      </c>
      <c r="S117" s="28">
        <f t="shared" si="34"/>
        <v>60</v>
      </c>
      <c r="T117" s="28">
        <f t="shared" si="34"/>
        <v>0</v>
      </c>
      <c r="U117" s="28">
        <f t="shared" si="34"/>
        <v>0</v>
      </c>
      <c r="V117" s="28">
        <f t="shared" si="34"/>
        <v>0</v>
      </c>
      <c r="W117" s="28">
        <f t="shared" si="34"/>
        <v>0</v>
      </c>
      <c r="X117" s="28">
        <f t="shared" si="34"/>
        <v>0</v>
      </c>
      <c r="Y117" s="28">
        <f t="shared" si="34"/>
        <v>0</v>
      </c>
      <c r="Z117" s="28">
        <f t="shared" si="34"/>
        <v>0</v>
      </c>
      <c r="AA117" s="28">
        <f t="shared" si="34"/>
        <v>0</v>
      </c>
      <c r="AB117" s="28">
        <f t="shared" si="34"/>
        <v>0</v>
      </c>
      <c r="AC117" s="28">
        <f t="shared" si="34"/>
        <v>0</v>
      </c>
      <c r="AD117" s="28">
        <f t="shared" si="34"/>
        <v>0</v>
      </c>
      <c r="AE117" s="28">
        <f t="shared" si="34"/>
        <v>0</v>
      </c>
      <c r="AF117" s="28">
        <f t="shared" si="34"/>
        <v>0</v>
      </c>
      <c r="AG117" s="28">
        <f t="shared" si="34"/>
        <v>0</v>
      </c>
      <c r="AH117" s="28"/>
      <c r="AI117" s="28"/>
      <c r="AJ117" s="28"/>
      <c r="AK117" s="28"/>
      <c r="AL117" s="28"/>
      <c r="AM117" s="28"/>
      <c r="AN117" s="28"/>
      <c r="AO117" s="28"/>
      <c r="AP117" s="28">
        <f t="shared" si="34"/>
        <v>0</v>
      </c>
      <c r="AQ117" s="28" t="str">
        <f t="shared" si="34"/>
        <v>ｂ地域</v>
      </c>
      <c r="AR117" s="28">
        <f t="shared" si="34"/>
        <v>2900</v>
      </c>
      <c r="AS117" s="28">
        <f t="shared" si="34"/>
        <v>3300</v>
      </c>
      <c r="AT117" s="28">
        <f t="shared" si="34"/>
        <v>2000</v>
      </c>
      <c r="AU117" s="28">
        <f t="shared" si="34"/>
        <v>2000</v>
      </c>
      <c r="AV117" s="28">
        <f t="shared" si="34"/>
        <v>0</v>
      </c>
      <c r="AW117" s="28">
        <f t="shared" si="34"/>
        <v>0</v>
      </c>
      <c r="AX117" s="28">
        <f t="shared" si="34"/>
        <v>0</v>
      </c>
      <c r="AY117" s="28"/>
      <c r="AZ117" s="28"/>
      <c r="BA117" s="28">
        <f t="shared" si="34"/>
        <v>0</v>
      </c>
      <c r="BB117" s="28">
        <f t="shared" si="34"/>
        <v>0</v>
      </c>
      <c r="BC117" s="28">
        <f t="shared" si="34"/>
        <v>0</v>
      </c>
      <c r="BD117" s="28">
        <f t="shared" si="34"/>
        <v>0</v>
      </c>
      <c r="BE117" s="28">
        <f t="shared" si="34"/>
        <v>0</v>
      </c>
      <c r="BF117" s="28">
        <f t="shared" si="34"/>
        <v>0</v>
      </c>
      <c r="BG117" s="28">
        <f t="shared" si="34"/>
        <v>0</v>
      </c>
      <c r="BH117" s="28"/>
      <c r="BI117" s="28"/>
      <c r="BJ117" s="28"/>
      <c r="BK117" s="28">
        <f t="shared" si="34"/>
        <v>0</v>
      </c>
      <c r="BL117" s="28"/>
      <c r="BM117" s="28">
        <f t="shared" si="34"/>
        <v>0</v>
      </c>
      <c r="BN117" s="28"/>
      <c r="BO117" s="28">
        <f t="shared" si="34"/>
        <v>0</v>
      </c>
      <c r="BP117" s="28"/>
      <c r="BQ117" s="28">
        <f t="shared" si="34"/>
        <v>0</v>
      </c>
      <c r="BR117" s="28"/>
    </row>
    <row r="118" spans="2:70">
      <c r="B118" s="28">
        <v>171</v>
      </c>
      <c r="D118" s="28" t="str">
        <f>D76</f>
        <v>３歳児</v>
      </c>
      <c r="E118" s="28">
        <f t="shared" ref="E118:BQ118" si="35">E76</f>
        <v>0</v>
      </c>
      <c r="F118" s="28">
        <f t="shared" si="35"/>
        <v>35610</v>
      </c>
      <c r="G118" s="28">
        <f t="shared" si="35"/>
        <v>92060</v>
      </c>
      <c r="H118" s="28">
        <f t="shared" si="35"/>
        <v>33000</v>
      </c>
      <c r="I118" s="28">
        <f t="shared" si="35"/>
        <v>89450</v>
      </c>
      <c r="J118" s="28" t="str">
        <f t="shared" si="35"/>
        <v>＋</v>
      </c>
      <c r="K118" s="28">
        <f t="shared" si="35"/>
        <v>320</v>
      </c>
      <c r="L118" s="28">
        <f t="shared" si="35"/>
        <v>810</v>
      </c>
      <c r="M118" s="28" t="str">
        <f t="shared" si="35"/>
        <v>×加算率</v>
      </c>
      <c r="N118" s="28">
        <f t="shared" si="35"/>
        <v>300</v>
      </c>
      <c r="O118" s="28">
        <f t="shared" si="35"/>
        <v>780</v>
      </c>
      <c r="P118" s="28" t="str">
        <f t="shared" si="35"/>
        <v>×加算率</v>
      </c>
      <c r="Q118" s="28" t="str">
        <f t="shared" si="35"/>
        <v>＋</v>
      </c>
      <c r="R118" s="28">
        <f t="shared" si="35"/>
        <v>6880</v>
      </c>
      <c r="S118" s="28">
        <f t="shared" si="35"/>
        <v>60</v>
      </c>
      <c r="T118" s="28">
        <f t="shared" si="35"/>
        <v>0</v>
      </c>
      <c r="U118" s="28">
        <f t="shared" si="35"/>
        <v>0</v>
      </c>
      <c r="V118" s="28">
        <f t="shared" si="35"/>
        <v>0</v>
      </c>
      <c r="W118" s="28">
        <f t="shared" si="35"/>
        <v>0</v>
      </c>
      <c r="X118" s="28">
        <f t="shared" si="35"/>
        <v>0</v>
      </c>
      <c r="Y118" s="28">
        <f t="shared" si="35"/>
        <v>0</v>
      </c>
      <c r="Z118" s="28">
        <f t="shared" si="35"/>
        <v>0</v>
      </c>
      <c r="AA118" s="28">
        <f t="shared" si="35"/>
        <v>0</v>
      </c>
      <c r="AB118" s="28">
        <f t="shared" si="35"/>
        <v>0</v>
      </c>
      <c r="AC118" s="28">
        <f t="shared" si="35"/>
        <v>0</v>
      </c>
      <c r="AD118" s="28">
        <f t="shared" si="35"/>
        <v>0</v>
      </c>
      <c r="AE118" s="28">
        <f t="shared" si="35"/>
        <v>0</v>
      </c>
      <c r="AF118" s="28">
        <f t="shared" si="35"/>
        <v>0</v>
      </c>
      <c r="AG118" s="28">
        <f t="shared" si="35"/>
        <v>0</v>
      </c>
      <c r="AH118" s="28"/>
      <c r="AI118" s="28"/>
      <c r="AJ118" s="28"/>
      <c r="AK118" s="28"/>
      <c r="AL118" s="28"/>
      <c r="AM118" s="28"/>
      <c r="AN118" s="28"/>
      <c r="AO118" s="28"/>
      <c r="AP118" s="28">
        <f t="shared" si="35"/>
        <v>0</v>
      </c>
      <c r="AQ118" s="28" t="str">
        <f t="shared" si="35"/>
        <v>ｂ地域</v>
      </c>
      <c r="AR118" s="28">
        <f t="shared" si="35"/>
        <v>2600</v>
      </c>
      <c r="AS118" s="28">
        <f t="shared" si="35"/>
        <v>2900</v>
      </c>
      <c r="AT118" s="28">
        <f t="shared" si="35"/>
        <v>1800</v>
      </c>
      <c r="AU118" s="28">
        <f t="shared" si="35"/>
        <v>1800</v>
      </c>
      <c r="AV118" s="28">
        <f t="shared" si="35"/>
        <v>0</v>
      </c>
      <c r="AW118" s="28">
        <f t="shared" si="35"/>
        <v>0</v>
      </c>
      <c r="AX118" s="28">
        <f t="shared" si="35"/>
        <v>0</v>
      </c>
      <c r="AY118" s="28"/>
      <c r="AZ118" s="28"/>
      <c r="BA118" s="28">
        <f t="shared" si="35"/>
        <v>0</v>
      </c>
      <c r="BB118" s="28">
        <f t="shared" si="35"/>
        <v>0</v>
      </c>
      <c r="BC118" s="28">
        <f t="shared" si="35"/>
        <v>0</v>
      </c>
      <c r="BD118" s="28">
        <f t="shared" si="35"/>
        <v>0</v>
      </c>
      <c r="BE118" s="28">
        <f t="shared" si="35"/>
        <v>0</v>
      </c>
      <c r="BF118" s="28">
        <f t="shared" si="35"/>
        <v>0</v>
      </c>
      <c r="BG118" s="28">
        <f t="shared" si="35"/>
        <v>0</v>
      </c>
      <c r="BH118" s="28"/>
      <c r="BI118" s="28"/>
      <c r="BJ118" s="28"/>
      <c r="BK118" s="28">
        <f t="shared" si="35"/>
        <v>0</v>
      </c>
      <c r="BL118" s="28"/>
      <c r="BM118" s="28">
        <f t="shared" si="35"/>
        <v>0</v>
      </c>
      <c r="BN118" s="28"/>
      <c r="BO118" s="28">
        <f t="shared" si="35"/>
        <v>0</v>
      </c>
      <c r="BP118" s="28"/>
      <c r="BQ118" s="28">
        <f t="shared" si="35"/>
        <v>0</v>
      </c>
      <c r="BR118" s="28"/>
    </row>
    <row r="121" spans="2:70">
      <c r="B121" s="28">
        <v>1</v>
      </c>
      <c r="D121" s="28" t="str">
        <f>D9</f>
        <v>１、２歳児</v>
      </c>
      <c r="E121" s="28">
        <f t="shared" ref="E121:BQ121" si="36">E9</f>
        <v>0</v>
      </c>
      <c r="F121" s="28">
        <f t="shared" si="36"/>
        <v>282080</v>
      </c>
      <c r="G121" s="28">
        <f t="shared" si="36"/>
        <v>350910</v>
      </c>
      <c r="H121" s="28">
        <f t="shared" si="36"/>
        <v>235230</v>
      </c>
      <c r="I121" s="28">
        <f t="shared" si="36"/>
        <v>304060</v>
      </c>
      <c r="J121" s="28" t="str">
        <f t="shared" si="36"/>
        <v>＋</v>
      </c>
      <c r="K121" s="28">
        <f t="shared" si="36"/>
        <v>2710</v>
      </c>
      <c r="L121" s="28">
        <f t="shared" si="36"/>
        <v>3390</v>
      </c>
      <c r="M121" s="28" t="str">
        <f t="shared" si="36"/>
        <v>×加算率</v>
      </c>
      <c r="N121" s="28">
        <f t="shared" si="36"/>
        <v>2240</v>
      </c>
      <c r="O121" s="28">
        <f t="shared" si="36"/>
        <v>2920</v>
      </c>
      <c r="P121" s="28" t="str">
        <f t="shared" si="36"/>
        <v>×加算率</v>
      </c>
      <c r="Q121" s="28">
        <f t="shared" si="36"/>
        <v>0</v>
      </c>
      <c r="R121" s="28">
        <f t="shared" si="36"/>
        <v>0</v>
      </c>
      <c r="S121" s="28">
        <f t="shared" si="36"/>
        <v>0</v>
      </c>
      <c r="T121" s="28">
        <f t="shared" si="36"/>
        <v>0</v>
      </c>
      <c r="U121" s="28">
        <f t="shared" si="36"/>
        <v>0</v>
      </c>
      <c r="V121" s="28">
        <f t="shared" si="36"/>
        <v>0</v>
      </c>
      <c r="W121" s="28">
        <f t="shared" si="36"/>
        <v>0</v>
      </c>
      <c r="X121" s="28">
        <f t="shared" si="36"/>
        <v>0</v>
      </c>
      <c r="Y121" s="28">
        <f t="shared" si="36"/>
        <v>0</v>
      </c>
      <c r="Z121" s="28">
        <f t="shared" si="36"/>
        <v>0</v>
      </c>
      <c r="AA121" s="28">
        <f t="shared" si="36"/>
        <v>0</v>
      </c>
      <c r="AB121" s="28" t="str">
        <f t="shared" si="36"/>
        <v>＋</v>
      </c>
      <c r="AC121" s="28">
        <f t="shared" si="36"/>
        <v>52680</v>
      </c>
      <c r="AD121" s="28">
        <f t="shared" si="36"/>
        <v>0</v>
      </c>
      <c r="AE121" s="28">
        <f t="shared" si="36"/>
        <v>0</v>
      </c>
      <c r="AF121" s="28">
        <f t="shared" si="36"/>
        <v>0</v>
      </c>
      <c r="AG121" s="28">
        <f t="shared" si="36"/>
        <v>0</v>
      </c>
      <c r="AH121" s="28"/>
      <c r="AI121" s="28"/>
      <c r="AJ121" s="28"/>
      <c r="AK121" s="28"/>
      <c r="AL121" s="28"/>
      <c r="AM121" s="28"/>
      <c r="AN121" s="28"/>
      <c r="AO121" s="28"/>
      <c r="AP121" s="28">
        <f t="shared" si="36"/>
        <v>0</v>
      </c>
      <c r="AQ121" s="28" t="str">
        <f t="shared" si="36"/>
        <v>ｃ地域</v>
      </c>
      <c r="AR121" s="28">
        <f t="shared" si="36"/>
        <v>15200</v>
      </c>
      <c r="AS121" s="28">
        <f t="shared" si="36"/>
        <v>16900</v>
      </c>
      <c r="AT121" s="28">
        <f t="shared" si="36"/>
        <v>10600</v>
      </c>
      <c r="AU121" s="28">
        <f t="shared" si="36"/>
        <v>10600</v>
      </c>
      <c r="AV121" s="28">
        <f t="shared" si="36"/>
        <v>0</v>
      </c>
      <c r="AW121" s="28">
        <f t="shared" si="36"/>
        <v>0</v>
      </c>
      <c r="AX121" s="28">
        <f t="shared" si="36"/>
        <v>0</v>
      </c>
      <c r="AY121" s="28"/>
      <c r="AZ121" s="28"/>
      <c r="BA121" s="28">
        <f t="shared" si="36"/>
        <v>0</v>
      </c>
      <c r="BB121" s="28">
        <f t="shared" si="36"/>
        <v>0</v>
      </c>
      <c r="BC121" s="28">
        <f t="shared" si="36"/>
        <v>0</v>
      </c>
      <c r="BD121" s="28">
        <f t="shared" si="36"/>
        <v>0</v>
      </c>
      <c r="BE121" s="28">
        <f t="shared" si="36"/>
        <v>0</v>
      </c>
      <c r="BF121" s="28">
        <f t="shared" si="36"/>
        <v>0</v>
      </c>
      <c r="BG121" s="28">
        <f t="shared" si="36"/>
        <v>0.01</v>
      </c>
      <c r="BH121" s="28"/>
      <c r="BI121" s="28"/>
      <c r="BJ121" s="28"/>
      <c r="BK121" s="28">
        <f t="shared" si="36"/>
        <v>0</v>
      </c>
      <c r="BM121" s="28">
        <f t="shared" si="36"/>
        <v>0</v>
      </c>
      <c r="BO121" s="28">
        <f t="shared" si="36"/>
        <v>0</v>
      </c>
      <c r="BQ121" s="28">
        <f t="shared" si="36"/>
        <v>0</v>
      </c>
    </row>
    <row r="122" spans="2:70">
      <c r="B122" s="28">
        <v>11</v>
      </c>
      <c r="D122" s="28" t="str">
        <f>D13</f>
        <v>１、２歳児</v>
      </c>
      <c r="E122" s="28">
        <f t="shared" ref="E122:BQ122" si="37">E13</f>
        <v>0</v>
      </c>
      <c r="F122" s="28">
        <f t="shared" si="37"/>
        <v>182020</v>
      </c>
      <c r="G122" s="28">
        <f t="shared" si="37"/>
        <v>250850</v>
      </c>
      <c r="H122" s="28">
        <f t="shared" si="37"/>
        <v>158600</v>
      </c>
      <c r="I122" s="28">
        <f t="shared" si="37"/>
        <v>227430</v>
      </c>
      <c r="J122" s="28" t="str">
        <f t="shared" si="37"/>
        <v>＋</v>
      </c>
      <c r="K122" s="28">
        <f t="shared" si="37"/>
        <v>1710</v>
      </c>
      <c r="L122" s="28">
        <f t="shared" si="37"/>
        <v>2390</v>
      </c>
      <c r="M122" s="28" t="str">
        <f t="shared" si="37"/>
        <v>×加算率</v>
      </c>
      <c r="N122" s="28">
        <f t="shared" si="37"/>
        <v>1470</v>
      </c>
      <c r="O122" s="28">
        <f t="shared" si="37"/>
        <v>2150</v>
      </c>
      <c r="P122" s="28" t="str">
        <f t="shared" si="37"/>
        <v>×加算率</v>
      </c>
      <c r="Q122" s="28">
        <f t="shared" si="37"/>
        <v>0</v>
      </c>
      <c r="R122" s="28">
        <f t="shared" si="37"/>
        <v>0</v>
      </c>
      <c r="S122" s="28">
        <f t="shared" si="37"/>
        <v>0</v>
      </c>
      <c r="T122" s="28">
        <f t="shared" si="37"/>
        <v>0</v>
      </c>
      <c r="U122" s="28">
        <f t="shared" si="37"/>
        <v>0</v>
      </c>
      <c r="V122" s="28">
        <f t="shared" si="37"/>
        <v>0</v>
      </c>
      <c r="W122" s="28">
        <f t="shared" si="37"/>
        <v>0</v>
      </c>
      <c r="X122" s="28">
        <f t="shared" si="37"/>
        <v>0</v>
      </c>
      <c r="Y122" s="28">
        <f t="shared" si="37"/>
        <v>0</v>
      </c>
      <c r="Z122" s="28">
        <f t="shared" si="37"/>
        <v>0</v>
      </c>
      <c r="AA122" s="28">
        <f t="shared" si="37"/>
        <v>0</v>
      </c>
      <c r="AB122" s="28" t="str">
        <f t="shared" si="37"/>
        <v>＋</v>
      </c>
      <c r="AC122" s="28">
        <f t="shared" si="37"/>
        <v>28990</v>
      </c>
      <c r="AD122" s="28">
        <f t="shared" si="37"/>
        <v>0</v>
      </c>
      <c r="AE122" s="28">
        <f t="shared" si="37"/>
        <v>0</v>
      </c>
      <c r="AF122" s="28">
        <f t="shared" si="37"/>
        <v>0</v>
      </c>
      <c r="AG122" s="28">
        <f t="shared" si="37"/>
        <v>0</v>
      </c>
      <c r="AH122" s="28"/>
      <c r="AI122" s="28"/>
      <c r="AJ122" s="28"/>
      <c r="AK122" s="28"/>
      <c r="AL122" s="28"/>
      <c r="AM122" s="28"/>
      <c r="AN122" s="28"/>
      <c r="AO122" s="28"/>
      <c r="AP122" s="28">
        <f t="shared" si="37"/>
        <v>0</v>
      </c>
      <c r="AQ122" s="28" t="str">
        <f t="shared" si="37"/>
        <v>ｃ地域</v>
      </c>
      <c r="AR122" s="28">
        <f t="shared" si="37"/>
        <v>7600</v>
      </c>
      <c r="AS122" s="28">
        <f t="shared" si="37"/>
        <v>8400</v>
      </c>
      <c r="AT122" s="28">
        <f t="shared" si="37"/>
        <v>5300</v>
      </c>
      <c r="AU122" s="28">
        <f t="shared" si="37"/>
        <v>5300</v>
      </c>
      <c r="AV122" s="28">
        <f t="shared" si="37"/>
        <v>0</v>
      </c>
      <c r="AW122" s="28">
        <f t="shared" si="37"/>
        <v>0</v>
      </c>
      <c r="AX122" s="28">
        <f t="shared" si="37"/>
        <v>0</v>
      </c>
      <c r="AY122" s="28"/>
      <c r="AZ122" s="28"/>
      <c r="BA122" s="28">
        <f t="shared" si="37"/>
        <v>0</v>
      </c>
      <c r="BB122" s="28">
        <f t="shared" si="37"/>
        <v>0</v>
      </c>
      <c r="BC122" s="28">
        <f t="shared" si="37"/>
        <v>0</v>
      </c>
      <c r="BD122" s="28">
        <f t="shared" si="37"/>
        <v>0</v>
      </c>
      <c r="BE122" s="28">
        <f t="shared" si="37"/>
        <v>0</v>
      </c>
      <c r="BF122" s="28">
        <f t="shared" si="37"/>
        <v>0</v>
      </c>
      <c r="BG122" s="28">
        <f t="shared" si="37"/>
        <v>0.01</v>
      </c>
      <c r="BH122" s="28"/>
      <c r="BI122" s="28"/>
      <c r="BJ122" s="28"/>
      <c r="BK122" s="28">
        <f t="shared" si="37"/>
        <v>0</v>
      </c>
      <c r="BM122" s="28">
        <f t="shared" si="37"/>
        <v>0</v>
      </c>
      <c r="BO122" s="28">
        <f t="shared" si="37"/>
        <v>0</v>
      </c>
      <c r="BQ122" s="28">
        <f t="shared" si="37"/>
        <v>0</v>
      </c>
    </row>
    <row r="123" spans="2:70">
      <c r="B123" s="28">
        <v>21</v>
      </c>
      <c r="D123" s="28" t="str">
        <f>D17</f>
        <v>１、２歳児</v>
      </c>
      <c r="E123" s="28">
        <f t="shared" ref="E123:BQ123" si="38">E17</f>
        <v>0</v>
      </c>
      <c r="F123" s="28">
        <f t="shared" si="38"/>
        <v>148570</v>
      </c>
      <c r="G123" s="28">
        <f t="shared" si="38"/>
        <v>217400</v>
      </c>
      <c r="H123" s="28">
        <f t="shared" si="38"/>
        <v>132950</v>
      </c>
      <c r="I123" s="28">
        <f t="shared" si="38"/>
        <v>201780</v>
      </c>
      <c r="J123" s="28" t="str">
        <f t="shared" si="38"/>
        <v>＋</v>
      </c>
      <c r="K123" s="28">
        <f t="shared" si="38"/>
        <v>1370</v>
      </c>
      <c r="L123" s="28">
        <f t="shared" si="38"/>
        <v>2050</v>
      </c>
      <c r="M123" s="28" t="str">
        <f t="shared" si="38"/>
        <v>×加算率</v>
      </c>
      <c r="N123" s="28">
        <f t="shared" si="38"/>
        <v>1220</v>
      </c>
      <c r="O123" s="28">
        <f t="shared" si="38"/>
        <v>1900</v>
      </c>
      <c r="P123" s="28" t="str">
        <f t="shared" si="38"/>
        <v>×加算率</v>
      </c>
      <c r="Q123" s="28">
        <f t="shared" si="38"/>
        <v>0</v>
      </c>
      <c r="R123" s="28">
        <f t="shared" si="38"/>
        <v>0</v>
      </c>
      <c r="S123" s="28">
        <f t="shared" si="38"/>
        <v>0</v>
      </c>
      <c r="T123" s="28">
        <f t="shared" si="38"/>
        <v>0</v>
      </c>
      <c r="U123" s="28">
        <f t="shared" si="38"/>
        <v>0</v>
      </c>
      <c r="V123" s="28">
        <f t="shared" si="38"/>
        <v>0</v>
      </c>
      <c r="W123" s="28">
        <f t="shared" si="38"/>
        <v>0</v>
      </c>
      <c r="X123" s="28">
        <f t="shared" si="38"/>
        <v>0</v>
      </c>
      <c r="Y123" s="28">
        <f t="shared" si="38"/>
        <v>0</v>
      </c>
      <c r="Z123" s="28">
        <f t="shared" si="38"/>
        <v>0</v>
      </c>
      <c r="AA123" s="28">
        <f t="shared" si="38"/>
        <v>0</v>
      </c>
      <c r="AB123" s="28" t="str">
        <f t="shared" si="38"/>
        <v>＋</v>
      </c>
      <c r="AC123" s="28">
        <f t="shared" si="38"/>
        <v>21090</v>
      </c>
      <c r="AD123" s="28">
        <f t="shared" si="38"/>
        <v>0</v>
      </c>
      <c r="AE123" s="28">
        <f t="shared" si="38"/>
        <v>0</v>
      </c>
      <c r="AF123" s="28">
        <f t="shared" si="38"/>
        <v>0</v>
      </c>
      <c r="AG123" s="28">
        <f t="shared" si="38"/>
        <v>0</v>
      </c>
      <c r="AH123" s="28"/>
      <c r="AI123" s="28"/>
      <c r="AJ123" s="28"/>
      <c r="AK123" s="28"/>
      <c r="AL123" s="28"/>
      <c r="AM123" s="28"/>
      <c r="AN123" s="28"/>
      <c r="AO123" s="28"/>
      <c r="AP123" s="28">
        <f t="shared" si="38"/>
        <v>0</v>
      </c>
      <c r="AQ123" s="28" t="str">
        <f t="shared" si="38"/>
        <v>ｃ地域</v>
      </c>
      <c r="AR123" s="28">
        <f t="shared" si="38"/>
        <v>5200</v>
      </c>
      <c r="AS123" s="28">
        <f t="shared" si="38"/>
        <v>5800</v>
      </c>
      <c r="AT123" s="28">
        <f t="shared" si="38"/>
        <v>3600</v>
      </c>
      <c r="AU123" s="28">
        <f t="shared" si="38"/>
        <v>3600</v>
      </c>
      <c r="AV123" s="28">
        <f t="shared" si="38"/>
        <v>0</v>
      </c>
      <c r="AW123" s="28">
        <f t="shared" si="38"/>
        <v>0</v>
      </c>
      <c r="AX123" s="28">
        <f t="shared" si="38"/>
        <v>0</v>
      </c>
      <c r="AY123" s="28"/>
      <c r="AZ123" s="28"/>
      <c r="BA123" s="28">
        <f t="shared" si="38"/>
        <v>0</v>
      </c>
      <c r="BB123" s="28">
        <f t="shared" si="38"/>
        <v>0</v>
      </c>
      <c r="BC123" s="28">
        <f t="shared" si="38"/>
        <v>0</v>
      </c>
      <c r="BD123" s="28">
        <f t="shared" si="38"/>
        <v>0</v>
      </c>
      <c r="BE123" s="28">
        <f t="shared" si="38"/>
        <v>0</v>
      </c>
      <c r="BF123" s="28">
        <f t="shared" si="38"/>
        <v>0</v>
      </c>
      <c r="BG123" s="28">
        <f t="shared" si="38"/>
        <v>0.01</v>
      </c>
      <c r="BH123" s="28"/>
      <c r="BI123" s="28"/>
      <c r="BJ123" s="28"/>
      <c r="BK123" s="28">
        <f t="shared" si="38"/>
        <v>0</v>
      </c>
      <c r="BM123" s="28">
        <f t="shared" si="38"/>
        <v>0</v>
      </c>
      <c r="BO123" s="28">
        <f t="shared" si="38"/>
        <v>0</v>
      </c>
      <c r="BQ123" s="28">
        <f t="shared" si="38"/>
        <v>0</v>
      </c>
    </row>
    <row r="124" spans="2:70">
      <c r="B124" s="28">
        <v>31</v>
      </c>
      <c r="D124" s="28" t="str">
        <f>D21</f>
        <v>１、２歳児</v>
      </c>
      <c r="E124" s="28">
        <f t="shared" ref="E124:BQ124" si="39">E21</f>
        <v>0</v>
      </c>
      <c r="F124" s="28">
        <f t="shared" si="39"/>
        <v>131980</v>
      </c>
      <c r="G124" s="28">
        <f t="shared" si="39"/>
        <v>200810</v>
      </c>
      <c r="H124" s="28">
        <f t="shared" si="39"/>
        <v>120270</v>
      </c>
      <c r="I124" s="28">
        <f t="shared" si="39"/>
        <v>189100</v>
      </c>
      <c r="J124" s="28" t="str">
        <f t="shared" si="39"/>
        <v>＋</v>
      </c>
      <c r="K124" s="28">
        <f t="shared" si="39"/>
        <v>1210</v>
      </c>
      <c r="L124" s="28">
        <f t="shared" si="39"/>
        <v>1890</v>
      </c>
      <c r="M124" s="28" t="str">
        <f t="shared" si="39"/>
        <v>×加算率</v>
      </c>
      <c r="N124" s="28">
        <f t="shared" si="39"/>
        <v>1090</v>
      </c>
      <c r="O124" s="28">
        <f t="shared" si="39"/>
        <v>1770</v>
      </c>
      <c r="P124" s="28" t="str">
        <f t="shared" si="39"/>
        <v>×加算率</v>
      </c>
      <c r="Q124" s="28">
        <f t="shared" si="39"/>
        <v>0</v>
      </c>
      <c r="R124" s="28">
        <f t="shared" si="39"/>
        <v>0</v>
      </c>
      <c r="S124" s="28">
        <f t="shared" si="39"/>
        <v>0</v>
      </c>
      <c r="T124" s="28">
        <f t="shared" si="39"/>
        <v>0</v>
      </c>
      <c r="U124" s="28">
        <f t="shared" si="39"/>
        <v>0</v>
      </c>
      <c r="V124" s="28">
        <f t="shared" si="39"/>
        <v>0</v>
      </c>
      <c r="W124" s="28">
        <f t="shared" si="39"/>
        <v>0</v>
      </c>
      <c r="X124" s="28">
        <f t="shared" si="39"/>
        <v>0</v>
      </c>
      <c r="Y124" s="28">
        <f t="shared" si="39"/>
        <v>0</v>
      </c>
      <c r="Z124" s="28">
        <f t="shared" si="39"/>
        <v>0</v>
      </c>
      <c r="AA124" s="28">
        <f t="shared" si="39"/>
        <v>0</v>
      </c>
      <c r="AB124" s="28" t="str">
        <f t="shared" si="39"/>
        <v>＋</v>
      </c>
      <c r="AC124" s="28">
        <f t="shared" si="39"/>
        <v>17140</v>
      </c>
      <c r="AD124" s="28">
        <f t="shared" si="39"/>
        <v>0</v>
      </c>
      <c r="AE124" s="28">
        <f t="shared" si="39"/>
        <v>0</v>
      </c>
      <c r="AF124" s="28">
        <f t="shared" si="39"/>
        <v>0</v>
      </c>
      <c r="AG124" s="28">
        <f t="shared" si="39"/>
        <v>0</v>
      </c>
      <c r="AH124" s="28"/>
      <c r="AI124" s="28"/>
      <c r="AJ124" s="28"/>
      <c r="AK124" s="28"/>
      <c r="AL124" s="28"/>
      <c r="AM124" s="28"/>
      <c r="AN124" s="28"/>
      <c r="AO124" s="28"/>
      <c r="AP124" s="28">
        <f t="shared" si="39"/>
        <v>0</v>
      </c>
      <c r="AQ124" s="28" t="str">
        <f t="shared" si="39"/>
        <v>ｃ地域</v>
      </c>
      <c r="AR124" s="28">
        <f t="shared" si="39"/>
        <v>4700</v>
      </c>
      <c r="AS124" s="28">
        <f t="shared" si="39"/>
        <v>5200</v>
      </c>
      <c r="AT124" s="28">
        <f t="shared" si="39"/>
        <v>3300</v>
      </c>
      <c r="AU124" s="28">
        <f t="shared" si="39"/>
        <v>3300</v>
      </c>
      <c r="AV124" s="28">
        <f t="shared" si="39"/>
        <v>0</v>
      </c>
      <c r="AW124" s="28">
        <f t="shared" si="39"/>
        <v>0</v>
      </c>
      <c r="AX124" s="28">
        <f t="shared" si="39"/>
        <v>0</v>
      </c>
      <c r="AY124" s="28"/>
      <c r="AZ124" s="28"/>
      <c r="BA124" s="28">
        <f t="shared" si="39"/>
        <v>0</v>
      </c>
      <c r="BB124" s="28">
        <f t="shared" si="39"/>
        <v>0</v>
      </c>
      <c r="BC124" s="28">
        <f t="shared" si="39"/>
        <v>0</v>
      </c>
      <c r="BD124" s="28">
        <f t="shared" si="39"/>
        <v>0</v>
      </c>
      <c r="BE124" s="28">
        <f t="shared" si="39"/>
        <v>0</v>
      </c>
      <c r="BF124" s="28">
        <f t="shared" si="39"/>
        <v>0</v>
      </c>
      <c r="BG124" s="28">
        <f t="shared" si="39"/>
        <v>0.02</v>
      </c>
      <c r="BH124" s="28"/>
      <c r="BI124" s="28"/>
      <c r="BJ124" s="28"/>
      <c r="BK124" s="28">
        <f t="shared" si="39"/>
        <v>0</v>
      </c>
      <c r="BM124" s="28">
        <f t="shared" si="39"/>
        <v>0</v>
      </c>
      <c r="BO124" s="28">
        <f t="shared" si="39"/>
        <v>0</v>
      </c>
      <c r="BQ124" s="28">
        <f t="shared" si="39"/>
        <v>0</v>
      </c>
    </row>
    <row r="125" spans="2:70">
      <c r="B125" s="28">
        <v>41</v>
      </c>
      <c r="D125" s="28" t="str">
        <f>D25</f>
        <v>１、２歳児</v>
      </c>
      <c r="E125" s="28">
        <f t="shared" ref="E125:BQ125" si="40">E25</f>
        <v>0</v>
      </c>
      <c r="F125" s="28">
        <f t="shared" si="40"/>
        <v>127120</v>
      </c>
      <c r="G125" s="28">
        <f t="shared" si="40"/>
        <v>195950</v>
      </c>
      <c r="H125" s="28">
        <f t="shared" si="40"/>
        <v>117750</v>
      </c>
      <c r="I125" s="28">
        <f t="shared" si="40"/>
        <v>186580</v>
      </c>
      <c r="J125" s="28" t="str">
        <f t="shared" si="40"/>
        <v>＋</v>
      </c>
      <c r="K125" s="28">
        <f t="shared" si="40"/>
        <v>1160</v>
      </c>
      <c r="L125" s="28">
        <f t="shared" si="40"/>
        <v>1840</v>
      </c>
      <c r="M125" s="28" t="str">
        <f t="shared" si="40"/>
        <v>×加算率</v>
      </c>
      <c r="N125" s="28">
        <f t="shared" si="40"/>
        <v>1060</v>
      </c>
      <c r="O125" s="28">
        <f t="shared" si="40"/>
        <v>1740</v>
      </c>
      <c r="P125" s="28" t="str">
        <f t="shared" si="40"/>
        <v>×加算率</v>
      </c>
      <c r="Q125" s="28">
        <f t="shared" si="40"/>
        <v>0</v>
      </c>
      <c r="R125" s="28">
        <f t="shared" si="40"/>
        <v>0</v>
      </c>
      <c r="S125" s="28">
        <f t="shared" si="40"/>
        <v>0</v>
      </c>
      <c r="T125" s="28">
        <f t="shared" si="40"/>
        <v>0</v>
      </c>
      <c r="U125" s="28">
        <f t="shared" si="40"/>
        <v>0</v>
      </c>
      <c r="V125" s="28" t="str">
        <f t="shared" si="40"/>
        <v>　 211人～　279人</v>
      </c>
      <c r="W125" s="28">
        <f t="shared" si="40"/>
        <v>0</v>
      </c>
      <c r="X125" s="28" t="str">
        <f t="shared" si="40"/>
        <v>　 211人～　279人</v>
      </c>
      <c r="Y125" s="28">
        <f t="shared" si="40"/>
        <v>0</v>
      </c>
      <c r="Z125" s="28">
        <f t="shared" si="40"/>
        <v>0</v>
      </c>
      <c r="AA125" s="28">
        <f t="shared" si="40"/>
        <v>0</v>
      </c>
      <c r="AB125" s="28" t="str">
        <f t="shared" si="40"/>
        <v>＋</v>
      </c>
      <c r="AC125" s="28">
        <f t="shared" si="40"/>
        <v>14770</v>
      </c>
      <c r="AD125" s="28">
        <f t="shared" si="40"/>
        <v>0</v>
      </c>
      <c r="AE125" s="28">
        <f t="shared" si="40"/>
        <v>0</v>
      </c>
      <c r="AF125" s="28">
        <f t="shared" si="40"/>
        <v>0</v>
      </c>
      <c r="AG125" s="28">
        <f t="shared" si="40"/>
        <v>0</v>
      </c>
      <c r="AH125" s="28"/>
      <c r="AI125" s="28"/>
      <c r="AJ125" s="28"/>
      <c r="AK125" s="28"/>
      <c r="AL125" s="28"/>
      <c r="AM125" s="28"/>
      <c r="AN125" s="28"/>
      <c r="AO125" s="28"/>
      <c r="AP125" s="28">
        <f t="shared" si="40"/>
        <v>0</v>
      </c>
      <c r="AQ125" s="28" t="str">
        <f t="shared" si="40"/>
        <v>ｃ地域</v>
      </c>
      <c r="AR125" s="28">
        <f t="shared" si="40"/>
        <v>4200</v>
      </c>
      <c r="AS125" s="28">
        <f t="shared" si="40"/>
        <v>4700</v>
      </c>
      <c r="AT125" s="28">
        <f t="shared" si="40"/>
        <v>2900</v>
      </c>
      <c r="AU125" s="28">
        <f t="shared" si="40"/>
        <v>2900</v>
      </c>
      <c r="AV125" s="28">
        <f t="shared" si="40"/>
        <v>0</v>
      </c>
      <c r="AW125" s="28" t="str">
        <f t="shared" si="40"/>
        <v xml:space="preserve">  26人～　35人</v>
      </c>
      <c r="AX125" s="28">
        <f t="shared" si="40"/>
        <v>0</v>
      </c>
      <c r="AY125" s="28"/>
      <c r="AZ125" s="28"/>
      <c r="BA125" s="28">
        <f t="shared" si="40"/>
        <v>0</v>
      </c>
      <c r="BB125" s="28">
        <f t="shared" si="40"/>
        <v>0</v>
      </c>
      <c r="BC125" s="28">
        <f t="shared" si="40"/>
        <v>0</v>
      </c>
      <c r="BD125" s="28">
        <f t="shared" si="40"/>
        <v>0</v>
      </c>
      <c r="BE125" s="28">
        <f t="shared" si="40"/>
        <v>0</v>
      </c>
      <c r="BF125" s="28">
        <f t="shared" si="40"/>
        <v>0</v>
      </c>
      <c r="BG125" s="28">
        <f t="shared" si="40"/>
        <v>0.02</v>
      </c>
      <c r="BH125" s="28"/>
      <c r="BI125" s="28"/>
      <c r="BJ125" s="28"/>
      <c r="BK125" s="28">
        <f t="shared" si="40"/>
        <v>0</v>
      </c>
      <c r="BM125" s="28">
        <f t="shared" si="40"/>
        <v>0</v>
      </c>
      <c r="BO125" s="28">
        <f t="shared" si="40"/>
        <v>0</v>
      </c>
      <c r="BQ125" s="28">
        <f t="shared" si="40"/>
        <v>0</v>
      </c>
    </row>
    <row r="126" spans="2:70">
      <c r="B126" s="28">
        <v>51</v>
      </c>
      <c r="D126" s="28" t="str">
        <f>D29</f>
        <v>１、２歳児</v>
      </c>
      <c r="E126" s="28">
        <f t="shared" ref="E126:BQ126" si="41">E29</f>
        <v>0</v>
      </c>
      <c r="F126" s="28">
        <f t="shared" si="41"/>
        <v>119120</v>
      </c>
      <c r="G126" s="28">
        <f t="shared" si="41"/>
        <v>187950</v>
      </c>
      <c r="H126" s="28">
        <f t="shared" si="41"/>
        <v>111310</v>
      </c>
      <c r="I126" s="28">
        <f t="shared" si="41"/>
        <v>180140</v>
      </c>
      <c r="J126" s="28" t="str">
        <f t="shared" si="41"/>
        <v>＋</v>
      </c>
      <c r="K126" s="28">
        <f t="shared" si="41"/>
        <v>1080</v>
      </c>
      <c r="L126" s="28">
        <f t="shared" si="41"/>
        <v>1760</v>
      </c>
      <c r="M126" s="28" t="str">
        <f t="shared" si="41"/>
        <v>×加算率</v>
      </c>
      <c r="N126" s="28">
        <f t="shared" si="41"/>
        <v>1000</v>
      </c>
      <c r="O126" s="28">
        <f t="shared" si="41"/>
        <v>1680</v>
      </c>
      <c r="P126" s="28" t="str">
        <f t="shared" si="41"/>
        <v>×加算率</v>
      </c>
      <c r="Q126" s="28">
        <f t="shared" si="41"/>
        <v>0</v>
      </c>
      <c r="R126" s="28">
        <f t="shared" si="41"/>
        <v>0</v>
      </c>
      <c r="S126" s="28">
        <f t="shared" si="41"/>
        <v>0</v>
      </c>
      <c r="T126" s="28">
        <f t="shared" si="41"/>
        <v>0</v>
      </c>
      <c r="U126" s="28">
        <f t="shared" si="41"/>
        <v>0</v>
      </c>
      <c r="V126" s="28">
        <f t="shared" si="41"/>
        <v>291300</v>
      </c>
      <c r="W126" s="28">
        <f t="shared" si="41"/>
        <v>0</v>
      </c>
      <c r="X126" s="28">
        <f t="shared" si="41"/>
        <v>2910</v>
      </c>
      <c r="Y126" s="28">
        <f t="shared" si="41"/>
        <v>0</v>
      </c>
      <c r="Z126" s="28">
        <f t="shared" si="41"/>
        <v>0</v>
      </c>
      <c r="AA126" s="28">
        <f t="shared" si="41"/>
        <v>0</v>
      </c>
      <c r="AB126" s="28" t="str">
        <f t="shared" si="41"/>
        <v>＋</v>
      </c>
      <c r="AC126" s="28">
        <f t="shared" si="41"/>
        <v>13190</v>
      </c>
      <c r="AD126" s="28">
        <f t="shared" si="41"/>
        <v>0</v>
      </c>
      <c r="AE126" s="28">
        <f t="shared" si="41"/>
        <v>0</v>
      </c>
      <c r="AF126" s="28">
        <f t="shared" si="41"/>
        <v>0</v>
      </c>
      <c r="AG126" s="28">
        <f t="shared" si="41"/>
        <v>0</v>
      </c>
      <c r="AH126" s="28"/>
      <c r="AI126" s="28"/>
      <c r="AJ126" s="28"/>
      <c r="AK126" s="28"/>
      <c r="AL126" s="28"/>
      <c r="AM126" s="28"/>
      <c r="AN126" s="28"/>
      <c r="AO126" s="28"/>
      <c r="AP126" s="28">
        <f t="shared" si="41"/>
        <v>0</v>
      </c>
      <c r="AQ126" s="28" t="str">
        <f t="shared" si="41"/>
        <v>ｃ地域</v>
      </c>
      <c r="AR126" s="28">
        <f t="shared" si="41"/>
        <v>3500</v>
      </c>
      <c r="AS126" s="28">
        <f t="shared" si="41"/>
        <v>3800</v>
      </c>
      <c r="AT126" s="28">
        <f t="shared" si="41"/>
        <v>2400</v>
      </c>
      <c r="AU126" s="28">
        <f t="shared" si="41"/>
        <v>2400</v>
      </c>
      <c r="AV126" s="28">
        <f t="shared" si="41"/>
        <v>0</v>
      </c>
      <c r="AW126" s="28">
        <f t="shared" si="41"/>
        <v>9770</v>
      </c>
      <c r="AX126" s="28">
        <f t="shared" si="41"/>
        <v>0</v>
      </c>
      <c r="AY126" s="28"/>
      <c r="AZ126" s="28"/>
      <c r="BA126" s="28">
        <f t="shared" si="41"/>
        <v>0</v>
      </c>
      <c r="BB126" s="28">
        <f t="shared" si="41"/>
        <v>0</v>
      </c>
      <c r="BC126" s="28">
        <f t="shared" si="41"/>
        <v>0</v>
      </c>
      <c r="BD126" s="28">
        <f t="shared" si="41"/>
        <v>0</v>
      </c>
      <c r="BE126" s="28">
        <f t="shared" si="41"/>
        <v>0</v>
      </c>
      <c r="BF126" s="28">
        <f t="shared" si="41"/>
        <v>0</v>
      </c>
      <c r="BG126" s="28">
        <f t="shared" si="41"/>
        <v>0.02</v>
      </c>
      <c r="BH126" s="28"/>
      <c r="BI126" s="28"/>
      <c r="BJ126" s="28"/>
      <c r="BK126" s="28">
        <f t="shared" si="41"/>
        <v>0</v>
      </c>
      <c r="BM126" s="28">
        <f t="shared" si="41"/>
        <v>0</v>
      </c>
      <c r="BO126" s="28">
        <f t="shared" si="41"/>
        <v>0</v>
      </c>
      <c r="BQ126" s="28">
        <f t="shared" si="41"/>
        <v>0</v>
      </c>
    </row>
    <row r="127" spans="2:70">
      <c r="B127" s="28">
        <v>61</v>
      </c>
      <c r="D127" s="28" t="str">
        <f>D33</f>
        <v>１、２歳児</v>
      </c>
      <c r="E127" s="28">
        <f t="shared" ref="E127:BQ127" si="42">E33</f>
        <v>0</v>
      </c>
      <c r="F127" s="28">
        <f t="shared" si="42"/>
        <v>113490</v>
      </c>
      <c r="G127" s="28">
        <f t="shared" si="42"/>
        <v>182320</v>
      </c>
      <c r="H127" s="28">
        <f t="shared" si="42"/>
        <v>106790</v>
      </c>
      <c r="I127" s="28">
        <f t="shared" si="42"/>
        <v>175620</v>
      </c>
      <c r="J127" s="28" t="str">
        <f t="shared" si="42"/>
        <v>＋</v>
      </c>
      <c r="K127" s="28">
        <f t="shared" si="42"/>
        <v>1020</v>
      </c>
      <c r="L127" s="28">
        <f t="shared" si="42"/>
        <v>1700</v>
      </c>
      <c r="M127" s="28" t="str">
        <f t="shared" si="42"/>
        <v>×加算率</v>
      </c>
      <c r="N127" s="28">
        <f t="shared" si="42"/>
        <v>950</v>
      </c>
      <c r="O127" s="28">
        <f t="shared" si="42"/>
        <v>1630</v>
      </c>
      <c r="P127" s="28" t="str">
        <f t="shared" si="42"/>
        <v>×加算率</v>
      </c>
      <c r="Q127" s="28">
        <f t="shared" si="42"/>
        <v>0</v>
      </c>
      <c r="R127" s="28">
        <f t="shared" si="42"/>
        <v>0</v>
      </c>
      <c r="S127" s="28">
        <f t="shared" si="42"/>
        <v>0</v>
      </c>
      <c r="T127" s="28">
        <f t="shared" si="42"/>
        <v>0</v>
      </c>
      <c r="U127" s="28">
        <f t="shared" si="42"/>
        <v>0</v>
      </c>
      <c r="V127" s="28">
        <f t="shared" si="42"/>
        <v>0</v>
      </c>
      <c r="W127" s="28">
        <f t="shared" si="42"/>
        <v>0</v>
      </c>
      <c r="X127" s="28">
        <f t="shared" si="42"/>
        <v>0</v>
      </c>
      <c r="Y127" s="28">
        <f t="shared" si="42"/>
        <v>0</v>
      </c>
      <c r="Z127" s="28">
        <f t="shared" si="42"/>
        <v>0</v>
      </c>
      <c r="AA127" s="28">
        <f t="shared" si="42"/>
        <v>0</v>
      </c>
      <c r="AB127" s="28" t="str">
        <f t="shared" si="42"/>
        <v>＋</v>
      </c>
      <c r="AC127" s="28">
        <f t="shared" si="42"/>
        <v>12060</v>
      </c>
      <c r="AD127" s="28">
        <f t="shared" si="42"/>
        <v>0</v>
      </c>
      <c r="AE127" s="28">
        <f t="shared" si="42"/>
        <v>0</v>
      </c>
      <c r="AF127" s="28">
        <f t="shared" si="42"/>
        <v>0</v>
      </c>
      <c r="AG127" s="28">
        <f t="shared" si="42"/>
        <v>0</v>
      </c>
      <c r="AH127" s="28"/>
      <c r="AI127" s="28"/>
      <c r="AJ127" s="28"/>
      <c r="AK127" s="28"/>
      <c r="AL127" s="28"/>
      <c r="AM127" s="28"/>
      <c r="AN127" s="28"/>
      <c r="AO127" s="28"/>
      <c r="AP127" s="28">
        <f t="shared" si="42"/>
        <v>0</v>
      </c>
      <c r="AQ127" s="28" t="str">
        <f t="shared" si="42"/>
        <v>ｃ地域</v>
      </c>
      <c r="AR127" s="28">
        <f t="shared" si="42"/>
        <v>3000</v>
      </c>
      <c r="AS127" s="28">
        <f t="shared" si="42"/>
        <v>3400</v>
      </c>
      <c r="AT127" s="28">
        <f t="shared" si="42"/>
        <v>2100</v>
      </c>
      <c r="AU127" s="28">
        <f t="shared" si="42"/>
        <v>2100</v>
      </c>
      <c r="AV127" s="28">
        <f t="shared" si="42"/>
        <v>0</v>
      </c>
      <c r="AW127" s="28">
        <f t="shared" si="42"/>
        <v>0</v>
      </c>
      <c r="AX127" s="28">
        <f t="shared" si="42"/>
        <v>0</v>
      </c>
      <c r="AY127" s="28"/>
      <c r="AZ127" s="28"/>
      <c r="BA127" s="28">
        <f t="shared" si="42"/>
        <v>0</v>
      </c>
      <c r="BB127" s="28">
        <f t="shared" si="42"/>
        <v>0</v>
      </c>
      <c r="BC127" s="28">
        <f t="shared" si="42"/>
        <v>0</v>
      </c>
      <c r="BD127" s="28">
        <f t="shared" si="42"/>
        <v>0</v>
      </c>
      <c r="BE127" s="28">
        <f t="shared" si="42"/>
        <v>0</v>
      </c>
      <c r="BF127" s="28">
        <f t="shared" si="42"/>
        <v>0</v>
      </c>
      <c r="BG127" s="28">
        <f t="shared" si="42"/>
        <v>0.02</v>
      </c>
      <c r="BH127" s="28"/>
      <c r="BI127" s="28"/>
      <c r="BJ127" s="28"/>
      <c r="BK127" s="28">
        <f t="shared" si="42"/>
        <v>0</v>
      </c>
      <c r="BM127" s="28">
        <f t="shared" si="42"/>
        <v>0</v>
      </c>
      <c r="BO127" s="28">
        <f t="shared" si="42"/>
        <v>0</v>
      </c>
      <c r="BQ127" s="28">
        <f t="shared" si="42"/>
        <v>0</v>
      </c>
    </row>
    <row r="128" spans="2:70">
      <c r="B128" s="28">
        <v>71</v>
      </c>
      <c r="D128" s="28" t="str">
        <f>D37</f>
        <v>１、２歳児</v>
      </c>
      <c r="E128" s="28">
        <f t="shared" ref="E128:BQ128" si="43">E37</f>
        <v>0</v>
      </c>
      <c r="F128" s="28">
        <f t="shared" si="43"/>
        <v>109310</v>
      </c>
      <c r="G128" s="28">
        <f t="shared" si="43"/>
        <v>178140</v>
      </c>
      <c r="H128" s="28">
        <f t="shared" si="43"/>
        <v>103450</v>
      </c>
      <c r="I128" s="28">
        <f t="shared" si="43"/>
        <v>172280</v>
      </c>
      <c r="J128" s="28" t="str">
        <f t="shared" si="43"/>
        <v>＋</v>
      </c>
      <c r="K128" s="28">
        <f t="shared" si="43"/>
        <v>980</v>
      </c>
      <c r="L128" s="28">
        <f t="shared" si="43"/>
        <v>1660</v>
      </c>
      <c r="M128" s="28" t="str">
        <f t="shared" si="43"/>
        <v>×加算率</v>
      </c>
      <c r="N128" s="28">
        <f t="shared" si="43"/>
        <v>920</v>
      </c>
      <c r="O128" s="28">
        <f t="shared" si="43"/>
        <v>1600</v>
      </c>
      <c r="P128" s="28" t="str">
        <f t="shared" si="43"/>
        <v>×加算率</v>
      </c>
      <c r="Q128" s="28">
        <f t="shared" si="43"/>
        <v>0</v>
      </c>
      <c r="R128" s="28">
        <f t="shared" si="43"/>
        <v>0</v>
      </c>
      <c r="S128" s="28">
        <f t="shared" si="43"/>
        <v>0</v>
      </c>
      <c r="T128" s="28">
        <f t="shared" si="43"/>
        <v>0</v>
      </c>
      <c r="U128" s="28">
        <f t="shared" si="43"/>
        <v>0</v>
      </c>
      <c r="V128" s="28" t="str">
        <f t="shared" si="43"/>
        <v xml:space="preserve"> 　490人～　559人</v>
      </c>
      <c r="W128" s="28">
        <f t="shared" si="43"/>
        <v>0</v>
      </c>
      <c r="X128" s="28" t="str">
        <f t="shared" si="43"/>
        <v xml:space="preserve"> 　490人～　559人</v>
      </c>
      <c r="Y128" s="28">
        <f t="shared" si="43"/>
        <v>0</v>
      </c>
      <c r="Z128" s="28">
        <f t="shared" si="43"/>
        <v>0</v>
      </c>
      <c r="AA128" s="28">
        <f t="shared" si="43"/>
        <v>0</v>
      </c>
      <c r="AB128" s="28" t="str">
        <f t="shared" si="43"/>
        <v>＋</v>
      </c>
      <c r="AC128" s="28">
        <f t="shared" si="43"/>
        <v>11220</v>
      </c>
      <c r="AD128" s="28">
        <f t="shared" si="43"/>
        <v>0</v>
      </c>
      <c r="AE128" s="28">
        <f t="shared" si="43"/>
        <v>0</v>
      </c>
      <c r="AF128" s="28">
        <f t="shared" si="43"/>
        <v>0</v>
      </c>
      <c r="AG128" s="28">
        <f t="shared" si="43"/>
        <v>0</v>
      </c>
      <c r="AH128" s="28"/>
      <c r="AI128" s="28"/>
      <c r="AJ128" s="28"/>
      <c r="AK128" s="28"/>
      <c r="AL128" s="28"/>
      <c r="AM128" s="28"/>
      <c r="AN128" s="28"/>
      <c r="AO128" s="28"/>
      <c r="AP128" s="28">
        <f t="shared" si="43"/>
        <v>0</v>
      </c>
      <c r="AQ128" s="28" t="str">
        <f t="shared" si="43"/>
        <v>ｃ地域</v>
      </c>
      <c r="AR128" s="28">
        <f t="shared" si="43"/>
        <v>3400</v>
      </c>
      <c r="AS128" s="28">
        <f t="shared" si="43"/>
        <v>3800</v>
      </c>
      <c r="AT128" s="28">
        <f t="shared" si="43"/>
        <v>2300</v>
      </c>
      <c r="AU128" s="28">
        <f t="shared" si="43"/>
        <v>2300</v>
      </c>
      <c r="AV128" s="28">
        <f t="shared" si="43"/>
        <v>0</v>
      </c>
      <c r="AW128" s="28" t="str">
        <f t="shared" si="43"/>
        <v xml:space="preserve">  76人～　90人</v>
      </c>
      <c r="AX128" s="28">
        <f t="shared" si="43"/>
        <v>0</v>
      </c>
      <c r="AY128" s="28"/>
      <c r="AZ128" s="28"/>
      <c r="BA128" s="28">
        <f t="shared" si="43"/>
        <v>0</v>
      </c>
      <c r="BB128" s="28">
        <f t="shared" si="43"/>
        <v>0</v>
      </c>
      <c r="BC128" s="28">
        <f t="shared" si="43"/>
        <v>0</v>
      </c>
      <c r="BD128" s="28">
        <f t="shared" si="43"/>
        <v>0</v>
      </c>
      <c r="BE128" s="28">
        <f t="shared" si="43"/>
        <v>0</v>
      </c>
      <c r="BF128" s="28">
        <f t="shared" si="43"/>
        <v>0</v>
      </c>
      <c r="BG128" s="28">
        <f t="shared" si="43"/>
        <v>0.02</v>
      </c>
      <c r="BH128" s="28"/>
      <c r="BI128" s="28"/>
      <c r="BJ128" s="28"/>
      <c r="BK128" s="28">
        <f t="shared" si="43"/>
        <v>0</v>
      </c>
      <c r="BM128" s="28">
        <f t="shared" si="43"/>
        <v>0</v>
      </c>
      <c r="BO128" s="28">
        <f t="shared" si="43"/>
        <v>0</v>
      </c>
      <c r="BQ128" s="28">
        <f t="shared" si="43"/>
        <v>0</v>
      </c>
    </row>
    <row r="129" spans="2:70">
      <c r="B129" s="28">
        <v>81</v>
      </c>
      <c r="D129" s="28" t="str">
        <f>D41</f>
        <v>１、２歳児</v>
      </c>
      <c r="E129" s="28">
        <f t="shared" ref="E129:BQ129" si="44">E41</f>
        <v>0</v>
      </c>
      <c r="F129" s="28">
        <f t="shared" si="44"/>
        <v>106020</v>
      </c>
      <c r="G129" s="28">
        <f t="shared" si="44"/>
        <v>174850</v>
      </c>
      <c r="H129" s="28">
        <f t="shared" si="44"/>
        <v>100810</v>
      </c>
      <c r="I129" s="28">
        <f t="shared" si="44"/>
        <v>169640</v>
      </c>
      <c r="J129" s="28" t="str">
        <f t="shared" si="44"/>
        <v>＋</v>
      </c>
      <c r="K129" s="28">
        <f t="shared" si="44"/>
        <v>950</v>
      </c>
      <c r="L129" s="28">
        <f t="shared" si="44"/>
        <v>1630</v>
      </c>
      <c r="M129" s="28" t="str">
        <f t="shared" si="44"/>
        <v>×加算率</v>
      </c>
      <c r="N129" s="28">
        <f t="shared" si="44"/>
        <v>890</v>
      </c>
      <c r="O129" s="28">
        <f t="shared" si="44"/>
        <v>1570</v>
      </c>
      <c r="P129" s="28" t="str">
        <f t="shared" si="44"/>
        <v>×加算率</v>
      </c>
      <c r="Q129" s="28">
        <f t="shared" si="44"/>
        <v>0</v>
      </c>
      <c r="R129" s="28">
        <f t="shared" si="44"/>
        <v>0</v>
      </c>
      <c r="S129" s="28">
        <f t="shared" si="44"/>
        <v>0</v>
      </c>
      <c r="T129" s="28">
        <f t="shared" si="44"/>
        <v>0</v>
      </c>
      <c r="U129" s="28">
        <f t="shared" si="44"/>
        <v>0</v>
      </c>
      <c r="V129" s="28">
        <f t="shared" si="44"/>
        <v>426600</v>
      </c>
      <c r="W129" s="28">
        <f t="shared" si="44"/>
        <v>0</v>
      </c>
      <c r="X129" s="28">
        <f t="shared" si="44"/>
        <v>4260</v>
      </c>
      <c r="Y129" s="28">
        <f t="shared" si="44"/>
        <v>0</v>
      </c>
      <c r="Z129" s="28">
        <f t="shared" si="44"/>
        <v>0</v>
      </c>
      <c r="AA129" s="28" t="str">
        <f t="shared" si="44"/>
        <v>利用子ども数</v>
      </c>
      <c r="AB129" s="28" t="str">
        <f t="shared" si="44"/>
        <v>＋</v>
      </c>
      <c r="AC129" s="28">
        <f t="shared" si="44"/>
        <v>10560</v>
      </c>
      <c r="AD129" s="28">
        <f t="shared" si="44"/>
        <v>0</v>
      </c>
      <c r="AE129" s="28">
        <f t="shared" si="44"/>
        <v>0</v>
      </c>
      <c r="AF129" s="28">
        <f t="shared" si="44"/>
        <v>0</v>
      </c>
      <c r="AG129" s="28">
        <f t="shared" si="44"/>
        <v>0</v>
      </c>
      <c r="AH129" s="28"/>
      <c r="AI129" s="28"/>
      <c r="AJ129" s="28"/>
      <c r="AK129" s="28"/>
      <c r="AL129" s="28"/>
      <c r="AM129" s="28"/>
      <c r="AN129" s="28"/>
      <c r="AO129" s="28"/>
      <c r="AP129" s="28">
        <f t="shared" si="44"/>
        <v>0</v>
      </c>
      <c r="AQ129" s="28" t="str">
        <f t="shared" si="44"/>
        <v>ｃ地域</v>
      </c>
      <c r="AR129" s="28">
        <f t="shared" si="44"/>
        <v>3000</v>
      </c>
      <c r="AS129" s="28">
        <f t="shared" si="44"/>
        <v>3400</v>
      </c>
      <c r="AT129" s="28">
        <f t="shared" si="44"/>
        <v>2100</v>
      </c>
      <c r="AU129" s="28">
        <f t="shared" si="44"/>
        <v>2100</v>
      </c>
      <c r="AV129" s="28">
        <f t="shared" si="44"/>
        <v>0</v>
      </c>
      <c r="AW129" s="28">
        <f t="shared" si="44"/>
        <v>4660</v>
      </c>
      <c r="AX129" s="28">
        <f t="shared" si="44"/>
        <v>0</v>
      </c>
      <c r="AY129" s="28"/>
      <c r="AZ129" s="28"/>
      <c r="BA129" s="28">
        <f t="shared" si="44"/>
        <v>0</v>
      </c>
      <c r="BB129" s="28">
        <f t="shared" si="44"/>
        <v>0</v>
      </c>
      <c r="BC129" s="28">
        <f t="shared" si="44"/>
        <v>0</v>
      </c>
      <c r="BD129" s="28">
        <f t="shared" si="44"/>
        <v>0</v>
      </c>
      <c r="BE129" s="28" t="str">
        <f t="shared" si="44"/>
        <v>(⑥＋⑦)</v>
      </c>
      <c r="BF129" s="28">
        <f t="shared" si="44"/>
        <v>0</v>
      </c>
      <c r="BG129" s="28">
        <f t="shared" si="44"/>
        <v>0.02</v>
      </c>
      <c r="BH129" s="28"/>
      <c r="BI129" s="28"/>
      <c r="BJ129" s="28"/>
      <c r="BK129" s="28">
        <f t="shared" si="44"/>
        <v>0</v>
      </c>
      <c r="BM129" s="28">
        <f t="shared" si="44"/>
        <v>0</v>
      </c>
      <c r="BO129" s="28">
        <f t="shared" si="44"/>
        <v>0</v>
      </c>
      <c r="BQ129" s="28">
        <f t="shared" si="44"/>
        <v>0</v>
      </c>
    </row>
    <row r="130" spans="2:70">
      <c r="B130" s="28">
        <v>91</v>
      </c>
      <c r="D130" s="28" t="str">
        <f>D45</f>
        <v>１、２歳児</v>
      </c>
      <c r="E130" s="28">
        <f t="shared" ref="E130:BQ130" si="45">E45</f>
        <v>0</v>
      </c>
      <c r="F130" s="28">
        <f t="shared" si="45"/>
        <v>100430</v>
      </c>
      <c r="G130" s="28">
        <f t="shared" si="45"/>
        <v>169260</v>
      </c>
      <c r="H130" s="28">
        <f t="shared" si="45"/>
        <v>95750</v>
      </c>
      <c r="I130" s="28">
        <f t="shared" si="45"/>
        <v>164580</v>
      </c>
      <c r="J130" s="28" t="str">
        <f t="shared" si="45"/>
        <v>＋</v>
      </c>
      <c r="K130" s="28">
        <f t="shared" si="45"/>
        <v>890</v>
      </c>
      <c r="L130" s="28">
        <f t="shared" si="45"/>
        <v>1570</v>
      </c>
      <c r="M130" s="28" t="str">
        <f t="shared" si="45"/>
        <v>×加算率</v>
      </c>
      <c r="N130" s="28">
        <f t="shared" si="45"/>
        <v>840</v>
      </c>
      <c r="O130" s="28">
        <f t="shared" si="45"/>
        <v>1520</v>
      </c>
      <c r="P130" s="28" t="str">
        <f t="shared" si="45"/>
        <v>×加算率</v>
      </c>
      <c r="Q130" s="28">
        <f t="shared" si="45"/>
        <v>0</v>
      </c>
      <c r="R130" s="28">
        <f t="shared" si="45"/>
        <v>0</v>
      </c>
      <c r="S130" s="28">
        <f t="shared" si="45"/>
        <v>0</v>
      </c>
      <c r="T130" s="28">
        <f t="shared" si="45"/>
        <v>0</v>
      </c>
      <c r="U130" s="28">
        <f t="shared" si="45"/>
        <v>0</v>
      </c>
      <c r="V130" s="28">
        <f t="shared" si="45"/>
        <v>0</v>
      </c>
      <c r="W130" s="28">
        <f t="shared" si="45"/>
        <v>0</v>
      </c>
      <c r="X130" s="28">
        <f t="shared" si="45"/>
        <v>0</v>
      </c>
      <c r="Y130" s="28">
        <f t="shared" si="45"/>
        <v>0</v>
      </c>
      <c r="Z130" s="28">
        <f t="shared" si="45"/>
        <v>0</v>
      </c>
      <c r="AA130" s="28">
        <f t="shared" si="45"/>
        <v>0</v>
      </c>
      <c r="AB130" s="28">
        <f t="shared" si="45"/>
        <v>0</v>
      </c>
      <c r="AC130" s="28">
        <f t="shared" si="45"/>
        <v>0</v>
      </c>
      <c r="AD130" s="28">
        <f t="shared" si="45"/>
        <v>0</v>
      </c>
      <c r="AE130" s="28">
        <f t="shared" si="45"/>
        <v>0</v>
      </c>
      <c r="AF130" s="28">
        <f t="shared" si="45"/>
        <v>0</v>
      </c>
      <c r="AG130" s="28">
        <f t="shared" si="45"/>
        <v>0</v>
      </c>
      <c r="AH130" s="28"/>
      <c r="AI130" s="28"/>
      <c r="AJ130" s="28"/>
      <c r="AK130" s="28"/>
      <c r="AL130" s="28"/>
      <c r="AM130" s="28"/>
      <c r="AN130" s="28"/>
      <c r="AO130" s="28"/>
      <c r="AP130" s="28">
        <f t="shared" si="45"/>
        <v>0</v>
      </c>
      <c r="AQ130" s="28" t="str">
        <f t="shared" si="45"/>
        <v>ｃ地域</v>
      </c>
      <c r="AR130" s="28">
        <f t="shared" si="45"/>
        <v>2600</v>
      </c>
      <c r="AS130" s="28">
        <f t="shared" si="45"/>
        <v>2900</v>
      </c>
      <c r="AT130" s="28">
        <f t="shared" si="45"/>
        <v>1800</v>
      </c>
      <c r="AU130" s="28">
        <f t="shared" si="45"/>
        <v>1800</v>
      </c>
      <c r="AV130" s="28">
        <f t="shared" si="45"/>
        <v>0</v>
      </c>
      <c r="AW130" s="28">
        <f t="shared" si="45"/>
        <v>0</v>
      </c>
      <c r="AX130" s="28">
        <f t="shared" si="45"/>
        <v>0</v>
      </c>
      <c r="AY130" s="28"/>
      <c r="AZ130" s="28"/>
      <c r="BA130" s="28">
        <f t="shared" si="45"/>
        <v>0</v>
      </c>
      <c r="BB130" s="28">
        <f t="shared" si="45"/>
        <v>0</v>
      </c>
      <c r="BC130" s="28">
        <f t="shared" si="45"/>
        <v>0</v>
      </c>
      <c r="BD130" s="28">
        <f t="shared" si="45"/>
        <v>0</v>
      </c>
      <c r="BE130" s="28">
        <f t="shared" si="45"/>
        <v>0</v>
      </c>
      <c r="BF130" s="28">
        <f t="shared" si="45"/>
        <v>0</v>
      </c>
      <c r="BG130" s="28">
        <f t="shared" si="45"/>
        <v>0.02</v>
      </c>
      <c r="BH130" s="28"/>
      <c r="BI130" s="28"/>
      <c r="BJ130" s="28"/>
      <c r="BK130" s="28">
        <f t="shared" si="45"/>
        <v>0</v>
      </c>
      <c r="BM130" s="28">
        <f t="shared" si="45"/>
        <v>0</v>
      </c>
      <c r="BO130" s="28">
        <f t="shared" si="45"/>
        <v>0</v>
      </c>
      <c r="BQ130" s="28">
        <f t="shared" si="45"/>
        <v>0</v>
      </c>
    </row>
    <row r="131" spans="2:70">
      <c r="B131" s="28">
        <v>101</v>
      </c>
      <c r="D131" s="28" t="str">
        <f>D49</f>
        <v>１、２歳児</v>
      </c>
      <c r="E131" s="28">
        <f t="shared" ref="E131:BQ131" si="46">E49</f>
        <v>0</v>
      </c>
      <c r="F131" s="28">
        <f t="shared" si="46"/>
        <v>98580</v>
      </c>
      <c r="G131" s="28">
        <f t="shared" si="46"/>
        <v>167410</v>
      </c>
      <c r="H131" s="28">
        <f t="shared" si="46"/>
        <v>94320</v>
      </c>
      <c r="I131" s="28">
        <f t="shared" si="46"/>
        <v>163150</v>
      </c>
      <c r="J131" s="28" t="str">
        <f t="shared" si="46"/>
        <v>＋</v>
      </c>
      <c r="K131" s="28">
        <f t="shared" si="46"/>
        <v>870</v>
      </c>
      <c r="L131" s="28">
        <f t="shared" si="46"/>
        <v>1550</v>
      </c>
      <c r="M131" s="28" t="str">
        <f t="shared" si="46"/>
        <v>×加算率</v>
      </c>
      <c r="N131" s="28">
        <f t="shared" si="46"/>
        <v>830</v>
      </c>
      <c r="O131" s="28">
        <f t="shared" si="46"/>
        <v>1510</v>
      </c>
      <c r="P131" s="28" t="str">
        <f t="shared" si="46"/>
        <v>×加算率</v>
      </c>
      <c r="Q131" s="28">
        <f t="shared" si="46"/>
        <v>0</v>
      </c>
      <c r="R131" s="28">
        <f t="shared" si="46"/>
        <v>0</v>
      </c>
      <c r="S131" s="28">
        <f t="shared" si="46"/>
        <v>0</v>
      </c>
      <c r="T131" s="28">
        <f t="shared" si="46"/>
        <v>0</v>
      </c>
      <c r="U131" s="28">
        <f t="shared" si="46"/>
        <v>0</v>
      </c>
      <c r="V131" s="28" t="str">
        <f t="shared" si="46"/>
        <v xml:space="preserve"> 　770人～　839人</v>
      </c>
      <c r="W131" s="28">
        <f t="shared" si="46"/>
        <v>0</v>
      </c>
      <c r="X131" s="28" t="str">
        <f t="shared" si="46"/>
        <v xml:space="preserve"> 　770人～　839人</v>
      </c>
      <c r="Y131" s="28">
        <f t="shared" si="46"/>
        <v>0</v>
      </c>
      <c r="Z131" s="28">
        <f t="shared" si="46"/>
        <v>0</v>
      </c>
      <c r="AA131" s="28">
        <f t="shared" si="46"/>
        <v>0</v>
      </c>
      <c r="AB131" s="28">
        <f t="shared" si="46"/>
        <v>0</v>
      </c>
      <c r="AC131" s="28">
        <f t="shared" si="46"/>
        <v>0</v>
      </c>
      <c r="AD131" s="28">
        <f t="shared" si="46"/>
        <v>0</v>
      </c>
      <c r="AE131" s="28">
        <f t="shared" si="46"/>
        <v>0</v>
      </c>
      <c r="AF131" s="28">
        <f t="shared" si="46"/>
        <v>0</v>
      </c>
      <c r="AG131" s="28">
        <f t="shared" si="46"/>
        <v>0</v>
      </c>
      <c r="AH131" s="28"/>
      <c r="AI131" s="28"/>
      <c r="AJ131" s="28"/>
      <c r="AK131" s="28"/>
      <c r="AL131" s="28"/>
      <c r="AM131" s="28"/>
      <c r="AN131" s="28"/>
      <c r="AO131" s="28"/>
      <c r="AP131" s="28">
        <f t="shared" si="46"/>
        <v>0</v>
      </c>
      <c r="AQ131" s="28" t="str">
        <f t="shared" si="46"/>
        <v>ｃ地域</v>
      </c>
      <c r="AR131" s="28">
        <f t="shared" si="46"/>
        <v>2900</v>
      </c>
      <c r="AS131" s="28">
        <f t="shared" si="46"/>
        <v>3200</v>
      </c>
      <c r="AT131" s="28">
        <f t="shared" si="46"/>
        <v>2000</v>
      </c>
      <c r="AU131" s="28">
        <f t="shared" si="46"/>
        <v>2000</v>
      </c>
      <c r="AV131" s="28">
        <f t="shared" si="46"/>
        <v>0</v>
      </c>
      <c r="AW131" s="28" t="str">
        <f t="shared" si="46"/>
        <v xml:space="preserve"> 136人～ 150人</v>
      </c>
      <c r="AX131" s="28">
        <f t="shared" si="46"/>
        <v>0</v>
      </c>
      <c r="AY131" s="28"/>
      <c r="AZ131" s="28"/>
      <c r="BA131" s="28">
        <f t="shared" si="46"/>
        <v>0</v>
      </c>
      <c r="BB131" s="28">
        <f t="shared" si="46"/>
        <v>0</v>
      </c>
      <c r="BC131" s="28">
        <f t="shared" si="46"/>
        <v>0</v>
      </c>
      <c r="BD131" s="28">
        <f t="shared" si="46"/>
        <v>0</v>
      </c>
      <c r="BE131" s="28">
        <f t="shared" si="46"/>
        <v>0</v>
      </c>
      <c r="BF131" s="28">
        <f t="shared" si="46"/>
        <v>0</v>
      </c>
      <c r="BG131" s="28">
        <f t="shared" si="46"/>
        <v>0.02</v>
      </c>
      <c r="BH131" s="28"/>
      <c r="BI131" s="28"/>
      <c r="BJ131" s="28"/>
      <c r="BK131" s="28">
        <f t="shared" si="46"/>
        <v>0</v>
      </c>
      <c r="BM131" s="28">
        <f t="shared" si="46"/>
        <v>0</v>
      </c>
      <c r="BO131" s="28">
        <f t="shared" si="46"/>
        <v>0</v>
      </c>
      <c r="BQ131" s="28">
        <f t="shared" si="46"/>
        <v>0</v>
      </c>
    </row>
    <row r="132" spans="2:70">
      <c r="B132" s="28">
        <v>111</v>
      </c>
      <c r="D132" s="28" t="str">
        <f>D53</f>
        <v>１、２歳児</v>
      </c>
      <c r="E132" s="28">
        <f t="shared" ref="E132:BQ132" si="47">E53</f>
        <v>0</v>
      </c>
      <c r="F132" s="28">
        <f t="shared" si="47"/>
        <v>97010</v>
      </c>
      <c r="G132" s="28">
        <f t="shared" si="47"/>
        <v>165840</v>
      </c>
      <c r="H132" s="28">
        <f t="shared" si="47"/>
        <v>93100</v>
      </c>
      <c r="I132" s="28">
        <f t="shared" si="47"/>
        <v>161930</v>
      </c>
      <c r="J132" s="28" t="str">
        <f t="shared" si="47"/>
        <v>＋</v>
      </c>
      <c r="K132" s="28">
        <f t="shared" si="47"/>
        <v>860</v>
      </c>
      <c r="L132" s="28">
        <f t="shared" si="47"/>
        <v>1540</v>
      </c>
      <c r="M132" s="28" t="str">
        <f t="shared" si="47"/>
        <v>×加算率</v>
      </c>
      <c r="N132" s="28">
        <f t="shared" si="47"/>
        <v>820</v>
      </c>
      <c r="O132" s="28">
        <f t="shared" si="47"/>
        <v>1500</v>
      </c>
      <c r="P132" s="28" t="str">
        <f t="shared" si="47"/>
        <v>×加算率</v>
      </c>
      <c r="Q132" s="28">
        <f t="shared" si="47"/>
        <v>0</v>
      </c>
      <c r="R132" s="28">
        <f t="shared" si="47"/>
        <v>0</v>
      </c>
      <c r="S132" s="28">
        <f t="shared" si="47"/>
        <v>0</v>
      </c>
      <c r="T132" s="28">
        <f t="shared" si="47"/>
        <v>0</v>
      </c>
      <c r="U132" s="28">
        <f t="shared" si="47"/>
        <v>0</v>
      </c>
      <c r="V132" s="28">
        <f t="shared" si="47"/>
        <v>562000</v>
      </c>
      <c r="W132" s="28">
        <f t="shared" si="47"/>
        <v>0</v>
      </c>
      <c r="X132" s="28">
        <f t="shared" si="47"/>
        <v>5620</v>
      </c>
      <c r="Y132" s="28">
        <f t="shared" si="47"/>
        <v>0</v>
      </c>
      <c r="Z132" s="28">
        <f t="shared" si="47"/>
        <v>0</v>
      </c>
      <c r="AA132" s="28">
        <f t="shared" si="47"/>
        <v>0</v>
      </c>
      <c r="AB132" s="28">
        <f t="shared" si="47"/>
        <v>0</v>
      </c>
      <c r="AC132" s="28">
        <f t="shared" si="47"/>
        <v>0</v>
      </c>
      <c r="AD132" s="28">
        <f t="shared" si="47"/>
        <v>0</v>
      </c>
      <c r="AE132" s="28">
        <f t="shared" si="47"/>
        <v>0</v>
      </c>
      <c r="AF132" s="28">
        <f t="shared" si="47"/>
        <v>0</v>
      </c>
      <c r="AG132" s="28">
        <f t="shared" si="47"/>
        <v>0</v>
      </c>
      <c r="AH132" s="28"/>
      <c r="AI132" s="28"/>
      <c r="AJ132" s="28"/>
      <c r="AK132" s="28"/>
      <c r="AL132" s="28"/>
      <c r="AM132" s="28"/>
      <c r="AN132" s="28"/>
      <c r="AO132" s="28"/>
      <c r="AP132" s="28">
        <f t="shared" si="47"/>
        <v>0</v>
      </c>
      <c r="AQ132" s="28" t="str">
        <f t="shared" si="47"/>
        <v>ｃ地域</v>
      </c>
      <c r="AR132" s="28">
        <f t="shared" si="47"/>
        <v>2600</v>
      </c>
      <c r="AS132" s="28">
        <f t="shared" si="47"/>
        <v>2900</v>
      </c>
      <c r="AT132" s="28">
        <f t="shared" si="47"/>
        <v>1800</v>
      </c>
      <c r="AU132" s="28">
        <f t="shared" si="47"/>
        <v>1800</v>
      </c>
      <c r="AV132" s="28">
        <f t="shared" si="47"/>
        <v>0</v>
      </c>
      <c r="AW132" s="28">
        <f t="shared" si="47"/>
        <v>3160</v>
      </c>
      <c r="AX132" s="28">
        <f t="shared" si="47"/>
        <v>0</v>
      </c>
      <c r="AY132" s="28"/>
      <c r="AZ132" s="28"/>
      <c r="BA132" s="28">
        <f t="shared" si="47"/>
        <v>0</v>
      </c>
      <c r="BB132" s="28">
        <f t="shared" si="47"/>
        <v>0</v>
      </c>
      <c r="BC132" s="28">
        <f t="shared" si="47"/>
        <v>0</v>
      </c>
      <c r="BD132" s="28">
        <f t="shared" si="47"/>
        <v>0</v>
      </c>
      <c r="BE132" s="28">
        <f t="shared" si="47"/>
        <v>0</v>
      </c>
      <c r="BF132" s="28">
        <f t="shared" si="47"/>
        <v>0</v>
      </c>
      <c r="BG132" s="28">
        <f t="shared" si="47"/>
        <v>0.02</v>
      </c>
      <c r="BH132" s="28"/>
      <c r="BI132" s="28"/>
      <c r="BJ132" s="28"/>
      <c r="BK132" s="28">
        <f t="shared" si="47"/>
        <v>0</v>
      </c>
      <c r="BM132" s="28">
        <f t="shared" si="47"/>
        <v>0</v>
      </c>
      <c r="BO132" s="28">
        <f t="shared" si="47"/>
        <v>0</v>
      </c>
      <c r="BQ132" s="28">
        <f t="shared" si="47"/>
        <v>0</v>
      </c>
    </row>
    <row r="133" spans="2:70">
      <c r="B133" s="28">
        <v>121</v>
      </c>
      <c r="D133" s="28" t="str">
        <f>D57</f>
        <v>１、２歳児</v>
      </c>
      <c r="E133" s="28">
        <f t="shared" ref="E133:BQ133" si="48">E57</f>
        <v>0</v>
      </c>
      <c r="F133" s="28">
        <f t="shared" si="48"/>
        <v>95670</v>
      </c>
      <c r="G133" s="28">
        <f t="shared" si="48"/>
        <v>164500</v>
      </c>
      <c r="H133" s="28">
        <f t="shared" si="48"/>
        <v>92070</v>
      </c>
      <c r="I133" s="28">
        <f t="shared" si="48"/>
        <v>160900</v>
      </c>
      <c r="J133" s="28" t="str">
        <f t="shared" si="48"/>
        <v>＋</v>
      </c>
      <c r="K133" s="28">
        <f t="shared" si="48"/>
        <v>840</v>
      </c>
      <c r="L133" s="28">
        <f t="shared" si="48"/>
        <v>1520</v>
      </c>
      <c r="M133" s="28" t="str">
        <f t="shared" si="48"/>
        <v>×加算率</v>
      </c>
      <c r="N133" s="28">
        <f t="shared" si="48"/>
        <v>810</v>
      </c>
      <c r="O133" s="28">
        <f t="shared" si="48"/>
        <v>1490</v>
      </c>
      <c r="P133" s="28" t="str">
        <f t="shared" si="48"/>
        <v>×加算率</v>
      </c>
      <c r="Q133" s="28">
        <f t="shared" si="48"/>
        <v>0</v>
      </c>
      <c r="R133" s="28">
        <f t="shared" si="48"/>
        <v>0</v>
      </c>
      <c r="S133" s="28">
        <f t="shared" si="48"/>
        <v>0</v>
      </c>
      <c r="T133" s="28">
        <f t="shared" si="48"/>
        <v>0</v>
      </c>
      <c r="U133" s="28">
        <f t="shared" si="48"/>
        <v>0</v>
      </c>
      <c r="V133" s="28">
        <f t="shared" si="48"/>
        <v>0</v>
      </c>
      <c r="W133" s="28">
        <f t="shared" si="48"/>
        <v>0</v>
      </c>
      <c r="X133" s="28">
        <f t="shared" si="48"/>
        <v>0</v>
      </c>
      <c r="Y133" s="28">
        <f t="shared" si="48"/>
        <v>0</v>
      </c>
      <c r="Z133" s="28">
        <f t="shared" si="48"/>
        <v>0</v>
      </c>
      <c r="AA133" s="28">
        <f t="shared" si="48"/>
        <v>0</v>
      </c>
      <c r="AB133" s="28">
        <f t="shared" si="48"/>
        <v>0</v>
      </c>
      <c r="AC133" s="28">
        <f t="shared" si="48"/>
        <v>0</v>
      </c>
      <c r="AD133" s="28">
        <f t="shared" si="48"/>
        <v>0</v>
      </c>
      <c r="AE133" s="28">
        <f t="shared" si="48"/>
        <v>0</v>
      </c>
      <c r="AF133" s="28">
        <f t="shared" si="48"/>
        <v>0</v>
      </c>
      <c r="AG133" s="28">
        <f t="shared" si="48"/>
        <v>0</v>
      </c>
      <c r="AH133" s="28"/>
      <c r="AI133" s="28"/>
      <c r="AJ133" s="28"/>
      <c r="AK133" s="28"/>
      <c r="AL133" s="28"/>
      <c r="AM133" s="28"/>
      <c r="AN133" s="28"/>
      <c r="AO133" s="28"/>
      <c r="AP133" s="28">
        <f t="shared" si="48"/>
        <v>0</v>
      </c>
      <c r="AQ133" s="28" t="str">
        <f t="shared" si="48"/>
        <v>ｃ地域</v>
      </c>
      <c r="AR133" s="28">
        <f t="shared" si="48"/>
        <v>2400</v>
      </c>
      <c r="AS133" s="28">
        <f t="shared" si="48"/>
        <v>2700</v>
      </c>
      <c r="AT133" s="28">
        <f t="shared" si="48"/>
        <v>1700</v>
      </c>
      <c r="AU133" s="28">
        <f t="shared" si="48"/>
        <v>1700</v>
      </c>
      <c r="AV133" s="28">
        <f t="shared" si="48"/>
        <v>0</v>
      </c>
      <c r="AW133" s="28">
        <f t="shared" si="48"/>
        <v>0</v>
      </c>
      <c r="AX133" s="28">
        <f t="shared" si="48"/>
        <v>0</v>
      </c>
      <c r="AY133" s="28"/>
      <c r="AZ133" s="28"/>
      <c r="BA133" s="28">
        <f t="shared" si="48"/>
        <v>0</v>
      </c>
      <c r="BB133" s="28">
        <f t="shared" si="48"/>
        <v>0</v>
      </c>
      <c r="BC133" s="28">
        <f t="shared" si="48"/>
        <v>0</v>
      </c>
      <c r="BD133" s="28">
        <f t="shared" si="48"/>
        <v>0</v>
      </c>
      <c r="BE133" s="28">
        <f t="shared" si="48"/>
        <v>0</v>
      </c>
      <c r="BF133" s="28">
        <f t="shared" si="48"/>
        <v>0</v>
      </c>
      <c r="BG133" s="28">
        <f t="shared" si="48"/>
        <v>0.02</v>
      </c>
      <c r="BH133" s="28"/>
      <c r="BI133" s="28"/>
      <c r="BJ133" s="28"/>
      <c r="BK133" s="28">
        <f t="shared" si="48"/>
        <v>0</v>
      </c>
      <c r="BM133" s="28">
        <f t="shared" si="48"/>
        <v>0</v>
      </c>
      <c r="BO133" s="28">
        <f t="shared" si="48"/>
        <v>0</v>
      </c>
      <c r="BQ133" s="28">
        <f t="shared" si="48"/>
        <v>0</v>
      </c>
    </row>
    <row r="134" spans="2:70">
      <c r="B134" s="28">
        <v>131</v>
      </c>
      <c r="D134" s="28" t="str">
        <f>D61</f>
        <v>１、２歳児</v>
      </c>
      <c r="E134" s="28">
        <f t="shared" ref="E134:BQ134" si="49">E61</f>
        <v>0</v>
      </c>
      <c r="F134" s="28">
        <f t="shared" si="49"/>
        <v>94560</v>
      </c>
      <c r="G134" s="28">
        <f t="shared" si="49"/>
        <v>163390</v>
      </c>
      <c r="H134" s="28">
        <f t="shared" si="49"/>
        <v>91210</v>
      </c>
      <c r="I134" s="28">
        <f t="shared" si="49"/>
        <v>160040</v>
      </c>
      <c r="J134" s="28" t="str">
        <f t="shared" si="49"/>
        <v>＋</v>
      </c>
      <c r="K134" s="28">
        <f t="shared" si="49"/>
        <v>830</v>
      </c>
      <c r="L134" s="28">
        <f t="shared" si="49"/>
        <v>1510</v>
      </c>
      <c r="M134" s="28" t="str">
        <f t="shared" si="49"/>
        <v>×加算率</v>
      </c>
      <c r="N134" s="28">
        <f t="shared" si="49"/>
        <v>800</v>
      </c>
      <c r="O134" s="28">
        <f t="shared" si="49"/>
        <v>1480</v>
      </c>
      <c r="P134" s="28" t="str">
        <f t="shared" si="49"/>
        <v>×加算率</v>
      </c>
      <c r="Q134" s="28">
        <f t="shared" si="49"/>
        <v>0</v>
      </c>
      <c r="R134" s="28">
        <f t="shared" si="49"/>
        <v>0</v>
      </c>
      <c r="S134" s="28">
        <f t="shared" si="49"/>
        <v>0</v>
      </c>
      <c r="T134" s="28">
        <f t="shared" si="49"/>
        <v>0</v>
      </c>
      <c r="U134" s="28">
        <f t="shared" si="49"/>
        <v>0</v>
      </c>
      <c r="V134" s="28" t="str">
        <f t="shared" si="49"/>
        <v xml:space="preserve"> 1,050人～</v>
      </c>
      <c r="W134" s="28">
        <f t="shared" si="49"/>
        <v>0</v>
      </c>
      <c r="X134" s="28" t="str">
        <f t="shared" si="49"/>
        <v xml:space="preserve"> 1,050人～</v>
      </c>
      <c r="Y134" s="28">
        <f t="shared" si="49"/>
        <v>0</v>
      </c>
      <c r="Z134" s="28">
        <f t="shared" si="49"/>
        <v>0</v>
      </c>
      <c r="AA134" s="28">
        <f t="shared" si="49"/>
        <v>0</v>
      </c>
      <c r="AB134" s="28">
        <f t="shared" si="49"/>
        <v>0</v>
      </c>
      <c r="AC134" s="28">
        <f t="shared" si="49"/>
        <v>0</v>
      </c>
      <c r="AD134" s="28">
        <f t="shared" si="49"/>
        <v>0</v>
      </c>
      <c r="AE134" s="28">
        <f t="shared" si="49"/>
        <v>0</v>
      </c>
      <c r="AF134" s="28">
        <f t="shared" si="49"/>
        <v>0</v>
      </c>
      <c r="AG134" s="28">
        <f t="shared" si="49"/>
        <v>0</v>
      </c>
      <c r="AH134" s="28"/>
      <c r="AI134" s="28"/>
      <c r="AJ134" s="28"/>
      <c r="AK134" s="28"/>
      <c r="AL134" s="28"/>
      <c r="AM134" s="28"/>
      <c r="AN134" s="28"/>
      <c r="AO134" s="28"/>
      <c r="AP134" s="28">
        <f t="shared" si="49"/>
        <v>0</v>
      </c>
      <c r="AQ134" s="28" t="str">
        <f t="shared" si="49"/>
        <v>ｃ地域</v>
      </c>
      <c r="AR134" s="28">
        <f t="shared" si="49"/>
        <v>2600</v>
      </c>
      <c r="AS134" s="28">
        <f t="shared" si="49"/>
        <v>2900</v>
      </c>
      <c r="AT134" s="28">
        <f t="shared" si="49"/>
        <v>1800</v>
      </c>
      <c r="AU134" s="28">
        <f t="shared" si="49"/>
        <v>1800</v>
      </c>
      <c r="AV134" s="28">
        <f t="shared" si="49"/>
        <v>0</v>
      </c>
      <c r="AW134" s="28" t="str">
        <f t="shared" si="49"/>
        <v xml:space="preserve"> 241人～ 270人</v>
      </c>
      <c r="AX134" s="28">
        <f t="shared" si="49"/>
        <v>0</v>
      </c>
      <c r="AY134" s="28"/>
      <c r="AZ134" s="28"/>
      <c r="BA134" s="28">
        <f t="shared" si="49"/>
        <v>0</v>
      </c>
      <c r="BB134" s="28">
        <f t="shared" si="49"/>
        <v>0</v>
      </c>
      <c r="BC134" s="28">
        <f t="shared" si="49"/>
        <v>0</v>
      </c>
      <c r="BD134" s="28">
        <f t="shared" si="49"/>
        <v>0</v>
      </c>
      <c r="BE134" s="28">
        <f t="shared" si="49"/>
        <v>0</v>
      </c>
      <c r="BF134" s="28">
        <f t="shared" si="49"/>
        <v>0</v>
      </c>
      <c r="BG134" s="28">
        <f t="shared" si="49"/>
        <v>0.02</v>
      </c>
      <c r="BH134" s="28"/>
      <c r="BI134" s="28"/>
      <c r="BJ134" s="28"/>
      <c r="BK134" s="28">
        <f t="shared" si="49"/>
        <v>0</v>
      </c>
      <c r="BM134" s="28">
        <f t="shared" si="49"/>
        <v>0</v>
      </c>
      <c r="BO134" s="28">
        <f t="shared" si="49"/>
        <v>0</v>
      </c>
      <c r="BQ134" s="28">
        <f t="shared" si="49"/>
        <v>0</v>
      </c>
    </row>
    <row r="135" spans="2:70">
      <c r="B135" s="28">
        <v>141</v>
      </c>
      <c r="D135" s="28" t="str">
        <f>D65</f>
        <v>１、２歳児</v>
      </c>
      <c r="E135" s="28">
        <f t="shared" ref="E135:BQ135" si="50">E65</f>
        <v>0</v>
      </c>
      <c r="F135" s="28">
        <f t="shared" si="50"/>
        <v>93570</v>
      </c>
      <c r="G135" s="28">
        <f t="shared" si="50"/>
        <v>162400</v>
      </c>
      <c r="H135" s="28">
        <f t="shared" si="50"/>
        <v>90450</v>
      </c>
      <c r="I135" s="28">
        <f t="shared" si="50"/>
        <v>159280</v>
      </c>
      <c r="J135" s="28" t="str">
        <f t="shared" si="50"/>
        <v>＋</v>
      </c>
      <c r="K135" s="28">
        <f t="shared" si="50"/>
        <v>820</v>
      </c>
      <c r="L135" s="28">
        <f t="shared" si="50"/>
        <v>1500</v>
      </c>
      <c r="M135" s="28" t="str">
        <f t="shared" si="50"/>
        <v>×加算率</v>
      </c>
      <c r="N135" s="28">
        <f t="shared" si="50"/>
        <v>790</v>
      </c>
      <c r="O135" s="28">
        <f t="shared" si="50"/>
        <v>1470</v>
      </c>
      <c r="P135" s="28" t="str">
        <f t="shared" si="50"/>
        <v>×加算率</v>
      </c>
      <c r="Q135" s="28">
        <f t="shared" si="50"/>
        <v>0</v>
      </c>
      <c r="R135" s="28">
        <f t="shared" si="50"/>
        <v>0</v>
      </c>
      <c r="S135" s="28">
        <f t="shared" si="50"/>
        <v>0</v>
      </c>
      <c r="T135" s="28">
        <f t="shared" si="50"/>
        <v>0</v>
      </c>
      <c r="U135" s="28">
        <f t="shared" si="50"/>
        <v>0</v>
      </c>
      <c r="V135" s="28">
        <f t="shared" si="50"/>
        <v>0</v>
      </c>
      <c r="W135" s="28">
        <f t="shared" si="50"/>
        <v>0</v>
      </c>
      <c r="X135" s="28">
        <f t="shared" si="50"/>
        <v>0</v>
      </c>
      <c r="Y135" s="28">
        <f t="shared" si="50"/>
        <v>0</v>
      </c>
      <c r="Z135" s="28">
        <f t="shared" si="50"/>
        <v>0</v>
      </c>
      <c r="AA135" s="28">
        <f t="shared" si="50"/>
        <v>0</v>
      </c>
      <c r="AB135" s="28">
        <f t="shared" si="50"/>
        <v>0</v>
      </c>
      <c r="AC135" s="28">
        <f t="shared" si="50"/>
        <v>0</v>
      </c>
      <c r="AD135" s="28">
        <f t="shared" si="50"/>
        <v>0</v>
      </c>
      <c r="AE135" s="28">
        <f t="shared" si="50"/>
        <v>0</v>
      </c>
      <c r="AF135" s="28">
        <f t="shared" si="50"/>
        <v>0</v>
      </c>
      <c r="AG135" s="28">
        <f t="shared" si="50"/>
        <v>0</v>
      </c>
      <c r="AH135" s="28"/>
      <c r="AI135" s="28"/>
      <c r="AJ135" s="28"/>
      <c r="AK135" s="28"/>
      <c r="AL135" s="28"/>
      <c r="AM135" s="28"/>
      <c r="AN135" s="28"/>
      <c r="AO135" s="28"/>
      <c r="AP135" s="28">
        <f t="shared" si="50"/>
        <v>0</v>
      </c>
      <c r="AQ135" s="28" t="str">
        <f t="shared" si="50"/>
        <v>ｃ地域</v>
      </c>
      <c r="AR135" s="28">
        <f t="shared" si="50"/>
        <v>2500</v>
      </c>
      <c r="AS135" s="28">
        <f t="shared" si="50"/>
        <v>2800</v>
      </c>
      <c r="AT135" s="28">
        <f t="shared" si="50"/>
        <v>1800</v>
      </c>
      <c r="AU135" s="28">
        <f t="shared" si="50"/>
        <v>1800</v>
      </c>
      <c r="AV135" s="28">
        <f t="shared" si="50"/>
        <v>0</v>
      </c>
      <c r="AW135" s="28">
        <f t="shared" si="50"/>
        <v>2360</v>
      </c>
      <c r="AX135" s="28">
        <f t="shared" si="50"/>
        <v>0</v>
      </c>
      <c r="AY135" s="28"/>
      <c r="AZ135" s="28"/>
      <c r="BA135" s="28">
        <f t="shared" si="50"/>
        <v>0</v>
      </c>
      <c r="BB135" s="28">
        <f t="shared" si="50"/>
        <v>0</v>
      </c>
      <c r="BC135" s="28">
        <f t="shared" si="50"/>
        <v>0</v>
      </c>
      <c r="BD135" s="28">
        <f t="shared" si="50"/>
        <v>0</v>
      </c>
      <c r="BE135" s="28">
        <f t="shared" si="50"/>
        <v>0</v>
      </c>
      <c r="BF135" s="28">
        <f t="shared" si="50"/>
        <v>0</v>
      </c>
      <c r="BG135" s="28">
        <f t="shared" si="50"/>
        <v>0.02</v>
      </c>
      <c r="BH135" s="28"/>
      <c r="BI135" s="28"/>
      <c r="BJ135" s="28"/>
      <c r="BK135" s="28">
        <f t="shared" si="50"/>
        <v>0</v>
      </c>
      <c r="BM135" s="28">
        <f t="shared" si="50"/>
        <v>0</v>
      </c>
      <c r="BO135" s="28">
        <f t="shared" si="50"/>
        <v>0</v>
      </c>
      <c r="BQ135" s="28">
        <f t="shared" si="50"/>
        <v>0</v>
      </c>
    </row>
    <row r="136" spans="2:70">
      <c r="B136" s="28">
        <v>151</v>
      </c>
      <c r="D136" s="28" t="str">
        <f>D69</f>
        <v>１、２歳児</v>
      </c>
      <c r="E136" s="28">
        <f t="shared" ref="E136:BQ136" si="51">E69</f>
        <v>0</v>
      </c>
      <c r="F136" s="28">
        <f t="shared" si="51"/>
        <v>93570</v>
      </c>
      <c r="G136" s="28">
        <f t="shared" si="51"/>
        <v>162400</v>
      </c>
      <c r="H136" s="28">
        <f t="shared" si="51"/>
        <v>90650</v>
      </c>
      <c r="I136" s="28">
        <f t="shared" si="51"/>
        <v>159480</v>
      </c>
      <c r="J136" s="28" t="str">
        <f t="shared" si="51"/>
        <v>＋</v>
      </c>
      <c r="K136" s="28">
        <f t="shared" si="51"/>
        <v>820</v>
      </c>
      <c r="L136" s="28">
        <f t="shared" si="51"/>
        <v>1500</v>
      </c>
      <c r="M136" s="28" t="str">
        <f t="shared" si="51"/>
        <v>×加算率</v>
      </c>
      <c r="N136" s="28">
        <f t="shared" si="51"/>
        <v>790</v>
      </c>
      <c r="O136" s="28">
        <f t="shared" si="51"/>
        <v>1470</v>
      </c>
      <c r="P136" s="28" t="str">
        <f t="shared" si="51"/>
        <v>×加算率</v>
      </c>
      <c r="Q136" s="28">
        <f t="shared" si="51"/>
        <v>0</v>
      </c>
      <c r="R136" s="28">
        <f t="shared" si="51"/>
        <v>0</v>
      </c>
      <c r="S136" s="28">
        <f t="shared" si="51"/>
        <v>0</v>
      </c>
      <c r="T136" s="28">
        <f t="shared" si="51"/>
        <v>0</v>
      </c>
      <c r="U136" s="28">
        <f t="shared" si="51"/>
        <v>0</v>
      </c>
      <c r="V136" s="28">
        <f t="shared" si="51"/>
        <v>0</v>
      </c>
      <c r="W136" s="28">
        <f t="shared" si="51"/>
        <v>0</v>
      </c>
      <c r="X136" s="28">
        <f t="shared" si="51"/>
        <v>0</v>
      </c>
      <c r="Y136" s="28">
        <f t="shared" si="51"/>
        <v>0</v>
      </c>
      <c r="Z136" s="28">
        <f t="shared" si="51"/>
        <v>0</v>
      </c>
      <c r="AA136" s="28">
        <f t="shared" si="51"/>
        <v>0</v>
      </c>
      <c r="AB136" s="28">
        <f t="shared" si="51"/>
        <v>0</v>
      </c>
      <c r="AC136" s="28">
        <f t="shared" si="51"/>
        <v>0</v>
      </c>
      <c r="AD136" s="28">
        <f t="shared" si="51"/>
        <v>0</v>
      </c>
      <c r="AE136" s="28">
        <f t="shared" si="51"/>
        <v>0</v>
      </c>
      <c r="AF136" s="28">
        <f t="shared" si="51"/>
        <v>0</v>
      </c>
      <c r="AG136" s="28">
        <f t="shared" si="51"/>
        <v>0</v>
      </c>
      <c r="AH136" s="28"/>
      <c r="AI136" s="28"/>
      <c r="AJ136" s="28"/>
      <c r="AK136" s="28"/>
      <c r="AL136" s="28"/>
      <c r="AM136" s="28"/>
      <c r="AN136" s="28"/>
      <c r="AO136" s="28"/>
      <c r="AP136" s="28">
        <f t="shared" si="51"/>
        <v>0</v>
      </c>
      <c r="AQ136" s="28" t="str">
        <f t="shared" si="51"/>
        <v>ｃ地域</v>
      </c>
      <c r="AR136" s="28">
        <f t="shared" si="51"/>
        <v>2300</v>
      </c>
      <c r="AS136" s="28">
        <f t="shared" si="51"/>
        <v>2500</v>
      </c>
      <c r="AT136" s="28">
        <f t="shared" si="51"/>
        <v>1600</v>
      </c>
      <c r="AU136" s="28">
        <f t="shared" si="51"/>
        <v>1600</v>
      </c>
      <c r="AV136" s="28">
        <f t="shared" si="51"/>
        <v>0</v>
      </c>
      <c r="AW136" s="28">
        <f t="shared" si="51"/>
        <v>0</v>
      </c>
      <c r="AX136" s="28">
        <f t="shared" si="51"/>
        <v>0</v>
      </c>
      <c r="AY136" s="28"/>
      <c r="AZ136" s="28"/>
      <c r="BA136" s="28">
        <f t="shared" si="51"/>
        <v>0</v>
      </c>
      <c r="BB136" s="28">
        <f t="shared" si="51"/>
        <v>0</v>
      </c>
      <c r="BC136" s="28">
        <f t="shared" si="51"/>
        <v>0</v>
      </c>
      <c r="BD136" s="28">
        <f t="shared" si="51"/>
        <v>0</v>
      </c>
      <c r="BE136" s="28">
        <f t="shared" si="51"/>
        <v>0</v>
      </c>
      <c r="BF136" s="28">
        <f t="shared" si="51"/>
        <v>0</v>
      </c>
      <c r="BG136" s="28">
        <f t="shared" si="51"/>
        <v>0.02</v>
      </c>
      <c r="BH136" s="28"/>
      <c r="BI136" s="28"/>
      <c r="BJ136" s="28"/>
      <c r="BK136" s="28">
        <f t="shared" si="51"/>
        <v>0</v>
      </c>
      <c r="BM136" s="28">
        <f t="shared" si="51"/>
        <v>0</v>
      </c>
      <c r="BO136" s="28">
        <f t="shared" si="51"/>
        <v>0</v>
      </c>
      <c r="BQ136" s="28">
        <f t="shared" si="51"/>
        <v>0</v>
      </c>
    </row>
    <row r="137" spans="2:70">
      <c r="B137" s="28">
        <v>161</v>
      </c>
      <c r="D137" s="28" t="str">
        <f>D73</f>
        <v>１、２歳児</v>
      </c>
      <c r="E137" s="28">
        <f t="shared" ref="E137:BQ137" si="52">E73</f>
        <v>0</v>
      </c>
      <c r="F137" s="28">
        <f t="shared" si="52"/>
        <v>92780</v>
      </c>
      <c r="G137" s="28">
        <f t="shared" si="52"/>
        <v>161610</v>
      </c>
      <c r="H137" s="28">
        <f t="shared" si="52"/>
        <v>90020</v>
      </c>
      <c r="I137" s="28">
        <f t="shared" si="52"/>
        <v>158850</v>
      </c>
      <c r="J137" s="28" t="str">
        <f t="shared" si="52"/>
        <v>＋</v>
      </c>
      <c r="K137" s="28">
        <f t="shared" si="52"/>
        <v>810</v>
      </c>
      <c r="L137" s="28">
        <f t="shared" si="52"/>
        <v>1490</v>
      </c>
      <c r="M137" s="28" t="str">
        <f t="shared" si="52"/>
        <v>×加算率</v>
      </c>
      <c r="N137" s="28">
        <f t="shared" si="52"/>
        <v>790</v>
      </c>
      <c r="O137" s="28">
        <f t="shared" si="52"/>
        <v>1470</v>
      </c>
      <c r="P137" s="28" t="str">
        <f t="shared" si="52"/>
        <v>×加算率</v>
      </c>
      <c r="Q137" s="28">
        <f t="shared" si="52"/>
        <v>0</v>
      </c>
      <c r="R137" s="28">
        <f t="shared" si="52"/>
        <v>0</v>
      </c>
      <c r="S137" s="28">
        <f t="shared" si="52"/>
        <v>0</v>
      </c>
      <c r="T137" s="28">
        <f t="shared" si="52"/>
        <v>0</v>
      </c>
      <c r="U137" s="28">
        <f t="shared" si="52"/>
        <v>0</v>
      </c>
      <c r="V137" s="28">
        <f t="shared" si="52"/>
        <v>0</v>
      </c>
      <c r="W137" s="28">
        <f t="shared" si="52"/>
        <v>0</v>
      </c>
      <c r="X137" s="28">
        <f t="shared" si="52"/>
        <v>0</v>
      </c>
      <c r="Y137" s="28">
        <f t="shared" si="52"/>
        <v>0</v>
      </c>
      <c r="Z137" s="28">
        <f t="shared" si="52"/>
        <v>0</v>
      </c>
      <c r="AA137" s="28">
        <f t="shared" si="52"/>
        <v>0</v>
      </c>
      <c r="AB137" s="28">
        <f t="shared" si="52"/>
        <v>0</v>
      </c>
      <c r="AC137" s="28">
        <f t="shared" si="52"/>
        <v>0</v>
      </c>
      <c r="AD137" s="28">
        <f t="shared" si="52"/>
        <v>0</v>
      </c>
      <c r="AE137" s="28">
        <f t="shared" si="52"/>
        <v>0</v>
      </c>
      <c r="AF137" s="28">
        <f t="shared" si="52"/>
        <v>0</v>
      </c>
      <c r="AG137" s="28">
        <f t="shared" si="52"/>
        <v>0</v>
      </c>
      <c r="AH137" s="28"/>
      <c r="AI137" s="28"/>
      <c r="AJ137" s="28"/>
      <c r="AK137" s="28"/>
      <c r="AL137" s="28"/>
      <c r="AM137" s="28"/>
      <c r="AN137" s="28"/>
      <c r="AO137" s="28"/>
      <c r="AP137" s="28">
        <f t="shared" si="52"/>
        <v>0</v>
      </c>
      <c r="AQ137" s="28" t="str">
        <f t="shared" si="52"/>
        <v>ｃ地域</v>
      </c>
      <c r="AR137" s="28">
        <f t="shared" si="52"/>
        <v>2500</v>
      </c>
      <c r="AS137" s="28">
        <f t="shared" si="52"/>
        <v>2800</v>
      </c>
      <c r="AT137" s="28">
        <f t="shared" si="52"/>
        <v>1800</v>
      </c>
      <c r="AU137" s="28">
        <f t="shared" si="52"/>
        <v>1800</v>
      </c>
      <c r="AV137" s="28">
        <f t="shared" si="52"/>
        <v>0</v>
      </c>
      <c r="AW137" s="28">
        <f t="shared" si="52"/>
        <v>0</v>
      </c>
      <c r="AX137" s="28">
        <f t="shared" si="52"/>
        <v>0</v>
      </c>
      <c r="AY137" s="28"/>
      <c r="AZ137" s="28"/>
      <c r="BA137" s="28">
        <f t="shared" si="52"/>
        <v>0</v>
      </c>
      <c r="BB137" s="28">
        <f t="shared" si="52"/>
        <v>0</v>
      </c>
      <c r="BC137" s="28">
        <f t="shared" si="52"/>
        <v>0</v>
      </c>
      <c r="BD137" s="28">
        <f t="shared" si="52"/>
        <v>0</v>
      </c>
      <c r="BE137" s="28">
        <f t="shared" si="52"/>
        <v>0</v>
      </c>
      <c r="BF137" s="28">
        <f t="shared" si="52"/>
        <v>0</v>
      </c>
      <c r="BG137" s="28">
        <f t="shared" si="52"/>
        <v>0.02</v>
      </c>
      <c r="BH137" s="28"/>
      <c r="BI137" s="28"/>
      <c r="BJ137" s="28"/>
      <c r="BK137" s="28">
        <f t="shared" si="52"/>
        <v>0</v>
      </c>
      <c r="BM137" s="28">
        <f t="shared" si="52"/>
        <v>0</v>
      </c>
      <c r="BO137" s="28">
        <f t="shared" si="52"/>
        <v>0</v>
      </c>
      <c r="BQ137" s="28">
        <f t="shared" si="52"/>
        <v>0</v>
      </c>
    </row>
    <row r="138" spans="2:70">
      <c r="B138" s="28">
        <v>171</v>
      </c>
      <c r="D138" s="28" t="str">
        <f>D77</f>
        <v>１、２歳児</v>
      </c>
      <c r="E138" s="28">
        <f t="shared" ref="E138:BQ138" si="53">E77</f>
        <v>0</v>
      </c>
      <c r="F138" s="28">
        <f t="shared" si="53"/>
        <v>92060</v>
      </c>
      <c r="G138" s="28">
        <f t="shared" si="53"/>
        <v>160890</v>
      </c>
      <c r="H138" s="28">
        <f t="shared" si="53"/>
        <v>89450</v>
      </c>
      <c r="I138" s="28">
        <f t="shared" si="53"/>
        <v>158280</v>
      </c>
      <c r="J138" s="28" t="str">
        <f t="shared" si="53"/>
        <v>＋</v>
      </c>
      <c r="K138" s="28">
        <f t="shared" si="53"/>
        <v>810</v>
      </c>
      <c r="L138" s="28">
        <f t="shared" si="53"/>
        <v>1490</v>
      </c>
      <c r="M138" s="28" t="str">
        <f t="shared" si="53"/>
        <v>×加算率</v>
      </c>
      <c r="N138" s="28">
        <f t="shared" si="53"/>
        <v>780</v>
      </c>
      <c r="O138" s="28">
        <f t="shared" si="53"/>
        <v>1460</v>
      </c>
      <c r="P138" s="28" t="str">
        <f t="shared" si="53"/>
        <v>×加算率</v>
      </c>
      <c r="Q138" s="28">
        <f t="shared" si="53"/>
        <v>0</v>
      </c>
      <c r="R138" s="28">
        <f t="shared" si="53"/>
        <v>0</v>
      </c>
      <c r="S138" s="28">
        <f t="shared" si="53"/>
        <v>0</v>
      </c>
      <c r="T138" s="28">
        <f t="shared" si="53"/>
        <v>0</v>
      </c>
      <c r="U138" s="28">
        <f t="shared" si="53"/>
        <v>0</v>
      </c>
      <c r="V138" s="28">
        <f t="shared" si="53"/>
        <v>0</v>
      </c>
      <c r="W138" s="28">
        <f t="shared" si="53"/>
        <v>0</v>
      </c>
      <c r="X138" s="28">
        <f t="shared" si="53"/>
        <v>0</v>
      </c>
      <c r="Y138" s="28">
        <f t="shared" si="53"/>
        <v>0</v>
      </c>
      <c r="Z138" s="28">
        <f t="shared" si="53"/>
        <v>0</v>
      </c>
      <c r="AA138" s="28">
        <f t="shared" si="53"/>
        <v>0</v>
      </c>
      <c r="AB138" s="28">
        <f t="shared" si="53"/>
        <v>0</v>
      </c>
      <c r="AC138" s="28">
        <f t="shared" si="53"/>
        <v>0</v>
      </c>
      <c r="AD138" s="28">
        <f t="shared" si="53"/>
        <v>0</v>
      </c>
      <c r="AE138" s="28">
        <f t="shared" si="53"/>
        <v>0</v>
      </c>
      <c r="AF138" s="28">
        <f t="shared" si="53"/>
        <v>0</v>
      </c>
      <c r="AG138" s="28">
        <f t="shared" si="53"/>
        <v>0</v>
      </c>
      <c r="AH138" s="28"/>
      <c r="AI138" s="28"/>
      <c r="AJ138" s="28"/>
      <c r="AK138" s="28"/>
      <c r="AL138" s="28"/>
      <c r="AM138" s="28"/>
      <c r="AN138" s="28"/>
      <c r="AO138" s="28"/>
      <c r="AP138" s="28">
        <f t="shared" si="53"/>
        <v>0</v>
      </c>
      <c r="AQ138" s="28" t="str">
        <f t="shared" si="53"/>
        <v>ｃ地域</v>
      </c>
      <c r="AR138" s="28">
        <f t="shared" si="53"/>
        <v>2300</v>
      </c>
      <c r="AS138" s="28">
        <f t="shared" si="53"/>
        <v>2500</v>
      </c>
      <c r="AT138" s="28">
        <f t="shared" si="53"/>
        <v>1600</v>
      </c>
      <c r="AU138" s="28">
        <f t="shared" si="53"/>
        <v>1600</v>
      </c>
      <c r="AV138" s="28">
        <f t="shared" si="53"/>
        <v>0</v>
      </c>
      <c r="AW138" s="28">
        <f t="shared" si="53"/>
        <v>0</v>
      </c>
      <c r="AX138" s="28">
        <f t="shared" si="53"/>
        <v>0</v>
      </c>
      <c r="AY138" s="28"/>
      <c r="AZ138" s="28"/>
      <c r="BA138" s="28">
        <f t="shared" si="53"/>
        <v>0</v>
      </c>
      <c r="BB138" s="28">
        <f t="shared" si="53"/>
        <v>0</v>
      </c>
      <c r="BC138" s="28">
        <f t="shared" si="53"/>
        <v>0</v>
      </c>
      <c r="BD138" s="28">
        <f t="shared" si="53"/>
        <v>0</v>
      </c>
      <c r="BE138" s="28">
        <f t="shared" si="53"/>
        <v>0</v>
      </c>
      <c r="BF138" s="28">
        <f t="shared" si="53"/>
        <v>0</v>
      </c>
      <c r="BG138" s="28">
        <f t="shared" si="53"/>
        <v>0.02</v>
      </c>
      <c r="BH138" s="28"/>
      <c r="BI138" s="28"/>
      <c r="BJ138" s="28"/>
      <c r="BK138" s="28">
        <f t="shared" si="53"/>
        <v>0</v>
      </c>
      <c r="BM138" s="28">
        <f t="shared" si="53"/>
        <v>0</v>
      </c>
      <c r="BO138" s="28">
        <f t="shared" si="53"/>
        <v>0</v>
      </c>
      <c r="BQ138" s="28">
        <f t="shared" si="53"/>
        <v>0</v>
      </c>
    </row>
    <row r="141" spans="2:70">
      <c r="B141" s="28">
        <v>1</v>
      </c>
      <c r="D141" s="28" t="str">
        <f>D10</f>
        <v>乳児</v>
      </c>
      <c r="E141" s="28">
        <f t="shared" ref="E141:BQ141" si="54">E10</f>
        <v>0</v>
      </c>
      <c r="F141" s="28">
        <f t="shared" si="54"/>
        <v>350910</v>
      </c>
      <c r="G141" s="28">
        <f t="shared" si="54"/>
        <v>0</v>
      </c>
      <c r="H141" s="28">
        <f t="shared" si="54"/>
        <v>304060</v>
      </c>
      <c r="I141" s="28">
        <f t="shared" si="54"/>
        <v>0</v>
      </c>
      <c r="J141" s="28" t="str">
        <f t="shared" si="54"/>
        <v>＋</v>
      </c>
      <c r="K141" s="28">
        <f t="shared" si="54"/>
        <v>3390</v>
      </c>
      <c r="L141" s="28">
        <f t="shared" si="54"/>
        <v>0</v>
      </c>
      <c r="M141" s="28" t="str">
        <f t="shared" si="54"/>
        <v>×加算率</v>
      </c>
      <c r="N141" s="28">
        <f t="shared" si="54"/>
        <v>2920</v>
      </c>
      <c r="O141" s="28">
        <f t="shared" si="54"/>
        <v>0</v>
      </c>
      <c r="P141" s="28" t="str">
        <f t="shared" si="54"/>
        <v>×加算率</v>
      </c>
      <c r="Q141" s="28">
        <f t="shared" si="54"/>
        <v>0</v>
      </c>
      <c r="R141" s="28">
        <f t="shared" si="54"/>
        <v>0</v>
      </c>
      <c r="S141" s="28">
        <f t="shared" si="54"/>
        <v>0</v>
      </c>
      <c r="T141" s="28">
        <f t="shared" si="54"/>
        <v>0</v>
      </c>
      <c r="U141" s="28">
        <f t="shared" si="54"/>
        <v>0</v>
      </c>
      <c r="V141" s="28">
        <f t="shared" si="54"/>
        <v>0</v>
      </c>
      <c r="W141" s="28">
        <f t="shared" si="54"/>
        <v>0</v>
      </c>
      <c r="X141" s="28">
        <f t="shared" si="54"/>
        <v>0</v>
      </c>
      <c r="Y141" s="28">
        <f t="shared" si="54"/>
        <v>0</v>
      </c>
      <c r="Z141" s="28">
        <f t="shared" si="54"/>
        <v>0</v>
      </c>
      <c r="AA141" s="28">
        <f t="shared" si="54"/>
        <v>0</v>
      </c>
      <c r="AB141" s="28">
        <f t="shared" si="54"/>
        <v>0</v>
      </c>
      <c r="AC141" s="28">
        <f t="shared" si="54"/>
        <v>0</v>
      </c>
      <c r="AD141" s="28">
        <f t="shared" si="54"/>
        <v>0</v>
      </c>
      <c r="AE141" s="28">
        <f t="shared" si="54"/>
        <v>0</v>
      </c>
      <c r="AF141" s="28">
        <f t="shared" si="54"/>
        <v>0</v>
      </c>
      <c r="AG141" s="28">
        <f t="shared" si="54"/>
        <v>0</v>
      </c>
      <c r="AH141" s="28"/>
      <c r="AI141" s="28"/>
      <c r="AJ141" s="28"/>
      <c r="AK141" s="28"/>
      <c r="AL141" s="28"/>
      <c r="AM141" s="28"/>
      <c r="AN141" s="28"/>
      <c r="AO141" s="28"/>
      <c r="AP141" s="28">
        <f t="shared" si="54"/>
        <v>0</v>
      </c>
      <c r="AQ141" s="28" t="str">
        <f t="shared" si="54"/>
        <v>ｄ地域</v>
      </c>
      <c r="AR141" s="28">
        <f t="shared" si="54"/>
        <v>13600</v>
      </c>
      <c r="AS141" s="28">
        <f t="shared" si="54"/>
        <v>15100</v>
      </c>
      <c r="AT141" s="28">
        <f t="shared" si="54"/>
        <v>9500</v>
      </c>
      <c r="AU141" s="28">
        <f t="shared" si="54"/>
        <v>9500</v>
      </c>
      <c r="AV141" s="28">
        <f t="shared" si="54"/>
        <v>0</v>
      </c>
      <c r="AW141" s="28">
        <f t="shared" si="54"/>
        <v>0</v>
      </c>
      <c r="AX141" s="28">
        <f t="shared" si="54"/>
        <v>0</v>
      </c>
      <c r="AY141" s="28"/>
      <c r="AZ141" s="28"/>
      <c r="BA141" s="28">
        <f t="shared" si="54"/>
        <v>0</v>
      </c>
      <c r="BB141" s="28">
        <f t="shared" si="54"/>
        <v>0</v>
      </c>
      <c r="BC141" s="28">
        <f t="shared" si="54"/>
        <v>0</v>
      </c>
      <c r="BD141" s="28">
        <f t="shared" si="54"/>
        <v>0</v>
      </c>
      <c r="BE141" s="28">
        <f t="shared" si="54"/>
        <v>0</v>
      </c>
      <c r="BF141" s="28">
        <f t="shared" si="54"/>
        <v>0</v>
      </c>
      <c r="BG141" s="28">
        <f t="shared" si="54"/>
        <v>0</v>
      </c>
      <c r="BH141" s="28"/>
      <c r="BI141" s="28"/>
      <c r="BJ141" s="28"/>
      <c r="BK141" s="28">
        <f t="shared" si="54"/>
        <v>0</v>
      </c>
      <c r="BL141" s="28"/>
      <c r="BM141" s="28">
        <f t="shared" si="54"/>
        <v>0</v>
      </c>
      <c r="BN141" s="28"/>
      <c r="BO141" s="28">
        <f t="shared" si="54"/>
        <v>0</v>
      </c>
      <c r="BP141" s="28"/>
      <c r="BQ141" s="28">
        <f t="shared" si="54"/>
        <v>0</v>
      </c>
      <c r="BR141" s="28"/>
    </row>
    <row r="142" spans="2:70">
      <c r="B142" s="28">
        <v>11</v>
      </c>
      <c r="D142" s="28" t="str">
        <f>D14</f>
        <v>乳児</v>
      </c>
      <c r="E142" s="28">
        <f t="shared" ref="E142:BQ142" si="55">E14</f>
        <v>0</v>
      </c>
      <c r="F142" s="28">
        <f t="shared" si="55"/>
        <v>250850</v>
      </c>
      <c r="G142" s="28">
        <f t="shared" si="55"/>
        <v>0</v>
      </c>
      <c r="H142" s="28">
        <f t="shared" si="55"/>
        <v>227430</v>
      </c>
      <c r="I142" s="28">
        <f t="shared" si="55"/>
        <v>0</v>
      </c>
      <c r="J142" s="28" t="str">
        <f t="shared" si="55"/>
        <v>＋</v>
      </c>
      <c r="K142" s="28">
        <f t="shared" si="55"/>
        <v>2390</v>
      </c>
      <c r="L142" s="28">
        <f t="shared" si="55"/>
        <v>0</v>
      </c>
      <c r="M142" s="28" t="str">
        <f t="shared" si="55"/>
        <v>×加算率</v>
      </c>
      <c r="N142" s="28">
        <f t="shared" si="55"/>
        <v>2150</v>
      </c>
      <c r="O142" s="28">
        <f t="shared" si="55"/>
        <v>0</v>
      </c>
      <c r="P142" s="28" t="str">
        <f t="shared" si="55"/>
        <v>×加算率</v>
      </c>
      <c r="Q142" s="28">
        <f t="shared" si="55"/>
        <v>0</v>
      </c>
      <c r="R142" s="28">
        <f t="shared" si="55"/>
        <v>0</v>
      </c>
      <c r="S142" s="28">
        <f t="shared" si="55"/>
        <v>0</v>
      </c>
      <c r="T142" s="28">
        <f t="shared" si="55"/>
        <v>0</v>
      </c>
      <c r="U142" s="28">
        <f t="shared" si="55"/>
        <v>0</v>
      </c>
      <c r="V142" s="28">
        <f t="shared" si="55"/>
        <v>0</v>
      </c>
      <c r="W142" s="28">
        <f t="shared" si="55"/>
        <v>0</v>
      </c>
      <c r="X142" s="28">
        <f t="shared" si="55"/>
        <v>0</v>
      </c>
      <c r="Y142" s="28">
        <f t="shared" si="55"/>
        <v>0</v>
      </c>
      <c r="Z142" s="28">
        <f t="shared" si="55"/>
        <v>0</v>
      </c>
      <c r="AA142" s="28">
        <f t="shared" si="55"/>
        <v>0</v>
      </c>
      <c r="AB142" s="28">
        <f t="shared" si="55"/>
        <v>0</v>
      </c>
      <c r="AC142" s="28">
        <f t="shared" si="55"/>
        <v>0</v>
      </c>
      <c r="AD142" s="28">
        <f t="shared" si="55"/>
        <v>0</v>
      </c>
      <c r="AE142" s="28">
        <f t="shared" si="55"/>
        <v>0</v>
      </c>
      <c r="AF142" s="28">
        <f t="shared" si="55"/>
        <v>0</v>
      </c>
      <c r="AG142" s="28">
        <f t="shared" si="55"/>
        <v>0</v>
      </c>
      <c r="AH142" s="28"/>
      <c r="AI142" s="28"/>
      <c r="AJ142" s="28"/>
      <c r="AK142" s="28"/>
      <c r="AL142" s="28"/>
      <c r="AM142" s="28"/>
      <c r="AN142" s="28"/>
      <c r="AO142" s="28"/>
      <c r="AP142" s="28">
        <f t="shared" si="55"/>
        <v>0</v>
      </c>
      <c r="AQ142" s="28" t="str">
        <f t="shared" si="55"/>
        <v>ｄ地域</v>
      </c>
      <c r="AR142" s="28">
        <f t="shared" si="55"/>
        <v>6800</v>
      </c>
      <c r="AS142" s="28">
        <f t="shared" si="55"/>
        <v>7500</v>
      </c>
      <c r="AT142" s="28">
        <f t="shared" si="55"/>
        <v>4700</v>
      </c>
      <c r="AU142" s="28">
        <f t="shared" si="55"/>
        <v>4700</v>
      </c>
      <c r="AV142" s="28">
        <f t="shared" si="55"/>
        <v>0</v>
      </c>
      <c r="AW142" s="28">
        <f t="shared" si="55"/>
        <v>0</v>
      </c>
      <c r="AX142" s="28">
        <f t="shared" si="55"/>
        <v>0</v>
      </c>
      <c r="AY142" s="28"/>
      <c r="AZ142" s="28"/>
      <c r="BA142" s="28">
        <f t="shared" si="55"/>
        <v>0</v>
      </c>
      <c r="BB142" s="28">
        <f t="shared" si="55"/>
        <v>0</v>
      </c>
      <c r="BC142" s="28">
        <f t="shared" si="55"/>
        <v>0</v>
      </c>
      <c r="BD142" s="28">
        <f t="shared" si="55"/>
        <v>0</v>
      </c>
      <c r="BE142" s="28">
        <f t="shared" si="55"/>
        <v>0</v>
      </c>
      <c r="BF142" s="28">
        <f t="shared" si="55"/>
        <v>0</v>
      </c>
      <c r="BG142" s="28">
        <f t="shared" si="55"/>
        <v>0</v>
      </c>
      <c r="BH142" s="28"/>
      <c r="BI142" s="28"/>
      <c r="BJ142" s="28"/>
      <c r="BK142" s="28">
        <f t="shared" si="55"/>
        <v>0</v>
      </c>
      <c r="BL142" s="28"/>
      <c r="BM142" s="28">
        <f t="shared" si="55"/>
        <v>0</v>
      </c>
      <c r="BN142" s="28"/>
      <c r="BO142" s="28">
        <f t="shared" si="55"/>
        <v>0</v>
      </c>
      <c r="BP142" s="28"/>
      <c r="BQ142" s="28">
        <f t="shared" si="55"/>
        <v>0</v>
      </c>
      <c r="BR142" s="28"/>
    </row>
    <row r="143" spans="2:70">
      <c r="B143" s="28">
        <v>21</v>
      </c>
      <c r="D143" s="28" t="str">
        <f>D18</f>
        <v>乳児</v>
      </c>
      <c r="E143" s="28">
        <f t="shared" ref="E143:BQ143" si="56">E18</f>
        <v>0</v>
      </c>
      <c r="F143" s="28">
        <f t="shared" si="56"/>
        <v>217400</v>
      </c>
      <c r="G143" s="28">
        <f t="shared" si="56"/>
        <v>0</v>
      </c>
      <c r="H143" s="28">
        <f t="shared" si="56"/>
        <v>201780</v>
      </c>
      <c r="I143" s="28">
        <f t="shared" si="56"/>
        <v>0</v>
      </c>
      <c r="J143" s="28" t="str">
        <f t="shared" si="56"/>
        <v>＋</v>
      </c>
      <c r="K143" s="28">
        <f t="shared" si="56"/>
        <v>2050</v>
      </c>
      <c r="L143" s="28">
        <f t="shared" si="56"/>
        <v>0</v>
      </c>
      <c r="M143" s="28" t="str">
        <f t="shared" si="56"/>
        <v>×加算率</v>
      </c>
      <c r="N143" s="28">
        <f t="shared" si="56"/>
        <v>1900</v>
      </c>
      <c r="O143" s="28">
        <f t="shared" si="56"/>
        <v>0</v>
      </c>
      <c r="P143" s="28" t="str">
        <f t="shared" si="56"/>
        <v>×加算率</v>
      </c>
      <c r="Q143" s="28">
        <f t="shared" si="56"/>
        <v>0</v>
      </c>
      <c r="R143" s="28">
        <f t="shared" si="56"/>
        <v>0</v>
      </c>
      <c r="S143" s="28">
        <f t="shared" si="56"/>
        <v>0</v>
      </c>
      <c r="T143" s="28">
        <f t="shared" si="56"/>
        <v>0</v>
      </c>
      <c r="U143" s="28">
        <f t="shared" si="56"/>
        <v>0</v>
      </c>
      <c r="V143" s="28">
        <f t="shared" si="56"/>
        <v>0</v>
      </c>
      <c r="W143" s="28">
        <f t="shared" si="56"/>
        <v>0</v>
      </c>
      <c r="X143" s="28">
        <f t="shared" si="56"/>
        <v>0</v>
      </c>
      <c r="Y143" s="28">
        <f t="shared" si="56"/>
        <v>0</v>
      </c>
      <c r="Z143" s="28">
        <f t="shared" si="56"/>
        <v>0</v>
      </c>
      <c r="AA143" s="28">
        <f t="shared" si="56"/>
        <v>0</v>
      </c>
      <c r="AB143" s="28">
        <f t="shared" si="56"/>
        <v>0</v>
      </c>
      <c r="AC143" s="28">
        <f t="shared" si="56"/>
        <v>0</v>
      </c>
      <c r="AD143" s="28">
        <f t="shared" si="56"/>
        <v>0</v>
      </c>
      <c r="AE143" s="28">
        <f t="shared" si="56"/>
        <v>0</v>
      </c>
      <c r="AF143" s="28">
        <f t="shared" si="56"/>
        <v>0</v>
      </c>
      <c r="AG143" s="28">
        <f t="shared" si="56"/>
        <v>0</v>
      </c>
      <c r="AH143" s="28"/>
      <c r="AI143" s="28"/>
      <c r="AJ143" s="28"/>
      <c r="AK143" s="28"/>
      <c r="AL143" s="28"/>
      <c r="AM143" s="28"/>
      <c r="AN143" s="28"/>
      <c r="AO143" s="28"/>
      <c r="AP143" s="28">
        <f t="shared" si="56"/>
        <v>0</v>
      </c>
      <c r="AQ143" s="28" t="str">
        <f t="shared" si="56"/>
        <v>ｄ地域</v>
      </c>
      <c r="AR143" s="28">
        <f t="shared" si="56"/>
        <v>4700</v>
      </c>
      <c r="AS143" s="28">
        <f t="shared" si="56"/>
        <v>5200</v>
      </c>
      <c r="AT143" s="28">
        <f t="shared" si="56"/>
        <v>3300</v>
      </c>
      <c r="AU143" s="28">
        <f t="shared" si="56"/>
        <v>3300</v>
      </c>
      <c r="AV143" s="28">
        <f t="shared" si="56"/>
        <v>0</v>
      </c>
      <c r="AW143" s="28">
        <f t="shared" si="56"/>
        <v>0</v>
      </c>
      <c r="AX143" s="28">
        <f t="shared" si="56"/>
        <v>0</v>
      </c>
      <c r="AY143" s="28"/>
      <c r="AZ143" s="28"/>
      <c r="BA143" s="28">
        <f t="shared" si="56"/>
        <v>0</v>
      </c>
      <c r="BB143" s="28">
        <f t="shared" si="56"/>
        <v>0</v>
      </c>
      <c r="BC143" s="28">
        <f t="shared" si="56"/>
        <v>0</v>
      </c>
      <c r="BD143" s="28">
        <f t="shared" si="56"/>
        <v>0</v>
      </c>
      <c r="BE143" s="28">
        <f t="shared" si="56"/>
        <v>0</v>
      </c>
      <c r="BF143" s="28">
        <f t="shared" si="56"/>
        <v>0</v>
      </c>
      <c r="BG143" s="28">
        <f t="shared" si="56"/>
        <v>0</v>
      </c>
      <c r="BH143" s="28"/>
      <c r="BI143" s="28"/>
      <c r="BJ143" s="28"/>
      <c r="BK143" s="28">
        <f t="shared" si="56"/>
        <v>0</v>
      </c>
      <c r="BL143" s="28"/>
      <c r="BM143" s="28">
        <f t="shared" si="56"/>
        <v>0</v>
      </c>
      <c r="BN143" s="28"/>
      <c r="BO143" s="28">
        <f t="shared" si="56"/>
        <v>0</v>
      </c>
      <c r="BP143" s="28"/>
      <c r="BQ143" s="28">
        <f t="shared" si="56"/>
        <v>0</v>
      </c>
      <c r="BR143" s="28"/>
    </row>
    <row r="144" spans="2:70">
      <c r="B144" s="28">
        <v>31</v>
      </c>
      <c r="D144" s="28" t="str">
        <f>D22</f>
        <v>乳児</v>
      </c>
      <c r="E144" s="28">
        <f t="shared" ref="E144:BQ144" si="57">E22</f>
        <v>0</v>
      </c>
      <c r="F144" s="28">
        <f t="shared" si="57"/>
        <v>200810</v>
      </c>
      <c r="G144" s="28">
        <f t="shared" si="57"/>
        <v>0</v>
      </c>
      <c r="H144" s="28">
        <f t="shared" si="57"/>
        <v>189100</v>
      </c>
      <c r="I144" s="28">
        <f t="shared" si="57"/>
        <v>0</v>
      </c>
      <c r="J144" s="28" t="str">
        <f t="shared" si="57"/>
        <v>＋</v>
      </c>
      <c r="K144" s="28">
        <f t="shared" si="57"/>
        <v>1890</v>
      </c>
      <c r="L144" s="28">
        <f t="shared" si="57"/>
        <v>0</v>
      </c>
      <c r="M144" s="28" t="str">
        <f t="shared" si="57"/>
        <v>×加算率</v>
      </c>
      <c r="N144" s="28">
        <f t="shared" si="57"/>
        <v>1770</v>
      </c>
      <c r="O144" s="28">
        <f t="shared" si="57"/>
        <v>0</v>
      </c>
      <c r="P144" s="28" t="str">
        <f t="shared" si="57"/>
        <v>×加算率</v>
      </c>
      <c r="Q144" s="28">
        <f t="shared" si="57"/>
        <v>0</v>
      </c>
      <c r="R144" s="28">
        <f t="shared" si="57"/>
        <v>0</v>
      </c>
      <c r="S144" s="28">
        <f t="shared" si="57"/>
        <v>0</v>
      </c>
      <c r="T144" s="28">
        <f t="shared" si="57"/>
        <v>0</v>
      </c>
      <c r="U144" s="28">
        <f t="shared" si="57"/>
        <v>0</v>
      </c>
      <c r="V144" s="28" t="str">
        <f t="shared" si="57"/>
        <v>　 　　 ～　210人</v>
      </c>
      <c r="W144" s="28">
        <f t="shared" si="57"/>
        <v>0</v>
      </c>
      <c r="X144" s="28" t="str">
        <f t="shared" si="57"/>
        <v>　 　　 ～　210人</v>
      </c>
      <c r="Y144" s="28">
        <f t="shared" si="57"/>
        <v>0</v>
      </c>
      <c r="Z144" s="28">
        <f t="shared" si="57"/>
        <v>0</v>
      </c>
      <c r="AA144" s="28">
        <f t="shared" si="57"/>
        <v>0</v>
      </c>
      <c r="AB144" s="28">
        <f t="shared" si="57"/>
        <v>0</v>
      </c>
      <c r="AC144" s="28">
        <f t="shared" si="57"/>
        <v>0</v>
      </c>
      <c r="AD144" s="28">
        <f t="shared" si="57"/>
        <v>0</v>
      </c>
      <c r="AE144" s="28">
        <f t="shared" si="57"/>
        <v>0</v>
      </c>
      <c r="AF144" s="28">
        <f t="shared" si="57"/>
        <v>0</v>
      </c>
      <c r="AG144" s="28">
        <f t="shared" si="57"/>
        <v>0</v>
      </c>
      <c r="AH144" s="28"/>
      <c r="AI144" s="28"/>
      <c r="AJ144" s="28"/>
      <c r="AK144" s="28"/>
      <c r="AL144" s="28"/>
      <c r="AM144" s="28"/>
      <c r="AN144" s="28"/>
      <c r="AO144" s="28"/>
      <c r="AP144" s="28">
        <f t="shared" si="57"/>
        <v>0</v>
      </c>
      <c r="AQ144" s="28" t="str">
        <f t="shared" si="57"/>
        <v>ｄ地域</v>
      </c>
      <c r="AR144" s="28">
        <f t="shared" si="57"/>
        <v>4200</v>
      </c>
      <c r="AS144" s="28">
        <f t="shared" si="57"/>
        <v>4600</v>
      </c>
      <c r="AT144" s="28">
        <f t="shared" si="57"/>
        <v>2900</v>
      </c>
      <c r="AU144" s="28">
        <f t="shared" si="57"/>
        <v>2900</v>
      </c>
      <c r="AV144" s="28">
        <f t="shared" si="57"/>
        <v>0</v>
      </c>
      <c r="AW144" s="28" t="str">
        <f t="shared" si="57"/>
        <v xml:space="preserve">  16人～　25人</v>
      </c>
      <c r="AX144" s="28">
        <f t="shared" si="57"/>
        <v>0</v>
      </c>
      <c r="AY144" s="28"/>
      <c r="AZ144" s="28"/>
      <c r="BA144" s="28">
        <f t="shared" si="57"/>
        <v>0</v>
      </c>
      <c r="BB144" s="28">
        <f t="shared" si="57"/>
        <v>0</v>
      </c>
      <c r="BC144" s="28">
        <f t="shared" si="57"/>
        <v>0</v>
      </c>
      <c r="BD144" s="28">
        <f t="shared" si="57"/>
        <v>0</v>
      </c>
      <c r="BE144" s="28">
        <f t="shared" si="57"/>
        <v>0</v>
      </c>
      <c r="BF144" s="28">
        <f t="shared" si="57"/>
        <v>0</v>
      </c>
      <c r="BG144" s="28">
        <f t="shared" si="57"/>
        <v>0</v>
      </c>
      <c r="BH144" s="28"/>
      <c r="BI144" s="28"/>
      <c r="BJ144" s="28"/>
      <c r="BK144" s="28">
        <f t="shared" si="57"/>
        <v>0</v>
      </c>
      <c r="BL144" s="28"/>
      <c r="BM144" s="28">
        <f t="shared" si="57"/>
        <v>0</v>
      </c>
      <c r="BN144" s="28"/>
      <c r="BO144" s="28">
        <f t="shared" si="57"/>
        <v>0</v>
      </c>
      <c r="BP144" s="28"/>
      <c r="BQ144" s="28">
        <f t="shared" si="57"/>
        <v>0</v>
      </c>
      <c r="BR144" s="28"/>
    </row>
    <row r="145" spans="2:70">
      <c r="B145" s="28">
        <v>41</v>
      </c>
      <c r="D145" s="28" t="str">
        <f>D26</f>
        <v>乳児</v>
      </c>
      <c r="E145" s="28">
        <f t="shared" ref="E145:BQ145" si="58">E26</f>
        <v>0</v>
      </c>
      <c r="F145" s="28">
        <f t="shared" si="58"/>
        <v>195950</v>
      </c>
      <c r="G145" s="28">
        <f t="shared" si="58"/>
        <v>0</v>
      </c>
      <c r="H145" s="28">
        <f t="shared" si="58"/>
        <v>186580</v>
      </c>
      <c r="I145" s="28">
        <f t="shared" si="58"/>
        <v>0</v>
      </c>
      <c r="J145" s="28" t="str">
        <f t="shared" si="58"/>
        <v>＋</v>
      </c>
      <c r="K145" s="28">
        <f t="shared" si="58"/>
        <v>1840</v>
      </c>
      <c r="L145" s="28">
        <f t="shared" si="58"/>
        <v>0</v>
      </c>
      <c r="M145" s="28" t="str">
        <f t="shared" si="58"/>
        <v>×加算率</v>
      </c>
      <c r="N145" s="28">
        <f t="shared" si="58"/>
        <v>1740</v>
      </c>
      <c r="O145" s="28">
        <f t="shared" si="58"/>
        <v>0</v>
      </c>
      <c r="P145" s="28" t="str">
        <f t="shared" si="58"/>
        <v>×加算率</v>
      </c>
      <c r="Q145" s="28">
        <f t="shared" si="58"/>
        <v>0</v>
      </c>
      <c r="R145" s="28">
        <f t="shared" si="58"/>
        <v>0</v>
      </c>
      <c r="S145" s="28">
        <f t="shared" si="58"/>
        <v>0</v>
      </c>
      <c r="T145" s="28">
        <f t="shared" si="58"/>
        <v>0</v>
      </c>
      <c r="U145" s="28">
        <f t="shared" si="58"/>
        <v>0</v>
      </c>
      <c r="V145" s="28">
        <f t="shared" si="58"/>
        <v>257500</v>
      </c>
      <c r="W145" s="28">
        <f t="shared" si="58"/>
        <v>0</v>
      </c>
      <c r="X145" s="28">
        <f t="shared" si="58"/>
        <v>2570</v>
      </c>
      <c r="Y145" s="28">
        <f t="shared" si="58"/>
        <v>0</v>
      </c>
      <c r="Z145" s="28">
        <f t="shared" si="58"/>
        <v>0</v>
      </c>
      <c r="AA145" s="28">
        <f t="shared" si="58"/>
        <v>0</v>
      </c>
      <c r="AB145" s="28">
        <f t="shared" si="58"/>
        <v>0</v>
      </c>
      <c r="AC145" s="28">
        <f t="shared" si="58"/>
        <v>0</v>
      </c>
      <c r="AD145" s="28">
        <f t="shared" si="58"/>
        <v>0</v>
      </c>
      <c r="AE145" s="28">
        <f t="shared" si="58"/>
        <v>0</v>
      </c>
      <c r="AF145" s="28">
        <f t="shared" si="58"/>
        <v>0</v>
      </c>
      <c r="AG145" s="28">
        <f t="shared" si="58"/>
        <v>0</v>
      </c>
      <c r="AH145" s="28"/>
      <c r="AI145" s="28"/>
      <c r="AJ145" s="28"/>
      <c r="AK145" s="28"/>
      <c r="AL145" s="28"/>
      <c r="AM145" s="28"/>
      <c r="AN145" s="28"/>
      <c r="AO145" s="28"/>
      <c r="AP145" s="28">
        <f t="shared" si="58"/>
        <v>0</v>
      </c>
      <c r="AQ145" s="28" t="str">
        <f t="shared" si="58"/>
        <v>ｄ地域</v>
      </c>
      <c r="AR145" s="28">
        <f t="shared" si="58"/>
        <v>3800</v>
      </c>
      <c r="AS145" s="28">
        <f t="shared" si="58"/>
        <v>4200</v>
      </c>
      <c r="AT145" s="28">
        <f t="shared" si="58"/>
        <v>2600</v>
      </c>
      <c r="AU145" s="28">
        <f t="shared" si="58"/>
        <v>2600</v>
      </c>
      <c r="AV145" s="28">
        <f t="shared" si="58"/>
        <v>0</v>
      </c>
      <c r="AW145" s="28">
        <f t="shared" si="58"/>
        <v>12280</v>
      </c>
      <c r="AX145" s="28">
        <f t="shared" si="58"/>
        <v>0</v>
      </c>
      <c r="AY145" s="28"/>
      <c r="AZ145" s="28"/>
      <c r="BA145" s="28">
        <f t="shared" si="58"/>
        <v>0</v>
      </c>
      <c r="BB145" s="28">
        <f t="shared" si="58"/>
        <v>0</v>
      </c>
      <c r="BC145" s="28">
        <f t="shared" si="58"/>
        <v>0</v>
      </c>
      <c r="BD145" s="28">
        <f t="shared" si="58"/>
        <v>0</v>
      </c>
      <c r="BE145" s="28">
        <f t="shared" si="58"/>
        <v>0</v>
      </c>
      <c r="BF145" s="28">
        <f t="shared" si="58"/>
        <v>0</v>
      </c>
      <c r="BG145" s="28">
        <f t="shared" si="58"/>
        <v>0</v>
      </c>
      <c r="BH145" s="28"/>
      <c r="BI145" s="28"/>
      <c r="BJ145" s="28"/>
      <c r="BK145" s="28">
        <f t="shared" si="58"/>
        <v>0</v>
      </c>
      <c r="BL145" s="28"/>
      <c r="BM145" s="28">
        <f t="shared" si="58"/>
        <v>0</v>
      </c>
      <c r="BN145" s="28"/>
      <c r="BO145" s="28">
        <f t="shared" si="58"/>
        <v>0</v>
      </c>
      <c r="BP145" s="28"/>
      <c r="BQ145" s="28">
        <f t="shared" si="58"/>
        <v>0</v>
      </c>
      <c r="BR145" s="28"/>
    </row>
    <row r="146" spans="2:70">
      <c r="B146" s="28">
        <v>51</v>
      </c>
      <c r="D146" s="28" t="str">
        <f>D30</f>
        <v>乳児</v>
      </c>
      <c r="E146" s="28">
        <f t="shared" ref="E146:BQ146" si="59">E30</f>
        <v>0</v>
      </c>
      <c r="F146" s="28">
        <f t="shared" si="59"/>
        <v>187950</v>
      </c>
      <c r="G146" s="28">
        <f t="shared" si="59"/>
        <v>0</v>
      </c>
      <c r="H146" s="28">
        <f t="shared" si="59"/>
        <v>180140</v>
      </c>
      <c r="I146" s="28">
        <f t="shared" si="59"/>
        <v>0</v>
      </c>
      <c r="J146" s="28" t="str">
        <f t="shared" si="59"/>
        <v>＋</v>
      </c>
      <c r="K146" s="28">
        <f t="shared" si="59"/>
        <v>1760</v>
      </c>
      <c r="L146" s="28">
        <f t="shared" si="59"/>
        <v>0</v>
      </c>
      <c r="M146" s="28" t="str">
        <f t="shared" si="59"/>
        <v>×加算率</v>
      </c>
      <c r="N146" s="28">
        <f t="shared" si="59"/>
        <v>1680</v>
      </c>
      <c r="O146" s="28">
        <f t="shared" si="59"/>
        <v>0</v>
      </c>
      <c r="P146" s="28" t="str">
        <f t="shared" si="59"/>
        <v>×加算率</v>
      </c>
      <c r="Q146" s="28">
        <f t="shared" si="59"/>
        <v>0</v>
      </c>
      <c r="R146" s="28">
        <f t="shared" si="59"/>
        <v>0</v>
      </c>
      <c r="S146" s="28">
        <f t="shared" si="59"/>
        <v>0</v>
      </c>
      <c r="T146" s="28">
        <f t="shared" si="59"/>
        <v>0</v>
      </c>
      <c r="U146" s="28">
        <f t="shared" si="59"/>
        <v>0</v>
      </c>
      <c r="V146" s="28">
        <f t="shared" si="59"/>
        <v>0</v>
      </c>
      <c r="W146" s="28">
        <f t="shared" si="59"/>
        <v>0</v>
      </c>
      <c r="X146" s="28">
        <f t="shared" si="59"/>
        <v>0</v>
      </c>
      <c r="Y146" s="28">
        <f t="shared" si="59"/>
        <v>0</v>
      </c>
      <c r="Z146" s="28">
        <f t="shared" si="59"/>
        <v>0</v>
      </c>
      <c r="AA146" s="28">
        <f t="shared" si="59"/>
        <v>0</v>
      </c>
      <c r="AB146" s="28">
        <f t="shared" si="59"/>
        <v>0</v>
      </c>
      <c r="AC146" s="28">
        <f t="shared" si="59"/>
        <v>0</v>
      </c>
      <c r="AD146" s="28">
        <f t="shared" si="59"/>
        <v>0</v>
      </c>
      <c r="AE146" s="28">
        <f t="shared" si="59"/>
        <v>0</v>
      </c>
      <c r="AF146" s="28">
        <f t="shared" si="59"/>
        <v>0</v>
      </c>
      <c r="AG146" s="28">
        <f t="shared" si="59"/>
        <v>0</v>
      </c>
      <c r="AH146" s="28"/>
      <c r="AI146" s="28"/>
      <c r="AJ146" s="28"/>
      <c r="AK146" s="28"/>
      <c r="AL146" s="28"/>
      <c r="AM146" s="28"/>
      <c r="AN146" s="28"/>
      <c r="AO146" s="28"/>
      <c r="AP146" s="28">
        <f t="shared" si="59"/>
        <v>0</v>
      </c>
      <c r="AQ146" s="28" t="str">
        <f t="shared" si="59"/>
        <v>ｄ地域</v>
      </c>
      <c r="AR146" s="28">
        <f t="shared" si="59"/>
        <v>3100</v>
      </c>
      <c r="AS146" s="28">
        <f t="shared" si="59"/>
        <v>3400</v>
      </c>
      <c r="AT146" s="28">
        <f t="shared" si="59"/>
        <v>2100</v>
      </c>
      <c r="AU146" s="28">
        <f t="shared" si="59"/>
        <v>2100</v>
      </c>
      <c r="AV146" s="28">
        <f t="shared" si="59"/>
        <v>0</v>
      </c>
      <c r="AW146" s="28">
        <f t="shared" si="59"/>
        <v>0</v>
      </c>
      <c r="AX146" s="28">
        <f t="shared" si="59"/>
        <v>0</v>
      </c>
      <c r="AY146" s="28"/>
      <c r="AZ146" s="28"/>
      <c r="BA146" s="28">
        <f t="shared" si="59"/>
        <v>0</v>
      </c>
      <c r="BB146" s="28">
        <f t="shared" si="59"/>
        <v>0</v>
      </c>
      <c r="BC146" s="28">
        <f t="shared" si="59"/>
        <v>0</v>
      </c>
      <c r="BD146" s="28">
        <f t="shared" si="59"/>
        <v>0</v>
      </c>
      <c r="BE146" s="28">
        <f t="shared" si="59"/>
        <v>0</v>
      </c>
      <c r="BF146" s="28">
        <f t="shared" si="59"/>
        <v>0</v>
      </c>
      <c r="BG146" s="28">
        <f t="shared" si="59"/>
        <v>0</v>
      </c>
      <c r="BH146" s="28"/>
      <c r="BI146" s="28"/>
      <c r="BJ146" s="28"/>
      <c r="BK146" s="28">
        <f t="shared" si="59"/>
        <v>0</v>
      </c>
      <c r="BL146" s="28"/>
      <c r="BM146" s="28">
        <f t="shared" si="59"/>
        <v>0</v>
      </c>
      <c r="BN146" s="28"/>
      <c r="BO146" s="28">
        <f t="shared" si="59"/>
        <v>0</v>
      </c>
      <c r="BP146" s="28"/>
      <c r="BQ146" s="28">
        <f t="shared" si="59"/>
        <v>0</v>
      </c>
      <c r="BR146" s="28"/>
    </row>
    <row r="147" spans="2:70">
      <c r="B147" s="28">
        <v>61</v>
      </c>
      <c r="D147" s="28" t="str">
        <f>D34</f>
        <v>乳児</v>
      </c>
      <c r="E147" s="28">
        <f t="shared" ref="E147:BQ147" si="60">E34</f>
        <v>0</v>
      </c>
      <c r="F147" s="28">
        <f t="shared" si="60"/>
        <v>182320</v>
      </c>
      <c r="G147" s="28">
        <f t="shared" si="60"/>
        <v>0</v>
      </c>
      <c r="H147" s="28">
        <f t="shared" si="60"/>
        <v>175620</v>
      </c>
      <c r="I147" s="28">
        <f t="shared" si="60"/>
        <v>0</v>
      </c>
      <c r="J147" s="28" t="str">
        <f t="shared" si="60"/>
        <v>＋</v>
      </c>
      <c r="K147" s="28">
        <f t="shared" si="60"/>
        <v>1700</v>
      </c>
      <c r="L147" s="28">
        <f t="shared" si="60"/>
        <v>0</v>
      </c>
      <c r="M147" s="28" t="str">
        <f t="shared" si="60"/>
        <v>×加算率</v>
      </c>
      <c r="N147" s="28">
        <f t="shared" si="60"/>
        <v>1630</v>
      </c>
      <c r="O147" s="28">
        <f t="shared" si="60"/>
        <v>0</v>
      </c>
      <c r="P147" s="28" t="str">
        <f t="shared" si="60"/>
        <v>×加算率</v>
      </c>
      <c r="Q147" s="28">
        <f t="shared" si="60"/>
        <v>0</v>
      </c>
      <c r="R147" s="28">
        <f t="shared" si="60"/>
        <v>0</v>
      </c>
      <c r="S147" s="28">
        <f t="shared" si="60"/>
        <v>0</v>
      </c>
      <c r="T147" s="28">
        <f t="shared" si="60"/>
        <v>0</v>
      </c>
      <c r="U147" s="28">
        <f t="shared" si="60"/>
        <v>0</v>
      </c>
      <c r="V147" s="28" t="str">
        <f t="shared" si="60"/>
        <v>　 420人～　489人</v>
      </c>
      <c r="W147" s="28">
        <f t="shared" si="60"/>
        <v>0</v>
      </c>
      <c r="X147" s="28" t="str">
        <f t="shared" si="60"/>
        <v>　 420人～　489人</v>
      </c>
      <c r="Y147" s="28">
        <f t="shared" si="60"/>
        <v>0</v>
      </c>
      <c r="Z147" s="28">
        <f t="shared" si="60"/>
        <v>0</v>
      </c>
      <c r="AA147" s="28">
        <f t="shared" si="60"/>
        <v>0</v>
      </c>
      <c r="AB147" s="28">
        <f t="shared" si="60"/>
        <v>0</v>
      </c>
      <c r="AC147" s="28">
        <f t="shared" si="60"/>
        <v>0</v>
      </c>
      <c r="AD147" s="28">
        <f t="shared" si="60"/>
        <v>0</v>
      </c>
      <c r="AE147" s="28">
        <f t="shared" si="60"/>
        <v>0</v>
      </c>
      <c r="AF147" s="28">
        <f t="shared" si="60"/>
        <v>0</v>
      </c>
      <c r="AG147" s="28">
        <f t="shared" si="60"/>
        <v>0</v>
      </c>
      <c r="AH147" s="28"/>
      <c r="AI147" s="28"/>
      <c r="AJ147" s="28"/>
      <c r="AK147" s="28"/>
      <c r="AL147" s="28"/>
      <c r="AM147" s="28"/>
      <c r="AN147" s="28"/>
      <c r="AO147" s="28"/>
      <c r="AP147" s="28">
        <f t="shared" si="60"/>
        <v>0</v>
      </c>
      <c r="AQ147" s="28" t="str">
        <f t="shared" si="60"/>
        <v>ｄ地域</v>
      </c>
      <c r="AR147" s="28">
        <f t="shared" si="60"/>
        <v>2700</v>
      </c>
      <c r="AS147" s="28">
        <f t="shared" si="60"/>
        <v>3000</v>
      </c>
      <c r="AT147" s="28">
        <f t="shared" si="60"/>
        <v>1900</v>
      </c>
      <c r="AU147" s="28">
        <f t="shared" si="60"/>
        <v>1900</v>
      </c>
      <c r="AV147" s="28">
        <f t="shared" si="60"/>
        <v>0</v>
      </c>
      <c r="AW147" s="28" t="str">
        <f t="shared" si="60"/>
        <v xml:space="preserve">  61人～　75人</v>
      </c>
      <c r="AX147" s="28">
        <f t="shared" si="60"/>
        <v>0</v>
      </c>
      <c r="AY147" s="28"/>
      <c r="AZ147" s="28"/>
      <c r="BA147" s="28">
        <f t="shared" si="60"/>
        <v>0</v>
      </c>
      <c r="BB147" s="28">
        <f t="shared" si="60"/>
        <v>0</v>
      </c>
      <c r="BC147" s="28">
        <f t="shared" si="60"/>
        <v>0</v>
      </c>
      <c r="BD147" s="28">
        <f t="shared" si="60"/>
        <v>0</v>
      </c>
      <c r="BE147" s="28">
        <f t="shared" si="60"/>
        <v>0</v>
      </c>
      <c r="BF147" s="28">
        <f t="shared" si="60"/>
        <v>0</v>
      </c>
      <c r="BG147" s="28">
        <f t="shared" si="60"/>
        <v>0</v>
      </c>
      <c r="BH147" s="28"/>
      <c r="BI147" s="28"/>
      <c r="BJ147" s="28"/>
      <c r="BK147" s="28">
        <f t="shared" si="60"/>
        <v>0</v>
      </c>
      <c r="BL147" s="28"/>
      <c r="BM147" s="28">
        <f t="shared" si="60"/>
        <v>0</v>
      </c>
      <c r="BN147" s="28"/>
      <c r="BO147" s="28">
        <f t="shared" si="60"/>
        <v>0</v>
      </c>
      <c r="BP147" s="28"/>
      <c r="BQ147" s="28">
        <f t="shared" si="60"/>
        <v>0</v>
      </c>
      <c r="BR147" s="28"/>
    </row>
    <row r="148" spans="2:70">
      <c r="B148" s="28">
        <v>71</v>
      </c>
      <c r="D148" s="28" t="str">
        <f>D38</f>
        <v>乳児</v>
      </c>
      <c r="E148" s="28">
        <f t="shared" ref="E148:BQ148" si="61">E38</f>
        <v>0</v>
      </c>
      <c r="F148" s="28">
        <f t="shared" si="61"/>
        <v>178140</v>
      </c>
      <c r="G148" s="28">
        <f t="shared" si="61"/>
        <v>0</v>
      </c>
      <c r="H148" s="28">
        <f t="shared" si="61"/>
        <v>172280</v>
      </c>
      <c r="I148" s="28">
        <f t="shared" si="61"/>
        <v>0</v>
      </c>
      <c r="J148" s="28" t="str">
        <f t="shared" si="61"/>
        <v>＋</v>
      </c>
      <c r="K148" s="28">
        <f t="shared" si="61"/>
        <v>1660</v>
      </c>
      <c r="L148" s="28">
        <f t="shared" si="61"/>
        <v>0</v>
      </c>
      <c r="M148" s="28" t="str">
        <f t="shared" si="61"/>
        <v>×加算率</v>
      </c>
      <c r="N148" s="28">
        <f t="shared" si="61"/>
        <v>1600</v>
      </c>
      <c r="O148" s="28">
        <f t="shared" si="61"/>
        <v>0</v>
      </c>
      <c r="P148" s="28" t="str">
        <f t="shared" si="61"/>
        <v>×加算率</v>
      </c>
      <c r="Q148" s="28">
        <f t="shared" si="61"/>
        <v>0</v>
      </c>
      <c r="R148" s="28">
        <f t="shared" si="61"/>
        <v>0</v>
      </c>
      <c r="S148" s="28">
        <f t="shared" si="61"/>
        <v>0</v>
      </c>
      <c r="T148" s="28">
        <f t="shared" si="61"/>
        <v>0</v>
      </c>
      <c r="U148" s="28">
        <f t="shared" si="61"/>
        <v>0</v>
      </c>
      <c r="V148" s="28">
        <f t="shared" si="61"/>
        <v>392800</v>
      </c>
      <c r="W148" s="28">
        <f t="shared" si="61"/>
        <v>0</v>
      </c>
      <c r="X148" s="28">
        <f t="shared" si="61"/>
        <v>3920</v>
      </c>
      <c r="Y148" s="28">
        <f t="shared" si="61"/>
        <v>0</v>
      </c>
      <c r="Z148" s="28">
        <f t="shared" si="61"/>
        <v>0</v>
      </c>
      <c r="AA148" s="28">
        <f t="shared" si="61"/>
        <v>0</v>
      </c>
      <c r="AB148" s="28">
        <f t="shared" si="61"/>
        <v>0</v>
      </c>
      <c r="AC148" s="28">
        <f t="shared" si="61"/>
        <v>0</v>
      </c>
      <c r="AD148" s="28">
        <f t="shared" si="61"/>
        <v>0</v>
      </c>
      <c r="AE148" s="28">
        <f t="shared" si="61"/>
        <v>0</v>
      </c>
      <c r="AF148" s="28">
        <f t="shared" si="61"/>
        <v>0</v>
      </c>
      <c r="AG148" s="28">
        <f t="shared" si="61"/>
        <v>0</v>
      </c>
      <c r="AH148" s="28"/>
      <c r="AI148" s="28"/>
      <c r="AJ148" s="28"/>
      <c r="AK148" s="28"/>
      <c r="AL148" s="28"/>
      <c r="AM148" s="28"/>
      <c r="AN148" s="28"/>
      <c r="AO148" s="28"/>
      <c r="AP148" s="28">
        <f t="shared" si="61"/>
        <v>0</v>
      </c>
      <c r="AQ148" s="28" t="str">
        <f t="shared" si="61"/>
        <v>ｄ地域</v>
      </c>
      <c r="AR148" s="28">
        <f t="shared" si="61"/>
        <v>3000</v>
      </c>
      <c r="AS148" s="28">
        <f t="shared" si="61"/>
        <v>3400</v>
      </c>
      <c r="AT148" s="28">
        <f t="shared" si="61"/>
        <v>2100</v>
      </c>
      <c r="AU148" s="28">
        <f t="shared" si="61"/>
        <v>2100</v>
      </c>
      <c r="AV148" s="28">
        <f t="shared" si="61"/>
        <v>0</v>
      </c>
      <c r="AW148" s="28">
        <f t="shared" si="61"/>
        <v>5220</v>
      </c>
      <c r="AX148" s="28">
        <f t="shared" si="61"/>
        <v>0</v>
      </c>
      <c r="AY148" s="28"/>
      <c r="AZ148" s="28"/>
      <c r="BA148" s="28">
        <f t="shared" si="61"/>
        <v>0</v>
      </c>
      <c r="BB148" s="28">
        <f t="shared" si="61"/>
        <v>0</v>
      </c>
      <c r="BC148" s="28">
        <f t="shared" si="61"/>
        <v>0</v>
      </c>
      <c r="BD148" s="28">
        <f t="shared" si="61"/>
        <v>0</v>
      </c>
      <c r="BE148" s="28">
        <f t="shared" si="61"/>
        <v>0</v>
      </c>
      <c r="BF148" s="28">
        <f t="shared" si="61"/>
        <v>0</v>
      </c>
      <c r="BG148" s="28">
        <f t="shared" si="61"/>
        <v>0</v>
      </c>
      <c r="BH148" s="28"/>
      <c r="BI148" s="28"/>
      <c r="BJ148" s="28"/>
      <c r="BK148" s="28">
        <f t="shared" si="61"/>
        <v>0</v>
      </c>
      <c r="BL148" s="28"/>
      <c r="BM148" s="28">
        <f t="shared" si="61"/>
        <v>0</v>
      </c>
      <c r="BN148" s="28"/>
      <c r="BO148" s="28">
        <f t="shared" si="61"/>
        <v>0</v>
      </c>
      <c r="BP148" s="28"/>
      <c r="BQ148" s="28">
        <f t="shared" si="61"/>
        <v>0</v>
      </c>
      <c r="BR148" s="28"/>
    </row>
    <row r="149" spans="2:70">
      <c r="B149" s="28">
        <v>81</v>
      </c>
      <c r="D149" s="28" t="str">
        <f>D42</f>
        <v>乳児</v>
      </c>
      <c r="E149" s="28">
        <f t="shared" ref="E149:BQ149" si="62">E42</f>
        <v>0</v>
      </c>
      <c r="F149" s="28">
        <f t="shared" si="62"/>
        <v>174850</v>
      </c>
      <c r="G149" s="28">
        <f t="shared" si="62"/>
        <v>0</v>
      </c>
      <c r="H149" s="28">
        <f t="shared" si="62"/>
        <v>169640</v>
      </c>
      <c r="I149" s="28">
        <f t="shared" si="62"/>
        <v>0</v>
      </c>
      <c r="J149" s="28" t="str">
        <f t="shared" si="62"/>
        <v>＋</v>
      </c>
      <c r="K149" s="28">
        <f t="shared" si="62"/>
        <v>1630</v>
      </c>
      <c r="L149" s="28">
        <f t="shared" si="62"/>
        <v>0</v>
      </c>
      <c r="M149" s="28" t="str">
        <f t="shared" si="62"/>
        <v>×加算率</v>
      </c>
      <c r="N149" s="28">
        <f t="shared" si="62"/>
        <v>1570</v>
      </c>
      <c r="O149" s="28">
        <f t="shared" si="62"/>
        <v>0</v>
      </c>
      <c r="P149" s="28" t="str">
        <f t="shared" si="62"/>
        <v>×加算率</v>
      </c>
      <c r="Q149" s="28">
        <f t="shared" si="62"/>
        <v>0</v>
      </c>
      <c r="R149" s="28">
        <f t="shared" si="62"/>
        <v>0</v>
      </c>
      <c r="S149" s="28">
        <f t="shared" si="62"/>
        <v>0</v>
      </c>
      <c r="T149" s="28">
        <f t="shared" si="62"/>
        <v>0</v>
      </c>
      <c r="U149" s="28">
        <f t="shared" si="62"/>
        <v>0</v>
      </c>
      <c r="V149" s="28">
        <f t="shared" si="62"/>
        <v>0</v>
      </c>
      <c r="W149" s="28">
        <f t="shared" si="62"/>
        <v>0</v>
      </c>
      <c r="X149" s="28">
        <f t="shared" si="62"/>
        <v>0</v>
      </c>
      <c r="Y149" s="28">
        <f t="shared" si="62"/>
        <v>0</v>
      </c>
      <c r="Z149" s="28">
        <f t="shared" si="62"/>
        <v>0</v>
      </c>
      <c r="AA149" s="28">
        <f t="shared" si="62"/>
        <v>0</v>
      </c>
      <c r="AB149" s="28">
        <f t="shared" si="62"/>
        <v>0</v>
      </c>
      <c r="AC149" s="28">
        <f t="shared" si="62"/>
        <v>0</v>
      </c>
      <c r="AD149" s="28">
        <f t="shared" si="62"/>
        <v>0</v>
      </c>
      <c r="AE149" s="28">
        <f t="shared" si="62"/>
        <v>0</v>
      </c>
      <c r="AF149" s="28">
        <f t="shared" si="62"/>
        <v>0</v>
      </c>
      <c r="AG149" s="28">
        <f t="shared" si="62"/>
        <v>0</v>
      </c>
      <c r="AH149" s="28"/>
      <c r="AI149" s="28"/>
      <c r="AJ149" s="28"/>
      <c r="AK149" s="28"/>
      <c r="AL149" s="28"/>
      <c r="AM149" s="28"/>
      <c r="AN149" s="28"/>
      <c r="AO149" s="28"/>
      <c r="AP149" s="28">
        <f t="shared" si="62"/>
        <v>0</v>
      </c>
      <c r="AQ149" s="28" t="str">
        <f t="shared" si="62"/>
        <v>ｄ地域</v>
      </c>
      <c r="AR149" s="28">
        <f t="shared" si="62"/>
        <v>2700</v>
      </c>
      <c r="AS149" s="28">
        <f t="shared" si="62"/>
        <v>3000</v>
      </c>
      <c r="AT149" s="28">
        <f t="shared" si="62"/>
        <v>1900</v>
      </c>
      <c r="AU149" s="28">
        <f t="shared" si="62"/>
        <v>1900</v>
      </c>
      <c r="AV149" s="28">
        <f t="shared" si="62"/>
        <v>0</v>
      </c>
      <c r="AW149" s="28">
        <f t="shared" si="62"/>
        <v>0</v>
      </c>
      <c r="AX149" s="28">
        <f t="shared" si="62"/>
        <v>0</v>
      </c>
      <c r="AY149" s="28"/>
      <c r="AZ149" s="28"/>
      <c r="BA149" s="28">
        <f t="shared" si="62"/>
        <v>0</v>
      </c>
      <c r="BB149" s="28">
        <f t="shared" si="62"/>
        <v>0</v>
      </c>
      <c r="BC149" s="28">
        <f t="shared" si="62"/>
        <v>0</v>
      </c>
      <c r="BD149" s="28">
        <f t="shared" si="62"/>
        <v>0</v>
      </c>
      <c r="BE149" s="28">
        <f t="shared" si="62"/>
        <v>0</v>
      </c>
      <c r="BF149" s="28">
        <f t="shared" si="62"/>
        <v>0</v>
      </c>
      <c r="BG149" s="28">
        <f t="shared" si="62"/>
        <v>0</v>
      </c>
      <c r="BH149" s="28"/>
      <c r="BI149" s="28"/>
      <c r="BJ149" s="28"/>
      <c r="BK149" s="28">
        <f t="shared" si="62"/>
        <v>0</v>
      </c>
      <c r="BL149" s="28"/>
      <c r="BM149" s="28">
        <f t="shared" si="62"/>
        <v>0</v>
      </c>
      <c r="BN149" s="28"/>
      <c r="BO149" s="28">
        <f t="shared" si="62"/>
        <v>0</v>
      </c>
      <c r="BP149" s="28"/>
      <c r="BQ149" s="28">
        <f t="shared" si="62"/>
        <v>0</v>
      </c>
      <c r="BR149" s="28"/>
    </row>
    <row r="150" spans="2:70">
      <c r="B150" s="28">
        <v>91</v>
      </c>
      <c r="D150" s="28" t="str">
        <f>D46</f>
        <v>乳児</v>
      </c>
      <c r="E150" s="28">
        <f t="shared" ref="E150:BQ150" si="63">E46</f>
        <v>0</v>
      </c>
      <c r="F150" s="28">
        <f t="shared" si="63"/>
        <v>169260</v>
      </c>
      <c r="G150" s="28">
        <f t="shared" si="63"/>
        <v>0</v>
      </c>
      <c r="H150" s="28">
        <f t="shared" si="63"/>
        <v>164580</v>
      </c>
      <c r="I150" s="28">
        <f t="shared" si="63"/>
        <v>0</v>
      </c>
      <c r="J150" s="28" t="str">
        <f t="shared" si="63"/>
        <v>＋</v>
      </c>
      <c r="K150" s="28">
        <f t="shared" si="63"/>
        <v>1570</v>
      </c>
      <c r="L150" s="28">
        <f t="shared" si="63"/>
        <v>0</v>
      </c>
      <c r="M150" s="28" t="str">
        <f t="shared" si="63"/>
        <v>×加算率</v>
      </c>
      <c r="N150" s="28">
        <f t="shared" si="63"/>
        <v>1520</v>
      </c>
      <c r="O150" s="28">
        <f t="shared" si="63"/>
        <v>0</v>
      </c>
      <c r="P150" s="28" t="str">
        <f t="shared" si="63"/>
        <v>×加算率</v>
      </c>
      <c r="Q150" s="28">
        <f t="shared" si="63"/>
        <v>0</v>
      </c>
      <c r="R150" s="28">
        <f t="shared" si="63"/>
        <v>0</v>
      </c>
      <c r="S150" s="28">
        <f t="shared" si="63"/>
        <v>0</v>
      </c>
      <c r="T150" s="28">
        <f t="shared" si="63"/>
        <v>0</v>
      </c>
      <c r="U150" s="28">
        <f t="shared" si="63"/>
        <v>0</v>
      </c>
      <c r="V150" s="28" t="str">
        <f t="shared" si="63"/>
        <v xml:space="preserve"> 　700人～　769人</v>
      </c>
      <c r="W150" s="28">
        <f t="shared" si="63"/>
        <v>0</v>
      </c>
      <c r="X150" s="28" t="str">
        <f t="shared" si="63"/>
        <v xml:space="preserve"> 　700人～　769人</v>
      </c>
      <c r="Y150" s="28">
        <f t="shared" si="63"/>
        <v>0</v>
      </c>
      <c r="Z150" s="28">
        <f t="shared" si="63"/>
        <v>0</v>
      </c>
      <c r="AA150" s="28">
        <f t="shared" si="63"/>
        <v>0</v>
      </c>
      <c r="AB150" s="28">
        <f t="shared" si="63"/>
        <v>0</v>
      </c>
      <c r="AC150" s="28">
        <f t="shared" si="63"/>
        <v>0</v>
      </c>
      <c r="AD150" s="28">
        <f t="shared" si="63"/>
        <v>0</v>
      </c>
      <c r="AE150" s="28">
        <f t="shared" si="63"/>
        <v>0</v>
      </c>
      <c r="AF150" s="28">
        <f t="shared" si="63"/>
        <v>0</v>
      </c>
      <c r="AG150" s="28">
        <f t="shared" si="63"/>
        <v>0</v>
      </c>
      <c r="AH150" s="28"/>
      <c r="AI150" s="28"/>
      <c r="AJ150" s="28"/>
      <c r="AK150" s="28"/>
      <c r="AL150" s="28"/>
      <c r="AM150" s="28"/>
      <c r="AN150" s="28"/>
      <c r="AO150" s="28"/>
      <c r="AP150" s="28">
        <f t="shared" si="63"/>
        <v>0</v>
      </c>
      <c r="AQ150" s="28" t="str">
        <f t="shared" si="63"/>
        <v>ｄ地域</v>
      </c>
      <c r="AR150" s="28">
        <f t="shared" si="63"/>
        <v>2400</v>
      </c>
      <c r="AS150" s="28">
        <f t="shared" si="63"/>
        <v>2600</v>
      </c>
      <c r="AT150" s="28">
        <f t="shared" si="63"/>
        <v>1600</v>
      </c>
      <c r="AU150" s="28">
        <f t="shared" si="63"/>
        <v>1600</v>
      </c>
      <c r="AV150" s="28">
        <f t="shared" si="63"/>
        <v>0</v>
      </c>
      <c r="AW150" s="28" t="str">
        <f t="shared" si="63"/>
        <v xml:space="preserve"> 121人～ 135人</v>
      </c>
      <c r="AX150" s="28">
        <f t="shared" si="63"/>
        <v>0</v>
      </c>
      <c r="AY150" s="28"/>
      <c r="AZ150" s="28"/>
      <c r="BA150" s="28">
        <f t="shared" si="63"/>
        <v>0</v>
      </c>
      <c r="BB150" s="28">
        <f t="shared" si="63"/>
        <v>0</v>
      </c>
      <c r="BC150" s="28">
        <f t="shared" si="63"/>
        <v>0</v>
      </c>
      <c r="BD150" s="28">
        <f t="shared" si="63"/>
        <v>0</v>
      </c>
      <c r="BE150" s="28">
        <f t="shared" si="63"/>
        <v>0</v>
      </c>
      <c r="BF150" s="28">
        <f t="shared" si="63"/>
        <v>0</v>
      </c>
      <c r="BG150" s="28">
        <f t="shared" si="63"/>
        <v>0</v>
      </c>
      <c r="BH150" s="28"/>
      <c r="BI150" s="28"/>
      <c r="BJ150" s="28"/>
      <c r="BK150" s="28">
        <f t="shared" si="63"/>
        <v>0</v>
      </c>
      <c r="BL150" s="28"/>
      <c r="BM150" s="28">
        <f t="shared" si="63"/>
        <v>0</v>
      </c>
      <c r="BN150" s="28"/>
      <c r="BO150" s="28">
        <f t="shared" si="63"/>
        <v>0</v>
      </c>
      <c r="BP150" s="28"/>
      <c r="BQ150" s="28">
        <f t="shared" si="63"/>
        <v>0</v>
      </c>
      <c r="BR150" s="28"/>
    </row>
    <row r="151" spans="2:70">
      <c r="B151" s="28">
        <v>101</v>
      </c>
      <c r="D151" s="28" t="str">
        <f>D50</f>
        <v>乳児</v>
      </c>
      <c r="E151" s="28">
        <f t="shared" ref="E151:BQ151" si="64">E50</f>
        <v>0</v>
      </c>
      <c r="F151" s="28">
        <f t="shared" si="64"/>
        <v>167410</v>
      </c>
      <c r="G151" s="28">
        <f t="shared" si="64"/>
        <v>0</v>
      </c>
      <c r="H151" s="28">
        <f t="shared" si="64"/>
        <v>163150</v>
      </c>
      <c r="I151" s="28">
        <f t="shared" si="64"/>
        <v>0</v>
      </c>
      <c r="J151" s="28" t="str">
        <f t="shared" si="64"/>
        <v>＋</v>
      </c>
      <c r="K151" s="28">
        <f t="shared" si="64"/>
        <v>1550</v>
      </c>
      <c r="L151" s="28">
        <f t="shared" si="64"/>
        <v>0</v>
      </c>
      <c r="M151" s="28" t="str">
        <f t="shared" si="64"/>
        <v>×加算率</v>
      </c>
      <c r="N151" s="28">
        <f t="shared" si="64"/>
        <v>1510</v>
      </c>
      <c r="O151" s="28">
        <f t="shared" si="64"/>
        <v>0</v>
      </c>
      <c r="P151" s="28" t="str">
        <f t="shared" si="64"/>
        <v>×加算率</v>
      </c>
      <c r="Q151" s="28">
        <f t="shared" si="64"/>
        <v>0</v>
      </c>
      <c r="R151" s="28">
        <f t="shared" si="64"/>
        <v>0</v>
      </c>
      <c r="S151" s="28">
        <f t="shared" si="64"/>
        <v>0</v>
      </c>
      <c r="T151" s="28">
        <f t="shared" si="64"/>
        <v>0</v>
      </c>
      <c r="U151" s="28">
        <f t="shared" si="64"/>
        <v>0</v>
      </c>
      <c r="V151" s="28">
        <f t="shared" si="64"/>
        <v>528100</v>
      </c>
      <c r="W151" s="28">
        <f t="shared" si="64"/>
        <v>0</v>
      </c>
      <c r="X151" s="28">
        <f t="shared" si="64"/>
        <v>5280</v>
      </c>
      <c r="Y151" s="28">
        <f t="shared" si="64"/>
        <v>0</v>
      </c>
      <c r="Z151" s="28">
        <f t="shared" si="64"/>
        <v>0</v>
      </c>
      <c r="AA151" s="28">
        <f t="shared" si="64"/>
        <v>0</v>
      </c>
      <c r="AB151" s="28">
        <f t="shared" si="64"/>
        <v>0</v>
      </c>
      <c r="AC151" s="28">
        <f t="shared" si="64"/>
        <v>0</v>
      </c>
      <c r="AD151" s="28">
        <f t="shared" si="64"/>
        <v>0</v>
      </c>
      <c r="AE151" s="28">
        <f t="shared" si="64"/>
        <v>0</v>
      </c>
      <c r="AF151" s="28">
        <f t="shared" si="64"/>
        <v>0</v>
      </c>
      <c r="AG151" s="28">
        <f t="shared" si="64"/>
        <v>0</v>
      </c>
      <c r="AH151" s="28"/>
      <c r="AI151" s="28"/>
      <c r="AJ151" s="28"/>
      <c r="AK151" s="28"/>
      <c r="AL151" s="28"/>
      <c r="AM151" s="28"/>
      <c r="AN151" s="28"/>
      <c r="AO151" s="28"/>
      <c r="AP151" s="28">
        <f t="shared" si="64"/>
        <v>0</v>
      </c>
      <c r="AQ151" s="28" t="str">
        <f t="shared" si="64"/>
        <v>ｄ地域</v>
      </c>
      <c r="AR151" s="28">
        <f t="shared" si="64"/>
        <v>2600</v>
      </c>
      <c r="AS151" s="28">
        <f t="shared" si="64"/>
        <v>2900</v>
      </c>
      <c r="AT151" s="28">
        <f t="shared" si="64"/>
        <v>1800</v>
      </c>
      <c r="AU151" s="28">
        <f t="shared" si="64"/>
        <v>1800</v>
      </c>
      <c r="AV151" s="28">
        <f t="shared" si="64"/>
        <v>0</v>
      </c>
      <c r="AW151" s="28">
        <f t="shared" si="64"/>
        <v>3660</v>
      </c>
      <c r="AX151" s="28">
        <f t="shared" si="64"/>
        <v>0</v>
      </c>
      <c r="AY151" s="28"/>
      <c r="AZ151" s="28"/>
      <c r="BA151" s="28">
        <f t="shared" si="64"/>
        <v>0</v>
      </c>
      <c r="BB151" s="28">
        <f t="shared" si="64"/>
        <v>0</v>
      </c>
      <c r="BC151" s="28">
        <f t="shared" si="64"/>
        <v>0</v>
      </c>
      <c r="BD151" s="28">
        <f t="shared" si="64"/>
        <v>0</v>
      </c>
      <c r="BE151" s="28">
        <f t="shared" si="64"/>
        <v>0</v>
      </c>
      <c r="BF151" s="28">
        <f t="shared" si="64"/>
        <v>0</v>
      </c>
      <c r="BG151" s="28">
        <f t="shared" si="64"/>
        <v>0</v>
      </c>
      <c r="BH151" s="28"/>
      <c r="BI151" s="28"/>
      <c r="BJ151" s="28"/>
      <c r="BK151" s="28">
        <f t="shared" si="64"/>
        <v>0</v>
      </c>
      <c r="BL151" s="28"/>
      <c r="BM151" s="28">
        <f t="shared" si="64"/>
        <v>0</v>
      </c>
      <c r="BN151" s="28"/>
      <c r="BO151" s="28">
        <f t="shared" si="64"/>
        <v>0</v>
      </c>
      <c r="BP151" s="28"/>
      <c r="BQ151" s="28">
        <f t="shared" si="64"/>
        <v>0</v>
      </c>
      <c r="BR151" s="28"/>
    </row>
    <row r="152" spans="2:70">
      <c r="B152" s="28">
        <v>111</v>
      </c>
      <c r="D152" s="28" t="str">
        <f>D54</f>
        <v>乳児</v>
      </c>
      <c r="E152" s="28">
        <f t="shared" ref="E152:BQ152" si="65">E54</f>
        <v>0</v>
      </c>
      <c r="F152" s="28">
        <f t="shared" si="65"/>
        <v>165840</v>
      </c>
      <c r="G152" s="28">
        <f t="shared" si="65"/>
        <v>0</v>
      </c>
      <c r="H152" s="28">
        <f t="shared" si="65"/>
        <v>161930</v>
      </c>
      <c r="I152" s="28">
        <f t="shared" si="65"/>
        <v>0</v>
      </c>
      <c r="J152" s="28" t="str">
        <f t="shared" si="65"/>
        <v>＋</v>
      </c>
      <c r="K152" s="28">
        <f t="shared" si="65"/>
        <v>1540</v>
      </c>
      <c r="L152" s="28">
        <f t="shared" si="65"/>
        <v>0</v>
      </c>
      <c r="M152" s="28" t="str">
        <f t="shared" si="65"/>
        <v>×加算率</v>
      </c>
      <c r="N152" s="28">
        <f t="shared" si="65"/>
        <v>1500</v>
      </c>
      <c r="O152" s="28">
        <f t="shared" si="65"/>
        <v>0</v>
      </c>
      <c r="P152" s="28" t="str">
        <f t="shared" si="65"/>
        <v>×加算率</v>
      </c>
      <c r="Q152" s="28">
        <f t="shared" si="65"/>
        <v>0</v>
      </c>
      <c r="R152" s="28">
        <f t="shared" si="65"/>
        <v>0</v>
      </c>
      <c r="S152" s="28">
        <f t="shared" si="65"/>
        <v>0</v>
      </c>
      <c r="T152" s="28">
        <f t="shared" si="65"/>
        <v>0</v>
      </c>
      <c r="U152" s="28">
        <f t="shared" si="65"/>
        <v>0</v>
      </c>
      <c r="V152" s="28">
        <f t="shared" si="65"/>
        <v>0</v>
      </c>
      <c r="W152" s="28">
        <f t="shared" si="65"/>
        <v>0</v>
      </c>
      <c r="X152" s="28">
        <f t="shared" si="65"/>
        <v>0</v>
      </c>
      <c r="Y152" s="28">
        <f t="shared" si="65"/>
        <v>0</v>
      </c>
      <c r="Z152" s="28">
        <f t="shared" si="65"/>
        <v>0</v>
      </c>
      <c r="AA152" s="28">
        <f t="shared" si="65"/>
        <v>0</v>
      </c>
      <c r="AB152" s="28">
        <f t="shared" si="65"/>
        <v>0</v>
      </c>
      <c r="AC152" s="28">
        <f t="shared" si="65"/>
        <v>0</v>
      </c>
      <c r="AD152" s="28">
        <f t="shared" si="65"/>
        <v>0</v>
      </c>
      <c r="AE152" s="28">
        <f t="shared" si="65"/>
        <v>0</v>
      </c>
      <c r="AF152" s="28">
        <f t="shared" si="65"/>
        <v>0</v>
      </c>
      <c r="AG152" s="28">
        <f t="shared" si="65"/>
        <v>0</v>
      </c>
      <c r="AH152" s="28"/>
      <c r="AI152" s="28"/>
      <c r="AJ152" s="28"/>
      <c r="AK152" s="28"/>
      <c r="AL152" s="28"/>
      <c r="AM152" s="28"/>
      <c r="AN152" s="28"/>
      <c r="AO152" s="28"/>
      <c r="AP152" s="28">
        <f t="shared" si="65"/>
        <v>0</v>
      </c>
      <c r="AQ152" s="28" t="str">
        <f t="shared" si="65"/>
        <v>ｄ地域</v>
      </c>
      <c r="AR152" s="28">
        <f t="shared" si="65"/>
        <v>2400</v>
      </c>
      <c r="AS152" s="28">
        <f t="shared" si="65"/>
        <v>2600</v>
      </c>
      <c r="AT152" s="28">
        <f t="shared" si="65"/>
        <v>1600</v>
      </c>
      <c r="AU152" s="28">
        <f t="shared" si="65"/>
        <v>1600</v>
      </c>
      <c r="AV152" s="28">
        <f t="shared" si="65"/>
        <v>0</v>
      </c>
      <c r="AW152" s="28">
        <f t="shared" si="65"/>
        <v>0</v>
      </c>
      <c r="AX152" s="28">
        <f t="shared" si="65"/>
        <v>0</v>
      </c>
      <c r="AY152" s="28"/>
      <c r="AZ152" s="28"/>
      <c r="BA152" s="28">
        <f t="shared" si="65"/>
        <v>0</v>
      </c>
      <c r="BB152" s="28">
        <f t="shared" si="65"/>
        <v>0</v>
      </c>
      <c r="BC152" s="28">
        <f t="shared" si="65"/>
        <v>0</v>
      </c>
      <c r="BD152" s="28">
        <f t="shared" si="65"/>
        <v>0</v>
      </c>
      <c r="BE152" s="28">
        <f t="shared" si="65"/>
        <v>0</v>
      </c>
      <c r="BF152" s="28">
        <f t="shared" si="65"/>
        <v>0</v>
      </c>
      <c r="BG152" s="28">
        <f t="shared" si="65"/>
        <v>0</v>
      </c>
      <c r="BH152" s="28"/>
      <c r="BI152" s="28"/>
      <c r="BJ152" s="28"/>
      <c r="BK152" s="28">
        <f t="shared" si="65"/>
        <v>0</v>
      </c>
      <c r="BL152" s="28"/>
      <c r="BM152" s="28">
        <f t="shared" si="65"/>
        <v>0</v>
      </c>
      <c r="BN152" s="28"/>
      <c r="BO152" s="28">
        <f t="shared" si="65"/>
        <v>0</v>
      </c>
      <c r="BP152" s="28"/>
      <c r="BQ152" s="28">
        <f t="shared" si="65"/>
        <v>0</v>
      </c>
      <c r="BR152" s="28"/>
    </row>
    <row r="153" spans="2:70">
      <c r="B153" s="28">
        <v>121</v>
      </c>
      <c r="D153" s="28" t="str">
        <f>D58</f>
        <v>乳児</v>
      </c>
      <c r="E153" s="28">
        <f t="shared" ref="E153:BQ153" si="66">E58</f>
        <v>0</v>
      </c>
      <c r="F153" s="28">
        <f t="shared" si="66"/>
        <v>164500</v>
      </c>
      <c r="G153" s="28">
        <f t="shared" si="66"/>
        <v>0</v>
      </c>
      <c r="H153" s="28">
        <f t="shared" si="66"/>
        <v>160900</v>
      </c>
      <c r="I153" s="28">
        <f t="shared" si="66"/>
        <v>0</v>
      </c>
      <c r="J153" s="28" t="str">
        <f t="shared" si="66"/>
        <v>＋</v>
      </c>
      <c r="K153" s="28">
        <f t="shared" si="66"/>
        <v>1520</v>
      </c>
      <c r="L153" s="28">
        <f t="shared" si="66"/>
        <v>0</v>
      </c>
      <c r="M153" s="28" t="str">
        <f t="shared" si="66"/>
        <v>×加算率</v>
      </c>
      <c r="N153" s="28">
        <f t="shared" si="66"/>
        <v>1490</v>
      </c>
      <c r="O153" s="28">
        <f t="shared" si="66"/>
        <v>0</v>
      </c>
      <c r="P153" s="28" t="str">
        <f t="shared" si="66"/>
        <v>×加算率</v>
      </c>
      <c r="Q153" s="28">
        <f t="shared" si="66"/>
        <v>0</v>
      </c>
      <c r="R153" s="28">
        <f t="shared" si="66"/>
        <v>0</v>
      </c>
      <c r="S153" s="28">
        <f t="shared" si="66"/>
        <v>0</v>
      </c>
      <c r="T153" s="28">
        <f t="shared" si="66"/>
        <v>0</v>
      </c>
      <c r="U153" s="28">
        <f t="shared" si="66"/>
        <v>0</v>
      </c>
      <c r="V153" s="28" t="str">
        <f t="shared" si="66"/>
        <v>　 980人～1,049人</v>
      </c>
      <c r="W153" s="28">
        <f t="shared" si="66"/>
        <v>0</v>
      </c>
      <c r="X153" s="28" t="str">
        <f t="shared" si="66"/>
        <v>　 980人～1,049人</v>
      </c>
      <c r="Y153" s="28">
        <f t="shared" si="66"/>
        <v>0</v>
      </c>
      <c r="Z153" s="28">
        <f t="shared" si="66"/>
        <v>0</v>
      </c>
      <c r="AA153" s="28">
        <f t="shared" si="66"/>
        <v>0</v>
      </c>
      <c r="AB153" s="28">
        <f t="shared" si="66"/>
        <v>0</v>
      </c>
      <c r="AC153" s="28">
        <f t="shared" si="66"/>
        <v>0</v>
      </c>
      <c r="AD153" s="28">
        <f t="shared" si="66"/>
        <v>0</v>
      </c>
      <c r="AE153" s="28">
        <f t="shared" si="66"/>
        <v>0</v>
      </c>
      <c r="AF153" s="28">
        <f t="shared" si="66"/>
        <v>0</v>
      </c>
      <c r="AG153" s="28">
        <f t="shared" si="66"/>
        <v>0</v>
      </c>
      <c r="AH153" s="28"/>
      <c r="AI153" s="28"/>
      <c r="AJ153" s="28"/>
      <c r="AK153" s="28"/>
      <c r="AL153" s="28"/>
      <c r="AM153" s="28"/>
      <c r="AN153" s="28"/>
      <c r="AO153" s="28"/>
      <c r="AP153" s="28">
        <f t="shared" si="66"/>
        <v>0</v>
      </c>
      <c r="AQ153" s="28" t="str">
        <f t="shared" si="66"/>
        <v>ｄ地域</v>
      </c>
      <c r="AR153" s="28">
        <f t="shared" si="66"/>
        <v>2200</v>
      </c>
      <c r="AS153" s="28">
        <f t="shared" si="66"/>
        <v>2400</v>
      </c>
      <c r="AT153" s="28">
        <f t="shared" si="66"/>
        <v>1500</v>
      </c>
      <c r="AU153" s="28">
        <f t="shared" si="66"/>
        <v>1500</v>
      </c>
      <c r="AV153" s="28">
        <f t="shared" si="66"/>
        <v>0</v>
      </c>
      <c r="AW153" s="28" t="str">
        <f t="shared" si="66"/>
        <v xml:space="preserve"> 211人～ 240人</v>
      </c>
      <c r="AX153" s="28">
        <f t="shared" si="66"/>
        <v>0</v>
      </c>
      <c r="AY153" s="28"/>
      <c r="AZ153" s="28"/>
      <c r="BA153" s="28">
        <f t="shared" si="66"/>
        <v>0</v>
      </c>
      <c r="BB153" s="28">
        <f t="shared" si="66"/>
        <v>0</v>
      </c>
      <c r="BC153" s="28">
        <f t="shared" si="66"/>
        <v>0</v>
      </c>
      <c r="BD153" s="28">
        <f t="shared" si="66"/>
        <v>0</v>
      </c>
      <c r="BE153" s="28">
        <f t="shared" si="66"/>
        <v>0</v>
      </c>
      <c r="BF153" s="28">
        <f t="shared" si="66"/>
        <v>0</v>
      </c>
      <c r="BG153" s="28">
        <f t="shared" si="66"/>
        <v>0</v>
      </c>
      <c r="BH153" s="28"/>
      <c r="BI153" s="28"/>
      <c r="BJ153" s="28"/>
      <c r="BK153" s="28">
        <f t="shared" si="66"/>
        <v>0</v>
      </c>
      <c r="BL153" s="28"/>
      <c r="BM153" s="28">
        <f t="shared" si="66"/>
        <v>0</v>
      </c>
      <c r="BN153" s="28"/>
      <c r="BO153" s="28">
        <f t="shared" si="66"/>
        <v>0</v>
      </c>
      <c r="BP153" s="28"/>
      <c r="BQ153" s="28">
        <f t="shared" si="66"/>
        <v>0</v>
      </c>
      <c r="BR153" s="28"/>
    </row>
    <row r="154" spans="2:70">
      <c r="B154" s="28">
        <v>131</v>
      </c>
      <c r="D154" s="28" t="str">
        <f>D62</f>
        <v>乳児</v>
      </c>
      <c r="E154" s="28">
        <f t="shared" ref="E154:BQ154" si="67">E62</f>
        <v>0</v>
      </c>
      <c r="F154" s="28">
        <f t="shared" si="67"/>
        <v>163390</v>
      </c>
      <c r="G154" s="28">
        <f t="shared" si="67"/>
        <v>0</v>
      </c>
      <c r="H154" s="28">
        <f t="shared" si="67"/>
        <v>160040</v>
      </c>
      <c r="I154" s="28">
        <f t="shared" si="67"/>
        <v>0</v>
      </c>
      <c r="J154" s="28" t="str">
        <f t="shared" si="67"/>
        <v>＋</v>
      </c>
      <c r="K154" s="28">
        <f t="shared" si="67"/>
        <v>1510</v>
      </c>
      <c r="L154" s="28">
        <f t="shared" si="67"/>
        <v>0</v>
      </c>
      <c r="M154" s="28" t="str">
        <f t="shared" si="67"/>
        <v>×加算率</v>
      </c>
      <c r="N154" s="28">
        <f t="shared" si="67"/>
        <v>1480</v>
      </c>
      <c r="O154" s="28">
        <f t="shared" si="67"/>
        <v>0</v>
      </c>
      <c r="P154" s="28" t="str">
        <f t="shared" si="67"/>
        <v>×加算率</v>
      </c>
      <c r="Q154" s="28">
        <f t="shared" si="67"/>
        <v>0</v>
      </c>
      <c r="R154" s="28">
        <f t="shared" si="67"/>
        <v>0</v>
      </c>
      <c r="S154" s="28">
        <f t="shared" si="67"/>
        <v>0</v>
      </c>
      <c r="T154" s="28">
        <f t="shared" si="67"/>
        <v>0</v>
      </c>
      <c r="U154" s="28">
        <f t="shared" si="67"/>
        <v>0</v>
      </c>
      <c r="V154" s="28">
        <f t="shared" si="67"/>
        <v>663500</v>
      </c>
      <c r="W154" s="28">
        <f t="shared" si="67"/>
        <v>0</v>
      </c>
      <c r="X154" s="28">
        <f t="shared" si="67"/>
        <v>6630</v>
      </c>
      <c r="Y154" s="28">
        <f t="shared" si="67"/>
        <v>0</v>
      </c>
      <c r="Z154" s="28">
        <f t="shared" si="67"/>
        <v>0</v>
      </c>
      <c r="AA154" s="28">
        <f t="shared" si="67"/>
        <v>0</v>
      </c>
      <c r="AB154" s="28">
        <f t="shared" si="67"/>
        <v>0</v>
      </c>
      <c r="AC154" s="28">
        <f t="shared" si="67"/>
        <v>0</v>
      </c>
      <c r="AD154" s="28">
        <f t="shared" si="67"/>
        <v>0</v>
      </c>
      <c r="AE154" s="28">
        <f t="shared" si="67"/>
        <v>0</v>
      </c>
      <c r="AF154" s="28">
        <f t="shared" si="67"/>
        <v>0</v>
      </c>
      <c r="AG154" s="28">
        <f t="shared" si="67"/>
        <v>0</v>
      </c>
      <c r="AH154" s="28"/>
      <c r="AI154" s="28"/>
      <c r="AJ154" s="28"/>
      <c r="AK154" s="28"/>
      <c r="AL154" s="28"/>
      <c r="AM154" s="28"/>
      <c r="AN154" s="28"/>
      <c r="AO154" s="28"/>
      <c r="AP154" s="28">
        <f t="shared" si="67"/>
        <v>0</v>
      </c>
      <c r="AQ154" s="28" t="str">
        <f t="shared" si="67"/>
        <v>ｄ地域</v>
      </c>
      <c r="AR154" s="28">
        <f t="shared" si="67"/>
        <v>2400</v>
      </c>
      <c r="AS154" s="28">
        <f t="shared" si="67"/>
        <v>2600</v>
      </c>
      <c r="AT154" s="28">
        <f t="shared" si="67"/>
        <v>1600</v>
      </c>
      <c r="AU154" s="28">
        <f t="shared" si="67"/>
        <v>1600</v>
      </c>
      <c r="AV154" s="28">
        <f t="shared" si="67"/>
        <v>0</v>
      </c>
      <c r="AW154" s="28">
        <f t="shared" si="67"/>
        <v>2440</v>
      </c>
      <c r="AX154" s="28">
        <f t="shared" si="67"/>
        <v>0</v>
      </c>
      <c r="AY154" s="28"/>
      <c r="AZ154" s="28"/>
      <c r="BA154" s="28">
        <f t="shared" si="67"/>
        <v>0</v>
      </c>
      <c r="BB154" s="28">
        <f t="shared" si="67"/>
        <v>0</v>
      </c>
      <c r="BC154" s="28">
        <f t="shared" si="67"/>
        <v>0</v>
      </c>
      <c r="BD154" s="28">
        <f t="shared" si="67"/>
        <v>0</v>
      </c>
      <c r="BE154" s="28">
        <f t="shared" si="67"/>
        <v>0</v>
      </c>
      <c r="BF154" s="28">
        <f t="shared" si="67"/>
        <v>0</v>
      </c>
      <c r="BG154" s="28">
        <f t="shared" si="67"/>
        <v>0</v>
      </c>
      <c r="BH154" s="28"/>
      <c r="BI154" s="28"/>
      <c r="BJ154" s="28"/>
      <c r="BK154" s="28">
        <f t="shared" si="67"/>
        <v>0</v>
      </c>
      <c r="BL154" s="28"/>
      <c r="BM154" s="28">
        <f t="shared" si="67"/>
        <v>0</v>
      </c>
      <c r="BN154" s="28"/>
      <c r="BO154" s="28">
        <f t="shared" si="67"/>
        <v>0</v>
      </c>
      <c r="BP154" s="28"/>
      <c r="BQ154" s="28">
        <f t="shared" si="67"/>
        <v>0</v>
      </c>
      <c r="BR154" s="28"/>
    </row>
    <row r="155" spans="2:70">
      <c r="B155" s="28">
        <v>141</v>
      </c>
      <c r="D155" s="28" t="str">
        <f>D66</f>
        <v>乳児</v>
      </c>
      <c r="E155" s="28">
        <f t="shared" ref="E155:BQ155" si="68">E66</f>
        <v>0</v>
      </c>
      <c r="F155" s="28">
        <f t="shared" si="68"/>
        <v>162400</v>
      </c>
      <c r="G155" s="28">
        <f t="shared" si="68"/>
        <v>0</v>
      </c>
      <c r="H155" s="28">
        <f t="shared" si="68"/>
        <v>159280</v>
      </c>
      <c r="I155" s="28">
        <f t="shared" si="68"/>
        <v>0</v>
      </c>
      <c r="J155" s="28" t="str">
        <f t="shared" si="68"/>
        <v>＋</v>
      </c>
      <c r="K155" s="28">
        <f t="shared" si="68"/>
        <v>1500</v>
      </c>
      <c r="L155" s="28">
        <f t="shared" si="68"/>
        <v>0</v>
      </c>
      <c r="M155" s="28" t="str">
        <f t="shared" si="68"/>
        <v>×加算率</v>
      </c>
      <c r="N155" s="28">
        <f t="shared" si="68"/>
        <v>1470</v>
      </c>
      <c r="O155" s="28">
        <f t="shared" si="68"/>
        <v>0</v>
      </c>
      <c r="P155" s="28" t="str">
        <f t="shared" si="68"/>
        <v>×加算率</v>
      </c>
      <c r="Q155" s="28">
        <f t="shared" si="68"/>
        <v>0</v>
      </c>
      <c r="R155" s="28">
        <f t="shared" si="68"/>
        <v>0</v>
      </c>
      <c r="S155" s="28">
        <f t="shared" si="68"/>
        <v>0</v>
      </c>
      <c r="T155" s="28">
        <f t="shared" si="68"/>
        <v>0</v>
      </c>
      <c r="U155" s="28">
        <f t="shared" si="68"/>
        <v>0</v>
      </c>
      <c r="V155" s="28">
        <f t="shared" si="68"/>
        <v>0</v>
      </c>
      <c r="W155" s="28">
        <f t="shared" si="68"/>
        <v>0</v>
      </c>
      <c r="X155" s="28">
        <f t="shared" si="68"/>
        <v>0</v>
      </c>
      <c r="Y155" s="28">
        <f t="shared" si="68"/>
        <v>0</v>
      </c>
      <c r="Z155" s="28">
        <f t="shared" si="68"/>
        <v>0</v>
      </c>
      <c r="AA155" s="28">
        <f t="shared" si="68"/>
        <v>0</v>
      </c>
      <c r="AB155" s="28">
        <f t="shared" si="68"/>
        <v>0</v>
      </c>
      <c r="AC155" s="28">
        <f t="shared" si="68"/>
        <v>0</v>
      </c>
      <c r="AD155" s="28">
        <f t="shared" si="68"/>
        <v>0</v>
      </c>
      <c r="AE155" s="28">
        <f t="shared" si="68"/>
        <v>0</v>
      </c>
      <c r="AF155" s="28">
        <f t="shared" si="68"/>
        <v>0</v>
      </c>
      <c r="AG155" s="28">
        <f t="shared" si="68"/>
        <v>0</v>
      </c>
      <c r="AH155" s="28"/>
      <c r="AI155" s="28"/>
      <c r="AJ155" s="28"/>
      <c r="AK155" s="28"/>
      <c r="AL155" s="28"/>
      <c r="AM155" s="28"/>
      <c r="AN155" s="28"/>
      <c r="AO155" s="28"/>
      <c r="AP155" s="28">
        <f t="shared" si="68"/>
        <v>0</v>
      </c>
      <c r="AQ155" s="28" t="str">
        <f t="shared" si="68"/>
        <v>ｄ地域</v>
      </c>
      <c r="AR155" s="28">
        <f t="shared" si="68"/>
        <v>2300</v>
      </c>
      <c r="AS155" s="28">
        <f t="shared" si="68"/>
        <v>2500</v>
      </c>
      <c r="AT155" s="28">
        <f t="shared" si="68"/>
        <v>1600</v>
      </c>
      <c r="AU155" s="28">
        <f t="shared" si="68"/>
        <v>1600</v>
      </c>
      <c r="AV155" s="28">
        <f t="shared" si="68"/>
        <v>0</v>
      </c>
      <c r="AW155" s="28">
        <f t="shared" si="68"/>
        <v>0</v>
      </c>
      <c r="AX155" s="28">
        <f t="shared" si="68"/>
        <v>0</v>
      </c>
      <c r="AY155" s="28"/>
      <c r="AZ155" s="28"/>
      <c r="BA155" s="28">
        <f t="shared" si="68"/>
        <v>0</v>
      </c>
      <c r="BB155" s="28">
        <f t="shared" si="68"/>
        <v>0</v>
      </c>
      <c r="BC155" s="28">
        <f t="shared" si="68"/>
        <v>0</v>
      </c>
      <c r="BD155" s="28">
        <f t="shared" si="68"/>
        <v>0</v>
      </c>
      <c r="BE155" s="28">
        <f t="shared" si="68"/>
        <v>0</v>
      </c>
      <c r="BF155" s="28">
        <f t="shared" si="68"/>
        <v>0</v>
      </c>
      <c r="BG155" s="28">
        <f t="shared" si="68"/>
        <v>0</v>
      </c>
      <c r="BH155" s="28"/>
      <c r="BI155" s="28"/>
      <c r="BJ155" s="28"/>
      <c r="BK155" s="28">
        <f t="shared" si="68"/>
        <v>0</v>
      </c>
      <c r="BL155" s="28"/>
      <c r="BM155" s="28">
        <f t="shared" si="68"/>
        <v>0</v>
      </c>
      <c r="BN155" s="28"/>
      <c r="BO155" s="28">
        <f t="shared" si="68"/>
        <v>0</v>
      </c>
      <c r="BP155" s="28"/>
      <c r="BQ155" s="28">
        <f t="shared" si="68"/>
        <v>0</v>
      </c>
      <c r="BR155" s="28"/>
    </row>
    <row r="156" spans="2:70">
      <c r="B156" s="28">
        <v>151</v>
      </c>
      <c r="D156" s="28" t="str">
        <f>D70</f>
        <v>乳児</v>
      </c>
      <c r="E156" s="28">
        <f t="shared" ref="E156:BQ156" si="69">E70</f>
        <v>0</v>
      </c>
      <c r="F156" s="28">
        <f t="shared" si="69"/>
        <v>162400</v>
      </c>
      <c r="G156" s="28">
        <f t="shared" si="69"/>
        <v>0</v>
      </c>
      <c r="H156" s="28">
        <f t="shared" si="69"/>
        <v>159480</v>
      </c>
      <c r="I156" s="28">
        <f t="shared" si="69"/>
        <v>0</v>
      </c>
      <c r="J156" s="28" t="str">
        <f t="shared" si="69"/>
        <v>＋</v>
      </c>
      <c r="K156" s="28">
        <f t="shared" si="69"/>
        <v>1500</v>
      </c>
      <c r="L156" s="28">
        <f t="shared" si="69"/>
        <v>0</v>
      </c>
      <c r="M156" s="28" t="str">
        <f t="shared" si="69"/>
        <v>×加算率</v>
      </c>
      <c r="N156" s="28">
        <f t="shared" si="69"/>
        <v>1470</v>
      </c>
      <c r="O156" s="28">
        <f t="shared" si="69"/>
        <v>0</v>
      </c>
      <c r="P156" s="28" t="str">
        <f t="shared" si="69"/>
        <v>×加算率</v>
      </c>
      <c r="Q156" s="28">
        <f t="shared" si="69"/>
        <v>0</v>
      </c>
      <c r="R156" s="28">
        <f t="shared" si="69"/>
        <v>0</v>
      </c>
      <c r="S156" s="28">
        <f t="shared" si="69"/>
        <v>0</v>
      </c>
      <c r="T156" s="28">
        <f t="shared" si="69"/>
        <v>0</v>
      </c>
      <c r="U156" s="28">
        <f t="shared" si="69"/>
        <v>0</v>
      </c>
      <c r="V156" s="28">
        <f t="shared" si="69"/>
        <v>0</v>
      </c>
      <c r="W156" s="28">
        <f t="shared" si="69"/>
        <v>0</v>
      </c>
      <c r="X156" s="28">
        <f t="shared" si="69"/>
        <v>0</v>
      </c>
      <c r="Y156" s="28">
        <f t="shared" si="69"/>
        <v>0</v>
      </c>
      <c r="Z156" s="28">
        <f t="shared" si="69"/>
        <v>0</v>
      </c>
      <c r="AA156" s="28">
        <f t="shared" si="69"/>
        <v>0</v>
      </c>
      <c r="AB156" s="28">
        <f t="shared" si="69"/>
        <v>0</v>
      </c>
      <c r="AC156" s="28">
        <f t="shared" si="69"/>
        <v>0</v>
      </c>
      <c r="AD156" s="28">
        <f t="shared" si="69"/>
        <v>0</v>
      </c>
      <c r="AE156" s="28">
        <f t="shared" si="69"/>
        <v>0</v>
      </c>
      <c r="AF156" s="28">
        <f t="shared" si="69"/>
        <v>0</v>
      </c>
      <c r="AG156" s="28">
        <f t="shared" si="69"/>
        <v>0</v>
      </c>
      <c r="AH156" s="28"/>
      <c r="AI156" s="28"/>
      <c r="AJ156" s="28"/>
      <c r="AK156" s="28"/>
      <c r="AL156" s="28"/>
      <c r="AM156" s="28"/>
      <c r="AN156" s="28"/>
      <c r="AO156" s="28"/>
      <c r="AP156" s="28">
        <f t="shared" si="69"/>
        <v>0</v>
      </c>
      <c r="AQ156" s="28" t="str">
        <f t="shared" si="69"/>
        <v>ｄ地域</v>
      </c>
      <c r="AR156" s="28">
        <f t="shared" si="69"/>
        <v>2000</v>
      </c>
      <c r="AS156" s="28">
        <f t="shared" si="69"/>
        <v>2300</v>
      </c>
      <c r="AT156" s="28">
        <f t="shared" si="69"/>
        <v>1400</v>
      </c>
      <c r="AU156" s="28">
        <f t="shared" si="69"/>
        <v>1400</v>
      </c>
      <c r="AV156" s="28">
        <f t="shared" si="69"/>
        <v>0</v>
      </c>
      <c r="AW156" s="28">
        <f t="shared" si="69"/>
        <v>0</v>
      </c>
      <c r="AX156" s="28">
        <f t="shared" si="69"/>
        <v>0</v>
      </c>
      <c r="AY156" s="28"/>
      <c r="AZ156" s="28"/>
      <c r="BA156" s="28">
        <f t="shared" si="69"/>
        <v>0</v>
      </c>
      <c r="BB156" s="28">
        <f t="shared" si="69"/>
        <v>0</v>
      </c>
      <c r="BC156" s="28">
        <f t="shared" si="69"/>
        <v>0</v>
      </c>
      <c r="BD156" s="28">
        <f t="shared" si="69"/>
        <v>0</v>
      </c>
      <c r="BE156" s="28">
        <f t="shared" si="69"/>
        <v>0</v>
      </c>
      <c r="BF156" s="28">
        <f t="shared" si="69"/>
        <v>0</v>
      </c>
      <c r="BG156" s="28">
        <f t="shared" si="69"/>
        <v>0</v>
      </c>
      <c r="BH156" s="28"/>
      <c r="BI156" s="28"/>
      <c r="BJ156" s="28"/>
      <c r="BK156" s="28">
        <f t="shared" si="69"/>
        <v>0</v>
      </c>
      <c r="BL156" s="28"/>
      <c r="BM156" s="28">
        <f t="shared" si="69"/>
        <v>0</v>
      </c>
      <c r="BN156" s="28"/>
      <c r="BO156" s="28">
        <f t="shared" si="69"/>
        <v>0</v>
      </c>
      <c r="BP156" s="28"/>
      <c r="BQ156" s="28">
        <f t="shared" si="69"/>
        <v>0</v>
      </c>
      <c r="BR156" s="28"/>
    </row>
    <row r="157" spans="2:70">
      <c r="B157" s="28">
        <v>161</v>
      </c>
      <c r="D157" s="28" t="str">
        <f>D74</f>
        <v>乳児</v>
      </c>
      <c r="E157" s="28">
        <f t="shared" ref="E157:BQ157" si="70">E74</f>
        <v>0</v>
      </c>
      <c r="F157" s="28">
        <f t="shared" si="70"/>
        <v>161610</v>
      </c>
      <c r="G157" s="28">
        <f t="shared" si="70"/>
        <v>0</v>
      </c>
      <c r="H157" s="28">
        <f t="shared" si="70"/>
        <v>158850</v>
      </c>
      <c r="I157" s="28">
        <f t="shared" si="70"/>
        <v>0</v>
      </c>
      <c r="J157" s="28" t="str">
        <f t="shared" si="70"/>
        <v>＋</v>
      </c>
      <c r="K157" s="28">
        <f t="shared" si="70"/>
        <v>1490</v>
      </c>
      <c r="L157" s="28">
        <f t="shared" si="70"/>
        <v>0</v>
      </c>
      <c r="M157" s="28" t="str">
        <f t="shared" si="70"/>
        <v>×加算率</v>
      </c>
      <c r="N157" s="28">
        <f t="shared" si="70"/>
        <v>1470</v>
      </c>
      <c r="O157" s="28">
        <f t="shared" si="70"/>
        <v>0</v>
      </c>
      <c r="P157" s="28" t="str">
        <f t="shared" si="70"/>
        <v>×加算率</v>
      </c>
      <c r="Q157" s="28">
        <f t="shared" si="70"/>
        <v>0</v>
      </c>
      <c r="R157" s="28">
        <f t="shared" si="70"/>
        <v>0</v>
      </c>
      <c r="S157" s="28">
        <f t="shared" si="70"/>
        <v>0</v>
      </c>
      <c r="T157" s="28">
        <f t="shared" si="70"/>
        <v>0</v>
      </c>
      <c r="U157" s="28">
        <f t="shared" si="70"/>
        <v>0</v>
      </c>
      <c r="V157" s="28">
        <f t="shared" si="70"/>
        <v>0</v>
      </c>
      <c r="W157" s="28">
        <f t="shared" si="70"/>
        <v>0</v>
      </c>
      <c r="X157" s="28">
        <f t="shared" si="70"/>
        <v>0</v>
      </c>
      <c r="Y157" s="28">
        <f t="shared" si="70"/>
        <v>0</v>
      </c>
      <c r="Z157" s="28">
        <f t="shared" si="70"/>
        <v>0</v>
      </c>
      <c r="AA157" s="28">
        <f t="shared" si="70"/>
        <v>0</v>
      </c>
      <c r="AB157" s="28">
        <f t="shared" si="70"/>
        <v>0</v>
      </c>
      <c r="AC157" s="28">
        <f t="shared" si="70"/>
        <v>0</v>
      </c>
      <c r="AD157" s="28">
        <f t="shared" si="70"/>
        <v>0</v>
      </c>
      <c r="AE157" s="28">
        <f t="shared" si="70"/>
        <v>0</v>
      </c>
      <c r="AF157" s="28">
        <f t="shared" si="70"/>
        <v>0</v>
      </c>
      <c r="AG157" s="28">
        <f t="shared" si="70"/>
        <v>0</v>
      </c>
      <c r="AH157" s="28"/>
      <c r="AI157" s="28"/>
      <c r="AJ157" s="28"/>
      <c r="AK157" s="28"/>
      <c r="AL157" s="28"/>
      <c r="AM157" s="28"/>
      <c r="AN157" s="28"/>
      <c r="AO157" s="28"/>
      <c r="AP157" s="28">
        <f t="shared" si="70"/>
        <v>0</v>
      </c>
      <c r="AQ157" s="28" t="str">
        <f t="shared" si="70"/>
        <v>ｄ地域</v>
      </c>
      <c r="AR157" s="28">
        <f t="shared" si="70"/>
        <v>2300</v>
      </c>
      <c r="AS157" s="28">
        <f t="shared" si="70"/>
        <v>2500</v>
      </c>
      <c r="AT157" s="28">
        <f t="shared" si="70"/>
        <v>1600</v>
      </c>
      <c r="AU157" s="28">
        <f t="shared" si="70"/>
        <v>1600</v>
      </c>
      <c r="AV157" s="28">
        <f t="shared" si="70"/>
        <v>0</v>
      </c>
      <c r="AW157" s="28">
        <f t="shared" si="70"/>
        <v>0</v>
      </c>
      <c r="AX157" s="28">
        <f t="shared" si="70"/>
        <v>0</v>
      </c>
      <c r="AY157" s="28"/>
      <c r="AZ157" s="28"/>
      <c r="BA157" s="28">
        <f t="shared" si="70"/>
        <v>0</v>
      </c>
      <c r="BB157" s="28">
        <f t="shared" si="70"/>
        <v>0</v>
      </c>
      <c r="BC157" s="28">
        <f t="shared" si="70"/>
        <v>0</v>
      </c>
      <c r="BD157" s="28">
        <f t="shared" si="70"/>
        <v>0</v>
      </c>
      <c r="BE157" s="28">
        <f t="shared" si="70"/>
        <v>0</v>
      </c>
      <c r="BF157" s="28">
        <f t="shared" si="70"/>
        <v>0</v>
      </c>
      <c r="BG157" s="28">
        <f t="shared" si="70"/>
        <v>0</v>
      </c>
      <c r="BH157" s="28"/>
      <c r="BI157" s="28"/>
      <c r="BJ157" s="28"/>
      <c r="BK157" s="28">
        <f t="shared" si="70"/>
        <v>0</v>
      </c>
      <c r="BL157" s="28"/>
      <c r="BM157" s="28">
        <f t="shared" si="70"/>
        <v>0</v>
      </c>
      <c r="BN157" s="28"/>
      <c r="BO157" s="28">
        <f t="shared" si="70"/>
        <v>0</v>
      </c>
      <c r="BP157" s="28"/>
      <c r="BQ157" s="28">
        <f t="shared" si="70"/>
        <v>0</v>
      </c>
      <c r="BR157" s="28"/>
    </row>
    <row r="158" spans="2:70">
      <c r="B158" s="28">
        <v>171</v>
      </c>
      <c r="D158" s="28" t="str">
        <f>D78</f>
        <v>乳児</v>
      </c>
      <c r="E158" s="28">
        <f t="shared" ref="E158:BQ158" si="71">E78</f>
        <v>0</v>
      </c>
      <c r="F158" s="28">
        <f t="shared" si="71"/>
        <v>160890</v>
      </c>
      <c r="G158" s="28">
        <f t="shared" si="71"/>
        <v>0</v>
      </c>
      <c r="H158" s="28">
        <f t="shared" si="71"/>
        <v>158280</v>
      </c>
      <c r="I158" s="28">
        <f t="shared" si="71"/>
        <v>0</v>
      </c>
      <c r="J158" s="28" t="str">
        <f t="shared" si="71"/>
        <v>＋</v>
      </c>
      <c r="K158" s="28">
        <f t="shared" si="71"/>
        <v>1490</v>
      </c>
      <c r="L158" s="28">
        <f t="shared" si="71"/>
        <v>0</v>
      </c>
      <c r="M158" s="28" t="str">
        <f t="shared" si="71"/>
        <v>×加算率</v>
      </c>
      <c r="N158" s="28">
        <f t="shared" si="71"/>
        <v>1460</v>
      </c>
      <c r="O158" s="28">
        <f t="shared" si="71"/>
        <v>0</v>
      </c>
      <c r="P158" s="28" t="str">
        <f t="shared" si="71"/>
        <v>×加算率</v>
      </c>
      <c r="Q158" s="28">
        <f t="shared" si="71"/>
        <v>0</v>
      </c>
      <c r="R158" s="28">
        <f t="shared" si="71"/>
        <v>0</v>
      </c>
      <c r="S158" s="28">
        <f t="shared" si="71"/>
        <v>0</v>
      </c>
      <c r="T158" s="28">
        <f t="shared" si="71"/>
        <v>0</v>
      </c>
      <c r="U158" s="28">
        <f t="shared" si="71"/>
        <v>0</v>
      </c>
      <c r="V158" s="28">
        <f t="shared" si="71"/>
        <v>0</v>
      </c>
      <c r="W158" s="28">
        <f t="shared" si="71"/>
        <v>0</v>
      </c>
      <c r="X158" s="28">
        <f t="shared" si="71"/>
        <v>0</v>
      </c>
      <c r="Y158" s="28">
        <f t="shared" si="71"/>
        <v>0</v>
      </c>
      <c r="Z158" s="28">
        <f t="shared" si="71"/>
        <v>0</v>
      </c>
      <c r="AA158" s="28">
        <f t="shared" si="71"/>
        <v>0</v>
      </c>
      <c r="AB158" s="28">
        <f t="shared" si="71"/>
        <v>0</v>
      </c>
      <c r="AC158" s="28">
        <f t="shared" si="71"/>
        <v>0</v>
      </c>
      <c r="AD158" s="28">
        <f t="shared" si="71"/>
        <v>0</v>
      </c>
      <c r="AE158" s="28">
        <f t="shared" si="71"/>
        <v>0</v>
      </c>
      <c r="AF158" s="28">
        <f t="shared" si="71"/>
        <v>0</v>
      </c>
      <c r="AG158" s="28">
        <f t="shared" si="71"/>
        <v>0</v>
      </c>
      <c r="AH158" s="28"/>
      <c r="AI158" s="28"/>
      <c r="AJ158" s="28"/>
      <c r="AK158" s="28"/>
      <c r="AL158" s="28"/>
      <c r="AM158" s="28"/>
      <c r="AN158" s="28"/>
      <c r="AO158" s="28"/>
      <c r="AP158" s="28">
        <f t="shared" si="71"/>
        <v>0</v>
      </c>
      <c r="AQ158" s="28" t="str">
        <f t="shared" si="71"/>
        <v>ｄ地域</v>
      </c>
      <c r="AR158" s="28">
        <f t="shared" si="71"/>
        <v>2000</v>
      </c>
      <c r="AS158" s="28">
        <f t="shared" si="71"/>
        <v>2300</v>
      </c>
      <c r="AT158" s="28">
        <f t="shared" si="71"/>
        <v>1400</v>
      </c>
      <c r="AU158" s="28">
        <f t="shared" si="71"/>
        <v>1400</v>
      </c>
      <c r="AV158" s="28">
        <f t="shared" si="71"/>
        <v>0</v>
      </c>
      <c r="AW158" s="28">
        <f t="shared" si="71"/>
        <v>0</v>
      </c>
      <c r="AX158" s="28">
        <f t="shared" si="71"/>
        <v>0</v>
      </c>
      <c r="AY158" s="28"/>
      <c r="AZ158" s="28"/>
      <c r="BA158" s="28">
        <f t="shared" si="71"/>
        <v>0</v>
      </c>
      <c r="BB158" s="28">
        <f t="shared" si="71"/>
        <v>0</v>
      </c>
      <c r="BC158" s="28">
        <f t="shared" si="71"/>
        <v>0</v>
      </c>
      <c r="BD158" s="28">
        <f t="shared" si="71"/>
        <v>0</v>
      </c>
      <c r="BE158" s="28">
        <f t="shared" si="71"/>
        <v>0</v>
      </c>
      <c r="BF158" s="28">
        <f t="shared" si="71"/>
        <v>0</v>
      </c>
      <c r="BG158" s="28">
        <f t="shared" si="71"/>
        <v>0</v>
      </c>
      <c r="BH158" s="28"/>
      <c r="BI158" s="28"/>
      <c r="BJ158" s="28"/>
      <c r="BK158" s="28">
        <f t="shared" si="71"/>
        <v>0</v>
      </c>
      <c r="BL158" s="28"/>
      <c r="BM158" s="28">
        <f t="shared" si="71"/>
        <v>0</v>
      </c>
      <c r="BN158" s="28"/>
      <c r="BO158" s="28">
        <f t="shared" si="71"/>
        <v>0</v>
      </c>
      <c r="BP158" s="28"/>
      <c r="BQ158" s="28">
        <f t="shared" si="71"/>
        <v>0</v>
      </c>
      <c r="BR158" s="28"/>
    </row>
    <row r="161" spans="1:3">
      <c r="A161" s="232" t="s">
        <v>226</v>
      </c>
      <c r="B161" s="28">
        <v>1</v>
      </c>
      <c r="C161" s="28">
        <f>X23</f>
        <v>2400</v>
      </c>
    </row>
    <row r="162" spans="1:3">
      <c r="A162" s="28" t="e">
        <f>IF(ROUNDDOWN(VLOOKUP('入力（加算）認'!$F$27,$B$161:$C$174,2,TRUE)/'入力（加算）認'!$L$92,-1)&lt;10,ROUNDDOWN(VLOOKUP('入力（加算）認'!$F$27,$B$161:$C$174,2,TRUE)/'入力（加算）認'!$L$92,0),ROUNDDOWN(VLOOKUP('入力（加算）認'!$F$27,$B$161:$C$174,2,TRUE)/'入力（加算）認'!$L$92,-1))</f>
        <v>#N/A</v>
      </c>
      <c r="B162" s="28">
        <v>211</v>
      </c>
      <c r="C162" s="28">
        <f>X26</f>
        <v>2570</v>
      </c>
    </row>
    <row r="163" spans="1:3">
      <c r="B163" s="28">
        <v>280</v>
      </c>
      <c r="C163" s="28">
        <f>X29</f>
        <v>2910</v>
      </c>
    </row>
    <row r="164" spans="1:3">
      <c r="B164" s="28">
        <v>350</v>
      </c>
      <c r="C164" s="28">
        <f>X32</f>
        <v>3250</v>
      </c>
    </row>
    <row r="165" spans="1:3">
      <c r="B165" s="28">
        <v>420</v>
      </c>
      <c r="C165" s="28">
        <f>X35</f>
        <v>3590</v>
      </c>
    </row>
    <row r="166" spans="1:3">
      <c r="B166" s="28">
        <v>490</v>
      </c>
      <c r="C166" s="28">
        <f>X38</f>
        <v>3920</v>
      </c>
    </row>
    <row r="167" spans="1:3">
      <c r="B167" s="28">
        <v>560</v>
      </c>
      <c r="C167" s="28">
        <f>X41</f>
        <v>4260</v>
      </c>
    </row>
    <row r="168" spans="1:3">
      <c r="B168" s="28">
        <v>630</v>
      </c>
      <c r="C168" s="28">
        <f>X44</f>
        <v>4600</v>
      </c>
    </row>
    <row r="169" spans="1:3">
      <c r="B169" s="28">
        <v>700</v>
      </c>
      <c r="C169" s="28">
        <f>X47</f>
        <v>4940</v>
      </c>
    </row>
    <row r="170" spans="1:3">
      <c r="B170" s="28">
        <v>770</v>
      </c>
      <c r="C170" s="28">
        <f>X50</f>
        <v>5280</v>
      </c>
    </row>
    <row r="171" spans="1:3">
      <c r="B171" s="28">
        <v>840</v>
      </c>
      <c r="C171" s="28">
        <f>X53</f>
        <v>5620</v>
      </c>
    </row>
    <row r="172" spans="1:3">
      <c r="B172" s="28">
        <v>910</v>
      </c>
      <c r="C172" s="28">
        <f>X56</f>
        <v>5950</v>
      </c>
    </row>
    <row r="173" spans="1:3">
      <c r="B173" s="28">
        <v>980</v>
      </c>
      <c r="C173" s="28">
        <f>X59</f>
        <v>6290</v>
      </c>
    </row>
    <row r="174" spans="1:3">
      <c r="B174" s="28">
        <v>1050</v>
      </c>
      <c r="C174" s="28">
        <f>X62</f>
        <v>6630</v>
      </c>
    </row>
    <row r="176" spans="1:3" ht="21">
      <c r="A176" s="231" t="s">
        <v>505</v>
      </c>
      <c r="B176" s="28" t="s">
        <v>514</v>
      </c>
      <c r="C176" s="222" t="e">
        <f>VLOOKUP($B$181,$B$81:$BR$98,58,TRUE)</f>
        <v>#N/A</v>
      </c>
    </row>
    <row r="177" spans="1:3">
      <c r="A177" s="231"/>
      <c r="B177" s="28" t="s">
        <v>515</v>
      </c>
      <c r="C177" s="222" t="e">
        <f>VLOOKUP($B$181,$B$81:$BR$98,59,TRUE)</f>
        <v>#N/A</v>
      </c>
    </row>
    <row r="178" spans="1:3">
      <c r="B178" s="28" t="s">
        <v>516</v>
      </c>
      <c r="C178" s="222" t="e">
        <f>VLOOKUP($B$181,$B$81:$BR$98,60,TRUE)</f>
        <v>#N/A</v>
      </c>
    </row>
    <row r="179" spans="1:3">
      <c r="B179" s="222" t="s">
        <v>517</v>
      </c>
      <c r="C179" s="222" t="e">
        <f>VLOOKUP($B$181,$B$81:$BR$98,61,TRUE)</f>
        <v>#N/A</v>
      </c>
    </row>
    <row r="180" spans="1:3">
      <c r="B180" s="222" t="s">
        <v>536</v>
      </c>
      <c r="C180" s="222">
        <v>0</v>
      </c>
    </row>
    <row r="181" spans="1:3">
      <c r="A181" s="223" t="s">
        <v>513</v>
      </c>
      <c r="B181" s="224">
        <f>SUM('入力（加算）認'!D8:F9,'入力（加算）認'!D11:E12)</f>
        <v>0</v>
      </c>
      <c r="C181" s="27"/>
    </row>
  </sheetData>
  <sheetProtection algorithmName="SHA-512" hashValue="PUt3rQ8/lIKQUvJEpIbHU5f6naL5xEAoIShg9ShoiVxXQudSe73vxE6m//5Ge43ngzKwX9c9qLcpg4TOIS8OqA==" saltValue="Zf7hDOes39HSfGDZeaPg/g==" spinCount="100000" sheet="1" objects="1" scenarios="1" selectLockedCells="1"/>
  <customSheetViews>
    <customSheetView guid="{2E52E5FF-9846-4DC5-A671-268FE925398C}" scale="115" showPageBreaks="1" printArea="1" state="hidden" view="pageBreakPreview">
      <pane xSplit="4" ySplit="6" topLeftCell="E149" activePane="bottomRight" state="frozen"/>
      <selection pane="bottomRight" activeCell="B162" sqref="B162"/>
      <rowBreaks count="1" manualBreakCount="1">
        <brk id="6" max="65" man="1"/>
      </rowBreaks>
      <colBreaks count="3" manualBreakCount="3">
        <brk id="19" max="77" man="1"/>
        <brk id="32" max="77" man="1"/>
        <brk id="55" max="77" man="1"/>
      </colBreaks>
      <pageMargins left="0.39370078740157483" right="0.19685039370078741" top="0.78740157480314965" bottom="0.39370078740157483" header="0.39370078740157483" footer="0.15748031496062992"/>
      <pageSetup paperSize="9" scale="64" pageOrder="overThenDown" orientation="portrait" horizontalDpi="300" verticalDpi="300" r:id="rId1"/>
      <headerFooter differentFirst="1">
        <firstHeader>&amp;L&amp;"ＤＦ特太ゴシック体,標準"&amp;16認定こども園（保育認定）</firstHeader>
      </headerFooter>
    </customSheetView>
    <customSheetView guid="{BADA99B3-B36A-4925-87A7-F72FC97D3DBA}" scale="115" showPageBreaks="1" printArea="1" state="hidden" view="pageBreakPreview">
      <pane xSplit="4" ySplit="6" topLeftCell="E149" activePane="bottomRight" state="frozen"/>
      <selection pane="bottomRight" activeCell="B162" sqref="B162"/>
      <rowBreaks count="1" manualBreakCount="1">
        <brk id="6" max="65" man="1"/>
      </rowBreaks>
      <colBreaks count="3" manualBreakCount="3">
        <brk id="19" max="77" man="1"/>
        <brk id="32" max="77" man="1"/>
        <brk id="55" max="77" man="1"/>
      </colBreaks>
      <pageMargins left="0.39370078740157483" right="0.19685039370078741" top="0.78740157480314965" bottom="0.39370078740157483" header="0.39370078740157483" footer="0.15748031496062992"/>
      <pageSetup paperSize="9" scale="64" pageOrder="overThenDown" orientation="portrait" horizontalDpi="300" verticalDpi="300" r:id="rId2"/>
      <headerFooter differentFirst="1">
        <firstHeader>&amp;L&amp;"ＤＦ特太ゴシック体,標準"&amp;16認定こども園（保育認定）</firstHeader>
      </headerFooter>
    </customSheetView>
  </customSheetViews>
  <mergeCells count="751">
    <mergeCell ref="BR75:BR76"/>
    <mergeCell ref="BR77:BR78"/>
    <mergeCell ref="BF75:BF78"/>
    <mergeCell ref="BG75:BG76"/>
    <mergeCell ref="BK75:BK78"/>
    <mergeCell ref="BM75:BM78"/>
    <mergeCell ref="BO75:BO78"/>
    <mergeCell ref="BG77:BG78"/>
    <mergeCell ref="AE75:AE78"/>
    <mergeCell ref="AP75:AP78"/>
    <mergeCell ref="BA75:BA78"/>
    <mergeCell ref="BB75:BB78"/>
    <mergeCell ref="BH77:BH78"/>
    <mergeCell ref="BI77:BI78"/>
    <mergeCell ref="BJ77:BJ78"/>
    <mergeCell ref="AI75:AI78"/>
    <mergeCell ref="AJ75:AJ78"/>
    <mergeCell ref="AL75:AL78"/>
    <mergeCell ref="AM75:AM78"/>
    <mergeCell ref="AN75:AN78"/>
    <mergeCell ref="AO75:AO78"/>
    <mergeCell ref="BH75:BH76"/>
    <mergeCell ref="BC75:BC78"/>
    <mergeCell ref="AY75:AY76"/>
    <mergeCell ref="BM63:BM66"/>
    <mergeCell ref="BO63:BO66"/>
    <mergeCell ref="AP63:AP66"/>
    <mergeCell ref="BA63:BA66"/>
    <mergeCell ref="BB63:BB66"/>
    <mergeCell ref="BC63:BC66"/>
    <mergeCell ref="B63:B66"/>
    <mergeCell ref="C63:C64"/>
    <mergeCell ref="AB63:AB66"/>
    <mergeCell ref="BH63:BH64"/>
    <mergeCell ref="BI63:BI64"/>
    <mergeCell ref="BJ63:BJ64"/>
    <mergeCell ref="BH65:BH66"/>
    <mergeCell ref="BI65:BI66"/>
    <mergeCell ref="BJ65:BJ66"/>
    <mergeCell ref="AY63:AY64"/>
    <mergeCell ref="AZ63:AZ66"/>
    <mergeCell ref="AL63:AL66"/>
    <mergeCell ref="AM63:AM66"/>
    <mergeCell ref="AN63:AN66"/>
    <mergeCell ref="AO63:AO66"/>
    <mergeCell ref="AE63:AE66"/>
    <mergeCell ref="AH63:AH64"/>
    <mergeCell ref="AI63:AI66"/>
    <mergeCell ref="B75:B78"/>
    <mergeCell ref="C75:C76"/>
    <mergeCell ref="AB75:AB78"/>
    <mergeCell ref="A7:A78"/>
    <mergeCell ref="B7:B10"/>
    <mergeCell ref="C7:C8"/>
    <mergeCell ref="AB7:AB8"/>
    <mergeCell ref="C77:C78"/>
    <mergeCell ref="B71:B74"/>
    <mergeCell ref="C73:C74"/>
    <mergeCell ref="C61:C62"/>
    <mergeCell ref="C45:C46"/>
    <mergeCell ref="C41:C42"/>
    <mergeCell ref="AB41:AB42"/>
    <mergeCell ref="C37:C38"/>
    <mergeCell ref="AB37:AB38"/>
    <mergeCell ref="C35:C36"/>
    <mergeCell ref="AB35:AB36"/>
    <mergeCell ref="C39:C40"/>
    <mergeCell ref="AB15:AB16"/>
    <mergeCell ref="C11:C12"/>
    <mergeCell ref="AJ63:AJ66"/>
    <mergeCell ref="AH65:AH66"/>
    <mergeCell ref="B51:B54"/>
    <mergeCell ref="C51:C52"/>
    <mergeCell ref="AB51:AB54"/>
    <mergeCell ref="AE51:AE54"/>
    <mergeCell ref="AP51:AP54"/>
    <mergeCell ref="BA51:BA54"/>
    <mergeCell ref="BR71:BR72"/>
    <mergeCell ref="C71:C72"/>
    <mergeCell ref="AB71:AB74"/>
    <mergeCell ref="AE71:AE74"/>
    <mergeCell ref="AI67:AI70"/>
    <mergeCell ref="AJ67:AJ70"/>
    <mergeCell ref="AH69:AH70"/>
    <mergeCell ref="BH69:BH70"/>
    <mergeCell ref="BI69:BI70"/>
    <mergeCell ref="BJ69:BJ70"/>
    <mergeCell ref="AL71:AL74"/>
    <mergeCell ref="AM71:AM74"/>
    <mergeCell ref="AN71:AN74"/>
    <mergeCell ref="AO71:AO74"/>
    <mergeCell ref="AL67:AL70"/>
    <mergeCell ref="AM67:AM70"/>
    <mergeCell ref="BR73:BR74"/>
    <mergeCell ref="BM71:BM74"/>
    <mergeCell ref="BO71:BO74"/>
    <mergeCell ref="BF71:BF74"/>
    <mergeCell ref="BG71:BG72"/>
    <mergeCell ref="BK71:BK74"/>
    <mergeCell ref="AP71:AP74"/>
    <mergeCell ref="AW71:AW72"/>
    <mergeCell ref="BA71:BA74"/>
    <mergeCell ref="BB71:BB74"/>
    <mergeCell ref="BC71:BC74"/>
    <mergeCell ref="BE71:BE72"/>
    <mergeCell ref="BI73:BI74"/>
    <mergeCell ref="BJ73:BJ74"/>
    <mergeCell ref="BQ71:BQ74"/>
    <mergeCell ref="AN67:AN70"/>
    <mergeCell ref="AO67:AO70"/>
    <mergeCell ref="BH67:BH68"/>
    <mergeCell ref="BI67:BI68"/>
    <mergeCell ref="BJ67:BJ68"/>
    <mergeCell ref="BH71:BH72"/>
    <mergeCell ref="BI71:BI72"/>
    <mergeCell ref="BJ71:BJ72"/>
    <mergeCell ref="BH73:BH74"/>
    <mergeCell ref="AY67:AY68"/>
    <mergeCell ref="AZ67:AZ70"/>
    <mergeCell ref="AY71:AY72"/>
    <mergeCell ref="AZ71:AZ74"/>
    <mergeCell ref="BG73:BG74"/>
    <mergeCell ref="BR65:BR66"/>
    <mergeCell ref="B67:B70"/>
    <mergeCell ref="C67:C68"/>
    <mergeCell ref="AB67:AB70"/>
    <mergeCell ref="AE67:AE70"/>
    <mergeCell ref="AP67:AP70"/>
    <mergeCell ref="BA67:BA70"/>
    <mergeCell ref="BB67:BB70"/>
    <mergeCell ref="BC67:BC70"/>
    <mergeCell ref="BF67:BF70"/>
    <mergeCell ref="BG67:BG68"/>
    <mergeCell ref="BQ63:BQ66"/>
    <mergeCell ref="BF63:BF66"/>
    <mergeCell ref="BG63:BG64"/>
    <mergeCell ref="BK63:BK66"/>
    <mergeCell ref="BQ67:BQ70"/>
    <mergeCell ref="BR67:BR68"/>
    <mergeCell ref="C69:C70"/>
    <mergeCell ref="BG69:BG70"/>
    <mergeCell ref="BR69:BR70"/>
    <mergeCell ref="BK67:BK70"/>
    <mergeCell ref="BM67:BM70"/>
    <mergeCell ref="BO67:BO70"/>
    <mergeCell ref="AH67:AH68"/>
    <mergeCell ref="BG61:BG62"/>
    <mergeCell ref="BR61:BR62"/>
    <mergeCell ref="BK59:BK62"/>
    <mergeCell ref="BM59:BM62"/>
    <mergeCell ref="BO59:BO62"/>
    <mergeCell ref="AH59:AH60"/>
    <mergeCell ref="AI59:AI62"/>
    <mergeCell ref="AJ59:AJ62"/>
    <mergeCell ref="AH61:AH62"/>
    <mergeCell ref="AL59:AL62"/>
    <mergeCell ref="AM59:AM62"/>
    <mergeCell ref="AN59:AN62"/>
    <mergeCell ref="BH61:BH62"/>
    <mergeCell ref="BI61:BI62"/>
    <mergeCell ref="BJ61:BJ62"/>
    <mergeCell ref="AO59:AO62"/>
    <mergeCell ref="AX59:AX60"/>
    <mergeCell ref="BR63:BR64"/>
    <mergeCell ref="C65:C66"/>
    <mergeCell ref="BG65:BG66"/>
    <mergeCell ref="BR55:BR56"/>
    <mergeCell ref="C57:C58"/>
    <mergeCell ref="BG57:BG58"/>
    <mergeCell ref="BR57:BR58"/>
    <mergeCell ref="B59:B62"/>
    <mergeCell ref="C59:C60"/>
    <mergeCell ref="AB59:AB62"/>
    <mergeCell ref="AE59:AE62"/>
    <mergeCell ref="AP59:AP62"/>
    <mergeCell ref="BA59:BA62"/>
    <mergeCell ref="BB59:BB62"/>
    <mergeCell ref="BC59:BC62"/>
    <mergeCell ref="BF59:BF62"/>
    <mergeCell ref="BG59:BG60"/>
    <mergeCell ref="BQ55:BQ58"/>
    <mergeCell ref="BF55:BF58"/>
    <mergeCell ref="BG55:BG56"/>
    <mergeCell ref="BK55:BK58"/>
    <mergeCell ref="BM55:BM58"/>
    <mergeCell ref="BQ59:BQ62"/>
    <mergeCell ref="BR59:BR60"/>
    <mergeCell ref="BO55:BO58"/>
    <mergeCell ref="AP55:AP58"/>
    <mergeCell ref="BA55:BA58"/>
    <mergeCell ref="BB55:BB58"/>
    <mergeCell ref="BC55:BC58"/>
    <mergeCell ref="B55:B58"/>
    <mergeCell ref="C55:C56"/>
    <mergeCell ref="AB55:AB58"/>
    <mergeCell ref="AE55:AE58"/>
    <mergeCell ref="AH55:AH56"/>
    <mergeCell ref="AI55:AI58"/>
    <mergeCell ref="AJ55:AJ58"/>
    <mergeCell ref="AH57:AH58"/>
    <mergeCell ref="AL55:AL58"/>
    <mergeCell ref="AM55:AM58"/>
    <mergeCell ref="AN55:AN58"/>
    <mergeCell ref="AO55:AO58"/>
    <mergeCell ref="AZ55:AZ58"/>
    <mergeCell ref="BH55:BH56"/>
    <mergeCell ref="BI55:BI56"/>
    <mergeCell ref="AX55:AX56"/>
    <mergeCell ref="BK47:BK50"/>
    <mergeCell ref="BO47:BO50"/>
    <mergeCell ref="BM47:BM50"/>
    <mergeCell ref="BI49:BI50"/>
    <mergeCell ref="BJ49:BJ50"/>
    <mergeCell ref="BR51:BR52"/>
    <mergeCell ref="C53:C54"/>
    <mergeCell ref="BG53:BG54"/>
    <mergeCell ref="BR53:BR54"/>
    <mergeCell ref="BK51:BK54"/>
    <mergeCell ref="BM51:BM54"/>
    <mergeCell ref="BO51:BO54"/>
    <mergeCell ref="BC51:BC54"/>
    <mergeCell ref="BF51:BF54"/>
    <mergeCell ref="BG51:BG52"/>
    <mergeCell ref="BQ51:BQ54"/>
    <mergeCell ref="BH51:BH52"/>
    <mergeCell ref="BI51:BI52"/>
    <mergeCell ref="BJ51:BJ52"/>
    <mergeCell ref="BH53:BH54"/>
    <mergeCell ref="BI53:BI54"/>
    <mergeCell ref="BJ53:BJ54"/>
    <mergeCell ref="BB51:BB54"/>
    <mergeCell ref="AH51:AH52"/>
    <mergeCell ref="AI51:AI54"/>
    <mergeCell ref="AJ51:AJ54"/>
    <mergeCell ref="AH53:AH54"/>
    <mergeCell ref="AL51:AL54"/>
    <mergeCell ref="AM51:AM54"/>
    <mergeCell ref="AN51:AN54"/>
    <mergeCell ref="AO51:AO54"/>
    <mergeCell ref="AZ51:AZ54"/>
    <mergeCell ref="B47:B50"/>
    <mergeCell ref="C47:C48"/>
    <mergeCell ref="AB47:AB50"/>
    <mergeCell ref="AE47:AE50"/>
    <mergeCell ref="AX47:AX48"/>
    <mergeCell ref="AX51:AX52"/>
    <mergeCell ref="BR47:BR48"/>
    <mergeCell ref="C49:C50"/>
    <mergeCell ref="BG49:BG50"/>
    <mergeCell ref="BR49:BR50"/>
    <mergeCell ref="AP47:AP50"/>
    <mergeCell ref="BA47:BA50"/>
    <mergeCell ref="BB47:BB50"/>
    <mergeCell ref="BC47:BC50"/>
    <mergeCell ref="AH47:AH48"/>
    <mergeCell ref="AI47:AI50"/>
    <mergeCell ref="AJ47:AJ50"/>
    <mergeCell ref="AH49:AH50"/>
    <mergeCell ref="AL47:AL50"/>
    <mergeCell ref="AM47:AM50"/>
    <mergeCell ref="AN47:AN50"/>
    <mergeCell ref="AO47:AO50"/>
    <mergeCell ref="BH49:BH50"/>
    <mergeCell ref="BQ47:BQ50"/>
    <mergeCell ref="BF47:BF50"/>
    <mergeCell ref="BG47:BG48"/>
    <mergeCell ref="Z7:Z78"/>
    <mergeCell ref="C43:C44"/>
    <mergeCell ref="AB43:AB46"/>
    <mergeCell ref="AE43:AE46"/>
    <mergeCell ref="BQ43:BQ46"/>
    <mergeCell ref="BR43:BR44"/>
    <mergeCell ref="BG43:BG44"/>
    <mergeCell ref="BK43:BK46"/>
    <mergeCell ref="BM43:BM46"/>
    <mergeCell ref="BI41:BI42"/>
    <mergeCell ref="BQ39:BQ42"/>
    <mergeCell ref="BH45:BH46"/>
    <mergeCell ref="BI45:BI46"/>
    <mergeCell ref="BJ45:BJ46"/>
    <mergeCell ref="BH43:BH44"/>
    <mergeCell ref="BI43:BI44"/>
    <mergeCell ref="BJ43:BJ44"/>
    <mergeCell ref="BG39:BG40"/>
    <mergeCell ref="BG45:BG46"/>
    <mergeCell ref="BR45:BR46"/>
    <mergeCell ref="BO43:BO46"/>
    <mergeCell ref="BR39:BR40"/>
    <mergeCell ref="BR35:BR36"/>
    <mergeCell ref="AN39:AN42"/>
    <mergeCell ref="AO39:AO42"/>
    <mergeCell ref="AZ35:AZ38"/>
    <mergeCell ref="AZ39:AZ42"/>
    <mergeCell ref="BH35:BH36"/>
    <mergeCell ref="BI35:BI36"/>
    <mergeCell ref="BJ35:BJ36"/>
    <mergeCell ref="BH37:BH38"/>
    <mergeCell ref="BI37:BI38"/>
    <mergeCell ref="BJ37:BJ38"/>
    <mergeCell ref="BJ41:BJ42"/>
    <mergeCell ref="AY35:AY36"/>
    <mergeCell ref="AY39:AY40"/>
    <mergeCell ref="BA39:BA42"/>
    <mergeCell ref="BH39:BH40"/>
    <mergeCell ref="BI39:BI40"/>
    <mergeCell ref="BE41:BE42"/>
    <mergeCell ref="BG41:BG42"/>
    <mergeCell ref="BR41:BR42"/>
    <mergeCell ref="BM39:BM42"/>
    <mergeCell ref="BO39:BO42"/>
    <mergeCell ref="BC39:BC42"/>
    <mergeCell ref="BF39:BF42"/>
    <mergeCell ref="BG35:BG36"/>
    <mergeCell ref="BK35:BK38"/>
    <mergeCell ref="AF35:AF38"/>
    <mergeCell ref="AP35:AP38"/>
    <mergeCell ref="BA35:BA38"/>
    <mergeCell ref="AC35:AC36"/>
    <mergeCell ref="AE35:AE38"/>
    <mergeCell ref="AK43:AK46"/>
    <mergeCell ref="AY43:AY44"/>
    <mergeCell ref="AP39:AP42"/>
    <mergeCell ref="BA43:BA46"/>
    <mergeCell ref="BB43:BB46"/>
    <mergeCell ref="BC35:BC38"/>
    <mergeCell ref="BF35:BF38"/>
    <mergeCell ref="AC41:AC42"/>
    <mergeCell ref="AF39:AF42"/>
    <mergeCell ref="BB39:BB42"/>
    <mergeCell ref="BJ39:BJ40"/>
    <mergeCell ref="BH41:BH42"/>
    <mergeCell ref="BK39:BK42"/>
    <mergeCell ref="BC43:BC46"/>
    <mergeCell ref="BE43:BE44"/>
    <mergeCell ref="BF43:BF46"/>
    <mergeCell ref="AN43:AN46"/>
    <mergeCell ref="BQ35:BQ38"/>
    <mergeCell ref="BB35:BB38"/>
    <mergeCell ref="AB21:AB22"/>
    <mergeCell ref="AE11:AE14"/>
    <mergeCell ref="AB33:AB34"/>
    <mergeCell ref="AC33:AC34"/>
    <mergeCell ref="BG33:BG34"/>
    <mergeCell ref="BR33:BR34"/>
    <mergeCell ref="BM31:BM34"/>
    <mergeCell ref="BO31:BO34"/>
    <mergeCell ref="BF31:BF34"/>
    <mergeCell ref="BG31:BG32"/>
    <mergeCell ref="BK31:BK34"/>
    <mergeCell ref="AF31:AF34"/>
    <mergeCell ref="AP31:AP34"/>
    <mergeCell ref="BA31:BA34"/>
    <mergeCell ref="AL31:AL34"/>
    <mergeCell ref="AZ31:AZ34"/>
    <mergeCell ref="BH31:BH32"/>
    <mergeCell ref="AC37:AC38"/>
    <mergeCell ref="BG37:BG38"/>
    <mergeCell ref="BR37:BR38"/>
    <mergeCell ref="BM35:BM38"/>
    <mergeCell ref="BO35:BO38"/>
    <mergeCell ref="BO23:BO26"/>
    <mergeCell ref="BQ27:BQ30"/>
    <mergeCell ref="BR27:BR28"/>
    <mergeCell ref="C29:C30"/>
    <mergeCell ref="AB29:AB30"/>
    <mergeCell ref="AC29:AC30"/>
    <mergeCell ref="BG29:BG30"/>
    <mergeCell ref="BR29:BR30"/>
    <mergeCell ref="BO27:BO30"/>
    <mergeCell ref="BC27:BC30"/>
    <mergeCell ref="BF27:BF30"/>
    <mergeCell ref="BG27:BG28"/>
    <mergeCell ref="BK27:BK30"/>
    <mergeCell ref="BM27:BM30"/>
    <mergeCell ref="AF27:AF30"/>
    <mergeCell ref="AP27:AP30"/>
    <mergeCell ref="BA27:BA30"/>
    <mergeCell ref="BB27:BB30"/>
    <mergeCell ref="W7:W78"/>
    <mergeCell ref="BB31:BB34"/>
    <mergeCell ref="BC31:BC34"/>
    <mergeCell ref="BQ31:BQ34"/>
    <mergeCell ref="BR31:BR32"/>
    <mergeCell ref="C33:C34"/>
    <mergeCell ref="AC15:AC16"/>
    <mergeCell ref="AE15:AE18"/>
    <mergeCell ref="B11:B14"/>
    <mergeCell ref="B43:B46"/>
    <mergeCell ref="BF23:BF26"/>
    <mergeCell ref="BG23:BG24"/>
    <mergeCell ref="BK23:BK26"/>
    <mergeCell ref="BM23:BM26"/>
    <mergeCell ref="B31:B34"/>
    <mergeCell ref="C31:C32"/>
    <mergeCell ref="AB31:AB32"/>
    <mergeCell ref="AC31:AC32"/>
    <mergeCell ref="AE31:AE34"/>
    <mergeCell ref="B35:B38"/>
    <mergeCell ref="B39:B42"/>
    <mergeCell ref="AB39:AB40"/>
    <mergeCell ref="AC39:AC40"/>
    <mergeCell ref="AE39:AE42"/>
    <mergeCell ref="C19:C20"/>
    <mergeCell ref="V19:V21"/>
    <mergeCell ref="X19:X21"/>
    <mergeCell ref="AB19:AB20"/>
    <mergeCell ref="C21:C22"/>
    <mergeCell ref="AC21:AC22"/>
    <mergeCell ref="BR23:BR24"/>
    <mergeCell ref="AC25:AC26"/>
    <mergeCell ref="BA23:BA26"/>
    <mergeCell ref="BG25:BG26"/>
    <mergeCell ref="BR25:BR26"/>
    <mergeCell ref="BQ23:BQ26"/>
    <mergeCell ref="B23:B26"/>
    <mergeCell ref="C23:C24"/>
    <mergeCell ref="AB23:AB24"/>
    <mergeCell ref="AC23:AC24"/>
    <mergeCell ref="AE23:AE26"/>
    <mergeCell ref="AF23:AF26"/>
    <mergeCell ref="AP23:AP26"/>
    <mergeCell ref="T7:T78"/>
    <mergeCell ref="B19:B22"/>
    <mergeCell ref="B27:B30"/>
    <mergeCell ref="C27:C28"/>
    <mergeCell ref="AB27:AB28"/>
    <mergeCell ref="AC27:AC28"/>
    <mergeCell ref="AE27:AE30"/>
    <mergeCell ref="C25:C26"/>
    <mergeCell ref="AB25:AB26"/>
    <mergeCell ref="B15:B18"/>
    <mergeCell ref="C15:C16"/>
    <mergeCell ref="BG21:BG22"/>
    <mergeCell ref="BR21:BR22"/>
    <mergeCell ref="BM19:BM22"/>
    <mergeCell ref="BO19:BO22"/>
    <mergeCell ref="AC19:AC20"/>
    <mergeCell ref="AE19:AE22"/>
    <mergeCell ref="AF19:AF22"/>
    <mergeCell ref="AP19:AP22"/>
    <mergeCell ref="BQ19:BQ22"/>
    <mergeCell ref="BJ21:BJ22"/>
    <mergeCell ref="BM11:BM14"/>
    <mergeCell ref="AB11:AB12"/>
    <mergeCell ref="AC11:AC12"/>
    <mergeCell ref="BQ15:BQ18"/>
    <mergeCell ref="BR15:BR16"/>
    <mergeCell ref="AW16:AW18"/>
    <mergeCell ref="BE16:BE18"/>
    <mergeCell ref="C17:C18"/>
    <mergeCell ref="AB17:AB18"/>
    <mergeCell ref="AC17:AC18"/>
    <mergeCell ref="BG17:BG18"/>
    <mergeCell ref="BR17:BR18"/>
    <mergeCell ref="BO15:BO18"/>
    <mergeCell ref="AF15:AF18"/>
    <mergeCell ref="AP15:AP18"/>
    <mergeCell ref="BA15:BA18"/>
    <mergeCell ref="BF15:BF18"/>
    <mergeCell ref="BG15:BG16"/>
    <mergeCell ref="BK15:BK18"/>
    <mergeCell ref="BM15:BM18"/>
    <mergeCell ref="AV7:AV78"/>
    <mergeCell ref="BR19:BR20"/>
    <mergeCell ref="BF19:BF22"/>
    <mergeCell ref="BR13:BR14"/>
    <mergeCell ref="BO11:BO14"/>
    <mergeCell ref="AF11:AF14"/>
    <mergeCell ref="AP11:AP14"/>
    <mergeCell ref="BA11:BA14"/>
    <mergeCell ref="BF11:BF14"/>
    <mergeCell ref="BG11:BG12"/>
    <mergeCell ref="BK11:BK14"/>
    <mergeCell ref="BB11:BB14"/>
    <mergeCell ref="BC11:BC14"/>
    <mergeCell ref="AH11:AH12"/>
    <mergeCell ref="AI11:AI14"/>
    <mergeCell ref="AJ11:AJ14"/>
    <mergeCell ref="AH13:AH14"/>
    <mergeCell ref="AK11:AK14"/>
    <mergeCell ref="AN11:AN14"/>
    <mergeCell ref="AO11:AO14"/>
    <mergeCell ref="AY11:AY12"/>
    <mergeCell ref="AZ11:AZ14"/>
    <mergeCell ref="AG7:AG78"/>
    <mergeCell ref="BG19:BG20"/>
    <mergeCell ref="BK19:BK22"/>
    <mergeCell ref="BB23:BB26"/>
    <mergeCell ref="BC23:BC26"/>
    <mergeCell ref="BB15:BB18"/>
    <mergeCell ref="BC15:BC18"/>
    <mergeCell ref="BA19:BA22"/>
    <mergeCell ref="BB19:BB22"/>
    <mergeCell ref="BC19:BC22"/>
    <mergeCell ref="BQ7:BQ10"/>
    <mergeCell ref="BR7:BR8"/>
    <mergeCell ref="C9:C10"/>
    <mergeCell ref="AB9:AB10"/>
    <mergeCell ref="AC9:AC10"/>
    <mergeCell ref="BG9:BG10"/>
    <mergeCell ref="BR9:BR10"/>
    <mergeCell ref="BA7:BA10"/>
    <mergeCell ref="BB7:BB10"/>
    <mergeCell ref="BO7:BO10"/>
    <mergeCell ref="BD7:BD78"/>
    <mergeCell ref="BF7:BF10"/>
    <mergeCell ref="BG7:BG8"/>
    <mergeCell ref="BQ11:BQ14"/>
    <mergeCell ref="BR11:BR12"/>
    <mergeCell ref="C13:C14"/>
    <mergeCell ref="AB13:AB14"/>
    <mergeCell ref="AC13:AC14"/>
    <mergeCell ref="BG13:BG14"/>
    <mergeCell ref="AI7:AI10"/>
    <mergeCell ref="AJ7:AJ10"/>
    <mergeCell ref="AH9:AH10"/>
    <mergeCell ref="AK7:AK10"/>
    <mergeCell ref="AN7:AN10"/>
    <mergeCell ref="AO7:AO10"/>
    <mergeCell ref="A1:A4"/>
    <mergeCell ref="B1:B4"/>
    <mergeCell ref="C1:C4"/>
    <mergeCell ref="D1:D4"/>
    <mergeCell ref="F1:I1"/>
    <mergeCell ref="K1:P1"/>
    <mergeCell ref="AC7:AC8"/>
    <mergeCell ref="AE7:AE10"/>
    <mergeCell ref="AF7:AF10"/>
    <mergeCell ref="F2:G2"/>
    <mergeCell ref="F3:G3"/>
    <mergeCell ref="H3:I3"/>
    <mergeCell ref="F5:G5"/>
    <mergeCell ref="H5:I5"/>
    <mergeCell ref="K5:M5"/>
    <mergeCell ref="AA3:AA4"/>
    <mergeCell ref="AL7:AL10"/>
    <mergeCell ref="AQ1:AU1"/>
    <mergeCell ref="S3:S4"/>
    <mergeCell ref="BC7:BC10"/>
    <mergeCell ref="BK7:BK10"/>
    <mergeCell ref="BM7:BM10"/>
    <mergeCell ref="N2:P2"/>
    <mergeCell ref="AL2:AO2"/>
    <mergeCell ref="AR2:AU2"/>
    <mergeCell ref="BA1:BC2"/>
    <mergeCell ref="BE1:BE4"/>
    <mergeCell ref="R1:S2"/>
    <mergeCell ref="BL1:BL4"/>
    <mergeCell ref="V1:AA2"/>
    <mergeCell ref="N5:P5"/>
    <mergeCell ref="R5:S5"/>
    <mergeCell ref="V5:AA5"/>
    <mergeCell ref="AC5:AF5"/>
    <mergeCell ref="X3:X4"/>
    <mergeCell ref="AT3:AU3"/>
    <mergeCell ref="BC3:BC4"/>
    <mergeCell ref="AL3:AM3"/>
    <mergeCell ref="AN3:AO3"/>
    <mergeCell ref="AL1:AO1"/>
    <mergeCell ref="AH7:AH8"/>
    <mergeCell ref="AP7:AP10"/>
    <mergeCell ref="AW1:AW2"/>
    <mergeCell ref="BR1:BR4"/>
    <mergeCell ref="AF3:AF4"/>
    <mergeCell ref="BN1:BN4"/>
    <mergeCell ref="BP1:BP4"/>
    <mergeCell ref="H2:I2"/>
    <mergeCell ref="K2:M2"/>
    <mergeCell ref="AH1:AJ2"/>
    <mergeCell ref="AJ3:AJ4"/>
    <mergeCell ref="AH5:AJ5"/>
    <mergeCell ref="AC1:AF2"/>
    <mergeCell ref="AY1:AY4"/>
    <mergeCell ref="BG1:BJ1"/>
    <mergeCell ref="BG2:BG4"/>
    <mergeCell ref="BH2:BH4"/>
    <mergeCell ref="BI2:BI4"/>
    <mergeCell ref="BJ2:BJ4"/>
    <mergeCell ref="BG5:BJ5"/>
    <mergeCell ref="BA5:BC5"/>
    <mergeCell ref="AR3:AS3"/>
    <mergeCell ref="AL5:AO5"/>
    <mergeCell ref="AZ7:AZ10"/>
    <mergeCell ref="AQ5:AU5"/>
    <mergeCell ref="AH15:AH16"/>
    <mergeCell ref="AI15:AI18"/>
    <mergeCell ref="AJ15:AJ18"/>
    <mergeCell ref="AH17:AH18"/>
    <mergeCell ref="AH19:AH20"/>
    <mergeCell ref="AI19:AI22"/>
    <mergeCell ref="AJ19:AJ22"/>
    <mergeCell ref="AH21:AH22"/>
    <mergeCell ref="AH23:AH24"/>
    <mergeCell ref="AI23:AI26"/>
    <mergeCell ref="AJ23:AJ26"/>
    <mergeCell ref="AH25:AH26"/>
    <mergeCell ref="AH27:AH28"/>
    <mergeCell ref="AI27:AI30"/>
    <mergeCell ref="AJ27:AJ30"/>
    <mergeCell ref="AH29:AH30"/>
    <mergeCell ref="AH31:AH32"/>
    <mergeCell ref="AI31:AI34"/>
    <mergeCell ref="AJ31:AJ34"/>
    <mergeCell ref="AH33:AH34"/>
    <mergeCell ref="AH71:AH72"/>
    <mergeCell ref="AI71:AI74"/>
    <mergeCell ref="AJ71:AJ74"/>
    <mergeCell ref="AH73:AH74"/>
    <mergeCell ref="AH35:AH36"/>
    <mergeCell ref="AI35:AI38"/>
    <mergeCell ref="AJ35:AJ38"/>
    <mergeCell ref="AH37:AH38"/>
    <mergeCell ref="AH39:AH40"/>
    <mergeCell ref="AI39:AI42"/>
    <mergeCell ref="AJ39:AJ42"/>
    <mergeCell ref="AH41:AH42"/>
    <mergeCell ref="AH43:AH44"/>
    <mergeCell ref="AI43:AI46"/>
    <mergeCell ref="AJ43:AJ46"/>
    <mergeCell ref="AH45:AH46"/>
    <mergeCell ref="AK67:AK70"/>
    <mergeCell ref="AK71:AK74"/>
    <mergeCell ref="AK75:AK78"/>
    <mergeCell ref="AK15:AK18"/>
    <mergeCell ref="AK19:AK22"/>
    <mergeCell ref="AK23:AK26"/>
    <mergeCell ref="AK27:AK30"/>
    <mergeCell ref="AK31:AK34"/>
    <mergeCell ref="AK35:AK38"/>
    <mergeCell ref="AK39:AK42"/>
    <mergeCell ref="AL27:AL30"/>
    <mergeCell ref="AM27:AM30"/>
    <mergeCell ref="AL39:AL42"/>
    <mergeCell ref="AM39:AM42"/>
    <mergeCell ref="AK47:AK50"/>
    <mergeCell ref="AK51:AK54"/>
    <mergeCell ref="AK55:AK58"/>
    <mergeCell ref="AK59:AK62"/>
    <mergeCell ref="AK63:AK66"/>
    <mergeCell ref="AL43:AL46"/>
    <mergeCell ref="AM43:AM46"/>
    <mergeCell ref="AM31:AM34"/>
    <mergeCell ref="AL35:AL38"/>
    <mergeCell ref="AM35:AM38"/>
    <mergeCell ref="AL23:AL26"/>
    <mergeCell ref="AM23:AM26"/>
    <mergeCell ref="AN23:AN26"/>
    <mergeCell ref="AO23:AO26"/>
    <mergeCell ref="AM7:AM10"/>
    <mergeCell ref="AL11:AL14"/>
    <mergeCell ref="AM11:AM14"/>
    <mergeCell ref="AL15:AL18"/>
    <mergeCell ref="AM15:AM18"/>
    <mergeCell ref="AL19:AL22"/>
    <mergeCell ref="AM19:AM22"/>
    <mergeCell ref="AO43:AO46"/>
    <mergeCell ref="AY15:AY16"/>
    <mergeCell ref="AZ15:AZ18"/>
    <mergeCell ref="AY19:AY20"/>
    <mergeCell ref="AZ19:AZ22"/>
    <mergeCell ref="AY23:AY24"/>
    <mergeCell ref="AZ23:AZ26"/>
    <mergeCell ref="AN27:AN30"/>
    <mergeCell ref="AO27:AO30"/>
    <mergeCell ref="AN31:AN34"/>
    <mergeCell ref="AO31:AO34"/>
    <mergeCell ref="AN35:AN38"/>
    <mergeCell ref="AO35:AO38"/>
    <mergeCell ref="AN15:AN18"/>
    <mergeCell ref="AO15:AO18"/>
    <mergeCell ref="AN19:AN22"/>
    <mergeCell ref="AO19:AO22"/>
    <mergeCell ref="AP43:AP46"/>
    <mergeCell ref="AX43:AX44"/>
    <mergeCell ref="AY7:AY8"/>
    <mergeCell ref="AZ47:AZ50"/>
    <mergeCell ref="AZ59:AZ62"/>
    <mergeCell ref="AY27:AY28"/>
    <mergeCell ref="AY31:AY32"/>
    <mergeCell ref="AY51:AY52"/>
    <mergeCell ref="AY55:AY56"/>
    <mergeCell ref="AY59:AY60"/>
    <mergeCell ref="AZ27:AZ30"/>
    <mergeCell ref="AZ43:AZ46"/>
    <mergeCell ref="AY47:AY48"/>
    <mergeCell ref="AZ75:AZ78"/>
    <mergeCell ref="BH7:BH8"/>
    <mergeCell ref="BI7:BI8"/>
    <mergeCell ref="BJ7:BJ8"/>
    <mergeCell ref="BH15:BH16"/>
    <mergeCell ref="BI15:BI16"/>
    <mergeCell ref="BJ15:BJ16"/>
    <mergeCell ref="BH17:BH18"/>
    <mergeCell ref="BI17:BI18"/>
    <mergeCell ref="BJ17:BJ18"/>
    <mergeCell ref="BH9:BH10"/>
    <mergeCell ref="BI9:BI10"/>
    <mergeCell ref="BJ9:BJ10"/>
    <mergeCell ref="BH11:BH12"/>
    <mergeCell ref="BI11:BI12"/>
    <mergeCell ref="BJ11:BJ12"/>
    <mergeCell ref="BH13:BH14"/>
    <mergeCell ref="BI13:BI14"/>
    <mergeCell ref="BJ13:BJ14"/>
    <mergeCell ref="BH19:BH20"/>
    <mergeCell ref="BI19:BI20"/>
    <mergeCell ref="BJ19:BJ20"/>
    <mergeCell ref="BH21:BH22"/>
    <mergeCell ref="BI21:BI22"/>
    <mergeCell ref="BH23:BH24"/>
    <mergeCell ref="BI23:BI24"/>
    <mergeCell ref="BJ23:BJ24"/>
    <mergeCell ref="BH25:BH26"/>
    <mergeCell ref="BI25:BI26"/>
    <mergeCell ref="BJ25:BJ26"/>
    <mergeCell ref="BH27:BH28"/>
    <mergeCell ref="BI27:BI28"/>
    <mergeCell ref="BJ27:BJ28"/>
    <mergeCell ref="BH29:BH30"/>
    <mergeCell ref="BI29:BI30"/>
    <mergeCell ref="BJ29:BJ30"/>
    <mergeCell ref="BI75:BI76"/>
    <mergeCell ref="BJ75:BJ76"/>
    <mergeCell ref="BH47:BH48"/>
    <mergeCell ref="BI47:BI48"/>
    <mergeCell ref="BJ47:BJ48"/>
    <mergeCell ref="BJ55:BJ56"/>
    <mergeCell ref="BH57:BH58"/>
    <mergeCell ref="BI57:BI58"/>
    <mergeCell ref="BJ57:BJ58"/>
    <mergeCell ref="BH59:BH60"/>
    <mergeCell ref="BI59:BI60"/>
    <mergeCell ref="BJ59:BJ60"/>
    <mergeCell ref="BI31:BI32"/>
    <mergeCell ref="BJ31:BJ32"/>
    <mergeCell ref="BH33:BH34"/>
    <mergeCell ref="BI33:BI34"/>
    <mergeCell ref="BJ33:BJ34"/>
    <mergeCell ref="AX63:AX64"/>
    <mergeCell ref="AX67:AX68"/>
    <mergeCell ref="AX71:AX72"/>
    <mergeCell ref="AX75:AX76"/>
    <mergeCell ref="AX7:AX8"/>
    <mergeCell ref="AX11:AX12"/>
    <mergeCell ref="AX15:AX16"/>
    <mergeCell ref="AX19:AX20"/>
    <mergeCell ref="AX23:AX24"/>
    <mergeCell ref="AX27:AX28"/>
    <mergeCell ref="AX31:AX32"/>
    <mergeCell ref="AX35:AX36"/>
    <mergeCell ref="AX39:AX40"/>
  </mergeCells>
  <phoneticPr fontId="4"/>
  <conditionalFormatting sqref="A1:AC1 A2:AB2 AK1:BR5 A3:AF5">
    <cfRule type="expression" dxfId="110" priority="95">
      <formula>A1&lt;#REF!</formula>
    </cfRule>
    <cfRule type="expression" dxfId="109" priority="96">
      <formula>A1&gt;#REF!</formula>
    </cfRule>
  </conditionalFormatting>
  <conditionalFormatting sqref="AG1:AJ5">
    <cfRule type="expression" dxfId="108" priority="93">
      <formula>AG1&lt;#REF!</formula>
    </cfRule>
    <cfRule type="expression" dxfId="107" priority="94">
      <formula>AG1&gt;#REF!</formula>
    </cfRule>
  </conditionalFormatting>
  <conditionalFormatting sqref="A7:AF78 AP61:BR62 AP63:AX76 AK7:AK78 AP7:AX60 AP77:BR78 AZ59:BQ60 AZ55:BQ56 AZ57:BR58 AZ51:BQ52 AZ53:BR54 AZ47:BQ48 AZ49:BR50 AZ43:BQ44 AZ45:BR46 AZ39:BQ40 AZ41:BR42 AZ35:BQ36 AZ37:BR38 AZ31:BQ32 AZ33:BR34 AZ27:BQ28 AZ29:BR30 AZ23:BQ24 AZ25:BR26 AZ19:BQ20 AZ21:BR22 AZ17:BR18 AZ11:BQ12 AZ13:BR14 AZ9:BR10 AZ75:BQ76 AZ71:BQ72 AZ73:BR74 AZ67:BQ68 AZ69:BR70 AZ63:BQ64 AZ65:BR66 AZ7:BQ8 AZ15:BQ16">
    <cfRule type="expression" dxfId="106" priority="91">
      <formula>A7&lt;#REF!</formula>
    </cfRule>
    <cfRule type="expression" dxfId="105" priority="92">
      <formula>A7&gt;#REF!</formula>
    </cfRule>
  </conditionalFormatting>
  <conditionalFormatting sqref="AL7:AO7 AL11:AO11 AL27:AO27 AL23:AO23 AL19:AO19 AL15:AO15 AL31:AO31 AL35:AO35 AL39:AO39 AL43:AO43 AL47:AO47 AL51:AO51 AL55:AO55 AL59:AO59 AL63:AO63 AL67:AO67 AL75:AO75 AL71:AO71">
    <cfRule type="expression" dxfId="104" priority="89">
      <formula>AL7&lt;#REF!</formula>
    </cfRule>
    <cfRule type="expression" dxfId="103" priority="90">
      <formula>AL7&gt;#REF!</formula>
    </cfRule>
  </conditionalFormatting>
  <conditionalFormatting sqref="BR15:BR16 BR11:BR12 BR7:BR8">
    <cfRule type="expression" dxfId="102" priority="87">
      <formula>BR7&lt;#REF!</formula>
    </cfRule>
    <cfRule type="expression" dxfId="101" priority="88">
      <formula>BR7&gt;#REF!</formula>
    </cfRule>
  </conditionalFormatting>
  <conditionalFormatting sqref="BR39:BR40 BR35:BR36 BR31:BR32 BR27:BR28 BR23:BR24 BR19:BR20">
    <cfRule type="expression" dxfId="100" priority="85">
      <formula>BR19&lt;#REF!</formula>
    </cfRule>
    <cfRule type="expression" dxfId="99" priority="86">
      <formula>BR19&gt;#REF!</formula>
    </cfRule>
  </conditionalFormatting>
  <conditionalFormatting sqref="BR43:BR44">
    <cfRule type="expression" dxfId="98" priority="83">
      <formula>BR43&lt;#REF!</formula>
    </cfRule>
    <cfRule type="expression" dxfId="97" priority="84">
      <formula>BR43&gt;#REF!</formula>
    </cfRule>
  </conditionalFormatting>
  <conditionalFormatting sqref="BR47:BR48">
    <cfRule type="expression" dxfId="96" priority="81">
      <formula>BR47&lt;#REF!</formula>
    </cfRule>
    <cfRule type="expression" dxfId="95" priority="82">
      <formula>BR47&gt;#REF!</formula>
    </cfRule>
  </conditionalFormatting>
  <conditionalFormatting sqref="BR51:BR52">
    <cfRule type="expression" dxfId="94" priority="79">
      <formula>BR51&lt;#REF!</formula>
    </cfRule>
    <cfRule type="expression" dxfId="93" priority="80">
      <formula>BR51&gt;#REF!</formula>
    </cfRule>
  </conditionalFormatting>
  <conditionalFormatting sqref="BR55:BR56">
    <cfRule type="expression" dxfId="92" priority="77">
      <formula>BR55&lt;#REF!</formula>
    </cfRule>
    <cfRule type="expression" dxfId="91" priority="78">
      <formula>BR55&gt;#REF!</formula>
    </cfRule>
  </conditionalFormatting>
  <conditionalFormatting sqref="BR59:BR60">
    <cfRule type="expression" dxfId="90" priority="75">
      <formula>BR59&lt;#REF!</formula>
    </cfRule>
    <cfRule type="expression" dxfId="89" priority="76">
      <formula>BR59&gt;#REF!</formula>
    </cfRule>
  </conditionalFormatting>
  <conditionalFormatting sqref="BR63:BR64">
    <cfRule type="expression" dxfId="88" priority="73">
      <formula>BR63&lt;#REF!</formula>
    </cfRule>
    <cfRule type="expression" dxfId="87" priority="74">
      <formula>BR63&gt;#REF!</formula>
    </cfRule>
  </conditionalFormatting>
  <conditionalFormatting sqref="BR67:BR68">
    <cfRule type="expression" dxfId="86" priority="71">
      <formula>BR67&lt;#REF!</formula>
    </cfRule>
    <cfRule type="expression" dxfId="85" priority="72">
      <formula>BR67&gt;#REF!</formula>
    </cfRule>
  </conditionalFormatting>
  <conditionalFormatting sqref="BR71:BR72">
    <cfRule type="expression" dxfId="84" priority="69">
      <formula>BR71&lt;#REF!</formula>
    </cfRule>
    <cfRule type="expression" dxfId="83" priority="70">
      <formula>BR71&gt;#REF!</formula>
    </cfRule>
  </conditionalFormatting>
  <conditionalFormatting sqref="BR75:BR76">
    <cfRule type="expression" dxfId="82" priority="67">
      <formula>BR75&lt;#REF!</formula>
    </cfRule>
    <cfRule type="expression" dxfId="81" priority="68">
      <formula>BR75&gt;#REF!</formula>
    </cfRule>
  </conditionalFormatting>
  <conditionalFormatting sqref="AH75:AH78">
    <cfRule type="expression" dxfId="80" priority="65">
      <formula>AH75&lt;#REF!</formula>
    </cfRule>
    <cfRule type="expression" dxfId="79" priority="66">
      <formula>AH75&gt;#REF!</formula>
    </cfRule>
  </conditionalFormatting>
  <conditionalFormatting sqref="AH7 AH9 AH11 AH13 AH15 AH17 AH19 AH21 AH23 AH25 AH27 AH29 AH31 AH33 AH35 AH37 AH39 AH41 AH43 AH45 AH47 AH49 AH51 AH53 AH55 AH57 AH59 AH61 AH63 AH65 AH67 AH69 AH71 AH73">
    <cfRule type="expression" dxfId="78" priority="63">
      <formula>AH7&lt;#REF!</formula>
    </cfRule>
    <cfRule type="expression" dxfId="77" priority="64">
      <formula>AH7&gt;#REF!</formula>
    </cfRule>
  </conditionalFormatting>
  <conditionalFormatting sqref="AJ7 AJ11 AJ15 AJ19 AJ23 AJ27 AJ31 AJ35 AJ39 AJ43 AJ47 AJ51 AJ55 AJ59 AJ63 AJ67 AJ71 AJ75">
    <cfRule type="expression" dxfId="76" priority="61">
      <formula>AJ7&lt;#REF!</formula>
    </cfRule>
    <cfRule type="expression" dxfId="75" priority="62">
      <formula>AJ7&gt;#REF!</formula>
    </cfRule>
  </conditionalFormatting>
  <conditionalFormatting sqref="AG7">
    <cfRule type="expression" dxfId="74" priority="59">
      <formula>AG7&lt;#REF!</formula>
    </cfRule>
    <cfRule type="expression" dxfId="73" priority="60">
      <formula>AG7&gt;#REF!</formula>
    </cfRule>
  </conditionalFormatting>
  <conditionalFormatting sqref="AI7 AI11 AI15 AI19 AI23 AI27 AI31 AI35 AI39 AI43 AI47 AI51 AI55 AI59 AI63 AI67 AI71 AI75">
    <cfRule type="expression" dxfId="72" priority="57">
      <formula>AI7&lt;#REF!</formula>
    </cfRule>
    <cfRule type="expression" dxfId="71" priority="58">
      <formula>AI7&gt;#REF!</formula>
    </cfRule>
  </conditionalFormatting>
  <conditionalFormatting sqref="AY13:AY14">
    <cfRule type="expression" dxfId="70" priority="55">
      <formula>AY13&lt;#REF!</formula>
    </cfRule>
    <cfRule type="expression" dxfId="69" priority="56">
      <formula>AY13&gt;#REF!</formula>
    </cfRule>
  </conditionalFormatting>
  <conditionalFormatting sqref="AY9:AY10">
    <cfRule type="expression" dxfId="68" priority="53">
      <formula>AY9&lt;#REF!</formula>
    </cfRule>
    <cfRule type="expression" dxfId="67" priority="54">
      <formula>AY9&gt;#REF!</formula>
    </cfRule>
  </conditionalFormatting>
  <conditionalFormatting sqref="AY7:AY8">
    <cfRule type="expression" dxfId="66" priority="51">
      <formula>AY7&lt;#REF!</formula>
    </cfRule>
    <cfRule type="expression" dxfId="65" priority="52">
      <formula>AY7&gt;#REF!</formula>
    </cfRule>
  </conditionalFormatting>
  <conditionalFormatting sqref="AY11:AY12">
    <cfRule type="expression" dxfId="64" priority="49">
      <formula>AY11&lt;#REF!</formula>
    </cfRule>
    <cfRule type="expression" dxfId="63" priority="50">
      <formula>AY11&gt;#REF!</formula>
    </cfRule>
  </conditionalFormatting>
  <conditionalFormatting sqref="AY29:AY30 AY45:AY46 AY15:AY18">
    <cfRule type="expression" dxfId="62" priority="47">
      <formula>AY15&lt;#REF!</formula>
    </cfRule>
    <cfRule type="expression" dxfId="61" priority="48">
      <formula>AY15&gt;#REF!</formula>
    </cfRule>
  </conditionalFormatting>
  <conditionalFormatting sqref="AY21:AY22">
    <cfRule type="expression" dxfId="60" priority="45">
      <formula>AY21&lt;#REF!</formula>
    </cfRule>
    <cfRule type="expression" dxfId="59" priority="46">
      <formula>AY21&gt;#REF!</formula>
    </cfRule>
  </conditionalFormatting>
  <conditionalFormatting sqref="AY25:AY26">
    <cfRule type="expression" dxfId="58" priority="43">
      <formula>AY25&lt;#REF!</formula>
    </cfRule>
    <cfRule type="expression" dxfId="57" priority="44">
      <formula>AY25&gt;#REF!</formula>
    </cfRule>
  </conditionalFormatting>
  <conditionalFormatting sqref="AY19:AY20">
    <cfRule type="expression" dxfId="56" priority="41">
      <formula>AY19&lt;#REF!</formula>
    </cfRule>
    <cfRule type="expression" dxfId="55" priority="42">
      <formula>AY19&gt;#REF!</formula>
    </cfRule>
  </conditionalFormatting>
  <conditionalFormatting sqref="AY23:AY24">
    <cfRule type="expression" dxfId="54" priority="39">
      <formula>AY23&lt;#REF!</formula>
    </cfRule>
    <cfRule type="expression" dxfId="53" priority="40">
      <formula>AY23&gt;#REF!</formula>
    </cfRule>
  </conditionalFormatting>
  <conditionalFormatting sqref="AY27:AY28">
    <cfRule type="expression" dxfId="52" priority="37">
      <formula>AY27&lt;#REF!</formula>
    </cfRule>
    <cfRule type="expression" dxfId="51" priority="38">
      <formula>AY27&gt;#REF!</formula>
    </cfRule>
  </conditionalFormatting>
  <conditionalFormatting sqref="AY31:AY34">
    <cfRule type="expression" dxfId="50" priority="35">
      <formula>AY31&lt;#REF!</formula>
    </cfRule>
    <cfRule type="expression" dxfId="49" priority="36">
      <formula>AY31&gt;#REF!</formula>
    </cfRule>
  </conditionalFormatting>
  <conditionalFormatting sqref="AY37:AY38">
    <cfRule type="expression" dxfId="48" priority="33">
      <formula>AY37&lt;#REF!</formula>
    </cfRule>
    <cfRule type="expression" dxfId="47" priority="34">
      <formula>AY37&gt;#REF!</formula>
    </cfRule>
  </conditionalFormatting>
  <conditionalFormatting sqref="AY41:AY42">
    <cfRule type="expression" dxfId="46" priority="31">
      <formula>AY41&lt;#REF!</formula>
    </cfRule>
    <cfRule type="expression" dxfId="45" priority="32">
      <formula>AY41&gt;#REF!</formula>
    </cfRule>
  </conditionalFormatting>
  <conditionalFormatting sqref="AY35:AY36">
    <cfRule type="expression" dxfId="44" priority="29">
      <formula>AY35&lt;#REF!</formula>
    </cfRule>
    <cfRule type="expression" dxfId="43" priority="30">
      <formula>AY35&gt;#REF!</formula>
    </cfRule>
  </conditionalFormatting>
  <conditionalFormatting sqref="AY39:AY40">
    <cfRule type="expression" dxfId="42" priority="27">
      <formula>AY39&lt;#REF!</formula>
    </cfRule>
    <cfRule type="expression" dxfId="41" priority="28">
      <formula>AY39&gt;#REF!</formula>
    </cfRule>
  </conditionalFormatting>
  <conditionalFormatting sqref="AY43:AY44">
    <cfRule type="expression" dxfId="40" priority="25">
      <formula>AY43&lt;#REF!</formula>
    </cfRule>
    <cfRule type="expression" dxfId="39" priority="26">
      <formula>AY43&gt;#REF!</formula>
    </cfRule>
  </conditionalFormatting>
  <conditionalFormatting sqref="AY47:AY50">
    <cfRule type="expression" dxfId="38" priority="23">
      <formula>AY47&lt;#REF!</formula>
    </cfRule>
    <cfRule type="expression" dxfId="37" priority="24">
      <formula>AY47&gt;#REF!</formula>
    </cfRule>
  </conditionalFormatting>
  <conditionalFormatting sqref="AY53:AY54">
    <cfRule type="expression" dxfId="36" priority="21">
      <formula>AY53&lt;#REF!</formula>
    </cfRule>
    <cfRule type="expression" dxfId="35" priority="22">
      <formula>AY53&gt;#REF!</formula>
    </cfRule>
  </conditionalFormatting>
  <conditionalFormatting sqref="AY57:AY58">
    <cfRule type="expression" dxfId="34" priority="19">
      <formula>AY57&lt;#REF!</formula>
    </cfRule>
    <cfRule type="expression" dxfId="33" priority="20">
      <formula>AY57&gt;#REF!</formula>
    </cfRule>
  </conditionalFormatting>
  <conditionalFormatting sqref="AY51:AY52">
    <cfRule type="expression" dxfId="32" priority="17">
      <formula>AY51&lt;#REF!</formula>
    </cfRule>
    <cfRule type="expression" dxfId="31" priority="18">
      <formula>AY51&gt;#REF!</formula>
    </cfRule>
  </conditionalFormatting>
  <conditionalFormatting sqref="AY55:AY56">
    <cfRule type="expression" dxfId="30" priority="15">
      <formula>AY55&lt;#REF!</formula>
    </cfRule>
    <cfRule type="expression" dxfId="29" priority="16">
      <formula>AY55&gt;#REF!</formula>
    </cfRule>
  </conditionalFormatting>
  <conditionalFormatting sqref="AY59:AY60">
    <cfRule type="expression" dxfId="28" priority="13">
      <formula>AY59&lt;#REF!</formula>
    </cfRule>
    <cfRule type="expression" dxfId="27" priority="14">
      <formula>AY59&gt;#REF!</formula>
    </cfRule>
  </conditionalFormatting>
  <conditionalFormatting sqref="AY63:AY66">
    <cfRule type="expression" dxfId="26" priority="11">
      <formula>AY63&lt;#REF!</formula>
    </cfRule>
    <cfRule type="expression" dxfId="25" priority="12">
      <formula>AY63&gt;#REF!</formula>
    </cfRule>
  </conditionalFormatting>
  <conditionalFormatting sqref="AY69:AY70">
    <cfRule type="expression" dxfId="24" priority="9">
      <formula>AY69&lt;#REF!</formula>
    </cfRule>
    <cfRule type="expression" dxfId="23" priority="10">
      <formula>AY69&gt;#REF!</formula>
    </cfRule>
  </conditionalFormatting>
  <conditionalFormatting sqref="AY73:AY74">
    <cfRule type="expression" dxfId="22" priority="7">
      <formula>AY73&lt;#REF!</formula>
    </cfRule>
    <cfRule type="expression" dxfId="21" priority="8">
      <formula>AY73&gt;#REF!</formula>
    </cfRule>
  </conditionalFormatting>
  <conditionalFormatting sqref="AY67:AY68">
    <cfRule type="expression" dxfId="20" priority="5">
      <formula>AY67&lt;#REF!</formula>
    </cfRule>
    <cfRule type="expression" dxfId="19" priority="6">
      <formula>AY67&gt;#REF!</formula>
    </cfRule>
  </conditionalFormatting>
  <conditionalFormatting sqref="AY71:AY72">
    <cfRule type="expression" dxfId="18" priority="3">
      <formula>AY71&lt;#REF!</formula>
    </cfRule>
    <cfRule type="expression" dxfId="17" priority="4">
      <formula>AY71&gt;#REF!</formula>
    </cfRule>
  </conditionalFormatting>
  <conditionalFormatting sqref="AY75:AY76">
    <cfRule type="expression" dxfId="16" priority="1">
      <formula>AY75&lt;#REF!</formula>
    </cfRule>
    <cfRule type="expression" dxfId="15" priority="2">
      <formula>AY75&gt;#REF!</formula>
    </cfRule>
  </conditionalFormatting>
  <pageMargins left="0.39370078740157483" right="0.19685039370078741" top="0.78740157480314965" bottom="0.39370078740157483" header="0.39370078740157483" footer="0.15748031496062992"/>
  <pageSetup paperSize="9" scale="64" pageOrder="overThenDown" orientation="portrait" horizontalDpi="300" verticalDpi="300" r:id="rId3"/>
  <headerFooter differentFirst="1">
    <firstHeader>&amp;L&amp;"ＤＦ特太ゴシック体,標準"&amp;16認定こども園（保育認定）</firstHeader>
  </headerFooter>
  <rowBreaks count="1" manualBreakCount="1">
    <brk id="6" max="65" man="1"/>
  </rowBreaks>
  <colBreaks count="3" manualBreakCount="3">
    <brk id="19" max="77" man="1"/>
    <brk id="32" max="77" man="1"/>
    <brk id="55" max="77" man="1"/>
  </col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FFFF00"/>
  </sheetPr>
  <dimension ref="A1:W53"/>
  <sheetViews>
    <sheetView view="pageBreakPreview" zoomScale="90" zoomScaleNormal="100" zoomScaleSheetLayoutView="90" workbookViewId="0">
      <selection activeCell="AA52" sqref="Y6:AB78"/>
    </sheetView>
  </sheetViews>
  <sheetFormatPr defaultColWidth="2.5" defaultRowHeight="25.5" customHeight="1"/>
  <cols>
    <col min="1" max="1" width="23" style="52" customWidth="1"/>
    <col min="2" max="2" width="2.5" style="52" customWidth="1"/>
    <col min="3" max="21" width="2.625" style="52" customWidth="1"/>
    <col min="22" max="22" width="2.75" style="52" customWidth="1"/>
    <col min="23" max="23" width="57.375" style="58" customWidth="1"/>
    <col min="24" max="16384" width="2.5" style="52"/>
  </cols>
  <sheetData>
    <row r="1" spans="1:23" ht="25.5" customHeight="1">
      <c r="A1" s="50" t="s">
        <v>32</v>
      </c>
      <c r="B1" s="51"/>
      <c r="C1" s="51"/>
      <c r="D1" s="51"/>
      <c r="E1" s="51"/>
      <c r="F1" s="51"/>
      <c r="G1" s="51"/>
      <c r="H1" s="51"/>
      <c r="I1" s="51"/>
      <c r="J1" s="51"/>
      <c r="K1" s="51"/>
      <c r="L1" s="51"/>
      <c r="M1" s="51"/>
      <c r="N1" s="51"/>
      <c r="O1" s="51"/>
      <c r="P1" s="51"/>
      <c r="Q1" s="51"/>
      <c r="R1" s="51"/>
      <c r="S1" s="51"/>
      <c r="T1" s="51"/>
      <c r="U1" s="51"/>
      <c r="V1" s="51"/>
      <c r="W1" s="51"/>
    </row>
    <row r="3" spans="1:23" ht="20.25" customHeight="1">
      <c r="A3" s="2080" t="s">
        <v>1128</v>
      </c>
      <c r="B3" s="2083" t="s">
        <v>494</v>
      </c>
      <c r="C3" s="2066" t="s">
        <v>795</v>
      </c>
      <c r="D3" s="1205"/>
      <c r="E3" s="2109" t="s">
        <v>268</v>
      </c>
      <c r="F3" s="2109"/>
      <c r="G3" s="2109"/>
      <c r="H3" s="2109"/>
      <c r="I3" s="2109"/>
      <c r="J3" s="1202"/>
      <c r="K3" s="2110" t="s">
        <v>405</v>
      </c>
      <c r="L3" s="2110"/>
      <c r="M3" s="2110"/>
      <c r="N3" s="2110"/>
      <c r="O3" s="2110"/>
      <c r="P3" s="2110"/>
      <c r="Q3" s="2110"/>
      <c r="R3" s="2110"/>
      <c r="S3" s="1202"/>
      <c r="T3" s="1202"/>
      <c r="U3" s="1202"/>
      <c r="V3" s="1206"/>
      <c r="W3" s="2133" t="s">
        <v>1110</v>
      </c>
    </row>
    <row r="4" spans="1:23" ht="25.5" customHeight="1">
      <c r="A4" s="2081"/>
      <c r="B4" s="2084"/>
      <c r="C4" s="2078"/>
      <c r="D4" s="1207" t="s">
        <v>271</v>
      </c>
      <c r="E4" s="2121">
        <v>24930</v>
      </c>
      <c r="F4" s="2121"/>
      <c r="G4" s="2121"/>
      <c r="H4" s="2121"/>
      <c r="I4" s="2121"/>
      <c r="J4" s="1208" t="s">
        <v>272</v>
      </c>
      <c r="K4" s="2124">
        <v>240</v>
      </c>
      <c r="L4" s="2124"/>
      <c r="M4" s="2124"/>
      <c r="N4" s="2124"/>
      <c r="O4" s="2124"/>
      <c r="P4" s="2124"/>
      <c r="Q4" s="2124"/>
      <c r="R4" s="2124"/>
      <c r="S4" s="1209" t="s">
        <v>273</v>
      </c>
      <c r="T4" s="1208"/>
      <c r="U4" s="1208"/>
      <c r="V4" s="1210"/>
      <c r="W4" s="2133"/>
    </row>
    <row r="5" spans="1:23" ht="20.25" customHeight="1">
      <c r="A5" s="2081"/>
      <c r="B5" s="2084"/>
      <c r="C5" s="2067"/>
      <c r="D5" s="1203"/>
      <c r="E5" s="1203"/>
      <c r="F5" s="1203"/>
      <c r="G5" s="1204"/>
      <c r="H5" s="1204"/>
      <c r="I5" s="1204"/>
      <c r="J5" s="1204"/>
      <c r="K5" s="1204"/>
      <c r="L5" s="1204"/>
      <c r="M5" s="2112" t="s">
        <v>274</v>
      </c>
      <c r="N5" s="2112"/>
      <c r="O5" s="2112"/>
      <c r="P5" s="2112"/>
      <c r="Q5" s="2112"/>
      <c r="R5" s="2112"/>
      <c r="S5" s="2112"/>
      <c r="T5" s="2112"/>
      <c r="U5" s="2112"/>
      <c r="V5" s="2115"/>
      <c r="W5" s="2133"/>
    </row>
    <row r="6" spans="1:23" ht="20.25" customHeight="1">
      <c r="A6" s="2081"/>
      <c r="B6" s="2084"/>
      <c r="C6" s="2066" t="s">
        <v>796</v>
      </c>
      <c r="D6" s="1205"/>
      <c r="E6" s="2109" t="s">
        <v>268</v>
      </c>
      <c r="F6" s="2109"/>
      <c r="G6" s="2109"/>
      <c r="H6" s="2109"/>
      <c r="I6" s="2109"/>
      <c r="J6" s="1202"/>
      <c r="K6" s="2110" t="s">
        <v>405</v>
      </c>
      <c r="L6" s="2110"/>
      <c r="M6" s="2110"/>
      <c r="N6" s="2110"/>
      <c r="O6" s="2110"/>
      <c r="P6" s="2110"/>
      <c r="Q6" s="2110"/>
      <c r="R6" s="2110"/>
      <c r="S6" s="1202"/>
      <c r="T6" s="1202"/>
      <c r="U6" s="1202"/>
      <c r="V6" s="1206"/>
      <c r="W6" s="2133"/>
    </row>
    <row r="7" spans="1:23" ht="25.5" customHeight="1">
      <c r="A7" s="2081"/>
      <c r="B7" s="2084"/>
      <c r="C7" s="2078"/>
      <c r="D7" s="1207" t="s">
        <v>271</v>
      </c>
      <c r="E7" s="2121">
        <v>16620</v>
      </c>
      <c r="F7" s="2121"/>
      <c r="G7" s="2121"/>
      <c r="H7" s="2121"/>
      <c r="I7" s="2121"/>
      <c r="J7" s="1208" t="s">
        <v>272</v>
      </c>
      <c r="K7" s="2124">
        <v>160</v>
      </c>
      <c r="L7" s="2124"/>
      <c r="M7" s="2124"/>
      <c r="N7" s="2124"/>
      <c r="O7" s="2124"/>
      <c r="P7" s="2124"/>
      <c r="Q7" s="2124"/>
      <c r="R7" s="2124"/>
      <c r="S7" s="1209" t="s">
        <v>273</v>
      </c>
      <c r="T7" s="1208"/>
      <c r="U7" s="1208"/>
      <c r="V7" s="1210"/>
      <c r="W7" s="2133"/>
    </row>
    <row r="8" spans="1:23" ht="20.25" customHeight="1">
      <c r="A8" s="2082"/>
      <c r="B8" s="2085"/>
      <c r="C8" s="2067"/>
      <c r="D8" s="1203"/>
      <c r="E8" s="1203"/>
      <c r="F8" s="1203"/>
      <c r="G8" s="1204"/>
      <c r="H8" s="1204"/>
      <c r="I8" s="1204"/>
      <c r="J8" s="1204"/>
      <c r="K8" s="1204"/>
      <c r="L8" s="1204"/>
      <c r="M8" s="2125" t="s">
        <v>274</v>
      </c>
      <c r="N8" s="2125"/>
      <c r="O8" s="2125"/>
      <c r="P8" s="2125"/>
      <c r="Q8" s="2125"/>
      <c r="R8" s="2125"/>
      <c r="S8" s="2125"/>
      <c r="T8" s="2125"/>
      <c r="U8" s="2125"/>
      <c r="V8" s="2126"/>
      <c r="W8" s="2133"/>
    </row>
    <row r="9" spans="1:23" ht="25.5" customHeight="1">
      <c r="A9" s="1118"/>
      <c r="B9" s="1118"/>
      <c r="C9" s="1211"/>
      <c r="D9" s="1214"/>
      <c r="E9" s="1214"/>
      <c r="F9" s="1214"/>
      <c r="G9" s="1215"/>
      <c r="H9" s="1215"/>
      <c r="I9" s="1215"/>
      <c r="J9" s="1215"/>
      <c r="K9" s="1215"/>
      <c r="L9" s="1215"/>
      <c r="M9" s="1216"/>
      <c r="N9" s="1216"/>
      <c r="O9" s="1216"/>
      <c r="P9" s="1216"/>
      <c r="Q9" s="1216"/>
      <c r="R9" s="1216"/>
      <c r="S9" s="1216"/>
      <c r="T9" s="1216"/>
      <c r="U9" s="1216"/>
      <c r="V9" s="1216"/>
      <c r="W9" s="1328"/>
    </row>
    <row r="10" spans="1:23" ht="30" customHeight="1">
      <c r="A10" s="2080" t="s">
        <v>1129</v>
      </c>
      <c r="B10" s="2083" t="s">
        <v>495</v>
      </c>
      <c r="C10" s="2116" t="s">
        <v>463</v>
      </c>
      <c r="D10" s="2117"/>
      <c r="E10" s="2117"/>
      <c r="F10" s="2117"/>
      <c r="G10" s="2117"/>
      <c r="H10" s="2117"/>
      <c r="I10" s="2117"/>
      <c r="J10" s="2117"/>
      <c r="K10" s="2117"/>
      <c r="L10" s="2117"/>
      <c r="M10" s="2117"/>
      <c r="N10" s="2117"/>
      <c r="O10" s="2117"/>
      <c r="P10" s="2117"/>
      <c r="Q10" s="2117"/>
      <c r="R10" s="2117"/>
      <c r="S10" s="2117"/>
      <c r="T10" s="2117"/>
      <c r="U10" s="2117"/>
      <c r="V10" s="2118"/>
      <c r="W10" s="2359" t="s">
        <v>464</v>
      </c>
    </row>
    <row r="11" spans="1:23" ht="30" customHeight="1">
      <c r="A11" s="2127"/>
      <c r="B11" s="2104"/>
      <c r="C11" s="2119" t="s">
        <v>465</v>
      </c>
      <c r="D11" s="2120"/>
      <c r="E11" s="2120"/>
      <c r="F11" s="2120"/>
      <c r="G11" s="2120"/>
      <c r="H11" s="2120"/>
      <c r="I11" s="2120"/>
      <c r="J11" s="2120"/>
      <c r="K11" s="2120"/>
      <c r="L11" s="2121">
        <v>50140</v>
      </c>
      <c r="M11" s="2122"/>
      <c r="N11" s="2122"/>
      <c r="O11" s="2120" t="s">
        <v>1124</v>
      </c>
      <c r="P11" s="2120"/>
      <c r="Q11" s="2120"/>
      <c r="R11" s="2120"/>
      <c r="S11" s="2120"/>
      <c r="T11" s="2120"/>
      <c r="U11" s="2120"/>
      <c r="V11" s="2123"/>
      <c r="W11" s="2408"/>
    </row>
    <row r="12" spans="1:23" ht="30" customHeight="1">
      <c r="A12" s="2128"/>
      <c r="B12" s="2105"/>
      <c r="C12" s="2111" t="s">
        <v>467</v>
      </c>
      <c r="D12" s="2112"/>
      <c r="E12" s="2112"/>
      <c r="F12" s="2112"/>
      <c r="G12" s="2112"/>
      <c r="H12" s="2112"/>
      <c r="I12" s="2112"/>
      <c r="J12" s="2112"/>
      <c r="K12" s="2112"/>
      <c r="L12" s="2113">
        <v>6270</v>
      </c>
      <c r="M12" s="2114"/>
      <c r="N12" s="2114"/>
      <c r="O12" s="2112" t="s">
        <v>1125</v>
      </c>
      <c r="P12" s="2112"/>
      <c r="Q12" s="2112"/>
      <c r="R12" s="2112"/>
      <c r="S12" s="2112"/>
      <c r="T12" s="2112"/>
      <c r="U12" s="2112"/>
      <c r="V12" s="2115"/>
      <c r="W12" s="2409"/>
    </row>
    <row r="13" spans="1:23" ht="25.5" customHeight="1">
      <c r="A13" s="1117"/>
      <c r="B13" s="1117"/>
      <c r="C13" s="1211"/>
      <c r="D13" s="1212"/>
      <c r="E13" s="1212"/>
      <c r="F13" s="1212"/>
      <c r="G13" s="1212"/>
      <c r="H13" s="1213"/>
      <c r="I13" s="1213"/>
      <c r="J13" s="1213"/>
      <c r="K13" s="1213"/>
      <c r="L13" s="1211"/>
      <c r="M13" s="1213"/>
      <c r="N13" s="1213"/>
      <c r="O13" s="1213"/>
      <c r="P13" s="1213"/>
      <c r="Q13" s="1208"/>
      <c r="R13" s="1208"/>
      <c r="S13" s="1208"/>
      <c r="T13" s="1208"/>
      <c r="U13" s="1208"/>
      <c r="V13" s="1208"/>
      <c r="W13" s="1274"/>
    </row>
    <row r="14" spans="1:23" ht="25.5" customHeight="1">
      <c r="A14" s="2116" t="s">
        <v>1269</v>
      </c>
      <c r="B14" s="2135" t="s">
        <v>485</v>
      </c>
      <c r="C14" s="2106"/>
      <c r="D14" s="2137">
        <v>11280</v>
      </c>
      <c r="E14" s="2138"/>
      <c r="F14" s="2138"/>
      <c r="G14" s="2138"/>
      <c r="H14" s="2138"/>
      <c r="I14" s="2138"/>
      <c r="J14" s="1202" t="s">
        <v>1184</v>
      </c>
      <c r="K14" s="2139" t="s">
        <v>1267</v>
      </c>
      <c r="L14" s="2139"/>
      <c r="M14" s="2139"/>
      <c r="N14" s="2139"/>
      <c r="O14" s="2139"/>
      <c r="P14" s="2139"/>
      <c r="Q14" s="2139"/>
      <c r="R14" s="2139"/>
      <c r="S14" s="2139"/>
      <c r="T14" s="2139"/>
      <c r="U14" s="2139"/>
      <c r="V14" s="2140"/>
      <c r="W14" s="2133" t="s">
        <v>1186</v>
      </c>
    </row>
    <row r="15" spans="1:23" ht="25.5" customHeight="1">
      <c r="A15" s="2134"/>
      <c r="B15" s="2136"/>
      <c r="C15" s="2108"/>
      <c r="D15" s="1203"/>
      <c r="E15" s="1203"/>
      <c r="F15" s="1203"/>
      <c r="G15" s="1204"/>
      <c r="H15" s="1204"/>
      <c r="I15" s="1204"/>
      <c r="J15" s="1204"/>
      <c r="K15" s="1204"/>
      <c r="L15" s="1204"/>
      <c r="M15" s="2112" t="s">
        <v>274</v>
      </c>
      <c r="N15" s="2112"/>
      <c r="O15" s="2112"/>
      <c r="P15" s="2112"/>
      <c r="Q15" s="2112"/>
      <c r="R15" s="2112"/>
      <c r="S15" s="2112"/>
      <c r="T15" s="2112"/>
      <c r="U15" s="2112"/>
      <c r="V15" s="2115"/>
      <c r="W15" s="2133"/>
    </row>
    <row r="16" spans="1:23" ht="25.5" customHeight="1">
      <c r="A16" s="1117"/>
      <c r="B16" s="1117"/>
      <c r="C16" s="1211"/>
      <c r="D16" s="1212"/>
      <c r="E16" s="1212"/>
      <c r="F16" s="1212"/>
      <c r="G16" s="1212"/>
      <c r="H16" s="1213"/>
      <c r="I16" s="1213"/>
      <c r="J16" s="1213"/>
      <c r="K16" s="1213"/>
      <c r="L16" s="1211"/>
      <c r="M16" s="1213"/>
      <c r="N16" s="1213"/>
      <c r="O16" s="1213"/>
      <c r="P16" s="1213"/>
      <c r="Q16" s="1208"/>
      <c r="R16" s="1208"/>
      <c r="S16" s="1208"/>
      <c r="T16" s="1208"/>
      <c r="U16" s="1208"/>
      <c r="V16" s="1208"/>
      <c r="W16" s="1274"/>
    </row>
    <row r="17" spans="1:23" ht="30" customHeight="1">
      <c r="A17" s="2080" t="s">
        <v>469</v>
      </c>
      <c r="B17" s="2083" t="s">
        <v>1061</v>
      </c>
      <c r="C17" s="2086" t="s">
        <v>471</v>
      </c>
      <c r="D17" s="2087"/>
      <c r="E17" s="2087"/>
      <c r="F17" s="2087"/>
      <c r="G17" s="2087"/>
      <c r="H17" s="2088">
        <v>1840</v>
      </c>
      <c r="I17" s="2088"/>
      <c r="J17" s="2088"/>
      <c r="K17" s="2088"/>
      <c r="L17" s="2089"/>
      <c r="M17" s="2086" t="s">
        <v>472</v>
      </c>
      <c r="N17" s="2087"/>
      <c r="O17" s="2087"/>
      <c r="P17" s="2087"/>
      <c r="Q17" s="2087"/>
      <c r="R17" s="2088">
        <v>1270</v>
      </c>
      <c r="S17" s="2088"/>
      <c r="T17" s="2088"/>
      <c r="U17" s="2088"/>
      <c r="V17" s="2089"/>
      <c r="W17" s="2133" t="s">
        <v>473</v>
      </c>
    </row>
    <row r="18" spans="1:23" ht="25.5" customHeight="1">
      <c r="A18" s="2081"/>
      <c r="B18" s="2084"/>
      <c r="C18" s="2086" t="s">
        <v>474</v>
      </c>
      <c r="D18" s="2087"/>
      <c r="E18" s="2087"/>
      <c r="F18" s="2087"/>
      <c r="G18" s="2087"/>
      <c r="H18" s="2088">
        <v>1630</v>
      </c>
      <c r="I18" s="2088"/>
      <c r="J18" s="2088"/>
      <c r="K18" s="2088"/>
      <c r="L18" s="2089"/>
      <c r="M18" s="2086" t="s">
        <v>475</v>
      </c>
      <c r="N18" s="2087"/>
      <c r="O18" s="2087"/>
      <c r="P18" s="2087"/>
      <c r="Q18" s="2087"/>
      <c r="R18" s="2088">
        <v>110</v>
      </c>
      <c r="S18" s="2088"/>
      <c r="T18" s="2088"/>
      <c r="U18" s="2088"/>
      <c r="V18" s="2089"/>
      <c r="W18" s="2133"/>
    </row>
    <row r="19" spans="1:23" ht="30" customHeight="1">
      <c r="A19" s="2082"/>
      <c r="B19" s="2085"/>
      <c r="C19" s="2086" t="s">
        <v>476</v>
      </c>
      <c r="D19" s="2087"/>
      <c r="E19" s="2087"/>
      <c r="F19" s="2087"/>
      <c r="G19" s="2087"/>
      <c r="H19" s="2088">
        <v>1610</v>
      </c>
      <c r="I19" s="2088"/>
      <c r="J19" s="2088"/>
      <c r="K19" s="2088"/>
      <c r="L19" s="2089"/>
      <c r="M19" s="2101"/>
      <c r="N19" s="2102"/>
      <c r="O19" s="2102"/>
      <c r="P19" s="2102"/>
      <c r="Q19" s="2102"/>
      <c r="R19" s="2102"/>
      <c r="S19" s="2102"/>
      <c r="T19" s="2102"/>
      <c r="U19" s="2102"/>
      <c r="V19" s="2103"/>
      <c r="W19" s="2133"/>
    </row>
    <row r="20" spans="1:23" ht="25.5" customHeight="1">
      <c r="A20" s="1117"/>
      <c r="B20" s="1117"/>
      <c r="C20" s="1211"/>
      <c r="D20" s="1212"/>
      <c r="E20" s="1212"/>
      <c r="F20" s="1212"/>
      <c r="G20" s="1212"/>
      <c r="H20" s="1213"/>
      <c r="I20" s="1213"/>
      <c r="J20" s="1213"/>
      <c r="K20" s="1213"/>
      <c r="L20" s="1211"/>
      <c r="M20" s="1213"/>
      <c r="N20" s="1213"/>
      <c r="O20" s="1213"/>
      <c r="P20" s="1213"/>
      <c r="Q20" s="1208"/>
      <c r="R20" s="1208"/>
      <c r="S20" s="1208"/>
      <c r="T20" s="1208"/>
      <c r="U20" s="1208"/>
      <c r="V20" s="1208"/>
      <c r="W20" s="1274"/>
    </row>
    <row r="21" spans="1:23" ht="30" customHeight="1">
      <c r="A21" s="2238" t="s">
        <v>1130</v>
      </c>
      <c r="B21" s="2241" t="s">
        <v>904</v>
      </c>
      <c r="C21" s="2257" t="s">
        <v>309</v>
      </c>
      <c r="D21" s="2247">
        <v>153010</v>
      </c>
      <c r="E21" s="2247"/>
      <c r="F21" s="2247"/>
      <c r="G21" s="2247"/>
      <c r="H21" s="2247"/>
      <c r="I21" s="2247"/>
      <c r="J21" s="2247"/>
      <c r="K21" s="2247"/>
      <c r="L21" s="2247"/>
      <c r="M21" s="2247"/>
      <c r="N21" s="2247"/>
      <c r="O21" s="2247"/>
      <c r="P21" s="2247"/>
      <c r="Q21" s="2247"/>
      <c r="R21" s="2247"/>
      <c r="S21" s="2247"/>
      <c r="T21" s="2247"/>
      <c r="U21" s="2247"/>
      <c r="V21" s="2248"/>
      <c r="W21" s="2252" t="s">
        <v>310</v>
      </c>
    </row>
    <row r="22" spans="1:23" ht="25.5" customHeight="1">
      <c r="A22" s="2239"/>
      <c r="B22" s="2242"/>
      <c r="C22" s="2257"/>
      <c r="D22" s="2250"/>
      <c r="E22" s="2250"/>
      <c r="F22" s="2250"/>
      <c r="G22" s="2250"/>
      <c r="H22" s="2250"/>
      <c r="I22" s="2250"/>
      <c r="J22" s="2250"/>
      <c r="K22" s="2250"/>
      <c r="L22" s="2250"/>
      <c r="M22" s="2250"/>
      <c r="N22" s="2250"/>
      <c r="O22" s="2250"/>
      <c r="P22" s="2250"/>
      <c r="Q22" s="2250"/>
      <c r="R22" s="2250"/>
      <c r="S22" s="2250"/>
      <c r="T22" s="2250"/>
      <c r="U22" s="2250"/>
      <c r="V22" s="2251"/>
      <c r="W22" s="2253"/>
    </row>
    <row r="23" spans="1:23" ht="18" customHeight="1">
      <c r="A23" s="2239"/>
      <c r="B23" s="2242"/>
      <c r="C23" s="2257" t="s">
        <v>311</v>
      </c>
      <c r="D23" s="2247">
        <v>30260</v>
      </c>
      <c r="E23" s="2247"/>
      <c r="F23" s="2247"/>
      <c r="G23" s="2247"/>
      <c r="H23" s="2247"/>
      <c r="I23" s="2247"/>
      <c r="J23" s="2247"/>
      <c r="K23" s="2247"/>
      <c r="L23" s="2247"/>
      <c r="M23" s="2247"/>
      <c r="N23" s="2247"/>
      <c r="O23" s="2247"/>
      <c r="P23" s="2247"/>
      <c r="Q23" s="2247"/>
      <c r="R23" s="2247"/>
      <c r="S23" s="2247"/>
      <c r="T23" s="2247"/>
      <c r="U23" s="2247"/>
      <c r="V23" s="2248"/>
      <c r="W23" s="2253"/>
    </row>
    <row r="24" spans="1:23" ht="18" customHeight="1">
      <c r="A24" s="2240"/>
      <c r="B24" s="2243"/>
      <c r="C24" s="2257"/>
      <c r="D24" s="2250"/>
      <c r="E24" s="2250"/>
      <c r="F24" s="2250"/>
      <c r="G24" s="2250"/>
      <c r="H24" s="2250"/>
      <c r="I24" s="2250"/>
      <c r="J24" s="2250"/>
      <c r="K24" s="2250"/>
      <c r="L24" s="2250"/>
      <c r="M24" s="2250"/>
      <c r="N24" s="2250"/>
      <c r="O24" s="2250"/>
      <c r="P24" s="2250"/>
      <c r="Q24" s="2250"/>
      <c r="R24" s="2250"/>
      <c r="S24" s="2250"/>
      <c r="T24" s="2250"/>
      <c r="U24" s="2250"/>
      <c r="V24" s="2251"/>
      <c r="W24" s="2254"/>
    </row>
    <row r="25" spans="1:23" ht="18" customHeight="1">
      <c r="A25" s="1117"/>
      <c r="B25" s="1117"/>
      <c r="C25" s="1211"/>
      <c r="D25" s="1212"/>
      <c r="E25" s="1212"/>
      <c r="F25" s="1212"/>
      <c r="G25" s="1212"/>
      <c r="H25" s="1213"/>
      <c r="I25" s="1213"/>
      <c r="J25" s="1213"/>
      <c r="K25" s="1213"/>
      <c r="L25" s="1211"/>
      <c r="M25" s="1213"/>
      <c r="N25" s="1213"/>
      <c r="O25" s="1213"/>
      <c r="P25" s="1213"/>
      <c r="Q25" s="1208"/>
      <c r="R25" s="1208"/>
      <c r="S25" s="1208"/>
      <c r="T25" s="1208"/>
      <c r="U25" s="1208"/>
      <c r="V25" s="1208"/>
      <c r="W25" s="1274"/>
    </row>
    <row r="26" spans="1:23" ht="18" customHeight="1">
      <c r="A26" s="1119" t="s">
        <v>477</v>
      </c>
      <c r="B26" s="1120" t="s">
        <v>1066</v>
      </c>
      <c r="C26" s="2090">
        <v>6180</v>
      </c>
      <c r="D26" s="2090"/>
      <c r="E26" s="2090"/>
      <c r="F26" s="2090"/>
      <c r="G26" s="2090"/>
      <c r="H26" s="2090"/>
      <c r="I26" s="2090"/>
      <c r="J26" s="2090"/>
      <c r="K26" s="2090"/>
      <c r="L26" s="2090"/>
      <c r="M26" s="2090"/>
      <c r="N26" s="2090"/>
      <c r="O26" s="2090"/>
      <c r="P26" s="2090"/>
      <c r="Q26" s="2090"/>
      <c r="R26" s="2090"/>
      <c r="S26" s="2090"/>
      <c r="T26" s="2090"/>
      <c r="U26" s="2090"/>
      <c r="V26" s="2091"/>
      <c r="W26" s="1329" t="s">
        <v>479</v>
      </c>
    </row>
    <row r="27" spans="1:23" ht="18" customHeight="1">
      <c r="A27" s="1117"/>
      <c r="B27" s="1117"/>
      <c r="C27" s="1211"/>
      <c r="D27" s="1212"/>
      <c r="E27" s="1212"/>
      <c r="F27" s="1212"/>
      <c r="G27" s="1212"/>
      <c r="H27" s="1213"/>
      <c r="I27" s="1213"/>
      <c r="J27" s="1213"/>
      <c r="K27" s="1213"/>
      <c r="L27" s="1211"/>
      <c r="M27" s="1213"/>
      <c r="N27" s="1213"/>
      <c r="O27" s="1213"/>
      <c r="P27" s="1213"/>
      <c r="Q27" s="1208"/>
      <c r="R27" s="1208"/>
      <c r="S27" s="1208"/>
      <c r="T27" s="1208"/>
      <c r="U27" s="1208"/>
      <c r="V27" s="1208"/>
      <c r="W27" s="1330"/>
    </row>
    <row r="28" spans="1:23" ht="25.5" customHeight="1">
      <c r="A28" s="1119" t="s">
        <v>1131</v>
      </c>
      <c r="B28" s="1120" t="s">
        <v>1068</v>
      </c>
      <c r="C28" s="2092">
        <v>77930</v>
      </c>
      <c r="D28" s="2092"/>
      <c r="E28" s="2092"/>
      <c r="F28" s="2092"/>
      <c r="G28" s="2092"/>
      <c r="H28" s="2092"/>
      <c r="I28" s="2092"/>
      <c r="J28" s="2092"/>
      <c r="K28" s="2092"/>
      <c r="L28" s="2092"/>
      <c r="M28" s="2092"/>
      <c r="N28" s="2092"/>
      <c r="O28" s="2092"/>
      <c r="P28" s="2092"/>
      <c r="Q28" s="2092"/>
      <c r="R28" s="2092"/>
      <c r="S28" s="2092"/>
      <c r="T28" s="2092"/>
      <c r="U28" s="2092"/>
      <c r="V28" s="2093"/>
      <c r="W28" s="1329" t="s">
        <v>479</v>
      </c>
    </row>
    <row r="29" spans="1:23" ht="30" customHeight="1">
      <c r="A29" s="1117"/>
      <c r="B29" s="1117"/>
      <c r="C29" s="1211"/>
      <c r="D29" s="1212"/>
      <c r="E29" s="1212"/>
      <c r="F29" s="1212"/>
      <c r="G29" s="1212"/>
      <c r="H29" s="1213"/>
      <c r="I29" s="1213"/>
      <c r="J29" s="1213"/>
      <c r="K29" s="1213"/>
      <c r="L29" s="1211"/>
      <c r="M29" s="1213"/>
      <c r="N29" s="1213"/>
      <c r="O29" s="1213"/>
      <c r="P29" s="1213"/>
      <c r="Q29" s="1208"/>
      <c r="R29" s="1208"/>
      <c r="S29" s="1208"/>
      <c r="T29" s="1208"/>
      <c r="U29" s="1208"/>
      <c r="V29" s="1208"/>
      <c r="W29" s="1330"/>
    </row>
    <row r="30" spans="1:23" ht="25.5" customHeight="1">
      <c r="A30" s="2080" t="s">
        <v>361</v>
      </c>
      <c r="B30" s="2083" t="s">
        <v>1069</v>
      </c>
      <c r="C30" s="2094" t="s">
        <v>1062</v>
      </c>
      <c r="D30" s="2095"/>
      <c r="E30" s="2095"/>
      <c r="F30" s="2095"/>
      <c r="G30" s="2095"/>
      <c r="H30" s="2095"/>
      <c r="I30" s="2095"/>
      <c r="J30" s="2095"/>
      <c r="K30" s="2095"/>
      <c r="L30" s="2098">
        <v>456000</v>
      </c>
      <c r="M30" s="2098"/>
      <c r="N30" s="2098"/>
      <c r="O30" s="2098"/>
      <c r="P30" s="1217"/>
      <c r="Q30" s="1217"/>
      <c r="R30" s="1217"/>
      <c r="S30" s="1217"/>
      <c r="T30" s="1217"/>
      <c r="U30" s="1217"/>
      <c r="V30" s="1218"/>
      <c r="W30" s="2133" t="s">
        <v>1268</v>
      </c>
    </row>
    <row r="31" spans="1:23" ht="30" customHeight="1">
      <c r="A31" s="2081"/>
      <c r="B31" s="2084"/>
      <c r="C31" s="2096"/>
      <c r="D31" s="2097"/>
      <c r="E31" s="2097"/>
      <c r="F31" s="2097"/>
      <c r="G31" s="2097"/>
      <c r="H31" s="2097"/>
      <c r="I31" s="2097"/>
      <c r="J31" s="2097"/>
      <c r="K31" s="2097"/>
      <c r="L31" s="2099" t="s">
        <v>1063</v>
      </c>
      <c r="M31" s="2099"/>
      <c r="N31" s="2099"/>
      <c r="O31" s="2099"/>
      <c r="P31" s="2099"/>
      <c r="Q31" s="2099"/>
      <c r="R31" s="2099"/>
      <c r="S31" s="2099"/>
      <c r="T31" s="2099"/>
      <c r="U31" s="2099"/>
      <c r="V31" s="2100"/>
      <c r="W31" s="2133"/>
    </row>
    <row r="32" spans="1:23" ht="25.5" customHeight="1">
      <c r="A32" s="2081"/>
      <c r="B32" s="2084"/>
      <c r="C32" s="2094" t="s">
        <v>1064</v>
      </c>
      <c r="D32" s="2095"/>
      <c r="E32" s="2095"/>
      <c r="F32" s="2095"/>
      <c r="G32" s="2095"/>
      <c r="H32" s="2095"/>
      <c r="I32" s="2095"/>
      <c r="J32" s="2095"/>
      <c r="K32" s="2095"/>
      <c r="L32" s="2098">
        <v>760000</v>
      </c>
      <c r="M32" s="2098"/>
      <c r="N32" s="2098"/>
      <c r="O32" s="2098"/>
      <c r="P32" s="1217"/>
      <c r="Q32" s="1217"/>
      <c r="R32" s="1217"/>
      <c r="S32" s="1217"/>
      <c r="T32" s="1217"/>
      <c r="U32" s="1217"/>
      <c r="V32" s="1218"/>
      <c r="W32" s="2133"/>
    </row>
    <row r="33" spans="1:23" ht="30" customHeight="1">
      <c r="A33" s="2081"/>
      <c r="B33" s="2084"/>
      <c r="C33" s="2096"/>
      <c r="D33" s="2097"/>
      <c r="E33" s="2097"/>
      <c r="F33" s="2097"/>
      <c r="G33" s="2097"/>
      <c r="H33" s="2097"/>
      <c r="I33" s="2097"/>
      <c r="J33" s="2097"/>
      <c r="K33" s="2097"/>
      <c r="L33" s="2099" t="s">
        <v>1063</v>
      </c>
      <c r="M33" s="2099"/>
      <c r="N33" s="2099"/>
      <c r="O33" s="2099"/>
      <c r="P33" s="2099"/>
      <c r="Q33" s="2099"/>
      <c r="R33" s="2099"/>
      <c r="S33" s="2099"/>
      <c r="T33" s="2099"/>
      <c r="U33" s="2099"/>
      <c r="V33" s="2100"/>
      <c r="W33" s="2133"/>
    </row>
    <row r="34" spans="1:23" ht="25.5" customHeight="1">
      <c r="A34" s="2081"/>
      <c r="B34" s="2084"/>
      <c r="C34" s="2094" t="s">
        <v>1065</v>
      </c>
      <c r="D34" s="2095"/>
      <c r="E34" s="2095"/>
      <c r="F34" s="2095"/>
      <c r="G34" s="2095"/>
      <c r="H34" s="2095"/>
      <c r="I34" s="2095"/>
      <c r="J34" s="2095"/>
      <c r="K34" s="2095"/>
      <c r="L34" s="2098">
        <v>1065000</v>
      </c>
      <c r="M34" s="2098"/>
      <c r="N34" s="2098"/>
      <c r="O34" s="2098"/>
      <c r="P34" s="1217"/>
      <c r="Q34" s="1217"/>
      <c r="R34" s="1217"/>
      <c r="S34" s="1217"/>
      <c r="T34" s="1217"/>
      <c r="U34" s="1217"/>
      <c r="V34" s="1218"/>
      <c r="W34" s="2133"/>
    </row>
    <row r="35" spans="1:23" ht="30" customHeight="1">
      <c r="A35" s="2082"/>
      <c r="B35" s="2085"/>
      <c r="C35" s="2096"/>
      <c r="D35" s="2097"/>
      <c r="E35" s="2097"/>
      <c r="F35" s="2097"/>
      <c r="G35" s="2097"/>
      <c r="H35" s="2097"/>
      <c r="I35" s="2097"/>
      <c r="J35" s="2097"/>
      <c r="K35" s="2097"/>
      <c r="L35" s="2099" t="s">
        <v>1063</v>
      </c>
      <c r="M35" s="2099"/>
      <c r="N35" s="2099"/>
      <c r="O35" s="2099"/>
      <c r="P35" s="2099"/>
      <c r="Q35" s="2099"/>
      <c r="R35" s="2099"/>
      <c r="S35" s="2099"/>
      <c r="T35" s="2099"/>
      <c r="U35" s="2099"/>
      <c r="V35" s="2100"/>
      <c r="W35" s="2133"/>
    </row>
    <row r="36" spans="1:23" ht="25.5" customHeight="1">
      <c r="A36" s="1117"/>
      <c r="B36" s="1117"/>
      <c r="C36" s="1211"/>
      <c r="D36" s="1212"/>
      <c r="E36" s="1212"/>
      <c r="F36" s="1212"/>
      <c r="G36" s="1212"/>
      <c r="H36" s="1213"/>
      <c r="I36" s="1213"/>
      <c r="J36" s="1213"/>
      <c r="K36" s="1213"/>
      <c r="L36" s="1211"/>
      <c r="M36" s="1208"/>
      <c r="N36" s="1213"/>
      <c r="O36" s="1213"/>
      <c r="P36" s="1213"/>
      <c r="Q36" s="1208"/>
      <c r="R36" s="1208"/>
      <c r="S36" s="1208"/>
      <c r="T36" s="1208"/>
      <c r="U36" s="1208"/>
      <c r="V36" s="1208"/>
      <c r="W36" s="1330"/>
    </row>
    <row r="37" spans="1:23" ht="25.5" customHeight="1">
      <c r="A37" s="1119" t="s">
        <v>1132</v>
      </c>
      <c r="B37" s="1120" t="s">
        <v>1072</v>
      </c>
      <c r="C37" s="2148">
        <v>80000</v>
      </c>
      <c r="D37" s="2148"/>
      <c r="E37" s="2148"/>
      <c r="F37" s="2148"/>
      <c r="G37" s="2148"/>
      <c r="H37" s="2148"/>
      <c r="I37" s="2148"/>
      <c r="J37" s="2148"/>
      <c r="K37" s="2148"/>
      <c r="L37" s="2148"/>
      <c r="M37" s="2148"/>
      <c r="N37" s="2148"/>
      <c r="O37" s="2148"/>
      <c r="P37" s="2148"/>
      <c r="Q37" s="2148"/>
      <c r="R37" s="2148"/>
      <c r="S37" s="2148"/>
      <c r="T37" s="2148"/>
      <c r="U37" s="2148"/>
      <c r="V37" s="2149"/>
      <c r="W37" s="1329" t="s">
        <v>479</v>
      </c>
    </row>
    <row r="38" spans="1:23" ht="25.5" customHeight="1">
      <c r="A38" s="1117"/>
      <c r="B38" s="1117"/>
      <c r="C38" s="1211"/>
      <c r="D38" s="1212"/>
      <c r="E38" s="1212"/>
      <c r="F38" s="1212"/>
      <c r="G38" s="1212"/>
      <c r="H38" s="1213"/>
      <c r="I38" s="1213"/>
      <c r="J38" s="1213"/>
      <c r="K38" s="1213"/>
      <c r="L38" s="1211"/>
      <c r="M38" s="1208"/>
      <c r="N38" s="1213"/>
      <c r="O38" s="1213"/>
      <c r="P38" s="1213"/>
      <c r="Q38" s="1208"/>
      <c r="R38" s="1208"/>
      <c r="S38" s="1208"/>
      <c r="T38" s="1208"/>
      <c r="U38" s="1208"/>
      <c r="V38" s="1208"/>
      <c r="W38" s="1274"/>
    </row>
    <row r="39" spans="1:23" ht="25.5" customHeight="1">
      <c r="A39" s="1119" t="s">
        <v>1133</v>
      </c>
      <c r="B39" s="1120" t="s">
        <v>1126</v>
      </c>
      <c r="C39" s="2092">
        <v>48420</v>
      </c>
      <c r="D39" s="2092"/>
      <c r="E39" s="2092"/>
      <c r="F39" s="2092"/>
      <c r="G39" s="2092"/>
      <c r="H39" s="2092"/>
      <c r="I39" s="2092"/>
      <c r="J39" s="2092"/>
      <c r="K39" s="2092"/>
      <c r="L39" s="2092"/>
      <c r="M39" s="2092"/>
      <c r="N39" s="2092"/>
      <c r="O39" s="2092"/>
      <c r="P39" s="2092"/>
      <c r="Q39" s="2092"/>
      <c r="R39" s="2092"/>
      <c r="S39" s="2092"/>
      <c r="T39" s="2092"/>
      <c r="U39" s="2092"/>
      <c r="V39" s="2093"/>
      <c r="W39" s="1329" t="s">
        <v>479</v>
      </c>
    </row>
    <row r="40" spans="1:23" ht="25.5" customHeight="1">
      <c r="A40" s="1117"/>
      <c r="B40" s="1117"/>
      <c r="C40" s="1211"/>
      <c r="D40" s="1212"/>
      <c r="E40" s="1212"/>
      <c r="F40" s="1212"/>
      <c r="G40" s="1212"/>
      <c r="H40" s="1213"/>
      <c r="I40" s="1213"/>
      <c r="J40" s="1213"/>
      <c r="K40" s="1213"/>
      <c r="L40" s="1211"/>
      <c r="M40" s="1208"/>
      <c r="N40" s="1213"/>
      <c r="O40" s="1213"/>
      <c r="P40" s="1213"/>
      <c r="Q40" s="1208"/>
      <c r="R40" s="1208"/>
      <c r="S40" s="1208"/>
      <c r="T40" s="1208"/>
      <c r="U40" s="1208"/>
      <c r="V40" s="1208"/>
      <c r="W40" s="1274" t="s">
        <v>484</v>
      </c>
    </row>
    <row r="41" spans="1:23" ht="25.5" customHeight="1">
      <c r="A41" s="2080" t="s">
        <v>266</v>
      </c>
      <c r="B41" s="2142" t="s">
        <v>362</v>
      </c>
      <c r="C41" s="2066" t="s">
        <v>795</v>
      </c>
      <c r="D41" s="1220"/>
      <c r="E41" s="2069" t="s">
        <v>268</v>
      </c>
      <c r="F41" s="2069"/>
      <c r="G41" s="2069"/>
      <c r="H41" s="2069"/>
      <c r="I41" s="2069"/>
      <c r="J41" s="1221"/>
      <c r="K41" s="2079" t="s">
        <v>269</v>
      </c>
      <c r="L41" s="2079"/>
      <c r="M41" s="2079"/>
      <c r="N41" s="2079"/>
      <c r="O41" s="2079"/>
      <c r="P41" s="2079"/>
      <c r="Q41" s="2079"/>
      <c r="R41" s="2079"/>
      <c r="S41" s="1220"/>
      <c r="T41" s="1221"/>
      <c r="U41" s="1221"/>
      <c r="V41" s="1222"/>
      <c r="W41" s="2266" t="s">
        <v>270</v>
      </c>
    </row>
    <row r="42" spans="1:23" ht="25.5" customHeight="1">
      <c r="A42" s="2127"/>
      <c r="B42" s="2143"/>
      <c r="C42" s="2078"/>
      <c r="D42" s="1223" t="s">
        <v>271</v>
      </c>
      <c r="E42" s="2074">
        <v>76960</v>
      </c>
      <c r="F42" s="2074"/>
      <c r="G42" s="2074"/>
      <c r="H42" s="2074"/>
      <c r="I42" s="2074"/>
      <c r="J42" s="1223" t="s">
        <v>272</v>
      </c>
      <c r="K42" s="2075">
        <v>760</v>
      </c>
      <c r="L42" s="2075"/>
      <c r="M42" s="2075"/>
      <c r="N42" s="2075"/>
      <c r="O42" s="2075"/>
      <c r="P42" s="2075"/>
      <c r="Q42" s="2075"/>
      <c r="R42" s="2075"/>
      <c r="S42" s="1224" t="s">
        <v>273</v>
      </c>
      <c r="T42" s="1223"/>
      <c r="U42" s="1223"/>
      <c r="V42" s="1225"/>
      <c r="W42" s="2407"/>
    </row>
    <row r="43" spans="1:23" ht="25.5" customHeight="1">
      <c r="A43" s="2127"/>
      <c r="B43" s="2143"/>
      <c r="C43" s="2067"/>
      <c r="D43" s="1226"/>
      <c r="E43" s="1227"/>
      <c r="F43" s="1227"/>
      <c r="G43" s="1227"/>
      <c r="H43" s="1227"/>
      <c r="I43" s="2076" t="s">
        <v>274</v>
      </c>
      <c r="J43" s="2076"/>
      <c r="K43" s="2076"/>
      <c r="L43" s="2076"/>
      <c r="M43" s="2076"/>
      <c r="N43" s="2076"/>
      <c r="O43" s="2076"/>
      <c r="P43" s="2076"/>
      <c r="Q43" s="2076"/>
      <c r="R43" s="2076"/>
      <c r="S43" s="2076"/>
      <c r="T43" s="2076"/>
      <c r="U43" s="2076"/>
      <c r="V43" s="2077"/>
      <c r="W43" s="2407"/>
    </row>
    <row r="44" spans="1:23" ht="25.5" customHeight="1">
      <c r="A44" s="2127"/>
      <c r="B44" s="2143"/>
      <c r="C44" s="2066" t="s">
        <v>1070</v>
      </c>
      <c r="D44" s="1220"/>
      <c r="E44" s="2069" t="s">
        <v>268</v>
      </c>
      <c r="F44" s="2069"/>
      <c r="G44" s="2069"/>
      <c r="H44" s="2069"/>
      <c r="I44" s="2069"/>
      <c r="J44" s="1221"/>
      <c r="K44" s="2079" t="s">
        <v>269</v>
      </c>
      <c r="L44" s="2079"/>
      <c r="M44" s="2079"/>
      <c r="N44" s="2079"/>
      <c r="O44" s="2079"/>
      <c r="P44" s="2079"/>
      <c r="Q44" s="2079"/>
      <c r="R44" s="2079"/>
      <c r="S44" s="1220"/>
      <c r="T44" s="1221"/>
      <c r="U44" s="1221"/>
      <c r="V44" s="1222"/>
      <c r="W44" s="2407"/>
    </row>
    <row r="45" spans="1:23" ht="25.5" customHeight="1">
      <c r="A45" s="2127"/>
      <c r="B45" s="2143"/>
      <c r="C45" s="2078"/>
      <c r="D45" s="1223" t="s">
        <v>271</v>
      </c>
      <c r="E45" s="2074">
        <v>50000</v>
      </c>
      <c r="F45" s="2074"/>
      <c r="G45" s="2074"/>
      <c r="H45" s="2074"/>
      <c r="I45" s="2074"/>
      <c r="J45" s="1223" t="s">
        <v>272</v>
      </c>
      <c r="K45" s="2075">
        <v>500</v>
      </c>
      <c r="L45" s="2075"/>
      <c r="M45" s="2075"/>
      <c r="N45" s="2075"/>
      <c r="O45" s="2075"/>
      <c r="P45" s="2075"/>
      <c r="Q45" s="2075"/>
      <c r="R45" s="2075"/>
      <c r="S45" s="1224" t="s">
        <v>273</v>
      </c>
      <c r="T45" s="1223"/>
      <c r="U45" s="1223"/>
      <c r="V45" s="1225"/>
      <c r="W45" s="2407"/>
    </row>
    <row r="46" spans="1:23" ht="25.5" customHeight="1">
      <c r="A46" s="2127"/>
      <c r="B46" s="2143"/>
      <c r="C46" s="2067"/>
      <c r="D46" s="1226"/>
      <c r="E46" s="1227"/>
      <c r="F46" s="1227"/>
      <c r="G46" s="1227"/>
      <c r="H46" s="1227"/>
      <c r="I46" s="2076" t="s">
        <v>274</v>
      </c>
      <c r="J46" s="2076"/>
      <c r="K46" s="2076"/>
      <c r="L46" s="2076"/>
      <c r="M46" s="2076"/>
      <c r="N46" s="2076"/>
      <c r="O46" s="2076"/>
      <c r="P46" s="2076"/>
      <c r="Q46" s="2076"/>
      <c r="R46" s="2076"/>
      <c r="S46" s="2076"/>
      <c r="T46" s="2076"/>
      <c r="U46" s="2076"/>
      <c r="V46" s="2077"/>
      <c r="W46" s="2407"/>
    </row>
    <row r="47" spans="1:23" ht="25.5" customHeight="1">
      <c r="A47" s="2127"/>
      <c r="B47" s="2143"/>
      <c r="C47" s="2066" t="s">
        <v>1071</v>
      </c>
      <c r="D47" s="2068" t="s">
        <v>268</v>
      </c>
      <c r="E47" s="2069"/>
      <c r="F47" s="2069"/>
      <c r="G47" s="2069"/>
      <c r="H47" s="2069"/>
      <c r="I47" s="2069"/>
      <c r="J47" s="2069"/>
      <c r="K47" s="2069"/>
      <c r="L47" s="2069"/>
      <c r="M47" s="1228"/>
      <c r="N47" s="1228"/>
      <c r="O47" s="1228"/>
      <c r="P47" s="1228"/>
      <c r="Q47" s="1228"/>
      <c r="R47" s="1228"/>
      <c r="S47" s="1228"/>
      <c r="T47" s="1228"/>
      <c r="U47" s="1228"/>
      <c r="V47" s="1229"/>
      <c r="W47" s="2407"/>
    </row>
    <row r="48" spans="1:23" ht="25.5" customHeight="1">
      <c r="A48" s="2128"/>
      <c r="B48" s="2144"/>
      <c r="C48" s="2067"/>
      <c r="D48" s="2070">
        <v>10000</v>
      </c>
      <c r="E48" s="2071"/>
      <c r="F48" s="2071"/>
      <c r="G48" s="2071"/>
      <c r="H48" s="2071"/>
      <c r="I48" s="2071"/>
      <c r="J48" s="2072" t="s">
        <v>275</v>
      </c>
      <c r="K48" s="2072"/>
      <c r="L48" s="2072"/>
      <c r="M48" s="2072"/>
      <c r="N48" s="2072"/>
      <c r="O48" s="2072"/>
      <c r="P48" s="2072"/>
      <c r="Q48" s="2072"/>
      <c r="R48" s="2072"/>
      <c r="S48" s="2072"/>
      <c r="T48" s="2072"/>
      <c r="U48" s="2072"/>
      <c r="V48" s="2073"/>
      <c r="W48" s="2136"/>
    </row>
    <row r="49" spans="1:23" ht="25.5" customHeight="1">
      <c r="A49" s="1117"/>
      <c r="B49" s="1117"/>
      <c r="C49" s="1211"/>
      <c r="D49" s="1212"/>
      <c r="E49" s="1212"/>
      <c r="F49" s="1212"/>
      <c r="G49" s="1212"/>
      <c r="H49" s="1213"/>
      <c r="I49" s="1213"/>
      <c r="J49" s="1213"/>
      <c r="K49" s="1213"/>
      <c r="L49" s="1211"/>
      <c r="M49" s="1208"/>
      <c r="N49" s="1213"/>
      <c r="O49" s="1213"/>
      <c r="P49" s="1213"/>
      <c r="Q49" s="1208"/>
      <c r="R49" s="1208"/>
      <c r="S49" s="1208"/>
      <c r="T49" s="1208"/>
      <c r="U49" s="1208"/>
      <c r="V49" s="1208"/>
      <c r="W49" s="1274" t="s">
        <v>484</v>
      </c>
    </row>
    <row r="50" spans="1:23" ht="25.5" customHeight="1">
      <c r="A50" s="1119" t="s">
        <v>1134</v>
      </c>
      <c r="B50" s="1120" t="s">
        <v>1127</v>
      </c>
      <c r="C50" s="2092">
        <v>75000</v>
      </c>
      <c r="D50" s="2092"/>
      <c r="E50" s="2092"/>
      <c r="F50" s="2092"/>
      <c r="G50" s="2092"/>
      <c r="H50" s="2092"/>
      <c r="I50" s="2092"/>
      <c r="J50" s="2092"/>
      <c r="K50" s="2092"/>
      <c r="L50" s="2092"/>
      <c r="M50" s="2092"/>
      <c r="N50" s="2092"/>
      <c r="O50" s="2092"/>
      <c r="P50" s="2092"/>
      <c r="Q50" s="2092"/>
      <c r="R50" s="2092"/>
      <c r="S50" s="2092"/>
      <c r="T50" s="2092"/>
      <c r="U50" s="2092"/>
      <c r="V50" s="2093"/>
      <c r="W50" s="1329" t="s">
        <v>479</v>
      </c>
    </row>
    <row r="51" spans="1:23" ht="25.5" customHeight="1">
      <c r="A51" s="2141"/>
      <c r="B51" s="2141"/>
      <c r="C51" s="2141"/>
      <c r="D51" s="2141"/>
      <c r="E51" s="2141"/>
      <c r="F51" s="2141"/>
      <c r="G51" s="2141"/>
      <c r="H51" s="2141"/>
      <c r="I51" s="2141"/>
      <c r="J51" s="2141"/>
      <c r="K51" s="2141"/>
      <c r="L51" s="2141"/>
      <c r="M51" s="2141"/>
      <c r="N51" s="2141"/>
      <c r="O51" s="2141"/>
      <c r="P51" s="2141"/>
      <c r="Q51" s="2141"/>
      <c r="R51" s="2141"/>
      <c r="S51" s="2141"/>
      <c r="T51" s="2141"/>
      <c r="U51" s="2141"/>
      <c r="V51" s="2141"/>
      <c r="W51" s="2141"/>
    </row>
    <row r="52" spans="1:23" ht="25.5" customHeight="1">
      <c r="A52" s="2141" t="s">
        <v>215</v>
      </c>
      <c r="B52" s="2141"/>
      <c r="C52" s="2141"/>
      <c r="D52" s="2141"/>
      <c r="E52" s="2141"/>
      <c r="F52" s="2141"/>
      <c r="G52" s="2141"/>
      <c r="H52" s="2141"/>
      <c r="I52" s="2141"/>
      <c r="J52" s="2141"/>
      <c r="K52" s="2141"/>
      <c r="L52" s="2141"/>
      <c r="M52" s="2141"/>
      <c r="N52" s="2141"/>
      <c r="O52" s="2141"/>
      <c r="P52" s="2141"/>
      <c r="Q52" s="2141"/>
      <c r="R52" s="2141"/>
      <c r="S52" s="2141"/>
      <c r="T52" s="2141"/>
      <c r="U52" s="2141"/>
      <c r="V52" s="2141"/>
      <c r="W52" s="2141"/>
    </row>
    <row r="53" spans="1:23" ht="25.5" customHeight="1">
      <c r="A53" s="136" t="s">
        <v>216</v>
      </c>
      <c r="B53" s="136"/>
      <c r="C53" s="136"/>
      <c r="D53" s="136"/>
      <c r="E53" s="136"/>
      <c r="F53" s="136"/>
      <c r="G53" s="136"/>
      <c r="H53" s="136"/>
      <c r="I53" s="136"/>
      <c r="J53" s="136"/>
      <c r="K53" s="136"/>
      <c r="L53" s="136"/>
      <c r="M53" s="136"/>
      <c r="N53" s="136"/>
      <c r="O53" s="136"/>
      <c r="P53" s="136"/>
      <c r="Q53" s="136"/>
      <c r="R53" s="136"/>
      <c r="S53" s="136"/>
      <c r="T53" s="136"/>
      <c r="U53" s="136"/>
      <c r="V53" s="136"/>
      <c r="W53" s="137"/>
    </row>
  </sheetData>
  <sheetProtection algorithmName="SHA-512" hashValue="JCkR0jYWK0uDgIrYvS9rRIEq0KqMuj/Q4EvZZeHaReqHduORT+KRyO7R1UTdp4QGRiDiLRR3ixKJQH+blcOJig==" saltValue="48RWZEjgKvy8GgoDtvHNLg==" spinCount="100000" sheet="1" objects="1" scenarios="1" selectLockedCells="1"/>
  <customSheetViews>
    <customSheetView guid="{2E52E5FF-9846-4DC5-A671-268FE925398C}" scale="90" showPageBreaks="1" printArea="1" state="hidden" view="pageBreakPreview" topLeftCell="A22">
      <selection activeCell="K39" sqref="K39"/>
      <pageMargins left="0.39370078740157483" right="0.39370078740157483" top="0.39370078740157483" bottom="0.39370078740157483" header="0.31496062992125984" footer="0.15748031496062992"/>
      <printOptions horizontalCentered="1"/>
      <pageSetup paperSize="9" scale="71" orientation="portrait" r:id="rId1"/>
      <headerFooter alignWithMargins="0"/>
    </customSheetView>
    <customSheetView guid="{BADA99B3-B36A-4925-87A7-F72FC97D3DBA}" scale="90" showPageBreaks="1" printArea="1" state="hidden" view="pageBreakPreview" topLeftCell="A22">
      <selection activeCell="K39" sqref="K39"/>
      <pageMargins left="0.39370078740157483" right="0.39370078740157483" top="0.39370078740157483" bottom="0.39370078740157483" header="0.31496062992125984" footer="0.15748031496062992"/>
      <printOptions horizontalCentered="1"/>
      <pageSetup paperSize="9" scale="71" orientation="portrait" r:id="rId2"/>
      <headerFooter alignWithMargins="0"/>
    </customSheetView>
  </customSheetViews>
  <mergeCells count="91">
    <mergeCell ref="A14:A15"/>
    <mergeCell ref="B14:B15"/>
    <mergeCell ref="C14:C15"/>
    <mergeCell ref="D14:I14"/>
    <mergeCell ref="K14:V14"/>
    <mergeCell ref="W14:W15"/>
    <mergeCell ref="M15:V15"/>
    <mergeCell ref="A21:A24"/>
    <mergeCell ref="B21:B24"/>
    <mergeCell ref="C21:C22"/>
    <mergeCell ref="D21:V22"/>
    <mergeCell ref="W21:W24"/>
    <mergeCell ref="C23:C24"/>
    <mergeCell ref="D23:V24"/>
    <mergeCell ref="A17:A19"/>
    <mergeCell ref="B17:B19"/>
    <mergeCell ref="C17:G17"/>
    <mergeCell ref="H17:L17"/>
    <mergeCell ref="M17:Q17"/>
    <mergeCell ref="C18:G18"/>
    <mergeCell ref="H18:L18"/>
    <mergeCell ref="A52:W52"/>
    <mergeCell ref="C32:K33"/>
    <mergeCell ref="L32:O32"/>
    <mergeCell ref="L33:V33"/>
    <mergeCell ref="C34:K35"/>
    <mergeCell ref="L34:O34"/>
    <mergeCell ref="L35:V35"/>
    <mergeCell ref="C37:V37"/>
    <mergeCell ref="C39:V39"/>
    <mergeCell ref="W30:W35"/>
    <mergeCell ref="C50:V50"/>
    <mergeCell ref="A51:W51"/>
    <mergeCell ref="L30:O30"/>
    <mergeCell ref="L31:V31"/>
    <mergeCell ref="B30:B35"/>
    <mergeCell ref="A41:A48"/>
    <mergeCell ref="A30:A35"/>
    <mergeCell ref="C30:K31"/>
    <mergeCell ref="W3:W8"/>
    <mergeCell ref="E4:I4"/>
    <mergeCell ref="K4:R4"/>
    <mergeCell ref="M5:V5"/>
    <mergeCell ref="C6:C8"/>
    <mergeCell ref="A3:A8"/>
    <mergeCell ref="B3:B8"/>
    <mergeCell ref="C3:C5"/>
    <mergeCell ref="E3:I3"/>
    <mergeCell ref="K3:R3"/>
    <mergeCell ref="E6:I6"/>
    <mergeCell ref="K6:R6"/>
    <mergeCell ref="E7:I7"/>
    <mergeCell ref="K7:R7"/>
    <mergeCell ref="M8:V8"/>
    <mergeCell ref="A10:A12"/>
    <mergeCell ref="B10:B12"/>
    <mergeCell ref="C10:V10"/>
    <mergeCell ref="C11:K11"/>
    <mergeCell ref="L11:N11"/>
    <mergeCell ref="O11:V11"/>
    <mergeCell ref="C12:K12"/>
    <mergeCell ref="L12:N12"/>
    <mergeCell ref="O12:V12"/>
    <mergeCell ref="M18:Q18"/>
    <mergeCell ref="C19:G19"/>
    <mergeCell ref="H19:L19"/>
    <mergeCell ref="M19:V19"/>
    <mergeCell ref="C26:V26"/>
    <mergeCell ref="C28:V28"/>
    <mergeCell ref="B41:B48"/>
    <mergeCell ref="W41:W48"/>
    <mergeCell ref="W10:W12"/>
    <mergeCell ref="R17:V17"/>
    <mergeCell ref="W17:W19"/>
    <mergeCell ref="R18:V18"/>
    <mergeCell ref="C41:C43"/>
    <mergeCell ref="E41:I41"/>
    <mergeCell ref="K41:R41"/>
    <mergeCell ref="E42:I42"/>
    <mergeCell ref="K42:R42"/>
    <mergeCell ref="I43:V43"/>
    <mergeCell ref="C44:C46"/>
    <mergeCell ref="E44:I44"/>
    <mergeCell ref="K44:R44"/>
    <mergeCell ref="E45:I45"/>
    <mergeCell ref="K45:R45"/>
    <mergeCell ref="I46:V46"/>
    <mergeCell ref="C47:C48"/>
    <mergeCell ref="D47:L47"/>
    <mergeCell ref="D48:I48"/>
    <mergeCell ref="J48:V48"/>
  </mergeCells>
  <phoneticPr fontId="4"/>
  <conditionalFormatting sqref="W41:W48">
    <cfRule type="expression" dxfId="14" priority="7">
      <formula>W41&lt;#REF!</formula>
    </cfRule>
    <cfRule type="expression" dxfId="13" priority="8">
      <formula>W41&gt;#REF!</formula>
    </cfRule>
  </conditionalFormatting>
  <conditionalFormatting sqref="W21:W24">
    <cfRule type="expression" dxfId="12" priority="5">
      <formula>W21&lt;W21</formula>
    </cfRule>
    <cfRule type="expression" dxfId="11" priority="6">
      <formula>W21&gt;W21</formula>
    </cfRule>
  </conditionalFormatting>
  <conditionalFormatting sqref="A25:V50 A3:V20">
    <cfRule type="expression" dxfId="10" priority="3">
      <formula>A3&lt;#REF!</formula>
    </cfRule>
    <cfRule type="expression" dxfId="9" priority="4">
      <formula>A3&gt;#REF!</formula>
    </cfRule>
  </conditionalFormatting>
  <conditionalFormatting sqref="A21:D21 A23:D23 A22:B22 A24:B24">
    <cfRule type="expression" dxfId="8" priority="1">
      <formula>A21&lt;A21</formula>
    </cfRule>
    <cfRule type="expression" dxfId="7" priority="2">
      <formula>A21&gt;A21</formula>
    </cfRule>
  </conditionalFormatting>
  <printOptions horizontalCentered="1"/>
  <pageMargins left="0.39370078740157483" right="0.39370078740157483" top="0.39370078740157483" bottom="0.39370078740157483" header="0.31496062992125984" footer="0.15748031496062992"/>
  <pageSetup paperSize="9" scale="71"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54782-9ABF-4B37-A833-0587447B4AEE}">
  <sheetPr>
    <tabColor rgb="FF00B050"/>
  </sheetPr>
  <dimension ref="B6:P161"/>
  <sheetViews>
    <sheetView showGridLines="0" tabSelected="1" zoomScale="70" zoomScaleNormal="70" workbookViewId="0">
      <selection activeCell="A2" sqref="A2"/>
    </sheetView>
  </sheetViews>
  <sheetFormatPr defaultRowHeight="13.5"/>
  <sheetData>
    <row r="6" spans="2:16" ht="30.75" customHeight="1">
      <c r="B6" s="1383" t="s">
        <v>1385</v>
      </c>
      <c r="C6" s="1378"/>
      <c r="P6" s="1380"/>
    </row>
    <row r="7" spans="2:16" ht="30.75" customHeight="1">
      <c r="B7" s="1383" t="s">
        <v>1353</v>
      </c>
      <c r="C7" s="1378"/>
      <c r="P7" s="1384"/>
    </row>
    <row r="8" spans="2:16" ht="30.75" customHeight="1">
      <c r="B8" s="1383" t="s">
        <v>1386</v>
      </c>
      <c r="C8" s="1378"/>
      <c r="P8" s="1380"/>
    </row>
    <row r="9" spans="2:16" ht="30.75" customHeight="1">
      <c r="B9" s="1383" t="s">
        <v>1387</v>
      </c>
      <c r="C9" s="1378"/>
      <c r="P9" s="1380"/>
    </row>
    <row r="10" spans="2:16" ht="30.75" customHeight="1">
      <c r="B10" s="1383"/>
      <c r="C10" s="1378"/>
      <c r="P10" s="1380"/>
    </row>
    <row r="11" spans="2:16" ht="63" customHeight="1">
      <c r="B11" s="1383"/>
      <c r="C11" s="1378"/>
      <c r="P11" s="1380"/>
    </row>
    <row r="12" spans="2:16" ht="30.75" customHeight="1">
      <c r="B12" s="1380" t="s">
        <v>1354</v>
      </c>
      <c r="C12" s="1378"/>
      <c r="P12" s="1380"/>
    </row>
    <row r="13" spans="2:16" ht="30.75" customHeight="1">
      <c r="B13" s="1380" t="s">
        <v>1355</v>
      </c>
      <c r="C13" s="1378"/>
      <c r="P13" s="1380"/>
    </row>
    <row r="14" spans="2:16" ht="30.75" customHeight="1">
      <c r="B14" s="1380"/>
      <c r="C14" s="1378"/>
      <c r="P14" s="1380"/>
    </row>
    <row r="15" spans="2:16" ht="30.75" customHeight="1">
      <c r="B15" s="1380"/>
      <c r="C15" s="1378"/>
      <c r="P15" s="1380"/>
    </row>
    <row r="16" spans="2:16" ht="30.75" customHeight="1">
      <c r="B16" s="1380"/>
      <c r="C16" s="1378"/>
      <c r="P16" s="1380"/>
    </row>
    <row r="17" spans="2:16" ht="30.75" customHeight="1">
      <c r="B17" s="1380"/>
      <c r="C17" s="1378"/>
      <c r="P17" s="1380"/>
    </row>
    <row r="18" spans="2:16" ht="30.75" customHeight="1">
      <c r="B18" s="1380"/>
      <c r="C18" s="1378"/>
      <c r="P18" s="1380"/>
    </row>
    <row r="19" spans="2:16" ht="30.75" customHeight="1">
      <c r="B19" s="1380"/>
      <c r="C19" s="1378"/>
      <c r="P19" s="1380"/>
    </row>
    <row r="20" spans="2:16" ht="30.75" customHeight="1">
      <c r="B20" s="1380"/>
      <c r="C20" s="1378"/>
      <c r="P20" s="1380"/>
    </row>
    <row r="21" spans="2:16" ht="30.75" customHeight="1">
      <c r="B21" s="1380"/>
      <c r="C21" s="1378"/>
      <c r="P21" s="1380"/>
    </row>
    <row r="22" spans="2:16" ht="30.75" customHeight="1">
      <c r="B22" s="1380"/>
      <c r="C22" s="1378"/>
      <c r="P22" s="1380"/>
    </row>
    <row r="23" spans="2:16" ht="30.75" customHeight="1">
      <c r="B23" s="1380"/>
      <c r="C23" s="1378"/>
      <c r="P23" s="1380"/>
    </row>
    <row r="24" spans="2:16" ht="30.75" customHeight="1">
      <c r="B24" s="1380"/>
      <c r="C24" s="1378"/>
      <c r="P24" s="1380"/>
    </row>
    <row r="25" spans="2:16" ht="30.75" customHeight="1">
      <c r="B25" s="1380"/>
      <c r="C25" s="1378"/>
      <c r="P25" s="1380"/>
    </row>
    <row r="26" spans="2:16" ht="30.75" customHeight="1">
      <c r="B26" s="1380"/>
      <c r="C26" s="1378"/>
      <c r="P26" s="1380"/>
    </row>
    <row r="27" spans="2:16" ht="65.25" customHeight="1">
      <c r="B27" s="1379"/>
      <c r="P27" s="1379"/>
    </row>
    <row r="28" spans="2:16" ht="30.75" customHeight="1">
      <c r="B28" s="1380" t="s">
        <v>1362</v>
      </c>
      <c r="P28" s="1379"/>
    </row>
    <row r="29" spans="2:16" ht="30.75" customHeight="1">
      <c r="B29" s="1380"/>
      <c r="P29" s="1379"/>
    </row>
    <row r="30" spans="2:16" ht="30.75" customHeight="1">
      <c r="B30" s="1380"/>
      <c r="P30" s="1379"/>
    </row>
    <row r="31" spans="2:16" ht="30.75" customHeight="1">
      <c r="B31" s="1380" t="s">
        <v>1361</v>
      </c>
      <c r="P31" s="1379"/>
    </row>
    <row r="32" spans="2:16" ht="30.75" customHeight="1">
      <c r="B32" s="1380"/>
      <c r="P32" s="1379"/>
    </row>
    <row r="33" spans="2:16" ht="30.75" customHeight="1">
      <c r="B33" s="1380"/>
      <c r="P33" s="1379"/>
    </row>
    <row r="34" spans="2:16" s="1381" customFormat="1" ht="30.75" customHeight="1">
      <c r="B34" s="1380" t="s">
        <v>1364</v>
      </c>
      <c r="P34" s="1380"/>
    </row>
    <row r="35" spans="2:16" s="1381" customFormat="1" ht="30.75" customHeight="1">
      <c r="B35" s="1380"/>
      <c r="P35" s="1384"/>
    </row>
    <row r="36" spans="2:16" s="1381" customFormat="1" ht="30.75" customHeight="1">
      <c r="B36" s="1380"/>
      <c r="P36" s="1384"/>
    </row>
    <row r="37" spans="2:16" s="1381" customFormat="1" ht="30.75" customHeight="1">
      <c r="B37" s="1380"/>
      <c r="P37" s="1384"/>
    </row>
    <row r="38" spans="2:16" s="1381" customFormat="1" ht="30.75" customHeight="1">
      <c r="B38" s="1380"/>
      <c r="P38" s="1384"/>
    </row>
    <row r="39" spans="2:16" s="1381" customFormat="1" ht="30.75" customHeight="1">
      <c r="B39" s="1380"/>
      <c r="P39" s="1384"/>
    </row>
    <row r="40" spans="2:16" s="1381" customFormat="1" ht="30.75" customHeight="1">
      <c r="B40" s="1380"/>
      <c r="P40" s="1384"/>
    </row>
    <row r="41" spans="2:16" s="1381" customFormat="1" ht="30.75" customHeight="1">
      <c r="B41" s="1380"/>
      <c r="P41" s="1384"/>
    </row>
    <row r="42" spans="2:16" s="1381" customFormat="1" ht="30.75" customHeight="1">
      <c r="B42" s="1380"/>
      <c r="P42" s="1384"/>
    </row>
    <row r="43" spans="2:16" s="1381" customFormat="1" ht="30.75" customHeight="1">
      <c r="B43" s="1380"/>
      <c r="P43" s="1384"/>
    </row>
    <row r="44" spans="2:16" s="1381" customFormat="1" ht="30.75" customHeight="1">
      <c r="B44" s="1380"/>
      <c r="P44" s="1384"/>
    </row>
    <row r="45" spans="2:16" s="1381" customFormat="1" ht="30.75" customHeight="1">
      <c r="B45" s="1380"/>
      <c r="P45" s="1384"/>
    </row>
    <row r="46" spans="2:16" s="1381" customFormat="1" ht="30.75" customHeight="1">
      <c r="B46" s="1380"/>
      <c r="P46" s="1384"/>
    </row>
    <row r="47" spans="2:16" s="1381" customFormat="1" ht="30.75" customHeight="1">
      <c r="B47" s="1380"/>
      <c r="P47" s="1384"/>
    </row>
    <row r="48" spans="2:16" s="1381" customFormat="1" ht="30.75" customHeight="1">
      <c r="B48" s="1380"/>
      <c r="P48" s="1384"/>
    </row>
    <row r="49" spans="2:16" s="1381" customFormat="1" ht="30.75" customHeight="1">
      <c r="B49" s="1380"/>
      <c r="P49" s="1384"/>
    </row>
    <row r="50" spans="2:16" s="1381" customFormat="1" ht="30.75" customHeight="1">
      <c r="B50" s="1380"/>
      <c r="P50" s="1384"/>
    </row>
    <row r="51" spans="2:16" s="1381" customFormat="1" ht="30.75" customHeight="1">
      <c r="B51" s="1380"/>
      <c r="P51" s="1384"/>
    </row>
    <row r="52" spans="2:16" s="1381" customFormat="1" ht="30.75" customHeight="1">
      <c r="B52" s="1380"/>
      <c r="P52" s="1384"/>
    </row>
    <row r="53" spans="2:16" s="1381" customFormat="1" ht="30.75" customHeight="1">
      <c r="B53" s="1380"/>
      <c r="P53" s="1384"/>
    </row>
    <row r="54" spans="2:16" s="1381" customFormat="1" ht="30.75" customHeight="1">
      <c r="B54" s="1380"/>
      <c r="P54" s="1384"/>
    </row>
    <row r="55" spans="2:16" s="1381" customFormat="1" ht="30.75" customHeight="1">
      <c r="B55" s="1380" t="s">
        <v>1365</v>
      </c>
      <c r="P55" s="1384"/>
    </row>
    <row r="56" spans="2:16" s="1381" customFormat="1" ht="30.75" customHeight="1">
      <c r="B56" s="1380" t="s">
        <v>1367</v>
      </c>
      <c r="P56" s="1384"/>
    </row>
    <row r="57" spans="2:16" s="1381" customFormat="1" ht="30.75" customHeight="1">
      <c r="B57" s="1380"/>
      <c r="P57" s="1384"/>
    </row>
    <row r="58" spans="2:16" s="1381" customFormat="1" ht="30.75" customHeight="1">
      <c r="B58" s="1380"/>
      <c r="P58" s="1384"/>
    </row>
    <row r="59" spans="2:16" s="1381" customFormat="1" ht="30.75" customHeight="1">
      <c r="B59" s="1380"/>
      <c r="P59" s="1384"/>
    </row>
    <row r="60" spans="2:16" s="1381" customFormat="1" ht="30.75" customHeight="1">
      <c r="B60" s="1380"/>
      <c r="P60" s="1384"/>
    </row>
    <row r="61" spans="2:16" s="1381" customFormat="1" ht="30.75" customHeight="1">
      <c r="B61" s="1380" t="s">
        <v>1366</v>
      </c>
      <c r="P61" s="1384"/>
    </row>
    <row r="62" spans="2:16" s="1381" customFormat="1" ht="30.75" customHeight="1">
      <c r="B62" s="1380"/>
      <c r="P62" s="1384"/>
    </row>
    <row r="63" spans="2:16" s="1381" customFormat="1" ht="30.75" customHeight="1">
      <c r="B63" s="1380"/>
      <c r="P63" s="1384"/>
    </row>
    <row r="64" spans="2:16" s="1381" customFormat="1" ht="30.75" customHeight="1">
      <c r="B64" s="1380"/>
      <c r="P64" s="1384"/>
    </row>
    <row r="65" spans="2:16" s="1381" customFormat="1" ht="30.75" customHeight="1">
      <c r="B65" s="1380"/>
      <c r="P65" s="1384"/>
    </row>
    <row r="66" spans="2:16" s="1381" customFormat="1" ht="30.75" customHeight="1">
      <c r="B66" s="1380"/>
      <c r="P66" s="1384"/>
    </row>
    <row r="67" spans="2:16" s="1381" customFormat="1" ht="30.75" customHeight="1">
      <c r="B67" s="1380"/>
      <c r="P67" s="1384"/>
    </row>
    <row r="68" spans="2:16" s="1381" customFormat="1" ht="30.75" customHeight="1">
      <c r="B68" s="1380"/>
      <c r="P68" s="1384"/>
    </row>
    <row r="69" spans="2:16" s="1381" customFormat="1" ht="30.75" customHeight="1">
      <c r="B69" s="1380"/>
      <c r="P69" s="1384"/>
    </row>
    <row r="70" spans="2:16" s="1381" customFormat="1" ht="30.75" customHeight="1">
      <c r="B70" s="1380"/>
      <c r="P70" s="1384"/>
    </row>
    <row r="71" spans="2:16" s="1381" customFormat="1" ht="30.75" customHeight="1">
      <c r="B71" s="1380"/>
      <c r="P71" s="1384"/>
    </row>
    <row r="72" spans="2:16" s="1381" customFormat="1" ht="30.75" customHeight="1">
      <c r="B72" s="1380"/>
      <c r="P72" s="1384"/>
    </row>
    <row r="73" spans="2:16" s="1381" customFormat="1" ht="30.75" customHeight="1">
      <c r="B73" s="1380"/>
      <c r="P73" s="1384"/>
    </row>
    <row r="74" spans="2:16" s="1381" customFormat="1" ht="30.75" customHeight="1">
      <c r="B74" s="1380"/>
      <c r="P74" s="1384"/>
    </row>
    <row r="75" spans="2:16" s="1382" customFormat="1" ht="78" customHeight="1">
      <c r="B75" s="1379"/>
      <c r="P75" s="1380"/>
    </row>
    <row r="76" spans="2:16" ht="30.75" customHeight="1">
      <c r="B76" s="1380" t="s">
        <v>1359</v>
      </c>
    </row>
    <row r="77" spans="2:16" ht="30.75" customHeight="1">
      <c r="B77" s="1380" t="s">
        <v>1357</v>
      </c>
    </row>
    <row r="78" spans="2:16" ht="30.75" customHeight="1">
      <c r="B78" s="1383"/>
    </row>
    <row r="79" spans="2:16" ht="30.75" customHeight="1">
      <c r="B79" s="1383"/>
    </row>
    <row r="80" spans="2:16" ht="30.75" customHeight="1">
      <c r="B80" s="1380" t="s">
        <v>1356</v>
      </c>
    </row>
    <row r="81" spans="2:2" ht="30.75" customHeight="1">
      <c r="B81" s="1380"/>
    </row>
    <row r="82" spans="2:2" ht="30.75" customHeight="1">
      <c r="B82" s="1380"/>
    </row>
    <row r="83" spans="2:2" ht="30.75" customHeight="1">
      <c r="B83" s="1380"/>
    </row>
    <row r="84" spans="2:2" ht="30.75" customHeight="1">
      <c r="B84" s="1380"/>
    </row>
    <row r="85" spans="2:2" ht="30.75" customHeight="1">
      <c r="B85" s="1380"/>
    </row>
    <row r="86" spans="2:2" ht="30.75" customHeight="1">
      <c r="B86" s="1380"/>
    </row>
    <row r="87" spans="2:2" ht="30.75" customHeight="1">
      <c r="B87" s="1380"/>
    </row>
    <row r="88" spans="2:2" ht="30.75" customHeight="1">
      <c r="B88" s="1380"/>
    </row>
    <row r="89" spans="2:2" ht="30.75" customHeight="1">
      <c r="B89" s="1380"/>
    </row>
    <row r="90" spans="2:2" ht="30.75" customHeight="1">
      <c r="B90" s="1380"/>
    </row>
    <row r="91" spans="2:2" ht="30.75" customHeight="1">
      <c r="B91" s="1380" t="s">
        <v>1363</v>
      </c>
    </row>
    <row r="92" spans="2:2" ht="30.75" customHeight="1">
      <c r="B92" s="1380"/>
    </row>
    <row r="93" spans="2:2" ht="30.75" customHeight="1">
      <c r="B93" s="1380"/>
    </row>
    <row r="94" spans="2:2" ht="30.75" customHeight="1">
      <c r="B94" s="1380"/>
    </row>
    <row r="95" spans="2:2" ht="30.75" customHeight="1">
      <c r="B95" s="1380"/>
    </row>
    <row r="96" spans="2:2" ht="30.75" customHeight="1">
      <c r="B96" s="1380"/>
    </row>
    <row r="97" spans="2:2" ht="30.75" customHeight="1">
      <c r="B97" s="1380"/>
    </row>
    <row r="98" spans="2:2" ht="30.75" customHeight="1">
      <c r="B98" s="1380"/>
    </row>
    <row r="99" spans="2:2" ht="30.75" customHeight="1">
      <c r="B99" s="1380"/>
    </row>
    <row r="100" spans="2:2" ht="30.75" customHeight="1">
      <c r="B100" s="1380"/>
    </row>
    <row r="101" spans="2:2" ht="30.75" customHeight="1">
      <c r="B101" s="1380"/>
    </row>
    <row r="102" spans="2:2" ht="30.75" customHeight="1">
      <c r="B102" s="1380" t="s">
        <v>1368</v>
      </c>
    </row>
    <row r="103" spans="2:2" ht="30.75" customHeight="1">
      <c r="B103" s="1380"/>
    </row>
    <row r="104" spans="2:2" ht="30.75" customHeight="1">
      <c r="B104" s="1380"/>
    </row>
    <row r="105" spans="2:2" ht="30.75" customHeight="1">
      <c r="B105" s="1380"/>
    </row>
    <row r="106" spans="2:2" ht="30.75" customHeight="1">
      <c r="B106" s="1380"/>
    </row>
    <row r="107" spans="2:2" ht="30.75" customHeight="1">
      <c r="B107" s="1380"/>
    </row>
    <row r="108" spans="2:2" ht="30.75" customHeight="1">
      <c r="B108" s="1380"/>
    </row>
    <row r="109" spans="2:2" ht="30.75" customHeight="1">
      <c r="B109" s="1380"/>
    </row>
    <row r="110" spans="2:2" ht="30.75" customHeight="1">
      <c r="B110" s="1380"/>
    </row>
    <row r="111" spans="2:2" ht="30.75" customHeight="1">
      <c r="B111" s="1380"/>
    </row>
    <row r="112" spans="2:2" ht="30.75" customHeight="1">
      <c r="B112" s="1380"/>
    </row>
    <row r="113" spans="2:2" ht="30.75" customHeight="1">
      <c r="B113" s="1380"/>
    </row>
    <row r="114" spans="2:2" ht="30.75" customHeight="1">
      <c r="B114" s="1380"/>
    </row>
    <row r="115" spans="2:2" ht="30.75" customHeight="1">
      <c r="B115" s="1380"/>
    </row>
    <row r="116" spans="2:2" ht="30.75" customHeight="1">
      <c r="B116" s="1380"/>
    </row>
    <row r="117" spans="2:2" ht="30.75" customHeight="1">
      <c r="B117" s="1380"/>
    </row>
    <row r="118" spans="2:2" ht="30.75" customHeight="1">
      <c r="B118" s="1380"/>
    </row>
    <row r="119" spans="2:2" ht="30.75" customHeight="1">
      <c r="B119" s="1380"/>
    </row>
    <row r="120" spans="2:2" ht="30.75" customHeight="1">
      <c r="B120" s="1380"/>
    </row>
    <row r="121" spans="2:2" ht="30.75" customHeight="1">
      <c r="B121" s="1380"/>
    </row>
    <row r="122" spans="2:2" ht="78" customHeight="1"/>
    <row r="123" spans="2:2" ht="30.75" customHeight="1">
      <c r="B123" s="1380" t="s">
        <v>1360</v>
      </c>
    </row>
    <row r="124" spans="2:2" ht="30.75" customHeight="1">
      <c r="B124" s="1380" t="s">
        <v>1358</v>
      </c>
    </row>
    <row r="125" spans="2:2" ht="30.75" customHeight="1">
      <c r="B125" s="1380"/>
    </row>
    <row r="126" spans="2:2" ht="30.75" customHeight="1">
      <c r="B126" s="1380"/>
    </row>
    <row r="127" spans="2:2" ht="31.5" customHeight="1">
      <c r="B127" s="1380" t="s">
        <v>1388</v>
      </c>
    </row>
    <row r="128" spans="2:2" ht="31.5" customHeight="1">
      <c r="B128" s="1499" t="s">
        <v>1369</v>
      </c>
    </row>
    <row r="129" spans="2:2" ht="31.5" customHeight="1">
      <c r="B129" s="1385"/>
    </row>
    <row r="130" spans="2:2" ht="31.5" customHeight="1"/>
    <row r="131" spans="2:2" ht="31.5" customHeight="1"/>
    <row r="132" spans="2:2" ht="31.5" customHeight="1"/>
    <row r="133" spans="2:2" ht="31.5" customHeight="1"/>
    <row r="134" spans="2:2" ht="31.5" customHeight="1"/>
    <row r="135" spans="2:2" ht="31.5" customHeight="1"/>
    <row r="136" spans="2:2" ht="31.5" customHeight="1"/>
    <row r="137" spans="2:2" ht="31.5" customHeight="1"/>
    <row r="138" spans="2:2" ht="31.5" customHeight="1"/>
    <row r="139" spans="2:2" ht="31.5" customHeight="1"/>
    <row r="140" spans="2:2" ht="31.5" customHeight="1"/>
    <row r="141" spans="2:2" ht="31.5" customHeight="1"/>
    <row r="142" spans="2:2" ht="31.5" customHeight="1"/>
    <row r="143" spans="2:2" ht="31.5" customHeight="1"/>
    <row r="144" spans="2:2" ht="31.5" customHeight="1"/>
    <row r="145" spans="2:2" ht="31.5" customHeight="1"/>
    <row r="146" spans="2:2" ht="31.5" customHeight="1"/>
    <row r="147" spans="2:2" ht="31.5" customHeight="1"/>
    <row r="148" spans="2:2" ht="31.5" customHeight="1">
      <c r="B148" s="1380" t="s">
        <v>1384</v>
      </c>
    </row>
    <row r="149" spans="2:2" ht="31.5" customHeight="1"/>
    <row r="150" spans="2:2" ht="31.5" customHeight="1"/>
    <row r="151" spans="2:2" ht="31.5" customHeight="1"/>
    <row r="152" spans="2:2" ht="31.5" customHeight="1"/>
    <row r="153" spans="2:2" ht="31.5" customHeight="1"/>
    <row r="154" spans="2:2" ht="31.5" customHeight="1"/>
    <row r="155" spans="2:2" ht="31.5" customHeight="1"/>
    <row r="156" spans="2:2" ht="31.5" customHeight="1"/>
    <row r="157" spans="2:2" ht="31.5" customHeight="1"/>
    <row r="158" spans="2:2" ht="31.5" customHeight="1"/>
    <row r="159" spans="2:2" ht="31.5" customHeight="1"/>
    <row r="160" spans="2:2" ht="31.5" customHeight="1">
      <c r="B160" s="1380"/>
    </row>
    <row r="161" ht="31.5" customHeight="1"/>
  </sheetData>
  <sheetProtection algorithmName="SHA-512" hashValue="R+98MdRZir8AaA+Dd9xRMKUK/AC50r1H11rPW21AbaLI7yS1qTy4gochODRpAfU3Ufx0feiGiXmI3b2N85zxqA==" saltValue="l1XBNQSK/FhxvLUGXmVlQA==" spinCount="100000" sheet="1" objects="1" scenarios="1"/>
  <phoneticPr fontId="60"/>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8AD14-0CF2-4ACA-ADE1-48D89A4ACBBC}">
  <sheetPr>
    <tabColor rgb="FFFFFF00"/>
  </sheetPr>
  <dimension ref="A1:V583"/>
  <sheetViews>
    <sheetView view="pageBreakPreview" zoomScale="55" zoomScaleNormal="100" zoomScaleSheetLayoutView="55" workbookViewId="0">
      <selection activeCell="AA52" sqref="Y6:AB78"/>
    </sheetView>
  </sheetViews>
  <sheetFormatPr defaultRowHeight="13.5"/>
  <cols>
    <col min="1" max="1" width="5.625" style="1231" customWidth="1"/>
    <col min="2" max="2" width="7.5" style="1231" bestFit="1" customWidth="1"/>
    <col min="3" max="3" width="4.5" style="1231" bestFit="1" customWidth="1"/>
    <col min="4" max="4" width="8.375" style="1231" customWidth="1"/>
    <col min="5" max="16384" width="9" style="1232"/>
  </cols>
  <sheetData>
    <row r="1" spans="1:22" ht="18.75">
      <c r="A1" s="1230" t="s">
        <v>1270</v>
      </c>
    </row>
    <row r="3" spans="1:22">
      <c r="A3" s="2156" t="s">
        <v>1188</v>
      </c>
      <c r="B3" s="2156" t="s">
        <v>1189</v>
      </c>
      <c r="C3" s="2156" t="s">
        <v>1190</v>
      </c>
      <c r="D3" s="2156" t="s">
        <v>1191</v>
      </c>
      <c r="E3" s="2324" t="s">
        <v>1192</v>
      </c>
      <c r="F3" s="2325"/>
      <c r="G3" s="2325"/>
      <c r="H3" s="2325"/>
      <c r="I3" s="2325"/>
      <c r="J3" s="2325"/>
      <c r="K3" s="2325"/>
      <c r="L3" s="2325"/>
      <c r="M3" s="2325"/>
      <c r="N3" s="2325"/>
      <c r="O3" s="2325"/>
      <c r="P3" s="2325"/>
      <c r="Q3" s="2325"/>
      <c r="R3" s="2325"/>
      <c r="S3" s="2325"/>
      <c r="T3" s="2325"/>
      <c r="U3" s="2325"/>
      <c r="V3" s="2326"/>
    </row>
    <row r="4" spans="1:22">
      <c r="A4" s="2156"/>
      <c r="B4" s="2156"/>
      <c r="C4" s="2156"/>
      <c r="D4" s="2156"/>
      <c r="E4" s="2161" t="s">
        <v>1271</v>
      </c>
      <c r="F4" s="2153" t="s">
        <v>1272</v>
      </c>
      <c r="G4" s="2153" t="s">
        <v>1194</v>
      </c>
      <c r="H4" s="2153" t="s">
        <v>1195</v>
      </c>
      <c r="I4" s="2153" t="s">
        <v>1196</v>
      </c>
      <c r="J4" s="2153" t="s">
        <v>1197</v>
      </c>
      <c r="K4" s="2153" t="s">
        <v>1198</v>
      </c>
      <c r="L4" s="2153" t="s">
        <v>1199</v>
      </c>
      <c r="M4" s="2153" t="s">
        <v>1200</v>
      </c>
      <c r="N4" s="2153" t="s">
        <v>1201</v>
      </c>
      <c r="O4" s="2153" t="s">
        <v>1202</v>
      </c>
      <c r="P4" s="2153" t="s">
        <v>1203</v>
      </c>
      <c r="Q4" s="2153" t="s">
        <v>1204</v>
      </c>
      <c r="R4" s="2153" t="s">
        <v>1205</v>
      </c>
      <c r="S4" s="2153" t="s">
        <v>1206</v>
      </c>
      <c r="T4" s="2153" t="s">
        <v>1207</v>
      </c>
      <c r="U4" s="2153" t="s">
        <v>1208</v>
      </c>
      <c r="V4" s="2150" t="s">
        <v>1209</v>
      </c>
    </row>
    <row r="5" spans="1:22">
      <c r="A5" s="2156"/>
      <c r="B5" s="2156"/>
      <c r="C5" s="2156"/>
      <c r="D5" s="2156"/>
      <c r="E5" s="2162"/>
      <c r="F5" s="2154"/>
      <c r="G5" s="2154"/>
      <c r="H5" s="2154"/>
      <c r="I5" s="2154"/>
      <c r="J5" s="2154"/>
      <c r="K5" s="2154"/>
      <c r="L5" s="2154"/>
      <c r="M5" s="2154"/>
      <c r="N5" s="2154"/>
      <c r="O5" s="2154"/>
      <c r="P5" s="2154"/>
      <c r="Q5" s="2154"/>
      <c r="R5" s="2154"/>
      <c r="S5" s="2154"/>
      <c r="T5" s="2154"/>
      <c r="U5" s="2154"/>
      <c r="V5" s="2151"/>
    </row>
    <row r="6" spans="1:22">
      <c r="A6" s="2157"/>
      <c r="B6" s="2157"/>
      <c r="C6" s="2157"/>
      <c r="D6" s="2157"/>
      <c r="E6" s="2163"/>
      <c r="F6" s="2155"/>
      <c r="G6" s="2155"/>
      <c r="H6" s="2155"/>
      <c r="I6" s="2155"/>
      <c r="J6" s="2155"/>
      <c r="K6" s="2155"/>
      <c r="L6" s="2155"/>
      <c r="M6" s="2155"/>
      <c r="N6" s="2155"/>
      <c r="O6" s="2155"/>
      <c r="P6" s="2155"/>
      <c r="Q6" s="2155"/>
      <c r="R6" s="2155"/>
      <c r="S6" s="2155"/>
      <c r="T6" s="2155"/>
      <c r="U6" s="2155"/>
      <c r="V6" s="2152"/>
    </row>
    <row r="7" spans="1:22" ht="3" customHeight="1">
      <c r="A7" s="6"/>
      <c r="B7" s="1233"/>
      <c r="C7" s="1233"/>
      <c r="D7" s="1233"/>
    </row>
    <row r="8" spans="1:22">
      <c r="A8" s="2157" t="s">
        <v>1210</v>
      </c>
      <c r="B8" s="2175" t="s">
        <v>1273</v>
      </c>
      <c r="C8" s="2157" t="s">
        <v>1212</v>
      </c>
      <c r="D8" s="1235" t="s">
        <v>1213</v>
      </c>
      <c r="E8" s="2188"/>
      <c r="F8" s="2171">
        <v>0.61</v>
      </c>
      <c r="G8" s="2171">
        <v>0.4819</v>
      </c>
      <c r="H8" s="2171">
        <v>0.41925299999999999</v>
      </c>
      <c r="I8" s="2171">
        <v>0.40248287999999999</v>
      </c>
      <c r="J8" s="2171">
        <v>0.3702842496</v>
      </c>
      <c r="K8" s="2171">
        <v>0.34806719462399999</v>
      </c>
      <c r="L8" s="2171">
        <v>0.33066383489279999</v>
      </c>
      <c r="M8" s="2171">
        <v>0.317437281497088</v>
      </c>
      <c r="N8" s="2171">
        <v>0.29521667179229183</v>
      </c>
      <c r="O8" s="2171">
        <v>0.28931233835644599</v>
      </c>
      <c r="P8" s="2171">
        <v>0.28352609158931708</v>
      </c>
      <c r="Q8" s="2171">
        <v>0.27785556975753073</v>
      </c>
      <c r="R8" s="2171">
        <v>0.27507701405995544</v>
      </c>
      <c r="S8" s="2171">
        <v>0.27232624391935589</v>
      </c>
      <c r="T8" s="2171">
        <v>0.26960298148016232</v>
      </c>
      <c r="U8" s="2413">
        <v>0.26690695166536071</v>
      </c>
      <c r="V8" s="2181">
        <v>0.26423788214870708</v>
      </c>
    </row>
    <row r="9" spans="1:22">
      <c r="A9" s="2164"/>
      <c r="B9" s="2167"/>
      <c r="C9" s="2410"/>
      <c r="D9" s="1236" t="s">
        <v>1214</v>
      </c>
      <c r="E9" s="2189"/>
      <c r="F9" s="2172"/>
      <c r="G9" s="2172"/>
      <c r="H9" s="2172"/>
      <c r="I9" s="2172"/>
      <c r="J9" s="2172"/>
      <c r="K9" s="2172"/>
      <c r="L9" s="2172"/>
      <c r="M9" s="2172"/>
      <c r="N9" s="2172"/>
      <c r="O9" s="2172"/>
      <c r="P9" s="2172"/>
      <c r="Q9" s="2172"/>
      <c r="R9" s="2172"/>
      <c r="S9" s="2172"/>
      <c r="T9" s="2172"/>
      <c r="U9" s="2414"/>
      <c r="V9" s="2182"/>
    </row>
    <row r="10" spans="1:22">
      <c r="A10" s="2164"/>
      <c r="B10" s="2167"/>
      <c r="C10" s="2411" t="s">
        <v>1215</v>
      </c>
      <c r="D10" s="1236" t="s">
        <v>1216</v>
      </c>
      <c r="E10" s="2189"/>
      <c r="F10" s="2172"/>
      <c r="G10" s="2172"/>
      <c r="H10" s="2172"/>
      <c r="I10" s="2172"/>
      <c r="J10" s="2172"/>
      <c r="K10" s="2172"/>
      <c r="L10" s="2172"/>
      <c r="M10" s="2172"/>
      <c r="N10" s="2172"/>
      <c r="O10" s="2172"/>
      <c r="P10" s="2172"/>
      <c r="Q10" s="2172"/>
      <c r="R10" s="2172"/>
      <c r="S10" s="2172"/>
      <c r="T10" s="2172"/>
      <c r="U10" s="2414"/>
      <c r="V10" s="2182"/>
    </row>
    <row r="11" spans="1:22">
      <c r="A11" s="2164"/>
      <c r="B11" s="2167"/>
      <c r="C11" s="2412"/>
      <c r="D11" s="1237" t="s">
        <v>1217</v>
      </c>
      <c r="E11" s="2190"/>
      <c r="F11" s="2187"/>
      <c r="G11" s="2187"/>
      <c r="H11" s="2187"/>
      <c r="I11" s="2187"/>
      <c r="J11" s="2187"/>
      <c r="K11" s="2187"/>
      <c r="L11" s="2187"/>
      <c r="M11" s="2187"/>
      <c r="N11" s="2187"/>
      <c r="O11" s="2187"/>
      <c r="P11" s="2187"/>
      <c r="Q11" s="2187"/>
      <c r="R11" s="2187"/>
      <c r="S11" s="2187"/>
      <c r="T11" s="2187"/>
      <c r="U11" s="2415"/>
      <c r="V11" s="2416"/>
    </row>
    <row r="12" spans="1:22">
      <c r="A12" s="2164"/>
      <c r="B12" s="2175" t="s">
        <v>1272</v>
      </c>
      <c r="C12" s="2157" t="s">
        <v>1212</v>
      </c>
      <c r="D12" s="1235" t="s">
        <v>1213</v>
      </c>
      <c r="E12" s="2170"/>
      <c r="F12" s="2179"/>
      <c r="G12" s="2171">
        <v>0.79</v>
      </c>
      <c r="H12" s="2171">
        <v>0.68730000000000002</v>
      </c>
      <c r="I12" s="2171">
        <v>0.65980799999999995</v>
      </c>
      <c r="J12" s="2171">
        <v>0.60702336000000001</v>
      </c>
      <c r="K12" s="2171">
        <v>0.57060195839999994</v>
      </c>
      <c r="L12" s="2171">
        <v>0.54207186047999989</v>
      </c>
      <c r="M12" s="2171">
        <v>0.52038898606079986</v>
      </c>
      <c r="N12" s="2171">
        <v>0.48396175703654387</v>
      </c>
      <c r="O12" s="2171">
        <v>0.47428252189581299</v>
      </c>
      <c r="P12" s="2171">
        <v>0.46479687145789672</v>
      </c>
      <c r="Q12" s="2171">
        <v>0.45550093402873876</v>
      </c>
      <c r="R12" s="2171">
        <v>0.45094592468845135</v>
      </c>
      <c r="S12" s="2171">
        <v>0.44643646544156684</v>
      </c>
      <c r="T12" s="2171">
        <v>0.44197210078715116</v>
      </c>
      <c r="U12" s="2413">
        <v>0.43755237977927963</v>
      </c>
      <c r="V12" s="2181">
        <v>0.43317685598148681</v>
      </c>
    </row>
    <row r="13" spans="1:22">
      <c r="A13" s="2164"/>
      <c r="B13" s="2167"/>
      <c r="C13" s="2410"/>
      <c r="D13" s="1236" t="s">
        <v>1214</v>
      </c>
      <c r="E13" s="2170"/>
      <c r="F13" s="2179"/>
      <c r="G13" s="2172"/>
      <c r="H13" s="2172"/>
      <c r="I13" s="2172"/>
      <c r="J13" s="2172"/>
      <c r="K13" s="2172"/>
      <c r="L13" s="2172"/>
      <c r="M13" s="2172"/>
      <c r="N13" s="2172"/>
      <c r="O13" s="2172"/>
      <c r="P13" s="2172"/>
      <c r="Q13" s="2172"/>
      <c r="R13" s="2172"/>
      <c r="S13" s="2172"/>
      <c r="T13" s="2172"/>
      <c r="U13" s="2414"/>
      <c r="V13" s="2182"/>
    </row>
    <row r="14" spans="1:22">
      <c r="A14" s="2164"/>
      <c r="B14" s="2167"/>
      <c r="C14" s="2411" t="s">
        <v>1215</v>
      </c>
      <c r="D14" s="1236" t="s">
        <v>1216</v>
      </c>
      <c r="E14" s="2170"/>
      <c r="F14" s="2179"/>
      <c r="G14" s="2172"/>
      <c r="H14" s="2172"/>
      <c r="I14" s="2172"/>
      <c r="J14" s="2172"/>
      <c r="K14" s="2172"/>
      <c r="L14" s="2172"/>
      <c r="M14" s="2172"/>
      <c r="N14" s="2172"/>
      <c r="O14" s="2172"/>
      <c r="P14" s="2172"/>
      <c r="Q14" s="2172"/>
      <c r="R14" s="2172"/>
      <c r="S14" s="2172"/>
      <c r="T14" s="2172"/>
      <c r="U14" s="2414"/>
      <c r="V14" s="2182"/>
    </row>
    <row r="15" spans="1:22">
      <c r="A15" s="2164"/>
      <c r="B15" s="2167"/>
      <c r="C15" s="2412"/>
      <c r="D15" s="1237" t="s">
        <v>1217</v>
      </c>
      <c r="E15" s="2170"/>
      <c r="F15" s="2179"/>
      <c r="G15" s="2187"/>
      <c r="H15" s="2187"/>
      <c r="I15" s="2187"/>
      <c r="J15" s="2187"/>
      <c r="K15" s="2187"/>
      <c r="L15" s="2187"/>
      <c r="M15" s="2187"/>
      <c r="N15" s="2187"/>
      <c r="O15" s="2187"/>
      <c r="P15" s="2187"/>
      <c r="Q15" s="2187"/>
      <c r="R15" s="2187"/>
      <c r="S15" s="2187"/>
      <c r="T15" s="2187"/>
      <c r="U15" s="2415"/>
      <c r="V15" s="2416"/>
    </row>
    <row r="16" spans="1:22">
      <c r="A16" s="2164"/>
      <c r="B16" s="2175" t="s">
        <v>1194</v>
      </c>
      <c r="C16" s="2168" t="s">
        <v>1212</v>
      </c>
      <c r="D16" s="1235" t="s">
        <v>1213</v>
      </c>
      <c r="E16" s="2170"/>
      <c r="F16" s="2179"/>
      <c r="G16" s="2179"/>
      <c r="H16" s="2171">
        <v>0.87</v>
      </c>
      <c r="I16" s="2171">
        <v>0.83519999999999994</v>
      </c>
      <c r="J16" s="2171">
        <v>0.76838399999999996</v>
      </c>
      <c r="K16" s="2171">
        <v>0.72228095999999997</v>
      </c>
      <c r="L16" s="2171">
        <v>0.68616691199999991</v>
      </c>
      <c r="M16" s="2171">
        <v>0.65872023551999992</v>
      </c>
      <c r="N16" s="2171">
        <v>0.61260981903360001</v>
      </c>
      <c r="O16" s="2171">
        <v>0.60035762265292802</v>
      </c>
      <c r="P16" s="2171">
        <v>0.58835047019986941</v>
      </c>
      <c r="Q16" s="2171">
        <v>0.57658346079587197</v>
      </c>
      <c r="R16" s="2171">
        <v>0.57081762618791321</v>
      </c>
      <c r="S16" s="2171">
        <v>0.56510944992603407</v>
      </c>
      <c r="T16" s="2171">
        <v>0.55945835542677369</v>
      </c>
      <c r="U16" s="2413">
        <v>0.55386377187250591</v>
      </c>
      <c r="V16" s="2181">
        <v>0.54832513415378081</v>
      </c>
    </row>
    <row r="17" spans="1:22">
      <c r="A17" s="2164"/>
      <c r="B17" s="2167"/>
      <c r="C17" s="2169"/>
      <c r="D17" s="1236" t="s">
        <v>1214</v>
      </c>
      <c r="E17" s="2170"/>
      <c r="F17" s="2179"/>
      <c r="G17" s="2179"/>
      <c r="H17" s="2172"/>
      <c r="I17" s="2172"/>
      <c r="J17" s="2172"/>
      <c r="K17" s="2172"/>
      <c r="L17" s="2172"/>
      <c r="M17" s="2172"/>
      <c r="N17" s="2172"/>
      <c r="O17" s="2172"/>
      <c r="P17" s="2172"/>
      <c r="Q17" s="2172"/>
      <c r="R17" s="2172"/>
      <c r="S17" s="2172"/>
      <c r="T17" s="2172"/>
      <c r="U17" s="2414"/>
      <c r="V17" s="2182"/>
    </row>
    <row r="18" spans="1:22">
      <c r="A18" s="2164"/>
      <c r="B18" s="2167"/>
      <c r="C18" s="2173" t="s">
        <v>1215</v>
      </c>
      <c r="D18" s="1236" t="s">
        <v>1216</v>
      </c>
      <c r="E18" s="2170"/>
      <c r="F18" s="2179"/>
      <c r="G18" s="2179"/>
      <c r="H18" s="2172"/>
      <c r="I18" s="2172"/>
      <c r="J18" s="2172"/>
      <c r="K18" s="2172"/>
      <c r="L18" s="2172"/>
      <c r="M18" s="2172"/>
      <c r="N18" s="2172"/>
      <c r="O18" s="2172"/>
      <c r="P18" s="2172"/>
      <c r="Q18" s="2172"/>
      <c r="R18" s="2172"/>
      <c r="S18" s="2172"/>
      <c r="T18" s="2172"/>
      <c r="U18" s="2414"/>
      <c r="V18" s="2182"/>
    </row>
    <row r="19" spans="1:22">
      <c r="A19" s="2164"/>
      <c r="B19" s="2167"/>
      <c r="C19" s="2174"/>
      <c r="D19" s="1237" t="s">
        <v>1217</v>
      </c>
      <c r="E19" s="2170"/>
      <c r="F19" s="2179"/>
      <c r="G19" s="2179"/>
      <c r="H19" s="2187"/>
      <c r="I19" s="2187"/>
      <c r="J19" s="2187"/>
      <c r="K19" s="2187"/>
      <c r="L19" s="2187"/>
      <c r="M19" s="2187"/>
      <c r="N19" s="2187"/>
      <c r="O19" s="2187"/>
      <c r="P19" s="2187"/>
      <c r="Q19" s="2187"/>
      <c r="R19" s="2187"/>
      <c r="S19" s="2187"/>
      <c r="T19" s="2187"/>
      <c r="U19" s="2415"/>
      <c r="V19" s="2416"/>
    </row>
    <row r="20" spans="1:22">
      <c r="A20" s="2164"/>
      <c r="B20" s="2175" t="s">
        <v>1195</v>
      </c>
      <c r="C20" s="2168" t="s">
        <v>1212</v>
      </c>
      <c r="D20" s="1235" t="s">
        <v>1213</v>
      </c>
      <c r="E20" s="2170"/>
      <c r="F20" s="2179"/>
      <c r="G20" s="2179"/>
      <c r="H20" s="2179"/>
      <c r="I20" s="2171">
        <v>0.96</v>
      </c>
      <c r="J20" s="2171">
        <v>0.88319999999999999</v>
      </c>
      <c r="K20" s="2171">
        <v>0.83020799999999995</v>
      </c>
      <c r="L20" s="2171">
        <v>0.78869759999999989</v>
      </c>
      <c r="M20" s="2171">
        <v>0.75714969599999982</v>
      </c>
      <c r="N20" s="2171">
        <v>0.70414921727999991</v>
      </c>
      <c r="O20" s="2171">
        <v>0.69006623293439995</v>
      </c>
      <c r="P20" s="2171">
        <v>0.67626490827571195</v>
      </c>
      <c r="Q20" s="2171">
        <v>0.66273961011019766</v>
      </c>
      <c r="R20" s="2171">
        <v>0.6561122140090957</v>
      </c>
      <c r="S20" s="2171">
        <v>0.64955109186900473</v>
      </c>
      <c r="T20" s="2171">
        <v>0.64305558095031468</v>
      </c>
      <c r="U20" s="2413">
        <v>0.63662502514081154</v>
      </c>
      <c r="V20" s="2181">
        <v>0.63025877488940341</v>
      </c>
    </row>
    <row r="21" spans="1:22">
      <c r="A21" s="2164"/>
      <c r="B21" s="2167"/>
      <c r="C21" s="2169"/>
      <c r="D21" s="1236" t="s">
        <v>1214</v>
      </c>
      <c r="E21" s="2170"/>
      <c r="F21" s="2179"/>
      <c r="G21" s="2179"/>
      <c r="H21" s="2179"/>
      <c r="I21" s="2172"/>
      <c r="J21" s="2172"/>
      <c r="K21" s="2172"/>
      <c r="L21" s="2172"/>
      <c r="M21" s="2172"/>
      <c r="N21" s="2172"/>
      <c r="O21" s="2172"/>
      <c r="P21" s="2172"/>
      <c r="Q21" s="2172"/>
      <c r="R21" s="2172"/>
      <c r="S21" s="2172"/>
      <c r="T21" s="2172"/>
      <c r="U21" s="2414"/>
      <c r="V21" s="2182"/>
    </row>
    <row r="22" spans="1:22">
      <c r="A22" s="2164"/>
      <c r="B22" s="2167"/>
      <c r="C22" s="2173" t="s">
        <v>1215</v>
      </c>
      <c r="D22" s="1236" t="s">
        <v>1216</v>
      </c>
      <c r="E22" s="2170"/>
      <c r="F22" s="2179"/>
      <c r="G22" s="2179"/>
      <c r="H22" s="2179"/>
      <c r="I22" s="2172"/>
      <c r="J22" s="2172"/>
      <c r="K22" s="2172"/>
      <c r="L22" s="2172"/>
      <c r="M22" s="2172"/>
      <c r="N22" s="2172"/>
      <c r="O22" s="2172"/>
      <c r="P22" s="2172"/>
      <c r="Q22" s="2172"/>
      <c r="R22" s="2172"/>
      <c r="S22" s="2172"/>
      <c r="T22" s="2172"/>
      <c r="U22" s="2414"/>
      <c r="V22" s="2182"/>
    </row>
    <row r="23" spans="1:22">
      <c r="A23" s="2164"/>
      <c r="B23" s="2167"/>
      <c r="C23" s="2174"/>
      <c r="D23" s="1237" t="s">
        <v>1217</v>
      </c>
      <c r="E23" s="2170"/>
      <c r="F23" s="2179"/>
      <c r="G23" s="2179"/>
      <c r="H23" s="2179"/>
      <c r="I23" s="2187"/>
      <c r="J23" s="2187"/>
      <c r="K23" s="2187"/>
      <c r="L23" s="2187"/>
      <c r="M23" s="2187"/>
      <c r="N23" s="2187"/>
      <c r="O23" s="2187"/>
      <c r="P23" s="2187"/>
      <c r="Q23" s="2187"/>
      <c r="R23" s="2187"/>
      <c r="S23" s="2187"/>
      <c r="T23" s="2187"/>
      <c r="U23" s="2415"/>
      <c r="V23" s="2416"/>
    </row>
    <row r="24" spans="1:22">
      <c r="A24" s="2164"/>
      <c r="B24" s="2166" t="s">
        <v>1196</v>
      </c>
      <c r="C24" s="2168" t="s">
        <v>1212</v>
      </c>
      <c r="D24" s="1235" t="s">
        <v>1213</v>
      </c>
      <c r="E24" s="2170"/>
      <c r="F24" s="2179"/>
      <c r="G24" s="2179"/>
      <c r="H24" s="2179"/>
      <c r="I24" s="2179"/>
      <c r="J24" s="2171">
        <v>0.92</v>
      </c>
      <c r="K24" s="2171">
        <v>0.86480000000000001</v>
      </c>
      <c r="L24" s="2171">
        <v>0.82155999999999996</v>
      </c>
      <c r="M24" s="2171">
        <v>0.78869759999999989</v>
      </c>
      <c r="N24" s="2171">
        <v>0.73348876799999996</v>
      </c>
      <c r="O24" s="2171">
        <v>0.71881899263999993</v>
      </c>
      <c r="P24" s="2171">
        <v>0.70444261278719988</v>
      </c>
      <c r="Q24" s="2171">
        <v>0.69035376053145592</v>
      </c>
      <c r="R24" s="2171">
        <v>0.68345022292614133</v>
      </c>
      <c r="S24" s="2171">
        <v>0.67661572069687992</v>
      </c>
      <c r="T24" s="2171">
        <v>0.66984956348991109</v>
      </c>
      <c r="U24" s="2413">
        <v>0.66315106785501199</v>
      </c>
      <c r="V24" s="2181">
        <v>0.65651955717646182</v>
      </c>
    </row>
    <row r="25" spans="1:22">
      <c r="A25" s="2164"/>
      <c r="B25" s="2167"/>
      <c r="C25" s="2169"/>
      <c r="D25" s="1236" t="s">
        <v>1214</v>
      </c>
      <c r="E25" s="2170"/>
      <c r="F25" s="2179"/>
      <c r="G25" s="2179"/>
      <c r="H25" s="2179"/>
      <c r="I25" s="2179"/>
      <c r="J25" s="2172"/>
      <c r="K25" s="2172"/>
      <c r="L25" s="2172"/>
      <c r="M25" s="2172"/>
      <c r="N25" s="2172"/>
      <c r="O25" s="2172"/>
      <c r="P25" s="2172"/>
      <c r="Q25" s="2172"/>
      <c r="R25" s="2172"/>
      <c r="S25" s="2172"/>
      <c r="T25" s="2172"/>
      <c r="U25" s="2414"/>
      <c r="V25" s="2182"/>
    </row>
    <row r="26" spans="1:22">
      <c r="A26" s="2164"/>
      <c r="B26" s="2167"/>
      <c r="C26" s="2173" t="s">
        <v>1215</v>
      </c>
      <c r="D26" s="1236" t="s">
        <v>1216</v>
      </c>
      <c r="E26" s="2170"/>
      <c r="F26" s="2179"/>
      <c r="G26" s="2179"/>
      <c r="H26" s="2179"/>
      <c r="I26" s="2179"/>
      <c r="J26" s="2172"/>
      <c r="K26" s="2172"/>
      <c r="L26" s="2172"/>
      <c r="M26" s="2172"/>
      <c r="N26" s="2172"/>
      <c r="O26" s="2172"/>
      <c r="P26" s="2172"/>
      <c r="Q26" s="2172"/>
      <c r="R26" s="2172"/>
      <c r="S26" s="2172"/>
      <c r="T26" s="2172"/>
      <c r="U26" s="2414"/>
      <c r="V26" s="2182"/>
    </row>
    <row r="27" spans="1:22">
      <c r="A27" s="2164"/>
      <c r="B27" s="2167"/>
      <c r="C27" s="2174"/>
      <c r="D27" s="1237" t="s">
        <v>1217</v>
      </c>
      <c r="E27" s="2170"/>
      <c r="F27" s="2179"/>
      <c r="G27" s="2179"/>
      <c r="H27" s="2179"/>
      <c r="I27" s="2179"/>
      <c r="J27" s="2187"/>
      <c r="K27" s="2187"/>
      <c r="L27" s="2187"/>
      <c r="M27" s="2187"/>
      <c r="N27" s="2187"/>
      <c r="O27" s="2187"/>
      <c r="P27" s="2187"/>
      <c r="Q27" s="2187"/>
      <c r="R27" s="2187"/>
      <c r="S27" s="2187"/>
      <c r="T27" s="2187"/>
      <c r="U27" s="2415"/>
      <c r="V27" s="2416"/>
    </row>
    <row r="28" spans="1:22">
      <c r="A28" s="2164"/>
      <c r="B28" s="2177" t="s">
        <v>1197</v>
      </c>
      <c r="C28" s="2168" t="s">
        <v>1212</v>
      </c>
      <c r="D28" s="1235" t="s">
        <v>1213</v>
      </c>
      <c r="E28" s="2170"/>
      <c r="F28" s="2179"/>
      <c r="G28" s="2179"/>
      <c r="H28" s="2179"/>
      <c r="I28" s="2179"/>
      <c r="J28" s="2179"/>
      <c r="K28" s="2171">
        <v>0.94</v>
      </c>
      <c r="L28" s="2171">
        <v>0.8929999999999999</v>
      </c>
      <c r="M28" s="2171">
        <v>0.85727999999999993</v>
      </c>
      <c r="N28" s="2171">
        <v>0.79727039999999993</v>
      </c>
      <c r="O28" s="2171">
        <v>0.78132499199999994</v>
      </c>
      <c r="P28" s="2171">
        <v>0.76569849215999997</v>
      </c>
      <c r="Q28" s="2171">
        <v>0.75038452231679997</v>
      </c>
      <c r="R28" s="2171">
        <v>0.74288067709363192</v>
      </c>
      <c r="S28" s="2171">
        <v>0.73545187032269554</v>
      </c>
      <c r="T28" s="2171">
        <v>0.72809735161946854</v>
      </c>
      <c r="U28" s="2413">
        <v>0.72081637810327381</v>
      </c>
      <c r="V28" s="2181">
        <v>0.71360821432224109</v>
      </c>
    </row>
    <row r="29" spans="1:22">
      <c r="A29" s="2164"/>
      <c r="B29" s="2178"/>
      <c r="C29" s="2169"/>
      <c r="D29" s="1236" t="s">
        <v>1214</v>
      </c>
      <c r="E29" s="2170"/>
      <c r="F29" s="2179"/>
      <c r="G29" s="2179"/>
      <c r="H29" s="2179"/>
      <c r="I29" s="2179"/>
      <c r="J29" s="2179"/>
      <c r="K29" s="2172"/>
      <c r="L29" s="2172"/>
      <c r="M29" s="2172"/>
      <c r="N29" s="2172"/>
      <c r="O29" s="2172"/>
      <c r="P29" s="2172"/>
      <c r="Q29" s="2172"/>
      <c r="R29" s="2172"/>
      <c r="S29" s="2172"/>
      <c r="T29" s="2172"/>
      <c r="U29" s="2414"/>
      <c r="V29" s="2182"/>
    </row>
    <row r="30" spans="1:22">
      <c r="A30" s="2164"/>
      <c r="B30" s="2178"/>
      <c r="C30" s="2173" t="s">
        <v>1215</v>
      </c>
      <c r="D30" s="1236" t="s">
        <v>1216</v>
      </c>
      <c r="E30" s="2170"/>
      <c r="F30" s="2179"/>
      <c r="G30" s="2179"/>
      <c r="H30" s="2179"/>
      <c r="I30" s="2179"/>
      <c r="J30" s="2179"/>
      <c r="K30" s="2172"/>
      <c r="L30" s="2172"/>
      <c r="M30" s="2172"/>
      <c r="N30" s="2172"/>
      <c r="O30" s="2172"/>
      <c r="P30" s="2172"/>
      <c r="Q30" s="2172"/>
      <c r="R30" s="2172"/>
      <c r="S30" s="2172"/>
      <c r="T30" s="2172"/>
      <c r="U30" s="2414"/>
      <c r="V30" s="2182"/>
    </row>
    <row r="31" spans="1:22">
      <c r="A31" s="2164"/>
      <c r="B31" s="2178"/>
      <c r="C31" s="2174"/>
      <c r="D31" s="1237" t="s">
        <v>1217</v>
      </c>
      <c r="E31" s="2170"/>
      <c r="F31" s="2179"/>
      <c r="G31" s="2179"/>
      <c r="H31" s="2179"/>
      <c r="I31" s="2179"/>
      <c r="J31" s="2179"/>
      <c r="K31" s="2187"/>
      <c r="L31" s="2187"/>
      <c r="M31" s="2187"/>
      <c r="N31" s="2187"/>
      <c r="O31" s="2187"/>
      <c r="P31" s="2187"/>
      <c r="Q31" s="2187"/>
      <c r="R31" s="2187"/>
      <c r="S31" s="2187"/>
      <c r="T31" s="2187"/>
      <c r="U31" s="2415"/>
      <c r="V31" s="2416"/>
    </row>
    <row r="32" spans="1:22">
      <c r="A32" s="2164"/>
      <c r="B32" s="2166" t="s">
        <v>1198</v>
      </c>
      <c r="C32" s="2168" t="s">
        <v>1212</v>
      </c>
      <c r="D32" s="1235" t="s">
        <v>1213</v>
      </c>
      <c r="E32" s="2170"/>
      <c r="F32" s="2179"/>
      <c r="G32" s="2179"/>
      <c r="H32" s="2179"/>
      <c r="I32" s="2179"/>
      <c r="J32" s="2179"/>
      <c r="K32" s="2179"/>
      <c r="L32" s="2171">
        <v>0.95</v>
      </c>
      <c r="M32" s="2171">
        <v>0.91199999999999992</v>
      </c>
      <c r="N32" s="2171">
        <v>0.84816000000000003</v>
      </c>
      <c r="O32" s="2171">
        <v>0.83119679999999996</v>
      </c>
      <c r="P32" s="2171">
        <v>0.81457286399999995</v>
      </c>
      <c r="Q32" s="2171">
        <v>0.79828140671999992</v>
      </c>
      <c r="R32" s="2171">
        <v>0.79029859265279989</v>
      </c>
      <c r="S32" s="2171">
        <v>0.78239560672627184</v>
      </c>
      <c r="T32" s="2171">
        <v>0.77457165065900913</v>
      </c>
      <c r="U32" s="2413">
        <v>0.76682593415241906</v>
      </c>
      <c r="V32" s="2181">
        <v>0.75915767481089491</v>
      </c>
    </row>
    <row r="33" spans="1:22">
      <c r="A33" s="2164"/>
      <c r="B33" s="2167"/>
      <c r="C33" s="2169"/>
      <c r="D33" s="1236" t="s">
        <v>1214</v>
      </c>
      <c r="E33" s="2170"/>
      <c r="F33" s="2179"/>
      <c r="G33" s="2179"/>
      <c r="H33" s="2179"/>
      <c r="I33" s="2179"/>
      <c r="J33" s="2179"/>
      <c r="K33" s="2179"/>
      <c r="L33" s="2172"/>
      <c r="M33" s="2172"/>
      <c r="N33" s="2172"/>
      <c r="O33" s="2172"/>
      <c r="P33" s="2172"/>
      <c r="Q33" s="2172"/>
      <c r="R33" s="2172"/>
      <c r="S33" s="2172"/>
      <c r="T33" s="2172"/>
      <c r="U33" s="2414"/>
      <c r="V33" s="2182"/>
    </row>
    <row r="34" spans="1:22">
      <c r="A34" s="2164"/>
      <c r="B34" s="2167"/>
      <c r="C34" s="2173" t="s">
        <v>1215</v>
      </c>
      <c r="D34" s="1236" t="s">
        <v>1216</v>
      </c>
      <c r="E34" s="2170"/>
      <c r="F34" s="2179"/>
      <c r="G34" s="2179"/>
      <c r="H34" s="2179"/>
      <c r="I34" s="2179"/>
      <c r="J34" s="2179"/>
      <c r="K34" s="2179"/>
      <c r="L34" s="2172"/>
      <c r="M34" s="2172"/>
      <c r="N34" s="2172"/>
      <c r="O34" s="2172"/>
      <c r="P34" s="2172"/>
      <c r="Q34" s="2172"/>
      <c r="R34" s="2172"/>
      <c r="S34" s="2172"/>
      <c r="T34" s="2172"/>
      <c r="U34" s="2414"/>
      <c r="V34" s="2182"/>
    </row>
    <row r="35" spans="1:22">
      <c r="A35" s="2164"/>
      <c r="B35" s="2167"/>
      <c r="C35" s="2174"/>
      <c r="D35" s="1237" t="s">
        <v>1217</v>
      </c>
      <c r="E35" s="2170"/>
      <c r="F35" s="2179"/>
      <c r="G35" s="2179"/>
      <c r="H35" s="2179"/>
      <c r="I35" s="2179"/>
      <c r="J35" s="2179"/>
      <c r="K35" s="2179"/>
      <c r="L35" s="2187"/>
      <c r="M35" s="2187"/>
      <c r="N35" s="2187"/>
      <c r="O35" s="2187"/>
      <c r="P35" s="2187"/>
      <c r="Q35" s="2187"/>
      <c r="R35" s="2187"/>
      <c r="S35" s="2187"/>
      <c r="T35" s="2187"/>
      <c r="U35" s="2415"/>
      <c r="V35" s="2416"/>
    </row>
    <row r="36" spans="1:22">
      <c r="A36" s="2164"/>
      <c r="B36" s="2177" t="s">
        <v>1199</v>
      </c>
      <c r="C36" s="2168" t="s">
        <v>1212</v>
      </c>
      <c r="D36" s="1235" t="s">
        <v>1213</v>
      </c>
      <c r="E36" s="2170"/>
      <c r="F36" s="2179"/>
      <c r="G36" s="2179"/>
      <c r="H36" s="2179"/>
      <c r="I36" s="2179"/>
      <c r="J36" s="2179"/>
      <c r="K36" s="2179"/>
      <c r="L36" s="2179"/>
      <c r="M36" s="2171">
        <v>0.96</v>
      </c>
      <c r="N36" s="2171">
        <v>0.89280000000000004</v>
      </c>
      <c r="O36" s="2171">
        <v>0.87494400000000006</v>
      </c>
      <c r="P36" s="2171">
        <v>0.85744512000000006</v>
      </c>
      <c r="Q36" s="2171">
        <v>0.84029621760000006</v>
      </c>
      <c r="R36" s="2171">
        <v>0.83189325542400006</v>
      </c>
      <c r="S36" s="2171">
        <v>0.82357432286976007</v>
      </c>
      <c r="T36" s="2171">
        <v>0.81533857964106249</v>
      </c>
      <c r="U36" s="2413">
        <v>0.80718519384465182</v>
      </c>
      <c r="V36" s="2181">
        <v>0.79911334190620531</v>
      </c>
    </row>
    <row r="37" spans="1:22">
      <c r="A37" s="2164"/>
      <c r="B37" s="2183"/>
      <c r="C37" s="2169"/>
      <c r="D37" s="1236" t="s">
        <v>1214</v>
      </c>
      <c r="E37" s="2170"/>
      <c r="F37" s="2179"/>
      <c r="G37" s="2179"/>
      <c r="H37" s="2179"/>
      <c r="I37" s="2179"/>
      <c r="J37" s="2179"/>
      <c r="K37" s="2179"/>
      <c r="L37" s="2179"/>
      <c r="M37" s="2172"/>
      <c r="N37" s="2172"/>
      <c r="O37" s="2172"/>
      <c r="P37" s="2172"/>
      <c r="Q37" s="2172"/>
      <c r="R37" s="2172"/>
      <c r="S37" s="2172"/>
      <c r="T37" s="2172"/>
      <c r="U37" s="2414"/>
      <c r="V37" s="2182"/>
    </row>
    <row r="38" spans="1:22">
      <c r="A38" s="2164"/>
      <c r="B38" s="2183"/>
      <c r="C38" s="2173" t="s">
        <v>1215</v>
      </c>
      <c r="D38" s="1236" t="s">
        <v>1216</v>
      </c>
      <c r="E38" s="2170"/>
      <c r="F38" s="2179"/>
      <c r="G38" s="2179"/>
      <c r="H38" s="2179"/>
      <c r="I38" s="2179"/>
      <c r="J38" s="2179"/>
      <c r="K38" s="2179"/>
      <c r="L38" s="2179"/>
      <c r="M38" s="2172"/>
      <c r="N38" s="2172"/>
      <c r="O38" s="2172"/>
      <c r="P38" s="2172"/>
      <c r="Q38" s="2172"/>
      <c r="R38" s="2172"/>
      <c r="S38" s="2172"/>
      <c r="T38" s="2172"/>
      <c r="U38" s="2414"/>
      <c r="V38" s="2182"/>
    </row>
    <row r="39" spans="1:22">
      <c r="A39" s="2164"/>
      <c r="B39" s="2183"/>
      <c r="C39" s="2174"/>
      <c r="D39" s="1237" t="s">
        <v>1217</v>
      </c>
      <c r="E39" s="2170"/>
      <c r="F39" s="2179"/>
      <c r="G39" s="2179"/>
      <c r="H39" s="2179"/>
      <c r="I39" s="2179"/>
      <c r="J39" s="2179"/>
      <c r="K39" s="2179"/>
      <c r="L39" s="2179"/>
      <c r="M39" s="2187"/>
      <c r="N39" s="2187"/>
      <c r="O39" s="2187"/>
      <c r="P39" s="2187"/>
      <c r="Q39" s="2187"/>
      <c r="R39" s="2187"/>
      <c r="S39" s="2187"/>
      <c r="T39" s="2187"/>
      <c r="U39" s="2415"/>
      <c r="V39" s="2416"/>
    </row>
    <row r="40" spans="1:22">
      <c r="A40" s="2164"/>
      <c r="B40" s="2177" t="s">
        <v>1200</v>
      </c>
      <c r="C40" s="2168" t="s">
        <v>1212</v>
      </c>
      <c r="D40" s="1235" t="s">
        <v>1213</v>
      </c>
      <c r="E40" s="2170"/>
      <c r="F40" s="2179"/>
      <c r="G40" s="2179"/>
      <c r="H40" s="2179"/>
      <c r="I40" s="2179"/>
      <c r="J40" s="2179"/>
      <c r="K40" s="2179"/>
      <c r="L40" s="2179"/>
      <c r="M40" s="2179"/>
      <c r="N40" s="2171">
        <v>0.93</v>
      </c>
      <c r="O40" s="2171">
        <v>0.91139999999999999</v>
      </c>
      <c r="P40" s="2171">
        <v>0.89317199999999997</v>
      </c>
      <c r="Q40" s="2171">
        <v>0.8753085599999999</v>
      </c>
      <c r="R40" s="2171">
        <v>0.86655547439999991</v>
      </c>
      <c r="S40" s="2171">
        <v>0.85788991965599992</v>
      </c>
      <c r="T40" s="2171">
        <v>0.84931102045943996</v>
      </c>
      <c r="U40" s="2413">
        <v>0.84081791025484554</v>
      </c>
      <c r="V40" s="2181">
        <v>0.83240973115229711</v>
      </c>
    </row>
    <row r="41" spans="1:22">
      <c r="A41" s="2164"/>
      <c r="B41" s="2183"/>
      <c r="C41" s="2169"/>
      <c r="D41" s="1236" t="s">
        <v>1214</v>
      </c>
      <c r="E41" s="2170"/>
      <c r="F41" s="2179"/>
      <c r="G41" s="2179"/>
      <c r="H41" s="2179"/>
      <c r="I41" s="2179"/>
      <c r="J41" s="2179"/>
      <c r="K41" s="2179"/>
      <c r="L41" s="2179"/>
      <c r="M41" s="2179"/>
      <c r="N41" s="2172"/>
      <c r="O41" s="2172"/>
      <c r="P41" s="2172"/>
      <c r="Q41" s="2172"/>
      <c r="R41" s="2172"/>
      <c r="S41" s="2172"/>
      <c r="T41" s="2172"/>
      <c r="U41" s="2414"/>
      <c r="V41" s="2182"/>
    </row>
    <row r="42" spans="1:22">
      <c r="A42" s="2164"/>
      <c r="B42" s="2183"/>
      <c r="C42" s="2173" t="s">
        <v>1215</v>
      </c>
      <c r="D42" s="1236" t="s">
        <v>1216</v>
      </c>
      <c r="E42" s="2170"/>
      <c r="F42" s="2179"/>
      <c r="G42" s="2179"/>
      <c r="H42" s="2179"/>
      <c r="I42" s="2179"/>
      <c r="J42" s="2179"/>
      <c r="K42" s="2179"/>
      <c r="L42" s="2179"/>
      <c r="M42" s="2179"/>
      <c r="N42" s="2172"/>
      <c r="O42" s="2172"/>
      <c r="P42" s="2172"/>
      <c r="Q42" s="2172"/>
      <c r="R42" s="2172"/>
      <c r="S42" s="2172"/>
      <c r="T42" s="2172"/>
      <c r="U42" s="2414"/>
      <c r="V42" s="2182"/>
    </row>
    <row r="43" spans="1:22">
      <c r="A43" s="2164"/>
      <c r="B43" s="2183"/>
      <c r="C43" s="2174"/>
      <c r="D43" s="1237" t="s">
        <v>1217</v>
      </c>
      <c r="E43" s="2170"/>
      <c r="F43" s="2179"/>
      <c r="G43" s="2179"/>
      <c r="H43" s="2179"/>
      <c r="I43" s="2179"/>
      <c r="J43" s="2179"/>
      <c r="K43" s="2179"/>
      <c r="L43" s="2179"/>
      <c r="M43" s="2179"/>
      <c r="N43" s="2187"/>
      <c r="O43" s="2187"/>
      <c r="P43" s="2187"/>
      <c r="Q43" s="2187"/>
      <c r="R43" s="2187"/>
      <c r="S43" s="2187"/>
      <c r="T43" s="2187"/>
      <c r="U43" s="2415"/>
      <c r="V43" s="2416"/>
    </row>
    <row r="44" spans="1:22">
      <c r="A44" s="2164"/>
      <c r="B44" s="2177" t="s">
        <v>1201</v>
      </c>
      <c r="C44" s="2168" t="s">
        <v>1212</v>
      </c>
      <c r="D44" s="1235" t="s">
        <v>1213</v>
      </c>
      <c r="E44" s="2170"/>
      <c r="F44" s="2179"/>
      <c r="G44" s="2179"/>
      <c r="H44" s="2179"/>
      <c r="I44" s="2179"/>
      <c r="J44" s="2179"/>
      <c r="K44" s="2179"/>
      <c r="L44" s="2179"/>
      <c r="M44" s="2179"/>
      <c r="N44" s="2179"/>
      <c r="O44" s="2171">
        <v>0.98</v>
      </c>
      <c r="P44" s="2171">
        <v>0.96039999999999992</v>
      </c>
      <c r="Q44" s="2171">
        <v>0.94119199999999992</v>
      </c>
      <c r="R44" s="2171">
        <v>0.9317800799999999</v>
      </c>
      <c r="S44" s="2171">
        <v>0.9224622791999999</v>
      </c>
      <c r="T44" s="2171">
        <v>0.91323765640799992</v>
      </c>
      <c r="U44" s="2413">
        <v>0.90410527984391986</v>
      </c>
      <c r="V44" s="2181">
        <v>0.89506422704548061</v>
      </c>
    </row>
    <row r="45" spans="1:22">
      <c r="A45" s="2164"/>
      <c r="B45" s="2183"/>
      <c r="C45" s="2169"/>
      <c r="D45" s="1236" t="s">
        <v>1214</v>
      </c>
      <c r="E45" s="2170"/>
      <c r="F45" s="2179"/>
      <c r="G45" s="2179"/>
      <c r="H45" s="2179"/>
      <c r="I45" s="2179"/>
      <c r="J45" s="2179"/>
      <c r="K45" s="2179"/>
      <c r="L45" s="2179"/>
      <c r="M45" s="2179"/>
      <c r="N45" s="2179"/>
      <c r="O45" s="2172"/>
      <c r="P45" s="2172"/>
      <c r="Q45" s="2172"/>
      <c r="R45" s="2172"/>
      <c r="S45" s="2172"/>
      <c r="T45" s="2172"/>
      <c r="U45" s="2414"/>
      <c r="V45" s="2182"/>
    </row>
    <row r="46" spans="1:22">
      <c r="A46" s="2164"/>
      <c r="B46" s="2183"/>
      <c r="C46" s="2173" t="s">
        <v>1215</v>
      </c>
      <c r="D46" s="1236" t="s">
        <v>1216</v>
      </c>
      <c r="E46" s="2170"/>
      <c r="F46" s="2179"/>
      <c r="G46" s="2179"/>
      <c r="H46" s="2179"/>
      <c r="I46" s="2179"/>
      <c r="J46" s="2179"/>
      <c r="K46" s="2179"/>
      <c r="L46" s="2179"/>
      <c r="M46" s="2179"/>
      <c r="N46" s="2179"/>
      <c r="O46" s="2172"/>
      <c r="P46" s="2172"/>
      <c r="Q46" s="2172"/>
      <c r="R46" s="2172"/>
      <c r="S46" s="2172"/>
      <c r="T46" s="2172"/>
      <c r="U46" s="2414"/>
      <c r="V46" s="2182"/>
    </row>
    <row r="47" spans="1:22">
      <c r="A47" s="2164"/>
      <c r="B47" s="2183"/>
      <c r="C47" s="2174"/>
      <c r="D47" s="1237" t="s">
        <v>1217</v>
      </c>
      <c r="E47" s="2170"/>
      <c r="F47" s="2179"/>
      <c r="G47" s="2179"/>
      <c r="H47" s="2179"/>
      <c r="I47" s="2179"/>
      <c r="J47" s="2179"/>
      <c r="K47" s="2179"/>
      <c r="L47" s="2179"/>
      <c r="M47" s="2179"/>
      <c r="N47" s="2179"/>
      <c r="O47" s="2187"/>
      <c r="P47" s="2187"/>
      <c r="Q47" s="2187"/>
      <c r="R47" s="2187"/>
      <c r="S47" s="2187"/>
      <c r="T47" s="2187"/>
      <c r="U47" s="2415"/>
      <c r="V47" s="2416"/>
    </row>
    <row r="48" spans="1:22">
      <c r="A48" s="2164"/>
      <c r="B48" s="2177" t="s">
        <v>1202</v>
      </c>
      <c r="C48" s="2168" t="s">
        <v>1212</v>
      </c>
      <c r="D48" s="1235" t="s">
        <v>1213</v>
      </c>
      <c r="E48" s="2170"/>
      <c r="F48" s="2179"/>
      <c r="G48" s="2179"/>
      <c r="H48" s="2179"/>
      <c r="I48" s="2179"/>
      <c r="J48" s="2179"/>
      <c r="K48" s="2179"/>
      <c r="L48" s="2179"/>
      <c r="M48" s="2179"/>
      <c r="N48" s="2179"/>
      <c r="O48" s="2179"/>
      <c r="P48" s="2171">
        <v>0.98</v>
      </c>
      <c r="Q48" s="2171">
        <v>0.96039999999999992</v>
      </c>
      <c r="R48" s="2171">
        <v>0.95079599999999986</v>
      </c>
      <c r="S48" s="2171">
        <v>0.94128803999999988</v>
      </c>
      <c r="T48" s="2171">
        <v>0.93187515959999989</v>
      </c>
      <c r="U48" s="2413">
        <v>0.92255640800399985</v>
      </c>
      <c r="V48" s="2181">
        <v>0.9133308439239598</v>
      </c>
    </row>
    <row r="49" spans="1:22">
      <c r="A49" s="2164"/>
      <c r="B49" s="2183"/>
      <c r="C49" s="2169"/>
      <c r="D49" s="1236" t="s">
        <v>1214</v>
      </c>
      <c r="E49" s="2170"/>
      <c r="F49" s="2179"/>
      <c r="G49" s="2179"/>
      <c r="H49" s="2179"/>
      <c r="I49" s="2179"/>
      <c r="J49" s="2179"/>
      <c r="K49" s="2179"/>
      <c r="L49" s="2179"/>
      <c r="M49" s="2179"/>
      <c r="N49" s="2179"/>
      <c r="O49" s="2179"/>
      <c r="P49" s="2172"/>
      <c r="Q49" s="2172"/>
      <c r="R49" s="2172"/>
      <c r="S49" s="2172"/>
      <c r="T49" s="2172"/>
      <c r="U49" s="2414"/>
      <c r="V49" s="2182"/>
    </row>
    <row r="50" spans="1:22">
      <c r="A50" s="2164"/>
      <c r="B50" s="2183"/>
      <c r="C50" s="2173" t="s">
        <v>1215</v>
      </c>
      <c r="D50" s="1236" t="s">
        <v>1216</v>
      </c>
      <c r="E50" s="2170"/>
      <c r="F50" s="2179"/>
      <c r="G50" s="2179"/>
      <c r="H50" s="2179"/>
      <c r="I50" s="2179"/>
      <c r="J50" s="2179"/>
      <c r="K50" s="2179"/>
      <c r="L50" s="2179"/>
      <c r="M50" s="2179"/>
      <c r="N50" s="2179"/>
      <c r="O50" s="2179"/>
      <c r="P50" s="2172"/>
      <c r="Q50" s="2172"/>
      <c r="R50" s="2172"/>
      <c r="S50" s="2172"/>
      <c r="T50" s="2172"/>
      <c r="U50" s="2414"/>
      <c r="V50" s="2182"/>
    </row>
    <row r="51" spans="1:22">
      <c r="A51" s="2164"/>
      <c r="B51" s="2183"/>
      <c r="C51" s="2174"/>
      <c r="D51" s="1237" t="s">
        <v>1217</v>
      </c>
      <c r="E51" s="2170"/>
      <c r="F51" s="2179"/>
      <c r="G51" s="2179"/>
      <c r="H51" s="2179"/>
      <c r="I51" s="2179"/>
      <c r="J51" s="2179"/>
      <c r="K51" s="2179"/>
      <c r="L51" s="2179"/>
      <c r="M51" s="2179"/>
      <c r="N51" s="2179"/>
      <c r="O51" s="2179"/>
      <c r="P51" s="2187"/>
      <c r="Q51" s="2187"/>
      <c r="R51" s="2187"/>
      <c r="S51" s="2187"/>
      <c r="T51" s="2187"/>
      <c r="U51" s="2415"/>
      <c r="V51" s="2416"/>
    </row>
    <row r="52" spans="1:22">
      <c r="A52" s="2164"/>
      <c r="B52" s="2184" t="s">
        <v>1203</v>
      </c>
      <c r="C52" s="2168" t="s">
        <v>1212</v>
      </c>
      <c r="D52" s="1235" t="s">
        <v>1213</v>
      </c>
      <c r="E52" s="2170"/>
      <c r="F52" s="2179"/>
      <c r="G52" s="2179"/>
      <c r="H52" s="2179"/>
      <c r="I52" s="2179"/>
      <c r="J52" s="2179"/>
      <c r="K52" s="2179"/>
      <c r="L52" s="2179"/>
      <c r="M52" s="2179"/>
      <c r="N52" s="2179"/>
      <c r="O52" s="2179"/>
      <c r="P52" s="2179"/>
      <c r="Q52" s="2171">
        <v>0.98</v>
      </c>
      <c r="R52" s="2171">
        <v>0.97019999999999995</v>
      </c>
      <c r="S52" s="2171">
        <v>0.96049799999999996</v>
      </c>
      <c r="T52" s="2171">
        <v>0.95089301999999998</v>
      </c>
      <c r="U52" s="2413">
        <v>0.94138408979999999</v>
      </c>
      <c r="V52" s="2181">
        <v>0.93197024890199998</v>
      </c>
    </row>
    <row r="53" spans="1:22">
      <c r="A53" s="2164"/>
      <c r="B53" s="2185"/>
      <c r="C53" s="2169"/>
      <c r="D53" s="1236" t="s">
        <v>1214</v>
      </c>
      <c r="E53" s="2170"/>
      <c r="F53" s="2179"/>
      <c r="G53" s="2179"/>
      <c r="H53" s="2179"/>
      <c r="I53" s="2179"/>
      <c r="J53" s="2179"/>
      <c r="K53" s="2179"/>
      <c r="L53" s="2179"/>
      <c r="M53" s="2179"/>
      <c r="N53" s="2179"/>
      <c r="O53" s="2179"/>
      <c r="P53" s="2179"/>
      <c r="Q53" s="2172"/>
      <c r="R53" s="2172"/>
      <c r="S53" s="2172"/>
      <c r="T53" s="2172"/>
      <c r="U53" s="2414"/>
      <c r="V53" s="2182"/>
    </row>
    <row r="54" spans="1:22">
      <c r="A54" s="2164"/>
      <c r="B54" s="2185"/>
      <c r="C54" s="2173" t="s">
        <v>1215</v>
      </c>
      <c r="D54" s="1236" t="s">
        <v>1216</v>
      </c>
      <c r="E54" s="2170"/>
      <c r="F54" s="2179"/>
      <c r="G54" s="2179"/>
      <c r="H54" s="2179"/>
      <c r="I54" s="2179"/>
      <c r="J54" s="2179"/>
      <c r="K54" s="2179"/>
      <c r="L54" s="2179"/>
      <c r="M54" s="2179"/>
      <c r="N54" s="2179"/>
      <c r="O54" s="2179"/>
      <c r="P54" s="2179"/>
      <c r="Q54" s="2172"/>
      <c r="R54" s="2172"/>
      <c r="S54" s="2172"/>
      <c r="T54" s="2172"/>
      <c r="U54" s="2414"/>
      <c r="V54" s="2182"/>
    </row>
    <row r="55" spans="1:22">
      <c r="A55" s="2164"/>
      <c r="B55" s="2186"/>
      <c r="C55" s="2174"/>
      <c r="D55" s="1237" t="s">
        <v>1217</v>
      </c>
      <c r="E55" s="2170"/>
      <c r="F55" s="2179"/>
      <c r="G55" s="2179"/>
      <c r="H55" s="2179"/>
      <c r="I55" s="2179"/>
      <c r="J55" s="2179"/>
      <c r="K55" s="2179"/>
      <c r="L55" s="2179"/>
      <c r="M55" s="2179"/>
      <c r="N55" s="2179"/>
      <c r="O55" s="2179"/>
      <c r="P55" s="2179"/>
      <c r="Q55" s="2187"/>
      <c r="R55" s="2187"/>
      <c r="S55" s="2187"/>
      <c r="T55" s="2187"/>
      <c r="U55" s="2415"/>
      <c r="V55" s="2416"/>
    </row>
    <row r="56" spans="1:22">
      <c r="A56" s="2164"/>
      <c r="B56" s="2178" t="s">
        <v>1204</v>
      </c>
      <c r="C56" s="2168" t="s">
        <v>1212</v>
      </c>
      <c r="D56" s="1235" t="s">
        <v>1213</v>
      </c>
      <c r="E56" s="2170"/>
      <c r="F56" s="2179"/>
      <c r="G56" s="2179"/>
      <c r="H56" s="2179"/>
      <c r="I56" s="2179"/>
      <c r="J56" s="2179"/>
      <c r="K56" s="2179"/>
      <c r="L56" s="2179"/>
      <c r="M56" s="2179"/>
      <c r="N56" s="2179"/>
      <c r="O56" s="2179"/>
      <c r="P56" s="2179"/>
      <c r="Q56" s="2179"/>
      <c r="R56" s="2171">
        <v>0.99</v>
      </c>
      <c r="S56" s="2171">
        <v>0.98009999999999997</v>
      </c>
      <c r="T56" s="2171">
        <v>0.97029899999999991</v>
      </c>
      <c r="U56" s="2413">
        <v>0.96059600999999994</v>
      </c>
      <c r="V56" s="2181">
        <v>0.95099004989999991</v>
      </c>
    </row>
    <row r="57" spans="1:22">
      <c r="A57" s="2164"/>
      <c r="B57" s="2183"/>
      <c r="C57" s="2169"/>
      <c r="D57" s="1236" t="s">
        <v>1214</v>
      </c>
      <c r="E57" s="2170"/>
      <c r="F57" s="2179"/>
      <c r="G57" s="2179"/>
      <c r="H57" s="2179"/>
      <c r="I57" s="2179"/>
      <c r="J57" s="2179"/>
      <c r="K57" s="2179"/>
      <c r="L57" s="2179"/>
      <c r="M57" s="2179"/>
      <c r="N57" s="2179"/>
      <c r="O57" s="2179"/>
      <c r="P57" s="2179"/>
      <c r="Q57" s="2179"/>
      <c r="R57" s="2172"/>
      <c r="S57" s="2172"/>
      <c r="T57" s="2172"/>
      <c r="U57" s="2414"/>
      <c r="V57" s="2182"/>
    </row>
    <row r="58" spans="1:22">
      <c r="A58" s="2164"/>
      <c r="B58" s="2183"/>
      <c r="C58" s="2173" t="s">
        <v>1215</v>
      </c>
      <c r="D58" s="1236" t="s">
        <v>1216</v>
      </c>
      <c r="E58" s="2170"/>
      <c r="F58" s="2179"/>
      <c r="G58" s="2179"/>
      <c r="H58" s="2179"/>
      <c r="I58" s="2179"/>
      <c r="J58" s="2179"/>
      <c r="K58" s="2179"/>
      <c r="L58" s="2179"/>
      <c r="M58" s="2179"/>
      <c r="N58" s="2179"/>
      <c r="O58" s="2179"/>
      <c r="P58" s="2179"/>
      <c r="Q58" s="2179"/>
      <c r="R58" s="2172"/>
      <c r="S58" s="2172"/>
      <c r="T58" s="2172"/>
      <c r="U58" s="2414"/>
      <c r="V58" s="2182"/>
    </row>
    <row r="59" spans="1:22">
      <c r="A59" s="2164"/>
      <c r="B59" s="2183"/>
      <c r="C59" s="2174"/>
      <c r="D59" s="1237" t="s">
        <v>1217</v>
      </c>
      <c r="E59" s="2170"/>
      <c r="F59" s="2179"/>
      <c r="G59" s="2179"/>
      <c r="H59" s="2179"/>
      <c r="I59" s="2179"/>
      <c r="J59" s="2179"/>
      <c r="K59" s="2179"/>
      <c r="L59" s="2179"/>
      <c r="M59" s="2179"/>
      <c r="N59" s="2179"/>
      <c r="O59" s="2179"/>
      <c r="P59" s="2179"/>
      <c r="Q59" s="2179"/>
      <c r="R59" s="2187"/>
      <c r="S59" s="2187"/>
      <c r="T59" s="2187"/>
      <c r="U59" s="2415"/>
      <c r="V59" s="2416"/>
    </row>
    <row r="60" spans="1:22">
      <c r="A60" s="2164"/>
      <c r="B60" s="2177" t="s">
        <v>1205</v>
      </c>
      <c r="C60" s="2168" t="s">
        <v>1212</v>
      </c>
      <c r="D60" s="1235" t="s">
        <v>1213</v>
      </c>
      <c r="E60" s="2170"/>
      <c r="F60" s="2179"/>
      <c r="G60" s="2179"/>
      <c r="H60" s="2179"/>
      <c r="I60" s="2179"/>
      <c r="J60" s="2179"/>
      <c r="K60" s="2179"/>
      <c r="L60" s="2179"/>
      <c r="M60" s="2179"/>
      <c r="N60" s="2179"/>
      <c r="O60" s="2179"/>
      <c r="P60" s="2179"/>
      <c r="Q60" s="2179"/>
      <c r="R60" s="2179"/>
      <c r="S60" s="2171">
        <v>0.99</v>
      </c>
      <c r="T60" s="2171">
        <v>0.98009999999999997</v>
      </c>
      <c r="U60" s="2413">
        <v>0.97029899999999991</v>
      </c>
      <c r="V60" s="2181">
        <v>0.96059600999999994</v>
      </c>
    </row>
    <row r="61" spans="1:22">
      <c r="A61" s="2164"/>
      <c r="B61" s="2183"/>
      <c r="C61" s="2169"/>
      <c r="D61" s="1236" t="s">
        <v>1214</v>
      </c>
      <c r="E61" s="2170"/>
      <c r="F61" s="2179"/>
      <c r="G61" s="2179"/>
      <c r="H61" s="2179"/>
      <c r="I61" s="2179"/>
      <c r="J61" s="2179"/>
      <c r="K61" s="2179"/>
      <c r="L61" s="2179"/>
      <c r="M61" s="2179"/>
      <c r="N61" s="2179"/>
      <c r="O61" s="2179"/>
      <c r="P61" s="2179"/>
      <c r="Q61" s="2179"/>
      <c r="R61" s="2179"/>
      <c r="S61" s="2172"/>
      <c r="T61" s="2172"/>
      <c r="U61" s="2414"/>
      <c r="V61" s="2182"/>
    </row>
    <row r="62" spans="1:22">
      <c r="A62" s="2164"/>
      <c r="B62" s="2183"/>
      <c r="C62" s="2173" t="s">
        <v>1215</v>
      </c>
      <c r="D62" s="1236" t="s">
        <v>1216</v>
      </c>
      <c r="E62" s="2170"/>
      <c r="F62" s="2179"/>
      <c r="G62" s="2179"/>
      <c r="H62" s="2179"/>
      <c r="I62" s="2179"/>
      <c r="J62" s="2179"/>
      <c r="K62" s="2179"/>
      <c r="L62" s="2179"/>
      <c r="M62" s="2179"/>
      <c r="N62" s="2179"/>
      <c r="O62" s="2179"/>
      <c r="P62" s="2179"/>
      <c r="Q62" s="2179"/>
      <c r="R62" s="2179"/>
      <c r="S62" s="2172"/>
      <c r="T62" s="2172"/>
      <c r="U62" s="2414"/>
      <c r="V62" s="2182"/>
    </row>
    <row r="63" spans="1:22">
      <c r="A63" s="2164"/>
      <c r="B63" s="2183"/>
      <c r="C63" s="2174"/>
      <c r="D63" s="1237" t="s">
        <v>1217</v>
      </c>
      <c r="E63" s="2170"/>
      <c r="F63" s="2179"/>
      <c r="G63" s="2179"/>
      <c r="H63" s="2179"/>
      <c r="I63" s="2179"/>
      <c r="J63" s="2179"/>
      <c r="K63" s="2179"/>
      <c r="L63" s="2179"/>
      <c r="M63" s="2179"/>
      <c r="N63" s="2179"/>
      <c r="O63" s="2179"/>
      <c r="P63" s="2179"/>
      <c r="Q63" s="2179"/>
      <c r="R63" s="2179"/>
      <c r="S63" s="2187"/>
      <c r="T63" s="2187"/>
      <c r="U63" s="2415"/>
      <c r="V63" s="2416"/>
    </row>
    <row r="64" spans="1:22">
      <c r="A64" s="2164"/>
      <c r="B64" s="2177" t="s">
        <v>1206</v>
      </c>
      <c r="C64" s="2168" t="s">
        <v>1212</v>
      </c>
      <c r="D64" s="1235" t="s">
        <v>1213</v>
      </c>
      <c r="E64" s="2170"/>
      <c r="F64" s="2179"/>
      <c r="G64" s="2179"/>
      <c r="H64" s="2179"/>
      <c r="I64" s="2179"/>
      <c r="J64" s="2179"/>
      <c r="K64" s="2179"/>
      <c r="L64" s="2179"/>
      <c r="M64" s="2179"/>
      <c r="N64" s="2179"/>
      <c r="O64" s="2179"/>
      <c r="P64" s="2179"/>
      <c r="Q64" s="2179"/>
      <c r="R64" s="2179"/>
      <c r="S64" s="2179"/>
      <c r="T64" s="2171">
        <v>0.99</v>
      </c>
      <c r="U64" s="2413">
        <v>0.98009999999999997</v>
      </c>
      <c r="V64" s="2181">
        <v>0.97029899999999991</v>
      </c>
    </row>
    <row r="65" spans="1:22">
      <c r="A65" s="2164"/>
      <c r="B65" s="2183"/>
      <c r="C65" s="2169"/>
      <c r="D65" s="1236" t="s">
        <v>1214</v>
      </c>
      <c r="E65" s="2170"/>
      <c r="F65" s="2179"/>
      <c r="G65" s="2179"/>
      <c r="H65" s="2179"/>
      <c r="I65" s="2179"/>
      <c r="J65" s="2179"/>
      <c r="K65" s="2179"/>
      <c r="L65" s="2179"/>
      <c r="M65" s="2179"/>
      <c r="N65" s="2179"/>
      <c r="O65" s="2179"/>
      <c r="P65" s="2179"/>
      <c r="Q65" s="2179"/>
      <c r="R65" s="2179"/>
      <c r="S65" s="2179"/>
      <c r="T65" s="2172"/>
      <c r="U65" s="2414"/>
      <c r="V65" s="2182"/>
    </row>
    <row r="66" spans="1:22">
      <c r="A66" s="2164"/>
      <c r="B66" s="2183"/>
      <c r="C66" s="2173" t="s">
        <v>1215</v>
      </c>
      <c r="D66" s="1236" t="s">
        <v>1216</v>
      </c>
      <c r="E66" s="2170"/>
      <c r="F66" s="2179"/>
      <c r="G66" s="2179"/>
      <c r="H66" s="2179"/>
      <c r="I66" s="2179"/>
      <c r="J66" s="2179"/>
      <c r="K66" s="2179"/>
      <c r="L66" s="2179"/>
      <c r="M66" s="2179"/>
      <c r="N66" s="2179"/>
      <c r="O66" s="2179"/>
      <c r="P66" s="2179"/>
      <c r="Q66" s="2179"/>
      <c r="R66" s="2179"/>
      <c r="S66" s="2179"/>
      <c r="T66" s="2172"/>
      <c r="U66" s="2414"/>
      <c r="V66" s="2182"/>
    </row>
    <row r="67" spans="1:22">
      <c r="A67" s="2164"/>
      <c r="B67" s="2183"/>
      <c r="C67" s="2174"/>
      <c r="D67" s="1237" t="s">
        <v>1217</v>
      </c>
      <c r="E67" s="2170"/>
      <c r="F67" s="2179"/>
      <c r="G67" s="2179"/>
      <c r="H67" s="2179"/>
      <c r="I67" s="2179"/>
      <c r="J67" s="2179"/>
      <c r="K67" s="2179"/>
      <c r="L67" s="2179"/>
      <c r="M67" s="2179"/>
      <c r="N67" s="2179"/>
      <c r="O67" s="2179"/>
      <c r="P67" s="2179"/>
      <c r="Q67" s="2179"/>
      <c r="R67" s="2179"/>
      <c r="S67" s="2179"/>
      <c r="T67" s="2187"/>
      <c r="U67" s="2415"/>
      <c r="V67" s="2416"/>
    </row>
    <row r="68" spans="1:22">
      <c r="A68" s="2164"/>
      <c r="B68" s="2177" t="s">
        <v>1207</v>
      </c>
      <c r="C68" s="2168" t="s">
        <v>1212</v>
      </c>
      <c r="D68" s="1235" t="s">
        <v>1213</v>
      </c>
      <c r="E68" s="2170"/>
      <c r="F68" s="2179"/>
      <c r="G68" s="2179"/>
      <c r="H68" s="2179"/>
      <c r="I68" s="2179"/>
      <c r="J68" s="2179"/>
      <c r="K68" s="2179"/>
      <c r="L68" s="2179"/>
      <c r="M68" s="2179"/>
      <c r="N68" s="2179"/>
      <c r="O68" s="2179"/>
      <c r="P68" s="2179"/>
      <c r="Q68" s="2179"/>
      <c r="R68" s="2179"/>
      <c r="S68" s="2179"/>
      <c r="T68" s="2179"/>
      <c r="U68" s="2413">
        <v>0.99</v>
      </c>
      <c r="V68" s="2181">
        <v>0.98009999999999997</v>
      </c>
    </row>
    <row r="69" spans="1:22">
      <c r="A69" s="2164"/>
      <c r="B69" s="2183"/>
      <c r="C69" s="2169"/>
      <c r="D69" s="1236" t="s">
        <v>1214</v>
      </c>
      <c r="E69" s="2170"/>
      <c r="F69" s="2179"/>
      <c r="G69" s="2179"/>
      <c r="H69" s="2179"/>
      <c r="I69" s="2179"/>
      <c r="J69" s="2179"/>
      <c r="K69" s="2179"/>
      <c r="L69" s="2179"/>
      <c r="M69" s="2179"/>
      <c r="N69" s="2179"/>
      <c r="O69" s="2179"/>
      <c r="P69" s="2179"/>
      <c r="Q69" s="2179"/>
      <c r="R69" s="2179"/>
      <c r="S69" s="2179"/>
      <c r="T69" s="2179"/>
      <c r="U69" s="2414"/>
      <c r="V69" s="2182"/>
    </row>
    <row r="70" spans="1:22">
      <c r="A70" s="2164"/>
      <c r="B70" s="2183"/>
      <c r="C70" s="2173" t="s">
        <v>1215</v>
      </c>
      <c r="D70" s="1236" t="s">
        <v>1216</v>
      </c>
      <c r="E70" s="2170"/>
      <c r="F70" s="2179"/>
      <c r="G70" s="2179"/>
      <c r="H70" s="2179"/>
      <c r="I70" s="2179"/>
      <c r="J70" s="2179"/>
      <c r="K70" s="2179"/>
      <c r="L70" s="2179"/>
      <c r="M70" s="2179"/>
      <c r="N70" s="2179"/>
      <c r="O70" s="2179"/>
      <c r="P70" s="2179"/>
      <c r="Q70" s="2179"/>
      <c r="R70" s="2179"/>
      <c r="S70" s="2179"/>
      <c r="T70" s="2179"/>
      <c r="U70" s="2414"/>
      <c r="V70" s="2182"/>
    </row>
    <row r="71" spans="1:22">
      <c r="A71" s="2164"/>
      <c r="B71" s="2183"/>
      <c r="C71" s="2174"/>
      <c r="D71" s="1237" t="s">
        <v>1217</v>
      </c>
      <c r="E71" s="2170"/>
      <c r="F71" s="2179"/>
      <c r="G71" s="2179"/>
      <c r="H71" s="2179"/>
      <c r="I71" s="2179"/>
      <c r="J71" s="2179"/>
      <c r="K71" s="2179"/>
      <c r="L71" s="2179"/>
      <c r="M71" s="2179"/>
      <c r="N71" s="2179"/>
      <c r="O71" s="2179"/>
      <c r="P71" s="2179"/>
      <c r="Q71" s="2179"/>
      <c r="R71" s="2179"/>
      <c r="S71" s="2179"/>
      <c r="T71" s="2179"/>
      <c r="U71" s="2415"/>
      <c r="V71" s="2416"/>
    </row>
    <row r="72" spans="1:22">
      <c r="A72" s="2164"/>
      <c r="B72" s="2184" t="s">
        <v>1208</v>
      </c>
      <c r="C72" s="2168" t="s">
        <v>1212</v>
      </c>
      <c r="D72" s="1235" t="s">
        <v>1213</v>
      </c>
      <c r="E72" s="2188"/>
      <c r="F72" s="2191"/>
      <c r="G72" s="2191"/>
      <c r="H72" s="2191"/>
      <c r="I72" s="2191"/>
      <c r="J72" s="2191"/>
      <c r="K72" s="2191"/>
      <c r="L72" s="2191"/>
      <c r="M72" s="2191"/>
      <c r="N72" s="2191"/>
      <c r="O72" s="2191"/>
      <c r="P72" s="2191"/>
      <c r="Q72" s="2191"/>
      <c r="R72" s="2191"/>
      <c r="S72" s="2191"/>
      <c r="T72" s="2191"/>
      <c r="U72" s="2179"/>
      <c r="V72" s="2181">
        <v>0.99</v>
      </c>
    </row>
    <row r="73" spans="1:22">
      <c r="A73" s="2164"/>
      <c r="B73" s="2185"/>
      <c r="C73" s="2169"/>
      <c r="D73" s="1236" t="s">
        <v>1214</v>
      </c>
      <c r="E73" s="2189"/>
      <c r="F73" s="2192"/>
      <c r="G73" s="2192"/>
      <c r="H73" s="2192"/>
      <c r="I73" s="2192"/>
      <c r="J73" s="2192"/>
      <c r="K73" s="2192"/>
      <c r="L73" s="2192"/>
      <c r="M73" s="2192"/>
      <c r="N73" s="2192"/>
      <c r="O73" s="2192"/>
      <c r="P73" s="2192"/>
      <c r="Q73" s="2192"/>
      <c r="R73" s="2192"/>
      <c r="S73" s="2192"/>
      <c r="T73" s="2192"/>
      <c r="U73" s="2179"/>
      <c r="V73" s="2182"/>
    </row>
    <row r="74" spans="1:22">
      <c r="A74" s="2164"/>
      <c r="B74" s="2185"/>
      <c r="C74" s="2173" t="s">
        <v>1215</v>
      </c>
      <c r="D74" s="1236" t="s">
        <v>1216</v>
      </c>
      <c r="E74" s="2189"/>
      <c r="F74" s="2192"/>
      <c r="G74" s="2192"/>
      <c r="H74" s="2192"/>
      <c r="I74" s="2192"/>
      <c r="J74" s="2192"/>
      <c r="K74" s="2192"/>
      <c r="L74" s="2192"/>
      <c r="M74" s="2192"/>
      <c r="N74" s="2192"/>
      <c r="O74" s="2192"/>
      <c r="P74" s="2192"/>
      <c r="Q74" s="2192"/>
      <c r="R74" s="2192"/>
      <c r="S74" s="2192"/>
      <c r="T74" s="2192"/>
      <c r="U74" s="2179"/>
      <c r="V74" s="2182"/>
    </row>
    <row r="75" spans="1:22">
      <c r="A75" s="2164"/>
      <c r="B75" s="2186"/>
      <c r="C75" s="2174"/>
      <c r="D75" s="1237" t="s">
        <v>1217</v>
      </c>
      <c r="E75" s="2190"/>
      <c r="F75" s="2193"/>
      <c r="G75" s="2193"/>
      <c r="H75" s="2193"/>
      <c r="I75" s="2193"/>
      <c r="J75" s="2193"/>
      <c r="K75" s="2193"/>
      <c r="L75" s="2193"/>
      <c r="M75" s="2193"/>
      <c r="N75" s="2193"/>
      <c r="O75" s="2193"/>
      <c r="P75" s="2193"/>
      <c r="Q75" s="2193"/>
      <c r="R75" s="2193"/>
      <c r="S75" s="2193"/>
      <c r="T75" s="2193"/>
      <c r="U75" s="2179"/>
      <c r="V75" s="2416"/>
    </row>
    <row r="76" spans="1:22">
      <c r="A76" s="2164"/>
      <c r="B76" s="2178" t="s">
        <v>1209</v>
      </c>
      <c r="C76" s="2168" t="s">
        <v>1212</v>
      </c>
      <c r="D76" s="1235" t="s">
        <v>1213</v>
      </c>
      <c r="E76" s="2188"/>
      <c r="F76" s="2191"/>
      <c r="G76" s="2191"/>
      <c r="H76" s="2191"/>
      <c r="I76" s="2191"/>
      <c r="J76" s="2191"/>
      <c r="K76" s="2191"/>
      <c r="L76" s="2191"/>
      <c r="M76" s="2191"/>
      <c r="N76" s="2191"/>
      <c r="O76" s="2191"/>
      <c r="P76" s="2191"/>
      <c r="Q76" s="2191"/>
      <c r="R76" s="2191"/>
      <c r="S76" s="2191"/>
      <c r="T76" s="2191"/>
      <c r="U76" s="2417"/>
      <c r="V76" s="2194"/>
    </row>
    <row r="77" spans="1:22">
      <c r="A77" s="2164"/>
      <c r="B77" s="2183"/>
      <c r="C77" s="2169"/>
      <c r="D77" s="1236" t="s">
        <v>1214</v>
      </c>
      <c r="E77" s="2189"/>
      <c r="F77" s="2192"/>
      <c r="G77" s="2192"/>
      <c r="H77" s="2192"/>
      <c r="I77" s="2192"/>
      <c r="J77" s="2192"/>
      <c r="K77" s="2192"/>
      <c r="L77" s="2192"/>
      <c r="M77" s="2192"/>
      <c r="N77" s="2192"/>
      <c r="O77" s="2192"/>
      <c r="P77" s="2192"/>
      <c r="Q77" s="2192"/>
      <c r="R77" s="2192"/>
      <c r="S77" s="2192"/>
      <c r="T77" s="2192"/>
      <c r="U77" s="2418"/>
      <c r="V77" s="2195"/>
    </row>
    <row r="78" spans="1:22">
      <c r="A78" s="2164"/>
      <c r="B78" s="2183"/>
      <c r="C78" s="2173" t="s">
        <v>1215</v>
      </c>
      <c r="D78" s="1236" t="s">
        <v>1216</v>
      </c>
      <c r="E78" s="2189"/>
      <c r="F78" s="2192"/>
      <c r="G78" s="2192"/>
      <c r="H78" s="2192"/>
      <c r="I78" s="2192"/>
      <c r="J78" s="2192"/>
      <c r="K78" s="2192"/>
      <c r="L78" s="2192"/>
      <c r="M78" s="2192"/>
      <c r="N78" s="2192"/>
      <c r="O78" s="2192"/>
      <c r="P78" s="2192"/>
      <c r="Q78" s="2192"/>
      <c r="R78" s="2192"/>
      <c r="S78" s="2192"/>
      <c r="T78" s="2192"/>
      <c r="U78" s="2418"/>
      <c r="V78" s="2195"/>
    </row>
    <row r="79" spans="1:22">
      <c r="A79" s="2165"/>
      <c r="B79" s="2197"/>
      <c r="C79" s="2174"/>
      <c r="D79" s="1237" t="s">
        <v>1217</v>
      </c>
      <c r="E79" s="2190"/>
      <c r="F79" s="2193"/>
      <c r="G79" s="2193"/>
      <c r="H79" s="2193"/>
      <c r="I79" s="2193"/>
      <c r="J79" s="2193"/>
      <c r="K79" s="2193"/>
      <c r="L79" s="2193"/>
      <c r="M79" s="2193"/>
      <c r="N79" s="2193"/>
      <c r="O79" s="2193"/>
      <c r="P79" s="2193"/>
      <c r="Q79" s="2193"/>
      <c r="R79" s="2193"/>
      <c r="S79" s="2193"/>
      <c r="T79" s="2193"/>
      <c r="U79" s="2419"/>
      <c r="V79" s="2196"/>
    </row>
    <row r="80" spans="1:22">
      <c r="A80" s="2157" t="s">
        <v>1218</v>
      </c>
      <c r="B80" s="2175" t="s">
        <v>1274</v>
      </c>
      <c r="C80" s="2168" t="s">
        <v>1212</v>
      </c>
      <c r="D80" s="1235" t="s">
        <v>1213</v>
      </c>
      <c r="E80" s="2188"/>
      <c r="F80" s="2171">
        <v>0.61</v>
      </c>
      <c r="G80" s="2171">
        <v>0.4819</v>
      </c>
      <c r="H80" s="2171">
        <v>0.41925299999999999</v>
      </c>
      <c r="I80" s="2171">
        <v>0.40248287999999999</v>
      </c>
      <c r="J80" s="2171">
        <v>0.3702842496</v>
      </c>
      <c r="K80" s="2171">
        <v>0.34806719462399999</v>
      </c>
      <c r="L80" s="2171">
        <v>0.33066383489279999</v>
      </c>
      <c r="M80" s="2171">
        <v>0.317437281497088</v>
      </c>
      <c r="N80" s="2171">
        <v>0.29521667179229183</v>
      </c>
      <c r="O80" s="2171">
        <v>0.28931233835644599</v>
      </c>
      <c r="P80" s="2171">
        <v>0.28352609158931708</v>
      </c>
      <c r="Q80" s="2171">
        <v>0.27785556975753073</v>
      </c>
      <c r="R80" s="2171">
        <v>0.27507701405995544</v>
      </c>
      <c r="S80" s="2171">
        <v>0.27232624391935589</v>
      </c>
      <c r="T80" s="2171">
        <v>0.26960298148016232</v>
      </c>
      <c r="U80" s="2413">
        <v>0.26690695166536071</v>
      </c>
      <c r="V80" s="2181">
        <v>0.26423788214870708</v>
      </c>
    </row>
    <row r="81" spans="1:22">
      <c r="A81" s="2164"/>
      <c r="B81" s="2167"/>
      <c r="C81" s="2169"/>
      <c r="D81" s="1236" t="s">
        <v>1214</v>
      </c>
      <c r="E81" s="2189"/>
      <c r="F81" s="2172"/>
      <c r="G81" s="2172"/>
      <c r="H81" s="2172"/>
      <c r="I81" s="2172"/>
      <c r="J81" s="2172"/>
      <c r="K81" s="2172"/>
      <c r="L81" s="2172"/>
      <c r="M81" s="2172"/>
      <c r="N81" s="2172"/>
      <c r="O81" s="2172"/>
      <c r="P81" s="2172"/>
      <c r="Q81" s="2172"/>
      <c r="R81" s="2172"/>
      <c r="S81" s="2172"/>
      <c r="T81" s="2172"/>
      <c r="U81" s="2414"/>
      <c r="V81" s="2182"/>
    </row>
    <row r="82" spans="1:22">
      <c r="A82" s="2164"/>
      <c r="B82" s="2167"/>
      <c r="C82" s="2173" t="s">
        <v>1215</v>
      </c>
      <c r="D82" s="1236" t="s">
        <v>1216</v>
      </c>
      <c r="E82" s="2189"/>
      <c r="F82" s="2172"/>
      <c r="G82" s="2172"/>
      <c r="H82" s="2172"/>
      <c r="I82" s="2172"/>
      <c r="J82" s="2172"/>
      <c r="K82" s="2172"/>
      <c r="L82" s="2172"/>
      <c r="M82" s="2172"/>
      <c r="N82" s="2172"/>
      <c r="O82" s="2172"/>
      <c r="P82" s="2172"/>
      <c r="Q82" s="2172"/>
      <c r="R82" s="2172"/>
      <c r="S82" s="2172"/>
      <c r="T82" s="2172"/>
      <c r="U82" s="2414"/>
      <c r="V82" s="2182"/>
    </row>
    <row r="83" spans="1:22">
      <c r="A83" s="2164"/>
      <c r="B83" s="2167"/>
      <c r="C83" s="2174"/>
      <c r="D83" s="1237" t="s">
        <v>1217</v>
      </c>
      <c r="E83" s="2190"/>
      <c r="F83" s="2187"/>
      <c r="G83" s="2187"/>
      <c r="H83" s="2187"/>
      <c r="I83" s="2187"/>
      <c r="J83" s="2187"/>
      <c r="K83" s="2187"/>
      <c r="L83" s="2187"/>
      <c r="M83" s="2187"/>
      <c r="N83" s="2187"/>
      <c r="O83" s="2187"/>
      <c r="P83" s="2187"/>
      <c r="Q83" s="2187"/>
      <c r="R83" s="2187"/>
      <c r="S83" s="2187"/>
      <c r="T83" s="2187"/>
      <c r="U83" s="2415"/>
      <c r="V83" s="2416"/>
    </row>
    <row r="84" spans="1:22">
      <c r="A84" s="2164"/>
      <c r="B84" s="2175" t="s">
        <v>1272</v>
      </c>
      <c r="C84" s="2168" t="s">
        <v>1212</v>
      </c>
      <c r="D84" s="1235" t="s">
        <v>1213</v>
      </c>
      <c r="E84" s="2170"/>
      <c r="F84" s="2179"/>
      <c r="G84" s="2171">
        <v>0.79</v>
      </c>
      <c r="H84" s="2171">
        <v>0.68730000000000002</v>
      </c>
      <c r="I84" s="2171">
        <v>0.65980799999999995</v>
      </c>
      <c r="J84" s="2171">
        <v>0.60702336000000001</v>
      </c>
      <c r="K84" s="2171">
        <v>0.57060195839999994</v>
      </c>
      <c r="L84" s="2171">
        <v>0.54207186047999989</v>
      </c>
      <c r="M84" s="2171">
        <v>0.52038898606079986</v>
      </c>
      <c r="N84" s="2171">
        <v>0.48396175703654387</v>
      </c>
      <c r="O84" s="2171">
        <v>0.47428252189581299</v>
      </c>
      <c r="P84" s="2171">
        <v>0.46479687145789672</v>
      </c>
      <c r="Q84" s="2171">
        <v>0.45550093402873876</v>
      </c>
      <c r="R84" s="2171">
        <v>0.45094592468845135</v>
      </c>
      <c r="S84" s="2171">
        <v>0.44643646544156684</v>
      </c>
      <c r="T84" s="2171">
        <v>0.44197210078715116</v>
      </c>
      <c r="U84" s="2413">
        <v>0.43755237977927963</v>
      </c>
      <c r="V84" s="2181">
        <v>0.43317685598148681</v>
      </c>
    </row>
    <row r="85" spans="1:22">
      <c r="A85" s="2164"/>
      <c r="B85" s="2167"/>
      <c r="C85" s="2169"/>
      <c r="D85" s="1236" t="s">
        <v>1214</v>
      </c>
      <c r="E85" s="2170"/>
      <c r="F85" s="2179"/>
      <c r="G85" s="2172"/>
      <c r="H85" s="2172"/>
      <c r="I85" s="2172"/>
      <c r="J85" s="2172"/>
      <c r="K85" s="2172"/>
      <c r="L85" s="2172"/>
      <c r="M85" s="2172"/>
      <c r="N85" s="2172"/>
      <c r="O85" s="2172"/>
      <c r="P85" s="2172"/>
      <c r="Q85" s="2172"/>
      <c r="R85" s="2172"/>
      <c r="S85" s="2172"/>
      <c r="T85" s="2172"/>
      <c r="U85" s="2414"/>
      <c r="V85" s="2182"/>
    </row>
    <row r="86" spans="1:22">
      <c r="A86" s="2164"/>
      <c r="B86" s="2167"/>
      <c r="C86" s="2173" t="s">
        <v>1215</v>
      </c>
      <c r="D86" s="1236" t="s">
        <v>1216</v>
      </c>
      <c r="E86" s="2170"/>
      <c r="F86" s="2179"/>
      <c r="G86" s="2172"/>
      <c r="H86" s="2172"/>
      <c r="I86" s="2172"/>
      <c r="J86" s="2172"/>
      <c r="K86" s="2172"/>
      <c r="L86" s="2172"/>
      <c r="M86" s="2172"/>
      <c r="N86" s="2172"/>
      <c r="O86" s="2172"/>
      <c r="P86" s="2172"/>
      <c r="Q86" s="2172"/>
      <c r="R86" s="2172"/>
      <c r="S86" s="2172"/>
      <c r="T86" s="2172"/>
      <c r="U86" s="2414"/>
      <c r="V86" s="2182"/>
    </row>
    <row r="87" spans="1:22">
      <c r="A87" s="2164"/>
      <c r="B87" s="2167"/>
      <c r="C87" s="2174"/>
      <c r="D87" s="1237" t="s">
        <v>1217</v>
      </c>
      <c r="E87" s="2170"/>
      <c r="F87" s="2179"/>
      <c r="G87" s="2187"/>
      <c r="H87" s="2187"/>
      <c r="I87" s="2187"/>
      <c r="J87" s="2187"/>
      <c r="K87" s="2187"/>
      <c r="L87" s="2187"/>
      <c r="M87" s="2187"/>
      <c r="N87" s="2187"/>
      <c r="O87" s="2187"/>
      <c r="P87" s="2187"/>
      <c r="Q87" s="2187"/>
      <c r="R87" s="2187"/>
      <c r="S87" s="2187"/>
      <c r="T87" s="2187"/>
      <c r="U87" s="2415"/>
      <c r="V87" s="2416"/>
    </row>
    <row r="88" spans="1:22">
      <c r="A88" s="2164"/>
      <c r="B88" s="2175" t="s">
        <v>1194</v>
      </c>
      <c r="C88" s="2168" t="s">
        <v>1212</v>
      </c>
      <c r="D88" s="1235" t="s">
        <v>1213</v>
      </c>
      <c r="E88" s="2170"/>
      <c r="F88" s="2179"/>
      <c r="G88" s="2179"/>
      <c r="H88" s="2171">
        <v>0.87</v>
      </c>
      <c r="I88" s="2171">
        <v>0.83519999999999994</v>
      </c>
      <c r="J88" s="2171">
        <v>0.76838399999999996</v>
      </c>
      <c r="K88" s="2171">
        <v>0.72228095999999997</v>
      </c>
      <c r="L88" s="2171">
        <v>0.68616691199999991</v>
      </c>
      <c r="M88" s="2171">
        <v>0.65872023551999992</v>
      </c>
      <c r="N88" s="2171">
        <v>0.61260981903360001</v>
      </c>
      <c r="O88" s="2171">
        <v>0.60035762265292802</v>
      </c>
      <c r="P88" s="2171">
        <v>0.58835047019986941</v>
      </c>
      <c r="Q88" s="2171">
        <v>0.57658346079587197</v>
      </c>
      <c r="R88" s="2171">
        <v>0.57081762618791321</v>
      </c>
      <c r="S88" s="2171">
        <v>0.56510944992603407</v>
      </c>
      <c r="T88" s="2171">
        <v>0.55945835542677369</v>
      </c>
      <c r="U88" s="2413">
        <v>0.55386377187250591</v>
      </c>
      <c r="V88" s="2181">
        <v>0.54832513415378081</v>
      </c>
    </row>
    <row r="89" spans="1:22">
      <c r="A89" s="2164"/>
      <c r="B89" s="2167"/>
      <c r="C89" s="2169"/>
      <c r="D89" s="1236" t="s">
        <v>1214</v>
      </c>
      <c r="E89" s="2170"/>
      <c r="F89" s="2179"/>
      <c r="G89" s="2179"/>
      <c r="H89" s="2172"/>
      <c r="I89" s="2172"/>
      <c r="J89" s="2172"/>
      <c r="K89" s="2172"/>
      <c r="L89" s="2172"/>
      <c r="M89" s="2172"/>
      <c r="N89" s="2172"/>
      <c r="O89" s="2172"/>
      <c r="P89" s="2172"/>
      <c r="Q89" s="2172"/>
      <c r="R89" s="2172"/>
      <c r="S89" s="2172"/>
      <c r="T89" s="2172"/>
      <c r="U89" s="2414"/>
      <c r="V89" s="2182"/>
    </row>
    <row r="90" spans="1:22">
      <c r="A90" s="2164"/>
      <c r="B90" s="2167"/>
      <c r="C90" s="2173" t="s">
        <v>1215</v>
      </c>
      <c r="D90" s="1236" t="s">
        <v>1216</v>
      </c>
      <c r="E90" s="2170"/>
      <c r="F90" s="2179"/>
      <c r="G90" s="2179"/>
      <c r="H90" s="2172"/>
      <c r="I90" s="2172"/>
      <c r="J90" s="2172"/>
      <c r="K90" s="2172"/>
      <c r="L90" s="2172"/>
      <c r="M90" s="2172"/>
      <c r="N90" s="2172"/>
      <c r="O90" s="2172"/>
      <c r="P90" s="2172"/>
      <c r="Q90" s="2172"/>
      <c r="R90" s="2172"/>
      <c r="S90" s="2172"/>
      <c r="T90" s="2172"/>
      <c r="U90" s="2414"/>
      <c r="V90" s="2182"/>
    </row>
    <row r="91" spans="1:22">
      <c r="A91" s="2164"/>
      <c r="B91" s="2167"/>
      <c r="C91" s="2174"/>
      <c r="D91" s="1237" t="s">
        <v>1217</v>
      </c>
      <c r="E91" s="2170"/>
      <c r="F91" s="2179"/>
      <c r="G91" s="2179"/>
      <c r="H91" s="2187"/>
      <c r="I91" s="2187"/>
      <c r="J91" s="2187"/>
      <c r="K91" s="2187"/>
      <c r="L91" s="2187"/>
      <c r="M91" s="2187"/>
      <c r="N91" s="2187"/>
      <c r="O91" s="2187"/>
      <c r="P91" s="2187"/>
      <c r="Q91" s="2187"/>
      <c r="R91" s="2187"/>
      <c r="S91" s="2187"/>
      <c r="T91" s="2187"/>
      <c r="U91" s="2415"/>
      <c r="V91" s="2416"/>
    </row>
    <row r="92" spans="1:22">
      <c r="A92" s="2164"/>
      <c r="B92" s="2177" t="s">
        <v>1195</v>
      </c>
      <c r="C92" s="2168" t="s">
        <v>1212</v>
      </c>
      <c r="D92" s="1235" t="s">
        <v>1213</v>
      </c>
      <c r="E92" s="2170"/>
      <c r="F92" s="2179"/>
      <c r="G92" s="2179"/>
      <c r="H92" s="2179"/>
      <c r="I92" s="2171">
        <v>0.96</v>
      </c>
      <c r="J92" s="2171">
        <v>0.88319999999999999</v>
      </c>
      <c r="K92" s="2171">
        <v>0.83020799999999995</v>
      </c>
      <c r="L92" s="2171">
        <v>0.78869759999999989</v>
      </c>
      <c r="M92" s="2171">
        <v>0.75714969599999982</v>
      </c>
      <c r="N92" s="2171">
        <v>0.70414921727999991</v>
      </c>
      <c r="O92" s="2171">
        <v>0.69006623293439995</v>
      </c>
      <c r="P92" s="2171">
        <v>0.67626490827571195</v>
      </c>
      <c r="Q92" s="2171">
        <v>0.66273961011019766</v>
      </c>
      <c r="R92" s="2171">
        <v>0.6561122140090957</v>
      </c>
      <c r="S92" s="2171">
        <v>0.64955109186900473</v>
      </c>
      <c r="T92" s="2171">
        <v>0.64305558095031468</v>
      </c>
      <c r="U92" s="2413">
        <v>0.63662502514081154</v>
      </c>
      <c r="V92" s="2181">
        <v>0.63025877488940341</v>
      </c>
    </row>
    <row r="93" spans="1:22">
      <c r="A93" s="2164"/>
      <c r="B93" s="2183"/>
      <c r="C93" s="2169"/>
      <c r="D93" s="1236" t="s">
        <v>1214</v>
      </c>
      <c r="E93" s="2170"/>
      <c r="F93" s="2179"/>
      <c r="G93" s="2179"/>
      <c r="H93" s="2179"/>
      <c r="I93" s="2172"/>
      <c r="J93" s="2172"/>
      <c r="K93" s="2172"/>
      <c r="L93" s="2172"/>
      <c r="M93" s="2172"/>
      <c r="N93" s="2172"/>
      <c r="O93" s="2172"/>
      <c r="P93" s="2172"/>
      <c r="Q93" s="2172"/>
      <c r="R93" s="2172"/>
      <c r="S93" s="2172"/>
      <c r="T93" s="2172"/>
      <c r="U93" s="2414"/>
      <c r="V93" s="2182"/>
    </row>
    <row r="94" spans="1:22">
      <c r="A94" s="2164"/>
      <c r="B94" s="2183"/>
      <c r="C94" s="2173" t="s">
        <v>1215</v>
      </c>
      <c r="D94" s="1236" t="s">
        <v>1216</v>
      </c>
      <c r="E94" s="2170"/>
      <c r="F94" s="2179"/>
      <c r="G94" s="2179"/>
      <c r="H94" s="2179"/>
      <c r="I94" s="2172"/>
      <c r="J94" s="2172"/>
      <c r="K94" s="2172"/>
      <c r="L94" s="2172"/>
      <c r="M94" s="2172"/>
      <c r="N94" s="2172"/>
      <c r="O94" s="2172"/>
      <c r="P94" s="2172"/>
      <c r="Q94" s="2172"/>
      <c r="R94" s="2172"/>
      <c r="S94" s="2172"/>
      <c r="T94" s="2172"/>
      <c r="U94" s="2414"/>
      <c r="V94" s="2182"/>
    </row>
    <row r="95" spans="1:22">
      <c r="A95" s="2164"/>
      <c r="B95" s="2183"/>
      <c r="C95" s="2174"/>
      <c r="D95" s="1237" t="s">
        <v>1217</v>
      </c>
      <c r="E95" s="2170"/>
      <c r="F95" s="2179"/>
      <c r="G95" s="2179"/>
      <c r="H95" s="2179"/>
      <c r="I95" s="2187"/>
      <c r="J95" s="2187"/>
      <c r="K95" s="2187"/>
      <c r="L95" s="2187"/>
      <c r="M95" s="2187"/>
      <c r="N95" s="2187"/>
      <c r="O95" s="2187"/>
      <c r="P95" s="2187"/>
      <c r="Q95" s="2187"/>
      <c r="R95" s="2187"/>
      <c r="S95" s="2187"/>
      <c r="T95" s="2187"/>
      <c r="U95" s="2415"/>
      <c r="V95" s="2416"/>
    </row>
    <row r="96" spans="1:22">
      <c r="A96" s="2164"/>
      <c r="B96" s="2166" t="s">
        <v>1196</v>
      </c>
      <c r="C96" s="2168" t="s">
        <v>1212</v>
      </c>
      <c r="D96" s="1235" t="s">
        <v>1213</v>
      </c>
      <c r="E96" s="2170"/>
      <c r="F96" s="2179"/>
      <c r="G96" s="2179"/>
      <c r="H96" s="2179"/>
      <c r="I96" s="2179"/>
      <c r="J96" s="2171">
        <v>0.92</v>
      </c>
      <c r="K96" s="2171">
        <v>0.86480000000000001</v>
      </c>
      <c r="L96" s="2171">
        <v>0.82155999999999996</v>
      </c>
      <c r="M96" s="2171">
        <v>0.78869759999999989</v>
      </c>
      <c r="N96" s="2171">
        <v>0.73348876799999996</v>
      </c>
      <c r="O96" s="2171">
        <v>0.71881899263999993</v>
      </c>
      <c r="P96" s="2171">
        <v>0.70444261278719988</v>
      </c>
      <c r="Q96" s="2171">
        <v>0.69035376053145592</v>
      </c>
      <c r="R96" s="2171">
        <v>0.68345022292614133</v>
      </c>
      <c r="S96" s="2171">
        <v>0.67661572069687992</v>
      </c>
      <c r="T96" s="2171">
        <v>0.66984956348991109</v>
      </c>
      <c r="U96" s="2413">
        <v>0.66315106785501199</v>
      </c>
      <c r="V96" s="2181">
        <v>0.65651955717646182</v>
      </c>
    </row>
    <row r="97" spans="1:22">
      <c r="A97" s="2164"/>
      <c r="B97" s="2167"/>
      <c r="C97" s="2169"/>
      <c r="D97" s="1236" t="s">
        <v>1214</v>
      </c>
      <c r="E97" s="2170"/>
      <c r="F97" s="2179"/>
      <c r="G97" s="2179"/>
      <c r="H97" s="2179"/>
      <c r="I97" s="2179"/>
      <c r="J97" s="2172"/>
      <c r="K97" s="2172"/>
      <c r="L97" s="2172"/>
      <c r="M97" s="2172"/>
      <c r="N97" s="2172"/>
      <c r="O97" s="2172"/>
      <c r="P97" s="2172"/>
      <c r="Q97" s="2172"/>
      <c r="R97" s="2172"/>
      <c r="S97" s="2172"/>
      <c r="T97" s="2172"/>
      <c r="U97" s="2414"/>
      <c r="V97" s="2182"/>
    </row>
    <row r="98" spans="1:22">
      <c r="A98" s="2164"/>
      <c r="B98" s="2167"/>
      <c r="C98" s="2173" t="s">
        <v>1215</v>
      </c>
      <c r="D98" s="1236" t="s">
        <v>1216</v>
      </c>
      <c r="E98" s="2170"/>
      <c r="F98" s="2179"/>
      <c r="G98" s="2179"/>
      <c r="H98" s="2179"/>
      <c r="I98" s="2179"/>
      <c r="J98" s="2172"/>
      <c r="K98" s="2172"/>
      <c r="L98" s="2172"/>
      <c r="M98" s="2172"/>
      <c r="N98" s="2172"/>
      <c r="O98" s="2172"/>
      <c r="P98" s="2172"/>
      <c r="Q98" s="2172"/>
      <c r="R98" s="2172"/>
      <c r="S98" s="2172"/>
      <c r="T98" s="2172"/>
      <c r="U98" s="2414"/>
      <c r="V98" s="2182"/>
    </row>
    <row r="99" spans="1:22">
      <c r="A99" s="2164"/>
      <c r="B99" s="2167"/>
      <c r="C99" s="2174"/>
      <c r="D99" s="1237" t="s">
        <v>1217</v>
      </c>
      <c r="E99" s="2170"/>
      <c r="F99" s="2179"/>
      <c r="G99" s="2179"/>
      <c r="H99" s="2179"/>
      <c r="I99" s="2179"/>
      <c r="J99" s="2187"/>
      <c r="K99" s="2187"/>
      <c r="L99" s="2187"/>
      <c r="M99" s="2187"/>
      <c r="N99" s="2187"/>
      <c r="O99" s="2187"/>
      <c r="P99" s="2187"/>
      <c r="Q99" s="2187"/>
      <c r="R99" s="2187"/>
      <c r="S99" s="2187"/>
      <c r="T99" s="2187"/>
      <c r="U99" s="2415"/>
      <c r="V99" s="2416"/>
    </row>
    <row r="100" spans="1:22">
      <c r="A100" s="2164"/>
      <c r="B100" s="2166" t="s">
        <v>1197</v>
      </c>
      <c r="C100" s="2168" t="s">
        <v>1212</v>
      </c>
      <c r="D100" s="1235" t="s">
        <v>1213</v>
      </c>
      <c r="E100" s="2170"/>
      <c r="F100" s="2179"/>
      <c r="G100" s="2179"/>
      <c r="H100" s="2179"/>
      <c r="I100" s="2179"/>
      <c r="J100" s="2179"/>
      <c r="K100" s="2171">
        <v>0.94</v>
      </c>
      <c r="L100" s="2171">
        <v>0.8929999999999999</v>
      </c>
      <c r="M100" s="2171">
        <v>0.85727999999999993</v>
      </c>
      <c r="N100" s="2171">
        <v>0.79727039999999993</v>
      </c>
      <c r="O100" s="2171">
        <v>0.78132499199999994</v>
      </c>
      <c r="P100" s="2171">
        <v>0.76569849215999997</v>
      </c>
      <c r="Q100" s="2171">
        <v>0.75038452231679997</v>
      </c>
      <c r="R100" s="2171">
        <v>0.74288067709363192</v>
      </c>
      <c r="S100" s="2171">
        <v>0.73545187032269554</v>
      </c>
      <c r="T100" s="2171">
        <v>0.72809735161946854</v>
      </c>
      <c r="U100" s="2413">
        <v>0.72081637810327381</v>
      </c>
      <c r="V100" s="2181">
        <v>0.71360821432224109</v>
      </c>
    </row>
    <row r="101" spans="1:22">
      <c r="A101" s="2164"/>
      <c r="B101" s="2167"/>
      <c r="C101" s="2169"/>
      <c r="D101" s="1236" t="s">
        <v>1214</v>
      </c>
      <c r="E101" s="2170"/>
      <c r="F101" s="2179"/>
      <c r="G101" s="2179"/>
      <c r="H101" s="2179"/>
      <c r="I101" s="2179"/>
      <c r="J101" s="2179"/>
      <c r="K101" s="2172"/>
      <c r="L101" s="2172"/>
      <c r="M101" s="2172"/>
      <c r="N101" s="2172"/>
      <c r="O101" s="2172"/>
      <c r="P101" s="2172"/>
      <c r="Q101" s="2172"/>
      <c r="R101" s="2172"/>
      <c r="S101" s="2172"/>
      <c r="T101" s="2172"/>
      <c r="U101" s="2414"/>
      <c r="V101" s="2182"/>
    </row>
    <row r="102" spans="1:22">
      <c r="A102" s="2164"/>
      <c r="B102" s="2167"/>
      <c r="C102" s="2173" t="s">
        <v>1215</v>
      </c>
      <c r="D102" s="1236" t="s">
        <v>1216</v>
      </c>
      <c r="E102" s="2170"/>
      <c r="F102" s="2179"/>
      <c r="G102" s="2179"/>
      <c r="H102" s="2179"/>
      <c r="I102" s="2179"/>
      <c r="J102" s="2179"/>
      <c r="K102" s="2172"/>
      <c r="L102" s="2172"/>
      <c r="M102" s="2172"/>
      <c r="N102" s="2172"/>
      <c r="O102" s="2172"/>
      <c r="P102" s="2172"/>
      <c r="Q102" s="2172"/>
      <c r="R102" s="2172"/>
      <c r="S102" s="2172"/>
      <c r="T102" s="2172"/>
      <c r="U102" s="2414"/>
      <c r="V102" s="2182"/>
    </row>
    <row r="103" spans="1:22">
      <c r="A103" s="2164"/>
      <c r="B103" s="2167"/>
      <c r="C103" s="2174"/>
      <c r="D103" s="1237" t="s">
        <v>1217</v>
      </c>
      <c r="E103" s="2170"/>
      <c r="F103" s="2179"/>
      <c r="G103" s="2179"/>
      <c r="H103" s="2179"/>
      <c r="I103" s="2179"/>
      <c r="J103" s="2179"/>
      <c r="K103" s="2187"/>
      <c r="L103" s="2187"/>
      <c r="M103" s="2187"/>
      <c r="N103" s="2187"/>
      <c r="O103" s="2187"/>
      <c r="P103" s="2187"/>
      <c r="Q103" s="2187"/>
      <c r="R103" s="2187"/>
      <c r="S103" s="2187"/>
      <c r="T103" s="2187"/>
      <c r="U103" s="2415"/>
      <c r="V103" s="2416"/>
    </row>
    <row r="104" spans="1:22">
      <c r="A104" s="2164"/>
      <c r="B104" s="2166" t="s">
        <v>1198</v>
      </c>
      <c r="C104" s="2168" t="s">
        <v>1212</v>
      </c>
      <c r="D104" s="1235" t="s">
        <v>1213</v>
      </c>
      <c r="E104" s="2170"/>
      <c r="F104" s="2179"/>
      <c r="G104" s="2179"/>
      <c r="H104" s="2179"/>
      <c r="I104" s="2179"/>
      <c r="J104" s="2179"/>
      <c r="K104" s="2179"/>
      <c r="L104" s="2171">
        <v>0.95</v>
      </c>
      <c r="M104" s="2171">
        <v>0.91199999999999992</v>
      </c>
      <c r="N104" s="2171">
        <v>0.84816000000000003</v>
      </c>
      <c r="O104" s="2171">
        <v>0.83119679999999996</v>
      </c>
      <c r="P104" s="2171">
        <v>0.81457286399999995</v>
      </c>
      <c r="Q104" s="2171">
        <v>0.79828140671999992</v>
      </c>
      <c r="R104" s="2171">
        <v>0.79029859265279989</v>
      </c>
      <c r="S104" s="2171">
        <v>0.78239560672627184</v>
      </c>
      <c r="T104" s="2171">
        <v>0.77457165065900913</v>
      </c>
      <c r="U104" s="2413">
        <v>0.76682593415241906</v>
      </c>
      <c r="V104" s="2181">
        <v>0.75915767481089491</v>
      </c>
    </row>
    <row r="105" spans="1:22">
      <c r="A105" s="2164"/>
      <c r="B105" s="2167"/>
      <c r="C105" s="2169"/>
      <c r="D105" s="1236" t="s">
        <v>1214</v>
      </c>
      <c r="E105" s="2170"/>
      <c r="F105" s="2179"/>
      <c r="G105" s="2179"/>
      <c r="H105" s="2179"/>
      <c r="I105" s="2179"/>
      <c r="J105" s="2179"/>
      <c r="K105" s="2179"/>
      <c r="L105" s="2172"/>
      <c r="M105" s="2172"/>
      <c r="N105" s="2172"/>
      <c r="O105" s="2172"/>
      <c r="P105" s="2172"/>
      <c r="Q105" s="2172"/>
      <c r="R105" s="2172"/>
      <c r="S105" s="2172"/>
      <c r="T105" s="2172"/>
      <c r="U105" s="2414"/>
      <c r="V105" s="2182"/>
    </row>
    <row r="106" spans="1:22">
      <c r="A106" s="2164"/>
      <c r="B106" s="2167"/>
      <c r="C106" s="2173" t="s">
        <v>1215</v>
      </c>
      <c r="D106" s="1236" t="s">
        <v>1216</v>
      </c>
      <c r="E106" s="2170"/>
      <c r="F106" s="2179"/>
      <c r="G106" s="2179"/>
      <c r="H106" s="2179"/>
      <c r="I106" s="2179"/>
      <c r="J106" s="2179"/>
      <c r="K106" s="2179"/>
      <c r="L106" s="2172"/>
      <c r="M106" s="2172"/>
      <c r="N106" s="2172"/>
      <c r="O106" s="2172"/>
      <c r="P106" s="2172"/>
      <c r="Q106" s="2172"/>
      <c r="R106" s="2172"/>
      <c r="S106" s="2172"/>
      <c r="T106" s="2172"/>
      <c r="U106" s="2414"/>
      <c r="V106" s="2182"/>
    </row>
    <row r="107" spans="1:22">
      <c r="A107" s="2164"/>
      <c r="B107" s="2167"/>
      <c r="C107" s="2174"/>
      <c r="D107" s="1237" t="s">
        <v>1217</v>
      </c>
      <c r="E107" s="2170"/>
      <c r="F107" s="2179"/>
      <c r="G107" s="2179"/>
      <c r="H107" s="2179"/>
      <c r="I107" s="2179"/>
      <c r="J107" s="2179"/>
      <c r="K107" s="2179"/>
      <c r="L107" s="2187"/>
      <c r="M107" s="2187"/>
      <c r="N107" s="2187"/>
      <c r="O107" s="2187"/>
      <c r="P107" s="2187"/>
      <c r="Q107" s="2187"/>
      <c r="R107" s="2187"/>
      <c r="S107" s="2187"/>
      <c r="T107" s="2187"/>
      <c r="U107" s="2415"/>
      <c r="V107" s="2416"/>
    </row>
    <row r="108" spans="1:22">
      <c r="A108" s="2164"/>
      <c r="B108" s="2166" t="s">
        <v>1199</v>
      </c>
      <c r="C108" s="2168" t="s">
        <v>1212</v>
      </c>
      <c r="D108" s="1235" t="s">
        <v>1213</v>
      </c>
      <c r="E108" s="2170"/>
      <c r="F108" s="2179"/>
      <c r="G108" s="2179"/>
      <c r="H108" s="2179"/>
      <c r="I108" s="2179"/>
      <c r="J108" s="2179"/>
      <c r="K108" s="2179"/>
      <c r="L108" s="2179"/>
      <c r="M108" s="2171">
        <v>0.96</v>
      </c>
      <c r="N108" s="2171">
        <v>0.89280000000000004</v>
      </c>
      <c r="O108" s="2171">
        <v>0.87494400000000006</v>
      </c>
      <c r="P108" s="2171">
        <v>0.85744512000000006</v>
      </c>
      <c r="Q108" s="2171">
        <v>0.84029621760000006</v>
      </c>
      <c r="R108" s="2171">
        <v>0.83189325542400006</v>
      </c>
      <c r="S108" s="2171">
        <v>0.82357432286976007</v>
      </c>
      <c r="T108" s="2171">
        <v>0.81533857964106249</v>
      </c>
      <c r="U108" s="2413">
        <v>0.80718519384465182</v>
      </c>
      <c r="V108" s="2181">
        <v>0.79911334190620531</v>
      </c>
    </row>
    <row r="109" spans="1:22">
      <c r="A109" s="2164"/>
      <c r="B109" s="2167"/>
      <c r="C109" s="2169"/>
      <c r="D109" s="1236" t="s">
        <v>1214</v>
      </c>
      <c r="E109" s="2170"/>
      <c r="F109" s="2179"/>
      <c r="G109" s="2179"/>
      <c r="H109" s="2179"/>
      <c r="I109" s="2179"/>
      <c r="J109" s="2179"/>
      <c r="K109" s="2179"/>
      <c r="L109" s="2179"/>
      <c r="M109" s="2172"/>
      <c r="N109" s="2172"/>
      <c r="O109" s="2172"/>
      <c r="P109" s="2172"/>
      <c r="Q109" s="2172"/>
      <c r="R109" s="2172"/>
      <c r="S109" s="2172"/>
      <c r="T109" s="2172"/>
      <c r="U109" s="2414"/>
      <c r="V109" s="2182"/>
    </row>
    <row r="110" spans="1:22">
      <c r="A110" s="2164"/>
      <c r="B110" s="2167"/>
      <c r="C110" s="2173" t="s">
        <v>1215</v>
      </c>
      <c r="D110" s="1236" t="s">
        <v>1216</v>
      </c>
      <c r="E110" s="2170"/>
      <c r="F110" s="2179"/>
      <c r="G110" s="2179"/>
      <c r="H110" s="2179"/>
      <c r="I110" s="2179"/>
      <c r="J110" s="2179"/>
      <c r="K110" s="2179"/>
      <c r="L110" s="2179"/>
      <c r="M110" s="2172"/>
      <c r="N110" s="2172"/>
      <c r="O110" s="2172"/>
      <c r="P110" s="2172"/>
      <c r="Q110" s="2172"/>
      <c r="R110" s="2172"/>
      <c r="S110" s="2172"/>
      <c r="T110" s="2172"/>
      <c r="U110" s="2414"/>
      <c r="V110" s="2182"/>
    </row>
    <row r="111" spans="1:22">
      <c r="A111" s="2164"/>
      <c r="B111" s="2167"/>
      <c r="C111" s="2174"/>
      <c r="D111" s="1237" t="s">
        <v>1217</v>
      </c>
      <c r="E111" s="2170"/>
      <c r="F111" s="2179"/>
      <c r="G111" s="2179"/>
      <c r="H111" s="2179"/>
      <c r="I111" s="2179"/>
      <c r="J111" s="2179"/>
      <c r="K111" s="2179"/>
      <c r="L111" s="2179"/>
      <c r="M111" s="2187"/>
      <c r="N111" s="2187"/>
      <c r="O111" s="2187"/>
      <c r="P111" s="2187"/>
      <c r="Q111" s="2187"/>
      <c r="R111" s="2187"/>
      <c r="S111" s="2187"/>
      <c r="T111" s="2187"/>
      <c r="U111" s="2415"/>
      <c r="V111" s="2416"/>
    </row>
    <row r="112" spans="1:22">
      <c r="A112" s="2164"/>
      <c r="B112" s="2166" t="s">
        <v>1200</v>
      </c>
      <c r="C112" s="2168" t="s">
        <v>1212</v>
      </c>
      <c r="D112" s="1235" t="s">
        <v>1213</v>
      </c>
      <c r="E112" s="2170"/>
      <c r="F112" s="2179"/>
      <c r="G112" s="2179"/>
      <c r="H112" s="2179"/>
      <c r="I112" s="2179"/>
      <c r="J112" s="2179"/>
      <c r="K112" s="2179"/>
      <c r="L112" s="2179"/>
      <c r="M112" s="2179"/>
      <c r="N112" s="2171">
        <v>0.93</v>
      </c>
      <c r="O112" s="2171">
        <v>0.91139999999999999</v>
      </c>
      <c r="P112" s="2171">
        <v>0.89317199999999997</v>
      </c>
      <c r="Q112" s="2171">
        <v>0.8753085599999999</v>
      </c>
      <c r="R112" s="2171">
        <v>0.86655547439999991</v>
      </c>
      <c r="S112" s="2171">
        <v>0.85788991965599992</v>
      </c>
      <c r="T112" s="2171">
        <v>0.84931102045943996</v>
      </c>
      <c r="U112" s="2413">
        <v>0.84081791025484554</v>
      </c>
      <c r="V112" s="2181">
        <v>0.83240973115229711</v>
      </c>
    </row>
    <row r="113" spans="1:22">
      <c r="A113" s="2164"/>
      <c r="B113" s="2167"/>
      <c r="C113" s="2169"/>
      <c r="D113" s="1236" t="s">
        <v>1214</v>
      </c>
      <c r="E113" s="2170"/>
      <c r="F113" s="2179"/>
      <c r="G113" s="2179"/>
      <c r="H113" s="2179"/>
      <c r="I113" s="2179"/>
      <c r="J113" s="2179"/>
      <c r="K113" s="2179"/>
      <c r="L113" s="2179"/>
      <c r="M113" s="2179"/>
      <c r="N113" s="2172"/>
      <c r="O113" s="2172"/>
      <c r="P113" s="2172"/>
      <c r="Q113" s="2172"/>
      <c r="R113" s="2172"/>
      <c r="S113" s="2172"/>
      <c r="T113" s="2172"/>
      <c r="U113" s="2414"/>
      <c r="V113" s="2182"/>
    </row>
    <row r="114" spans="1:22">
      <c r="A114" s="2164"/>
      <c r="B114" s="2167"/>
      <c r="C114" s="2173" t="s">
        <v>1215</v>
      </c>
      <c r="D114" s="1236" t="s">
        <v>1216</v>
      </c>
      <c r="E114" s="2170"/>
      <c r="F114" s="2179"/>
      <c r="G114" s="2179"/>
      <c r="H114" s="2179"/>
      <c r="I114" s="2179"/>
      <c r="J114" s="2179"/>
      <c r="K114" s="2179"/>
      <c r="L114" s="2179"/>
      <c r="M114" s="2179"/>
      <c r="N114" s="2172"/>
      <c r="O114" s="2172"/>
      <c r="P114" s="2172"/>
      <c r="Q114" s="2172"/>
      <c r="R114" s="2172"/>
      <c r="S114" s="2172"/>
      <c r="T114" s="2172"/>
      <c r="U114" s="2414"/>
      <c r="V114" s="2182"/>
    </row>
    <row r="115" spans="1:22">
      <c r="A115" s="2164"/>
      <c r="B115" s="2167"/>
      <c r="C115" s="2174"/>
      <c r="D115" s="1237" t="s">
        <v>1217</v>
      </c>
      <c r="E115" s="2170"/>
      <c r="F115" s="2179"/>
      <c r="G115" s="2179"/>
      <c r="H115" s="2179"/>
      <c r="I115" s="2179"/>
      <c r="J115" s="2179"/>
      <c r="K115" s="2179"/>
      <c r="L115" s="2179"/>
      <c r="M115" s="2179"/>
      <c r="N115" s="2187"/>
      <c r="O115" s="2187"/>
      <c r="P115" s="2187"/>
      <c r="Q115" s="2187"/>
      <c r="R115" s="2187"/>
      <c r="S115" s="2187"/>
      <c r="T115" s="2187"/>
      <c r="U115" s="2415"/>
      <c r="V115" s="2416"/>
    </row>
    <row r="116" spans="1:22">
      <c r="A116" s="2164"/>
      <c r="B116" s="2166" t="s">
        <v>1201</v>
      </c>
      <c r="C116" s="2168" t="s">
        <v>1212</v>
      </c>
      <c r="D116" s="1235" t="s">
        <v>1213</v>
      </c>
      <c r="E116" s="2170"/>
      <c r="F116" s="2179"/>
      <c r="G116" s="2179"/>
      <c r="H116" s="2179"/>
      <c r="I116" s="2179"/>
      <c r="J116" s="2179"/>
      <c r="K116" s="2179"/>
      <c r="L116" s="2179"/>
      <c r="M116" s="2179"/>
      <c r="N116" s="2179"/>
      <c r="O116" s="2171">
        <v>0.98</v>
      </c>
      <c r="P116" s="2171">
        <v>0.96039999999999992</v>
      </c>
      <c r="Q116" s="2171">
        <v>0.94119199999999992</v>
      </c>
      <c r="R116" s="2171">
        <v>0.9317800799999999</v>
      </c>
      <c r="S116" s="2171">
        <v>0.9224622791999999</v>
      </c>
      <c r="T116" s="2171">
        <v>0.91323765640799992</v>
      </c>
      <c r="U116" s="2413">
        <v>0.90410527984391986</v>
      </c>
      <c r="V116" s="2181">
        <v>0.89506422704548061</v>
      </c>
    </row>
    <row r="117" spans="1:22">
      <c r="A117" s="2164"/>
      <c r="B117" s="2167"/>
      <c r="C117" s="2169"/>
      <c r="D117" s="1236" t="s">
        <v>1214</v>
      </c>
      <c r="E117" s="2170"/>
      <c r="F117" s="2179"/>
      <c r="G117" s="2179"/>
      <c r="H117" s="2179"/>
      <c r="I117" s="2179"/>
      <c r="J117" s="2179"/>
      <c r="K117" s="2179"/>
      <c r="L117" s="2179"/>
      <c r="M117" s="2179"/>
      <c r="N117" s="2179"/>
      <c r="O117" s="2172"/>
      <c r="P117" s="2172"/>
      <c r="Q117" s="2172"/>
      <c r="R117" s="2172"/>
      <c r="S117" s="2172"/>
      <c r="T117" s="2172"/>
      <c r="U117" s="2414"/>
      <c r="V117" s="2182"/>
    </row>
    <row r="118" spans="1:22">
      <c r="A118" s="2164"/>
      <c r="B118" s="2167"/>
      <c r="C118" s="2173" t="s">
        <v>1215</v>
      </c>
      <c r="D118" s="1236" t="s">
        <v>1216</v>
      </c>
      <c r="E118" s="2170"/>
      <c r="F118" s="2179"/>
      <c r="G118" s="2179"/>
      <c r="H118" s="2179"/>
      <c r="I118" s="2179"/>
      <c r="J118" s="2179"/>
      <c r="K118" s="2179"/>
      <c r="L118" s="2179"/>
      <c r="M118" s="2179"/>
      <c r="N118" s="2179"/>
      <c r="O118" s="2172"/>
      <c r="P118" s="2172"/>
      <c r="Q118" s="2172"/>
      <c r="R118" s="2172"/>
      <c r="S118" s="2172"/>
      <c r="T118" s="2172"/>
      <c r="U118" s="2414"/>
      <c r="V118" s="2182"/>
    </row>
    <row r="119" spans="1:22">
      <c r="A119" s="2164"/>
      <c r="B119" s="2167"/>
      <c r="C119" s="2174"/>
      <c r="D119" s="1237" t="s">
        <v>1217</v>
      </c>
      <c r="E119" s="2170"/>
      <c r="F119" s="2179"/>
      <c r="G119" s="2179"/>
      <c r="H119" s="2179"/>
      <c r="I119" s="2179"/>
      <c r="J119" s="2179"/>
      <c r="K119" s="2179"/>
      <c r="L119" s="2179"/>
      <c r="M119" s="2179"/>
      <c r="N119" s="2179"/>
      <c r="O119" s="2187"/>
      <c r="P119" s="2187"/>
      <c r="Q119" s="2187"/>
      <c r="R119" s="2187"/>
      <c r="S119" s="2187"/>
      <c r="T119" s="2187"/>
      <c r="U119" s="2415"/>
      <c r="V119" s="2416"/>
    </row>
    <row r="120" spans="1:22">
      <c r="A120" s="2164"/>
      <c r="B120" s="2166" t="s">
        <v>1202</v>
      </c>
      <c r="C120" s="2168" t="s">
        <v>1212</v>
      </c>
      <c r="D120" s="1235" t="s">
        <v>1213</v>
      </c>
      <c r="E120" s="2170"/>
      <c r="F120" s="2179"/>
      <c r="G120" s="2179"/>
      <c r="H120" s="2179"/>
      <c r="I120" s="2179"/>
      <c r="J120" s="2179"/>
      <c r="K120" s="2179"/>
      <c r="L120" s="2179"/>
      <c r="M120" s="2179"/>
      <c r="N120" s="2179"/>
      <c r="O120" s="2179"/>
      <c r="P120" s="2171">
        <v>0.98</v>
      </c>
      <c r="Q120" s="2171">
        <v>0.96039999999999992</v>
      </c>
      <c r="R120" s="2171">
        <v>0.95079599999999986</v>
      </c>
      <c r="S120" s="2171">
        <v>0.94128803999999988</v>
      </c>
      <c r="T120" s="2171">
        <v>0.93187515959999989</v>
      </c>
      <c r="U120" s="2413">
        <v>0.92255640800399985</v>
      </c>
      <c r="V120" s="2181">
        <v>0.9133308439239598</v>
      </c>
    </row>
    <row r="121" spans="1:22">
      <c r="A121" s="2164"/>
      <c r="B121" s="2167"/>
      <c r="C121" s="2169"/>
      <c r="D121" s="1236" t="s">
        <v>1214</v>
      </c>
      <c r="E121" s="2170"/>
      <c r="F121" s="2179"/>
      <c r="G121" s="2179"/>
      <c r="H121" s="2179"/>
      <c r="I121" s="2179"/>
      <c r="J121" s="2179"/>
      <c r="K121" s="2179"/>
      <c r="L121" s="2179"/>
      <c r="M121" s="2179"/>
      <c r="N121" s="2179"/>
      <c r="O121" s="2179"/>
      <c r="P121" s="2172"/>
      <c r="Q121" s="2172"/>
      <c r="R121" s="2172"/>
      <c r="S121" s="2172"/>
      <c r="T121" s="2172"/>
      <c r="U121" s="2414"/>
      <c r="V121" s="2182"/>
    </row>
    <row r="122" spans="1:22">
      <c r="A122" s="2164"/>
      <c r="B122" s="2167"/>
      <c r="C122" s="2173" t="s">
        <v>1215</v>
      </c>
      <c r="D122" s="1236" t="s">
        <v>1216</v>
      </c>
      <c r="E122" s="2170"/>
      <c r="F122" s="2179"/>
      <c r="G122" s="2179"/>
      <c r="H122" s="2179"/>
      <c r="I122" s="2179"/>
      <c r="J122" s="2179"/>
      <c r="K122" s="2179"/>
      <c r="L122" s="2179"/>
      <c r="M122" s="2179"/>
      <c r="N122" s="2179"/>
      <c r="O122" s="2179"/>
      <c r="P122" s="2172"/>
      <c r="Q122" s="2172"/>
      <c r="R122" s="2172"/>
      <c r="S122" s="2172"/>
      <c r="T122" s="2172"/>
      <c r="U122" s="2414"/>
      <c r="V122" s="2182"/>
    </row>
    <row r="123" spans="1:22">
      <c r="A123" s="2164"/>
      <c r="B123" s="2167"/>
      <c r="C123" s="2174"/>
      <c r="D123" s="1237" t="s">
        <v>1217</v>
      </c>
      <c r="E123" s="2170"/>
      <c r="F123" s="2179"/>
      <c r="G123" s="2179"/>
      <c r="H123" s="2179"/>
      <c r="I123" s="2179"/>
      <c r="J123" s="2179"/>
      <c r="K123" s="2179"/>
      <c r="L123" s="2179"/>
      <c r="M123" s="2179"/>
      <c r="N123" s="2179"/>
      <c r="O123" s="2179"/>
      <c r="P123" s="2187"/>
      <c r="Q123" s="2187"/>
      <c r="R123" s="2187"/>
      <c r="S123" s="2187"/>
      <c r="T123" s="2187"/>
      <c r="U123" s="2415"/>
      <c r="V123" s="2416"/>
    </row>
    <row r="124" spans="1:22">
      <c r="A124" s="2164"/>
      <c r="B124" s="2166" t="s">
        <v>1203</v>
      </c>
      <c r="C124" s="2168" t="s">
        <v>1212</v>
      </c>
      <c r="D124" s="1235" t="s">
        <v>1213</v>
      </c>
      <c r="E124" s="2170"/>
      <c r="F124" s="2179"/>
      <c r="G124" s="2179"/>
      <c r="H124" s="2179"/>
      <c r="I124" s="2179"/>
      <c r="J124" s="2179"/>
      <c r="K124" s="2179"/>
      <c r="L124" s="2179"/>
      <c r="M124" s="2179"/>
      <c r="N124" s="2179"/>
      <c r="O124" s="2179"/>
      <c r="P124" s="2179"/>
      <c r="Q124" s="2171">
        <v>0.98</v>
      </c>
      <c r="R124" s="2171">
        <v>0.97019999999999995</v>
      </c>
      <c r="S124" s="2171">
        <v>0.96049799999999996</v>
      </c>
      <c r="T124" s="2171">
        <v>0.95089301999999998</v>
      </c>
      <c r="U124" s="2413">
        <v>0.94138408979999999</v>
      </c>
      <c r="V124" s="2181">
        <v>0.93197024890199998</v>
      </c>
    </row>
    <row r="125" spans="1:22">
      <c r="A125" s="2164"/>
      <c r="B125" s="2167"/>
      <c r="C125" s="2169"/>
      <c r="D125" s="1236" t="s">
        <v>1214</v>
      </c>
      <c r="E125" s="2170"/>
      <c r="F125" s="2179"/>
      <c r="G125" s="2179"/>
      <c r="H125" s="2179"/>
      <c r="I125" s="2179"/>
      <c r="J125" s="2179"/>
      <c r="K125" s="2179"/>
      <c r="L125" s="2179"/>
      <c r="M125" s="2179"/>
      <c r="N125" s="2179"/>
      <c r="O125" s="2179"/>
      <c r="P125" s="2179"/>
      <c r="Q125" s="2172"/>
      <c r="R125" s="2172"/>
      <c r="S125" s="2172"/>
      <c r="T125" s="2172"/>
      <c r="U125" s="2414"/>
      <c r="V125" s="2182"/>
    </row>
    <row r="126" spans="1:22">
      <c r="A126" s="2164"/>
      <c r="B126" s="2167"/>
      <c r="C126" s="2173" t="s">
        <v>1215</v>
      </c>
      <c r="D126" s="1236" t="s">
        <v>1216</v>
      </c>
      <c r="E126" s="2170"/>
      <c r="F126" s="2179"/>
      <c r="G126" s="2179"/>
      <c r="H126" s="2179"/>
      <c r="I126" s="2179"/>
      <c r="J126" s="2179"/>
      <c r="K126" s="2179"/>
      <c r="L126" s="2179"/>
      <c r="M126" s="2179"/>
      <c r="N126" s="2179"/>
      <c r="O126" s="2179"/>
      <c r="P126" s="2179"/>
      <c r="Q126" s="2172"/>
      <c r="R126" s="2172"/>
      <c r="S126" s="2172"/>
      <c r="T126" s="2172"/>
      <c r="U126" s="2414"/>
      <c r="V126" s="2182"/>
    </row>
    <row r="127" spans="1:22">
      <c r="A127" s="2164"/>
      <c r="B127" s="2167"/>
      <c r="C127" s="2174"/>
      <c r="D127" s="1237" t="s">
        <v>1217</v>
      </c>
      <c r="E127" s="2170"/>
      <c r="F127" s="2179"/>
      <c r="G127" s="2179"/>
      <c r="H127" s="2179"/>
      <c r="I127" s="2179"/>
      <c r="J127" s="2179"/>
      <c r="K127" s="2179"/>
      <c r="L127" s="2179"/>
      <c r="M127" s="2179"/>
      <c r="N127" s="2179"/>
      <c r="O127" s="2179"/>
      <c r="P127" s="2179"/>
      <c r="Q127" s="2187"/>
      <c r="R127" s="2187"/>
      <c r="S127" s="2187"/>
      <c r="T127" s="2187"/>
      <c r="U127" s="2415"/>
      <c r="V127" s="2416"/>
    </row>
    <row r="128" spans="1:22">
      <c r="A128" s="2164"/>
      <c r="B128" s="2166" t="s">
        <v>1204</v>
      </c>
      <c r="C128" s="2168" t="s">
        <v>1212</v>
      </c>
      <c r="D128" s="1235" t="s">
        <v>1213</v>
      </c>
      <c r="E128" s="2170"/>
      <c r="F128" s="2179"/>
      <c r="G128" s="2179"/>
      <c r="H128" s="2179"/>
      <c r="I128" s="2179"/>
      <c r="J128" s="2179"/>
      <c r="K128" s="2179"/>
      <c r="L128" s="2179"/>
      <c r="M128" s="2179"/>
      <c r="N128" s="2179"/>
      <c r="O128" s="2179"/>
      <c r="P128" s="2179"/>
      <c r="Q128" s="2179"/>
      <c r="R128" s="2171">
        <v>0.99</v>
      </c>
      <c r="S128" s="2171">
        <v>0.98009999999999997</v>
      </c>
      <c r="T128" s="2171">
        <v>0.97029899999999991</v>
      </c>
      <c r="U128" s="2413">
        <v>0.96059600999999994</v>
      </c>
      <c r="V128" s="2181">
        <v>0.95099004989999991</v>
      </c>
    </row>
    <row r="129" spans="1:22">
      <c r="A129" s="2164"/>
      <c r="B129" s="2167"/>
      <c r="C129" s="2169"/>
      <c r="D129" s="1236" t="s">
        <v>1214</v>
      </c>
      <c r="E129" s="2170"/>
      <c r="F129" s="2179"/>
      <c r="G129" s="2179"/>
      <c r="H129" s="2179"/>
      <c r="I129" s="2179"/>
      <c r="J129" s="2179"/>
      <c r="K129" s="2179"/>
      <c r="L129" s="2179"/>
      <c r="M129" s="2179"/>
      <c r="N129" s="2179"/>
      <c r="O129" s="2179"/>
      <c r="P129" s="2179"/>
      <c r="Q129" s="2179"/>
      <c r="R129" s="2172"/>
      <c r="S129" s="2172"/>
      <c r="T129" s="2172"/>
      <c r="U129" s="2414"/>
      <c r="V129" s="2182"/>
    </row>
    <row r="130" spans="1:22">
      <c r="A130" s="2164"/>
      <c r="B130" s="2167"/>
      <c r="C130" s="2173" t="s">
        <v>1215</v>
      </c>
      <c r="D130" s="1236" t="s">
        <v>1216</v>
      </c>
      <c r="E130" s="2170"/>
      <c r="F130" s="2179"/>
      <c r="G130" s="2179"/>
      <c r="H130" s="2179"/>
      <c r="I130" s="2179"/>
      <c r="J130" s="2179"/>
      <c r="K130" s="2179"/>
      <c r="L130" s="2179"/>
      <c r="M130" s="2179"/>
      <c r="N130" s="2179"/>
      <c r="O130" s="2179"/>
      <c r="P130" s="2179"/>
      <c r="Q130" s="2179"/>
      <c r="R130" s="2172"/>
      <c r="S130" s="2172"/>
      <c r="T130" s="2172"/>
      <c r="U130" s="2414"/>
      <c r="V130" s="2182"/>
    </row>
    <row r="131" spans="1:22">
      <c r="A131" s="2164"/>
      <c r="B131" s="2167"/>
      <c r="C131" s="2174"/>
      <c r="D131" s="1237" t="s">
        <v>1217</v>
      </c>
      <c r="E131" s="2170"/>
      <c r="F131" s="2179"/>
      <c r="G131" s="2179"/>
      <c r="H131" s="2179"/>
      <c r="I131" s="2179"/>
      <c r="J131" s="2179"/>
      <c r="K131" s="2179"/>
      <c r="L131" s="2179"/>
      <c r="M131" s="2179"/>
      <c r="N131" s="2179"/>
      <c r="O131" s="2179"/>
      <c r="P131" s="2179"/>
      <c r="Q131" s="2179"/>
      <c r="R131" s="2187"/>
      <c r="S131" s="2187"/>
      <c r="T131" s="2187"/>
      <c r="U131" s="2415"/>
      <c r="V131" s="2416"/>
    </row>
    <row r="132" spans="1:22">
      <c r="A132" s="2164"/>
      <c r="B132" s="2166" t="s">
        <v>1205</v>
      </c>
      <c r="C132" s="2168" t="s">
        <v>1212</v>
      </c>
      <c r="D132" s="1235" t="s">
        <v>1213</v>
      </c>
      <c r="E132" s="2170"/>
      <c r="F132" s="2179"/>
      <c r="G132" s="2179"/>
      <c r="H132" s="2179"/>
      <c r="I132" s="2179"/>
      <c r="J132" s="2179"/>
      <c r="K132" s="2179"/>
      <c r="L132" s="2179"/>
      <c r="M132" s="2179"/>
      <c r="N132" s="2179"/>
      <c r="O132" s="2179"/>
      <c r="P132" s="2179"/>
      <c r="Q132" s="2179"/>
      <c r="R132" s="2179"/>
      <c r="S132" s="2171">
        <v>0.99</v>
      </c>
      <c r="T132" s="2171">
        <v>0.98009999999999997</v>
      </c>
      <c r="U132" s="2413">
        <v>0.97029899999999991</v>
      </c>
      <c r="V132" s="2181">
        <v>0.96059600999999994</v>
      </c>
    </row>
    <row r="133" spans="1:22">
      <c r="A133" s="2164"/>
      <c r="B133" s="2167"/>
      <c r="C133" s="2169"/>
      <c r="D133" s="1236" t="s">
        <v>1214</v>
      </c>
      <c r="E133" s="2170"/>
      <c r="F133" s="2179"/>
      <c r="G133" s="2179"/>
      <c r="H133" s="2179"/>
      <c r="I133" s="2179"/>
      <c r="J133" s="2179"/>
      <c r="K133" s="2179"/>
      <c r="L133" s="2179"/>
      <c r="M133" s="2179"/>
      <c r="N133" s="2179"/>
      <c r="O133" s="2179"/>
      <c r="P133" s="2179"/>
      <c r="Q133" s="2179"/>
      <c r="R133" s="2179"/>
      <c r="S133" s="2172"/>
      <c r="T133" s="2172"/>
      <c r="U133" s="2414"/>
      <c r="V133" s="2182"/>
    </row>
    <row r="134" spans="1:22">
      <c r="A134" s="2164"/>
      <c r="B134" s="2167"/>
      <c r="C134" s="2173" t="s">
        <v>1215</v>
      </c>
      <c r="D134" s="1236" t="s">
        <v>1216</v>
      </c>
      <c r="E134" s="2170"/>
      <c r="F134" s="2179"/>
      <c r="G134" s="2179"/>
      <c r="H134" s="2179"/>
      <c r="I134" s="2179"/>
      <c r="J134" s="2179"/>
      <c r="K134" s="2179"/>
      <c r="L134" s="2179"/>
      <c r="M134" s="2179"/>
      <c r="N134" s="2179"/>
      <c r="O134" s="2179"/>
      <c r="P134" s="2179"/>
      <c r="Q134" s="2179"/>
      <c r="R134" s="2179"/>
      <c r="S134" s="2172"/>
      <c r="T134" s="2172"/>
      <c r="U134" s="2414"/>
      <c r="V134" s="2182"/>
    </row>
    <row r="135" spans="1:22">
      <c r="A135" s="2164"/>
      <c r="B135" s="2167"/>
      <c r="C135" s="2174"/>
      <c r="D135" s="1237" t="s">
        <v>1217</v>
      </c>
      <c r="E135" s="2170"/>
      <c r="F135" s="2179"/>
      <c r="G135" s="2179"/>
      <c r="H135" s="2179"/>
      <c r="I135" s="2179"/>
      <c r="J135" s="2179"/>
      <c r="K135" s="2179"/>
      <c r="L135" s="2179"/>
      <c r="M135" s="2179"/>
      <c r="N135" s="2179"/>
      <c r="O135" s="2179"/>
      <c r="P135" s="2179"/>
      <c r="Q135" s="2179"/>
      <c r="R135" s="2179"/>
      <c r="S135" s="2187"/>
      <c r="T135" s="2187"/>
      <c r="U135" s="2415"/>
      <c r="V135" s="2416"/>
    </row>
    <row r="136" spans="1:22">
      <c r="A136" s="2164"/>
      <c r="B136" s="2166" t="s">
        <v>1206</v>
      </c>
      <c r="C136" s="2168" t="s">
        <v>1212</v>
      </c>
      <c r="D136" s="1235" t="s">
        <v>1213</v>
      </c>
      <c r="E136" s="2170"/>
      <c r="F136" s="2179"/>
      <c r="G136" s="2179"/>
      <c r="H136" s="2179"/>
      <c r="I136" s="2179"/>
      <c r="J136" s="2179"/>
      <c r="K136" s="2179"/>
      <c r="L136" s="2179"/>
      <c r="M136" s="2179"/>
      <c r="N136" s="2179"/>
      <c r="O136" s="2179"/>
      <c r="P136" s="2179"/>
      <c r="Q136" s="2179"/>
      <c r="R136" s="2179"/>
      <c r="S136" s="2179"/>
      <c r="T136" s="2171">
        <v>0.99</v>
      </c>
      <c r="U136" s="2413">
        <v>0.98009999999999997</v>
      </c>
      <c r="V136" s="2181">
        <v>0.97029899999999991</v>
      </c>
    </row>
    <row r="137" spans="1:22">
      <c r="A137" s="2164"/>
      <c r="B137" s="2167"/>
      <c r="C137" s="2169"/>
      <c r="D137" s="1236" t="s">
        <v>1214</v>
      </c>
      <c r="E137" s="2170"/>
      <c r="F137" s="2179"/>
      <c r="G137" s="2179"/>
      <c r="H137" s="2179"/>
      <c r="I137" s="2179"/>
      <c r="J137" s="2179"/>
      <c r="K137" s="2179"/>
      <c r="L137" s="2179"/>
      <c r="M137" s="2179"/>
      <c r="N137" s="2179"/>
      <c r="O137" s="2179"/>
      <c r="P137" s="2179"/>
      <c r="Q137" s="2179"/>
      <c r="R137" s="2179"/>
      <c r="S137" s="2179"/>
      <c r="T137" s="2172"/>
      <c r="U137" s="2414"/>
      <c r="V137" s="2182"/>
    </row>
    <row r="138" spans="1:22">
      <c r="A138" s="2164"/>
      <c r="B138" s="2167"/>
      <c r="C138" s="2173" t="s">
        <v>1215</v>
      </c>
      <c r="D138" s="1236" t="s">
        <v>1216</v>
      </c>
      <c r="E138" s="2170"/>
      <c r="F138" s="2179"/>
      <c r="G138" s="2179"/>
      <c r="H138" s="2179"/>
      <c r="I138" s="2179"/>
      <c r="J138" s="2179"/>
      <c r="K138" s="2179"/>
      <c r="L138" s="2179"/>
      <c r="M138" s="2179"/>
      <c r="N138" s="2179"/>
      <c r="O138" s="2179"/>
      <c r="P138" s="2179"/>
      <c r="Q138" s="2179"/>
      <c r="R138" s="2179"/>
      <c r="S138" s="2179"/>
      <c r="T138" s="2172"/>
      <c r="U138" s="2414"/>
      <c r="V138" s="2182"/>
    </row>
    <row r="139" spans="1:22">
      <c r="A139" s="2164"/>
      <c r="B139" s="2167"/>
      <c r="C139" s="2174"/>
      <c r="D139" s="1237" t="s">
        <v>1217</v>
      </c>
      <c r="E139" s="2170"/>
      <c r="F139" s="2179"/>
      <c r="G139" s="2179"/>
      <c r="H139" s="2179"/>
      <c r="I139" s="2179"/>
      <c r="J139" s="2179"/>
      <c r="K139" s="2179"/>
      <c r="L139" s="2179"/>
      <c r="M139" s="2179"/>
      <c r="N139" s="2179"/>
      <c r="O139" s="2179"/>
      <c r="P139" s="2179"/>
      <c r="Q139" s="2179"/>
      <c r="R139" s="2179"/>
      <c r="S139" s="2179"/>
      <c r="T139" s="2187"/>
      <c r="U139" s="2415"/>
      <c r="V139" s="2416"/>
    </row>
    <row r="140" spans="1:22">
      <c r="A140" s="2164"/>
      <c r="B140" s="2166" t="s">
        <v>1207</v>
      </c>
      <c r="C140" s="2168" t="s">
        <v>1212</v>
      </c>
      <c r="D140" s="1235" t="s">
        <v>1213</v>
      </c>
      <c r="E140" s="2170"/>
      <c r="F140" s="2179"/>
      <c r="G140" s="2179"/>
      <c r="H140" s="2179"/>
      <c r="I140" s="2179"/>
      <c r="J140" s="2179"/>
      <c r="K140" s="2179"/>
      <c r="L140" s="2179"/>
      <c r="M140" s="2179"/>
      <c r="N140" s="2179"/>
      <c r="O140" s="2179"/>
      <c r="P140" s="2179"/>
      <c r="Q140" s="2179"/>
      <c r="R140" s="2179"/>
      <c r="S140" s="2179"/>
      <c r="T140" s="2179"/>
      <c r="U140" s="2413">
        <v>0.99</v>
      </c>
      <c r="V140" s="2181">
        <v>0.98009999999999997</v>
      </c>
    </row>
    <row r="141" spans="1:22">
      <c r="A141" s="2164"/>
      <c r="B141" s="2167"/>
      <c r="C141" s="2169"/>
      <c r="D141" s="1236" t="s">
        <v>1214</v>
      </c>
      <c r="E141" s="2170"/>
      <c r="F141" s="2179"/>
      <c r="G141" s="2179"/>
      <c r="H141" s="2179"/>
      <c r="I141" s="2179"/>
      <c r="J141" s="2179"/>
      <c r="K141" s="2179"/>
      <c r="L141" s="2179"/>
      <c r="M141" s="2179"/>
      <c r="N141" s="2179"/>
      <c r="O141" s="2179"/>
      <c r="P141" s="2179"/>
      <c r="Q141" s="2179"/>
      <c r="R141" s="2179"/>
      <c r="S141" s="2179"/>
      <c r="T141" s="2179"/>
      <c r="U141" s="2414"/>
      <c r="V141" s="2182"/>
    </row>
    <row r="142" spans="1:22">
      <c r="A142" s="2164"/>
      <c r="B142" s="2167"/>
      <c r="C142" s="2173" t="s">
        <v>1215</v>
      </c>
      <c r="D142" s="1236" t="s">
        <v>1216</v>
      </c>
      <c r="E142" s="2170"/>
      <c r="F142" s="2179"/>
      <c r="G142" s="2179"/>
      <c r="H142" s="2179"/>
      <c r="I142" s="2179"/>
      <c r="J142" s="2179"/>
      <c r="K142" s="2179"/>
      <c r="L142" s="2179"/>
      <c r="M142" s="2179"/>
      <c r="N142" s="2179"/>
      <c r="O142" s="2179"/>
      <c r="P142" s="2179"/>
      <c r="Q142" s="2179"/>
      <c r="R142" s="2179"/>
      <c r="S142" s="2179"/>
      <c r="T142" s="2179"/>
      <c r="U142" s="2414"/>
      <c r="V142" s="2182"/>
    </row>
    <row r="143" spans="1:22">
      <c r="A143" s="2164"/>
      <c r="B143" s="2167"/>
      <c r="C143" s="2174"/>
      <c r="D143" s="1237" t="s">
        <v>1217</v>
      </c>
      <c r="E143" s="2170"/>
      <c r="F143" s="2179"/>
      <c r="G143" s="2179"/>
      <c r="H143" s="2179"/>
      <c r="I143" s="2179"/>
      <c r="J143" s="2179"/>
      <c r="K143" s="2179"/>
      <c r="L143" s="2179"/>
      <c r="M143" s="2179"/>
      <c r="N143" s="2179"/>
      <c r="O143" s="2179"/>
      <c r="P143" s="2179"/>
      <c r="Q143" s="2179"/>
      <c r="R143" s="2179"/>
      <c r="S143" s="2179"/>
      <c r="T143" s="2179"/>
      <c r="U143" s="2415"/>
      <c r="V143" s="2416"/>
    </row>
    <row r="144" spans="1:22">
      <c r="A144" s="2164"/>
      <c r="B144" s="2166" t="s">
        <v>1208</v>
      </c>
      <c r="C144" s="2168" t="s">
        <v>1212</v>
      </c>
      <c r="D144" s="1235" t="s">
        <v>1213</v>
      </c>
      <c r="E144" s="2188"/>
      <c r="F144" s="2191"/>
      <c r="G144" s="2191"/>
      <c r="H144" s="2191"/>
      <c r="I144" s="2191"/>
      <c r="J144" s="2191"/>
      <c r="K144" s="2191"/>
      <c r="L144" s="2191"/>
      <c r="M144" s="2191"/>
      <c r="N144" s="2191"/>
      <c r="O144" s="2191"/>
      <c r="P144" s="2191"/>
      <c r="Q144" s="2191"/>
      <c r="R144" s="2191"/>
      <c r="S144" s="2191"/>
      <c r="T144" s="2191"/>
      <c r="U144" s="2179"/>
      <c r="V144" s="2181">
        <v>0.99</v>
      </c>
    </row>
    <row r="145" spans="1:22">
      <c r="A145" s="2164"/>
      <c r="B145" s="2167"/>
      <c r="C145" s="2169"/>
      <c r="D145" s="1236" t="s">
        <v>1214</v>
      </c>
      <c r="E145" s="2189"/>
      <c r="F145" s="2192"/>
      <c r="G145" s="2192"/>
      <c r="H145" s="2192"/>
      <c r="I145" s="2192"/>
      <c r="J145" s="2192"/>
      <c r="K145" s="2192"/>
      <c r="L145" s="2192"/>
      <c r="M145" s="2192"/>
      <c r="N145" s="2192"/>
      <c r="O145" s="2192"/>
      <c r="P145" s="2192"/>
      <c r="Q145" s="2192"/>
      <c r="R145" s="2192"/>
      <c r="S145" s="2192"/>
      <c r="T145" s="2192"/>
      <c r="U145" s="2179"/>
      <c r="V145" s="2182"/>
    </row>
    <row r="146" spans="1:22">
      <c r="A146" s="2164"/>
      <c r="B146" s="2167"/>
      <c r="C146" s="2173" t="s">
        <v>1215</v>
      </c>
      <c r="D146" s="1236" t="s">
        <v>1216</v>
      </c>
      <c r="E146" s="2189"/>
      <c r="F146" s="2192"/>
      <c r="G146" s="2192"/>
      <c r="H146" s="2192"/>
      <c r="I146" s="2192"/>
      <c r="J146" s="2192"/>
      <c r="K146" s="2192"/>
      <c r="L146" s="2192"/>
      <c r="M146" s="2192"/>
      <c r="N146" s="2192"/>
      <c r="O146" s="2192"/>
      <c r="P146" s="2192"/>
      <c r="Q146" s="2192"/>
      <c r="R146" s="2192"/>
      <c r="S146" s="2192"/>
      <c r="T146" s="2192"/>
      <c r="U146" s="2179"/>
      <c r="V146" s="2182"/>
    </row>
    <row r="147" spans="1:22">
      <c r="A147" s="2164"/>
      <c r="B147" s="2167"/>
      <c r="C147" s="2174"/>
      <c r="D147" s="1237" t="s">
        <v>1217</v>
      </c>
      <c r="E147" s="2190"/>
      <c r="F147" s="2193"/>
      <c r="G147" s="2193"/>
      <c r="H147" s="2193"/>
      <c r="I147" s="2193"/>
      <c r="J147" s="2193"/>
      <c r="K147" s="2193"/>
      <c r="L147" s="2193"/>
      <c r="M147" s="2193"/>
      <c r="N147" s="2193"/>
      <c r="O147" s="2193"/>
      <c r="P147" s="2193"/>
      <c r="Q147" s="2193"/>
      <c r="R147" s="2193"/>
      <c r="S147" s="2193"/>
      <c r="T147" s="2193"/>
      <c r="U147" s="2179"/>
      <c r="V147" s="2416"/>
    </row>
    <row r="148" spans="1:22">
      <c r="A148" s="2164"/>
      <c r="B148" s="2166" t="s">
        <v>1209</v>
      </c>
      <c r="C148" s="2168" t="s">
        <v>1212</v>
      </c>
      <c r="D148" s="1235" t="s">
        <v>1213</v>
      </c>
      <c r="E148" s="2188"/>
      <c r="F148" s="2191"/>
      <c r="G148" s="2191"/>
      <c r="H148" s="2191"/>
      <c r="I148" s="2191"/>
      <c r="J148" s="2191"/>
      <c r="K148" s="2191"/>
      <c r="L148" s="2191"/>
      <c r="M148" s="2191"/>
      <c r="N148" s="2191"/>
      <c r="O148" s="2191"/>
      <c r="P148" s="2191"/>
      <c r="Q148" s="2191"/>
      <c r="R148" s="2191"/>
      <c r="S148" s="2191"/>
      <c r="T148" s="2191"/>
      <c r="U148" s="2417"/>
      <c r="V148" s="2194"/>
    </row>
    <row r="149" spans="1:22">
      <c r="A149" s="2164"/>
      <c r="B149" s="2167"/>
      <c r="C149" s="2169"/>
      <c r="D149" s="1236" t="s">
        <v>1214</v>
      </c>
      <c r="E149" s="2189"/>
      <c r="F149" s="2192"/>
      <c r="G149" s="2192"/>
      <c r="H149" s="2192"/>
      <c r="I149" s="2192"/>
      <c r="J149" s="2192"/>
      <c r="K149" s="2192"/>
      <c r="L149" s="2192"/>
      <c r="M149" s="2192"/>
      <c r="N149" s="2192"/>
      <c r="O149" s="2192"/>
      <c r="P149" s="2192"/>
      <c r="Q149" s="2192"/>
      <c r="R149" s="2192"/>
      <c r="S149" s="2192"/>
      <c r="T149" s="2192"/>
      <c r="U149" s="2418"/>
      <c r="V149" s="2195"/>
    </row>
    <row r="150" spans="1:22">
      <c r="A150" s="2164"/>
      <c r="B150" s="2167"/>
      <c r="C150" s="2173" t="s">
        <v>1215</v>
      </c>
      <c r="D150" s="1236" t="s">
        <v>1216</v>
      </c>
      <c r="E150" s="2189"/>
      <c r="F150" s="2192"/>
      <c r="G150" s="2192"/>
      <c r="H150" s="2192"/>
      <c r="I150" s="2192"/>
      <c r="J150" s="2192"/>
      <c r="K150" s="2192"/>
      <c r="L150" s="2192"/>
      <c r="M150" s="2192"/>
      <c r="N150" s="2192"/>
      <c r="O150" s="2192"/>
      <c r="P150" s="2192"/>
      <c r="Q150" s="2192"/>
      <c r="R150" s="2192"/>
      <c r="S150" s="2192"/>
      <c r="T150" s="2192"/>
      <c r="U150" s="2418"/>
      <c r="V150" s="2195"/>
    </row>
    <row r="151" spans="1:22">
      <c r="A151" s="2165"/>
      <c r="B151" s="2167"/>
      <c r="C151" s="2174"/>
      <c r="D151" s="1237" t="s">
        <v>1217</v>
      </c>
      <c r="E151" s="2190"/>
      <c r="F151" s="2193"/>
      <c r="G151" s="2193"/>
      <c r="H151" s="2193"/>
      <c r="I151" s="2193"/>
      <c r="J151" s="2193"/>
      <c r="K151" s="2193"/>
      <c r="L151" s="2193"/>
      <c r="M151" s="2193"/>
      <c r="N151" s="2193"/>
      <c r="O151" s="2193"/>
      <c r="P151" s="2193"/>
      <c r="Q151" s="2193"/>
      <c r="R151" s="2193"/>
      <c r="S151" s="2193"/>
      <c r="T151" s="2193"/>
      <c r="U151" s="2419"/>
      <c r="V151" s="2196"/>
    </row>
    <row r="152" spans="1:22">
      <c r="A152" s="2157" t="s">
        <v>1219</v>
      </c>
      <c r="B152" s="2175" t="s">
        <v>1274</v>
      </c>
      <c r="C152" s="2168" t="s">
        <v>1212</v>
      </c>
      <c r="D152" s="1235" t="s">
        <v>1213</v>
      </c>
      <c r="E152" s="2188"/>
      <c r="F152" s="2171">
        <v>0.61</v>
      </c>
      <c r="G152" s="2171">
        <v>0.4819</v>
      </c>
      <c r="H152" s="2171">
        <v>0.41925299999999999</v>
      </c>
      <c r="I152" s="2171">
        <v>0.40248287999999999</v>
      </c>
      <c r="J152" s="2171">
        <v>0.3702842496</v>
      </c>
      <c r="K152" s="2171">
        <v>0.34806719462399999</v>
      </c>
      <c r="L152" s="2171">
        <v>0.33066383489279999</v>
      </c>
      <c r="M152" s="2171">
        <v>0.317437281497088</v>
      </c>
      <c r="N152" s="2171">
        <v>0.29521667179229183</v>
      </c>
      <c r="O152" s="2171">
        <v>0.28931233835644599</v>
      </c>
      <c r="P152" s="2171">
        <v>0.28352609158931708</v>
      </c>
      <c r="Q152" s="2171">
        <v>0.27785556975753073</v>
      </c>
      <c r="R152" s="2171">
        <v>0.27229845836238009</v>
      </c>
      <c r="S152" s="2171">
        <v>0.26957547377875629</v>
      </c>
      <c r="T152" s="2171">
        <v>0.26687971904096874</v>
      </c>
      <c r="U152" s="2413">
        <v>0.26421092185055906</v>
      </c>
      <c r="V152" s="2181">
        <v>0.26156881263205345</v>
      </c>
    </row>
    <row r="153" spans="1:22">
      <c r="A153" s="2164"/>
      <c r="B153" s="2167"/>
      <c r="C153" s="2169"/>
      <c r="D153" s="1236" t="s">
        <v>1214</v>
      </c>
      <c r="E153" s="2189"/>
      <c r="F153" s="2172"/>
      <c r="G153" s="2172"/>
      <c r="H153" s="2172"/>
      <c r="I153" s="2172"/>
      <c r="J153" s="2172"/>
      <c r="K153" s="2172"/>
      <c r="L153" s="2172"/>
      <c r="M153" s="2172"/>
      <c r="N153" s="2172"/>
      <c r="O153" s="2172"/>
      <c r="P153" s="2172"/>
      <c r="Q153" s="2172"/>
      <c r="R153" s="2172"/>
      <c r="S153" s="2172"/>
      <c r="T153" s="2172"/>
      <c r="U153" s="2414"/>
      <c r="V153" s="2182"/>
    </row>
    <row r="154" spans="1:22">
      <c r="A154" s="2164"/>
      <c r="B154" s="2167"/>
      <c r="C154" s="2173" t="s">
        <v>1215</v>
      </c>
      <c r="D154" s="1236" t="s">
        <v>1216</v>
      </c>
      <c r="E154" s="2189"/>
      <c r="F154" s="2172"/>
      <c r="G154" s="2172"/>
      <c r="H154" s="2172"/>
      <c r="I154" s="2172"/>
      <c r="J154" s="2172"/>
      <c r="K154" s="2172"/>
      <c r="L154" s="2172"/>
      <c r="M154" s="2172"/>
      <c r="N154" s="2172"/>
      <c r="O154" s="2172"/>
      <c r="P154" s="2172"/>
      <c r="Q154" s="2172"/>
      <c r="R154" s="2172"/>
      <c r="S154" s="2172"/>
      <c r="T154" s="2172"/>
      <c r="U154" s="2414"/>
      <c r="V154" s="2182"/>
    </row>
    <row r="155" spans="1:22">
      <c r="A155" s="2164"/>
      <c r="B155" s="2167"/>
      <c r="C155" s="2174"/>
      <c r="D155" s="1237" t="s">
        <v>1217</v>
      </c>
      <c r="E155" s="2190"/>
      <c r="F155" s="2187"/>
      <c r="G155" s="2187"/>
      <c r="H155" s="2187"/>
      <c r="I155" s="2187"/>
      <c r="J155" s="2187"/>
      <c r="K155" s="2187"/>
      <c r="L155" s="2187"/>
      <c r="M155" s="2187"/>
      <c r="N155" s="2187"/>
      <c r="O155" s="2187"/>
      <c r="P155" s="2187"/>
      <c r="Q155" s="2187"/>
      <c r="R155" s="2187"/>
      <c r="S155" s="2187"/>
      <c r="T155" s="2187"/>
      <c r="U155" s="2415"/>
      <c r="V155" s="2416"/>
    </row>
    <row r="156" spans="1:22">
      <c r="A156" s="2164"/>
      <c r="B156" s="2175" t="s">
        <v>1272</v>
      </c>
      <c r="C156" s="2168" t="s">
        <v>1212</v>
      </c>
      <c r="D156" s="1235" t="s">
        <v>1213</v>
      </c>
      <c r="E156" s="2170"/>
      <c r="F156" s="2179"/>
      <c r="G156" s="2171">
        <v>0.79</v>
      </c>
      <c r="H156" s="2171">
        <v>0.68730000000000002</v>
      </c>
      <c r="I156" s="2171">
        <v>0.65980799999999995</v>
      </c>
      <c r="J156" s="2171">
        <v>0.60702336000000001</v>
      </c>
      <c r="K156" s="2171">
        <v>0.57060195839999994</v>
      </c>
      <c r="L156" s="2171">
        <v>0.54207186047999989</v>
      </c>
      <c r="M156" s="2171">
        <v>0.52038898606079986</v>
      </c>
      <c r="N156" s="2171">
        <v>0.48396175703654387</v>
      </c>
      <c r="O156" s="2171">
        <v>0.47428252189581299</v>
      </c>
      <c r="P156" s="2171">
        <v>0.46479687145789672</v>
      </c>
      <c r="Q156" s="2171">
        <v>0.45550093402873876</v>
      </c>
      <c r="R156" s="2171">
        <v>0.446390915348164</v>
      </c>
      <c r="S156" s="2171">
        <v>0.44192700619468234</v>
      </c>
      <c r="T156" s="2171">
        <v>0.43750773613273553</v>
      </c>
      <c r="U156" s="2413">
        <v>0.43313265877140816</v>
      </c>
      <c r="V156" s="2181">
        <v>0.42880133218369409</v>
      </c>
    </row>
    <row r="157" spans="1:22">
      <c r="A157" s="2164"/>
      <c r="B157" s="2167"/>
      <c r="C157" s="2169"/>
      <c r="D157" s="1236" t="s">
        <v>1214</v>
      </c>
      <c r="E157" s="2170"/>
      <c r="F157" s="2179"/>
      <c r="G157" s="2172"/>
      <c r="H157" s="2172"/>
      <c r="I157" s="2172"/>
      <c r="J157" s="2172"/>
      <c r="K157" s="2172"/>
      <c r="L157" s="2172"/>
      <c r="M157" s="2172"/>
      <c r="N157" s="2172"/>
      <c r="O157" s="2172"/>
      <c r="P157" s="2172"/>
      <c r="Q157" s="2172"/>
      <c r="R157" s="2172"/>
      <c r="S157" s="2172"/>
      <c r="T157" s="2172"/>
      <c r="U157" s="2414"/>
      <c r="V157" s="2182"/>
    </row>
    <row r="158" spans="1:22">
      <c r="A158" s="2164"/>
      <c r="B158" s="2167"/>
      <c r="C158" s="2173" t="s">
        <v>1215</v>
      </c>
      <c r="D158" s="1236" t="s">
        <v>1216</v>
      </c>
      <c r="E158" s="2170"/>
      <c r="F158" s="2179"/>
      <c r="G158" s="2172"/>
      <c r="H158" s="2172"/>
      <c r="I158" s="2172"/>
      <c r="J158" s="2172"/>
      <c r="K158" s="2172"/>
      <c r="L158" s="2172"/>
      <c r="M158" s="2172"/>
      <c r="N158" s="2172"/>
      <c r="O158" s="2172"/>
      <c r="P158" s="2172"/>
      <c r="Q158" s="2172"/>
      <c r="R158" s="2172"/>
      <c r="S158" s="2172"/>
      <c r="T158" s="2172"/>
      <c r="U158" s="2414"/>
      <c r="V158" s="2182"/>
    </row>
    <row r="159" spans="1:22">
      <c r="A159" s="2164"/>
      <c r="B159" s="2167"/>
      <c r="C159" s="2174"/>
      <c r="D159" s="1237" t="s">
        <v>1217</v>
      </c>
      <c r="E159" s="2170"/>
      <c r="F159" s="2179"/>
      <c r="G159" s="2187"/>
      <c r="H159" s="2187"/>
      <c r="I159" s="2187"/>
      <c r="J159" s="2187"/>
      <c r="K159" s="2187"/>
      <c r="L159" s="2187"/>
      <c r="M159" s="2187"/>
      <c r="N159" s="2187"/>
      <c r="O159" s="2187"/>
      <c r="P159" s="2187"/>
      <c r="Q159" s="2187"/>
      <c r="R159" s="2187"/>
      <c r="S159" s="2187"/>
      <c r="T159" s="2187"/>
      <c r="U159" s="2415"/>
      <c r="V159" s="2416"/>
    </row>
    <row r="160" spans="1:22">
      <c r="A160" s="2164"/>
      <c r="B160" s="2175" t="s">
        <v>1194</v>
      </c>
      <c r="C160" s="2168" t="s">
        <v>1212</v>
      </c>
      <c r="D160" s="1235" t="s">
        <v>1213</v>
      </c>
      <c r="E160" s="2170"/>
      <c r="F160" s="2179"/>
      <c r="G160" s="2179"/>
      <c r="H160" s="2171">
        <v>0.87</v>
      </c>
      <c r="I160" s="2171">
        <v>0.83519999999999994</v>
      </c>
      <c r="J160" s="2171">
        <v>0.76838399999999996</v>
      </c>
      <c r="K160" s="2171">
        <v>0.72228095999999997</v>
      </c>
      <c r="L160" s="2171">
        <v>0.68616691199999991</v>
      </c>
      <c r="M160" s="2171">
        <v>0.65872023551999992</v>
      </c>
      <c r="N160" s="2171">
        <v>0.61260981903360001</v>
      </c>
      <c r="O160" s="2171">
        <v>0.60035762265292802</v>
      </c>
      <c r="P160" s="2171">
        <v>0.58835047019986941</v>
      </c>
      <c r="Q160" s="2171">
        <v>0.57658346079587197</v>
      </c>
      <c r="R160" s="2171">
        <v>0.56505179157995455</v>
      </c>
      <c r="S160" s="2171">
        <v>0.55940127366415504</v>
      </c>
      <c r="T160" s="2171">
        <v>0.55380726092751353</v>
      </c>
      <c r="U160" s="2413">
        <v>0.54826918831823834</v>
      </c>
      <c r="V160" s="2181">
        <v>0.54278649643505594</v>
      </c>
    </row>
    <row r="161" spans="1:22">
      <c r="A161" s="2164"/>
      <c r="B161" s="2167"/>
      <c r="C161" s="2169"/>
      <c r="D161" s="1236" t="s">
        <v>1214</v>
      </c>
      <c r="E161" s="2170"/>
      <c r="F161" s="2179"/>
      <c r="G161" s="2179"/>
      <c r="H161" s="2172"/>
      <c r="I161" s="2172"/>
      <c r="J161" s="2172"/>
      <c r="K161" s="2172"/>
      <c r="L161" s="2172"/>
      <c r="M161" s="2172"/>
      <c r="N161" s="2172"/>
      <c r="O161" s="2172"/>
      <c r="P161" s="2172"/>
      <c r="Q161" s="2172"/>
      <c r="R161" s="2172"/>
      <c r="S161" s="2172"/>
      <c r="T161" s="2172"/>
      <c r="U161" s="2414"/>
      <c r="V161" s="2182"/>
    </row>
    <row r="162" spans="1:22">
      <c r="A162" s="2164"/>
      <c r="B162" s="2167"/>
      <c r="C162" s="2173" t="s">
        <v>1215</v>
      </c>
      <c r="D162" s="1236" t="s">
        <v>1216</v>
      </c>
      <c r="E162" s="2170"/>
      <c r="F162" s="2179"/>
      <c r="G162" s="2179"/>
      <c r="H162" s="2172"/>
      <c r="I162" s="2172"/>
      <c r="J162" s="2172"/>
      <c r="K162" s="2172"/>
      <c r="L162" s="2172"/>
      <c r="M162" s="2172"/>
      <c r="N162" s="2172"/>
      <c r="O162" s="2172"/>
      <c r="P162" s="2172"/>
      <c r="Q162" s="2172"/>
      <c r="R162" s="2172"/>
      <c r="S162" s="2172"/>
      <c r="T162" s="2172"/>
      <c r="U162" s="2414"/>
      <c r="V162" s="2182"/>
    </row>
    <row r="163" spans="1:22">
      <c r="A163" s="2164"/>
      <c r="B163" s="2167"/>
      <c r="C163" s="2174"/>
      <c r="D163" s="1237" t="s">
        <v>1217</v>
      </c>
      <c r="E163" s="2170"/>
      <c r="F163" s="2179"/>
      <c r="G163" s="2179"/>
      <c r="H163" s="2187"/>
      <c r="I163" s="2187"/>
      <c r="J163" s="2187"/>
      <c r="K163" s="2187"/>
      <c r="L163" s="2187"/>
      <c r="M163" s="2187"/>
      <c r="N163" s="2187"/>
      <c r="O163" s="2187"/>
      <c r="P163" s="2187"/>
      <c r="Q163" s="2187"/>
      <c r="R163" s="2187"/>
      <c r="S163" s="2187"/>
      <c r="T163" s="2187"/>
      <c r="U163" s="2415"/>
      <c r="V163" s="2416"/>
    </row>
    <row r="164" spans="1:22">
      <c r="A164" s="2164"/>
      <c r="B164" s="2166" t="s">
        <v>1195</v>
      </c>
      <c r="C164" s="2168" t="s">
        <v>1212</v>
      </c>
      <c r="D164" s="1235" t="s">
        <v>1213</v>
      </c>
      <c r="E164" s="2170"/>
      <c r="F164" s="2179"/>
      <c r="G164" s="2179"/>
      <c r="H164" s="2179"/>
      <c r="I164" s="2171">
        <v>0.96</v>
      </c>
      <c r="J164" s="2171">
        <v>0.88319999999999999</v>
      </c>
      <c r="K164" s="2171">
        <v>0.83020799999999995</v>
      </c>
      <c r="L164" s="2171">
        <v>0.78869759999999989</v>
      </c>
      <c r="M164" s="2171">
        <v>0.75714969599999982</v>
      </c>
      <c r="N164" s="2171">
        <v>0.70414921727999991</v>
      </c>
      <c r="O164" s="2171">
        <v>0.69006623293439995</v>
      </c>
      <c r="P164" s="2171">
        <v>0.67626490827571195</v>
      </c>
      <c r="Q164" s="2171">
        <v>0.66273961011019766</v>
      </c>
      <c r="R164" s="2171">
        <v>0.64948481790799373</v>
      </c>
      <c r="S164" s="2171">
        <v>0.64298996972891376</v>
      </c>
      <c r="T164" s="2171">
        <v>0.63656007003162463</v>
      </c>
      <c r="U164" s="2413">
        <v>0.6301944693313084</v>
      </c>
      <c r="V164" s="2181">
        <v>0.62389252463799527</v>
      </c>
    </row>
    <row r="165" spans="1:22">
      <c r="A165" s="2164"/>
      <c r="B165" s="2167"/>
      <c r="C165" s="2169"/>
      <c r="D165" s="1236" t="s">
        <v>1214</v>
      </c>
      <c r="E165" s="2170"/>
      <c r="F165" s="2179"/>
      <c r="G165" s="2179"/>
      <c r="H165" s="2179"/>
      <c r="I165" s="2172"/>
      <c r="J165" s="2172"/>
      <c r="K165" s="2172"/>
      <c r="L165" s="2172"/>
      <c r="M165" s="2172"/>
      <c r="N165" s="2172"/>
      <c r="O165" s="2172"/>
      <c r="P165" s="2172"/>
      <c r="Q165" s="2172"/>
      <c r="R165" s="2172"/>
      <c r="S165" s="2172"/>
      <c r="T165" s="2172"/>
      <c r="U165" s="2414"/>
      <c r="V165" s="2182"/>
    </row>
    <row r="166" spans="1:22">
      <c r="A166" s="2164"/>
      <c r="B166" s="2167"/>
      <c r="C166" s="2173" t="s">
        <v>1215</v>
      </c>
      <c r="D166" s="1236" t="s">
        <v>1216</v>
      </c>
      <c r="E166" s="2170"/>
      <c r="F166" s="2179"/>
      <c r="G166" s="2179"/>
      <c r="H166" s="2179"/>
      <c r="I166" s="2172"/>
      <c r="J166" s="2172"/>
      <c r="K166" s="2172"/>
      <c r="L166" s="2172"/>
      <c r="M166" s="2172"/>
      <c r="N166" s="2172"/>
      <c r="O166" s="2172"/>
      <c r="P166" s="2172"/>
      <c r="Q166" s="2172"/>
      <c r="R166" s="2172"/>
      <c r="S166" s="2172"/>
      <c r="T166" s="2172"/>
      <c r="U166" s="2414"/>
      <c r="V166" s="2182"/>
    </row>
    <row r="167" spans="1:22">
      <c r="A167" s="2164"/>
      <c r="B167" s="2167"/>
      <c r="C167" s="2174"/>
      <c r="D167" s="1237" t="s">
        <v>1217</v>
      </c>
      <c r="E167" s="2170"/>
      <c r="F167" s="2179"/>
      <c r="G167" s="2179"/>
      <c r="H167" s="2179"/>
      <c r="I167" s="2187"/>
      <c r="J167" s="2187"/>
      <c r="K167" s="2187"/>
      <c r="L167" s="2187"/>
      <c r="M167" s="2187"/>
      <c r="N167" s="2187"/>
      <c r="O167" s="2187"/>
      <c r="P167" s="2187"/>
      <c r="Q167" s="2187"/>
      <c r="R167" s="2187"/>
      <c r="S167" s="2187"/>
      <c r="T167" s="2187"/>
      <c r="U167" s="2415"/>
      <c r="V167" s="2416"/>
    </row>
    <row r="168" spans="1:22">
      <c r="A168" s="2164"/>
      <c r="B168" s="2166" t="s">
        <v>1196</v>
      </c>
      <c r="C168" s="2168" t="s">
        <v>1212</v>
      </c>
      <c r="D168" s="1235" t="s">
        <v>1213</v>
      </c>
      <c r="E168" s="2170"/>
      <c r="F168" s="2179"/>
      <c r="G168" s="2179"/>
      <c r="H168" s="2179"/>
      <c r="I168" s="2179"/>
      <c r="J168" s="2171">
        <v>0.92</v>
      </c>
      <c r="K168" s="2171">
        <v>0.86480000000000001</v>
      </c>
      <c r="L168" s="2171">
        <v>0.82155999999999996</v>
      </c>
      <c r="M168" s="2171">
        <v>0.78869759999999989</v>
      </c>
      <c r="N168" s="2171">
        <v>0.73348876799999996</v>
      </c>
      <c r="O168" s="2171">
        <v>0.71881899263999993</v>
      </c>
      <c r="P168" s="2171">
        <v>0.70444261278719988</v>
      </c>
      <c r="Q168" s="2171">
        <v>0.69035376053145592</v>
      </c>
      <c r="R168" s="2171">
        <v>0.67654668532082674</v>
      </c>
      <c r="S168" s="2171">
        <v>0.66978121846761851</v>
      </c>
      <c r="T168" s="2171">
        <v>0.66308340628294227</v>
      </c>
      <c r="U168" s="2413">
        <v>0.65645257222011288</v>
      </c>
      <c r="V168" s="2181">
        <v>0.64988804649791176</v>
      </c>
    </row>
    <row r="169" spans="1:22">
      <c r="A169" s="2164"/>
      <c r="B169" s="2167"/>
      <c r="C169" s="2169"/>
      <c r="D169" s="1236" t="s">
        <v>1214</v>
      </c>
      <c r="E169" s="2170"/>
      <c r="F169" s="2179"/>
      <c r="G169" s="2179"/>
      <c r="H169" s="2179"/>
      <c r="I169" s="2179"/>
      <c r="J169" s="2172"/>
      <c r="K169" s="2172"/>
      <c r="L169" s="2172"/>
      <c r="M169" s="2172"/>
      <c r="N169" s="2172"/>
      <c r="O169" s="2172"/>
      <c r="P169" s="2172"/>
      <c r="Q169" s="2172"/>
      <c r="R169" s="2172"/>
      <c r="S169" s="2172"/>
      <c r="T169" s="2172"/>
      <c r="U169" s="2414"/>
      <c r="V169" s="2182"/>
    </row>
    <row r="170" spans="1:22">
      <c r="A170" s="2164"/>
      <c r="B170" s="2167"/>
      <c r="C170" s="2173" t="s">
        <v>1215</v>
      </c>
      <c r="D170" s="1236" t="s">
        <v>1216</v>
      </c>
      <c r="E170" s="2170"/>
      <c r="F170" s="2179"/>
      <c r="G170" s="2179"/>
      <c r="H170" s="2179"/>
      <c r="I170" s="2179"/>
      <c r="J170" s="2172"/>
      <c r="K170" s="2172"/>
      <c r="L170" s="2172"/>
      <c r="M170" s="2172"/>
      <c r="N170" s="2172"/>
      <c r="O170" s="2172"/>
      <c r="P170" s="2172"/>
      <c r="Q170" s="2172"/>
      <c r="R170" s="2172"/>
      <c r="S170" s="2172"/>
      <c r="T170" s="2172"/>
      <c r="U170" s="2414"/>
      <c r="V170" s="2182"/>
    </row>
    <row r="171" spans="1:22">
      <c r="A171" s="2164"/>
      <c r="B171" s="2167"/>
      <c r="C171" s="2174"/>
      <c r="D171" s="1237" t="s">
        <v>1217</v>
      </c>
      <c r="E171" s="2170"/>
      <c r="F171" s="2179"/>
      <c r="G171" s="2179"/>
      <c r="H171" s="2179"/>
      <c r="I171" s="2179"/>
      <c r="J171" s="2187"/>
      <c r="K171" s="2187"/>
      <c r="L171" s="2187"/>
      <c r="M171" s="2187"/>
      <c r="N171" s="2187"/>
      <c r="O171" s="2187"/>
      <c r="P171" s="2187"/>
      <c r="Q171" s="2187"/>
      <c r="R171" s="2187"/>
      <c r="S171" s="2187"/>
      <c r="T171" s="2187"/>
      <c r="U171" s="2415"/>
      <c r="V171" s="2416"/>
    </row>
    <row r="172" spans="1:22">
      <c r="A172" s="2164"/>
      <c r="B172" s="2175" t="s">
        <v>1197</v>
      </c>
      <c r="C172" s="2168" t="s">
        <v>1212</v>
      </c>
      <c r="D172" s="1235" t="s">
        <v>1213</v>
      </c>
      <c r="E172" s="2170"/>
      <c r="F172" s="2179"/>
      <c r="G172" s="2179"/>
      <c r="H172" s="2179"/>
      <c r="I172" s="2179"/>
      <c r="J172" s="2179"/>
      <c r="K172" s="2171">
        <v>0.94</v>
      </c>
      <c r="L172" s="2171">
        <v>0.8929999999999999</v>
      </c>
      <c r="M172" s="2171">
        <v>0.85727999999999993</v>
      </c>
      <c r="N172" s="2171">
        <v>0.79727039999999993</v>
      </c>
      <c r="O172" s="2171">
        <v>0.78132499199999994</v>
      </c>
      <c r="P172" s="2171">
        <v>0.76569849215999997</v>
      </c>
      <c r="Q172" s="2171">
        <v>0.75038452231679997</v>
      </c>
      <c r="R172" s="2171">
        <v>0.73537683187046399</v>
      </c>
      <c r="S172" s="2171">
        <v>0.72802306355175939</v>
      </c>
      <c r="T172" s="2171">
        <v>0.72074283291624175</v>
      </c>
      <c r="U172" s="2413">
        <v>0.71353540458707931</v>
      </c>
      <c r="V172" s="2181">
        <v>0.70640005054120847</v>
      </c>
    </row>
    <row r="173" spans="1:22">
      <c r="A173" s="2164"/>
      <c r="B173" s="2167"/>
      <c r="C173" s="2169"/>
      <c r="D173" s="1236" t="s">
        <v>1214</v>
      </c>
      <c r="E173" s="2170"/>
      <c r="F173" s="2179"/>
      <c r="G173" s="2179"/>
      <c r="H173" s="2179"/>
      <c r="I173" s="2179"/>
      <c r="J173" s="2179"/>
      <c r="K173" s="2172"/>
      <c r="L173" s="2172"/>
      <c r="M173" s="2172"/>
      <c r="N173" s="2172"/>
      <c r="O173" s="2172"/>
      <c r="P173" s="2172"/>
      <c r="Q173" s="2172"/>
      <c r="R173" s="2172"/>
      <c r="S173" s="2172"/>
      <c r="T173" s="2172"/>
      <c r="U173" s="2414"/>
      <c r="V173" s="2182"/>
    </row>
    <row r="174" spans="1:22">
      <c r="A174" s="2164"/>
      <c r="B174" s="2167"/>
      <c r="C174" s="2173" t="s">
        <v>1215</v>
      </c>
      <c r="D174" s="1236" t="s">
        <v>1216</v>
      </c>
      <c r="E174" s="2170"/>
      <c r="F174" s="2179"/>
      <c r="G174" s="2179"/>
      <c r="H174" s="2179"/>
      <c r="I174" s="2179"/>
      <c r="J174" s="2179"/>
      <c r="K174" s="2172"/>
      <c r="L174" s="2172"/>
      <c r="M174" s="2172"/>
      <c r="N174" s="2172"/>
      <c r="O174" s="2172"/>
      <c r="P174" s="2172"/>
      <c r="Q174" s="2172"/>
      <c r="R174" s="2172"/>
      <c r="S174" s="2172"/>
      <c r="T174" s="2172"/>
      <c r="U174" s="2414"/>
      <c r="V174" s="2182"/>
    </row>
    <row r="175" spans="1:22">
      <c r="A175" s="2164"/>
      <c r="B175" s="2167"/>
      <c r="C175" s="2174"/>
      <c r="D175" s="1237" t="s">
        <v>1217</v>
      </c>
      <c r="E175" s="2170"/>
      <c r="F175" s="2179"/>
      <c r="G175" s="2179"/>
      <c r="H175" s="2179"/>
      <c r="I175" s="2179"/>
      <c r="J175" s="2179"/>
      <c r="K175" s="2187"/>
      <c r="L175" s="2187"/>
      <c r="M175" s="2187"/>
      <c r="N175" s="2187"/>
      <c r="O175" s="2187"/>
      <c r="P175" s="2187"/>
      <c r="Q175" s="2187"/>
      <c r="R175" s="2187"/>
      <c r="S175" s="2187"/>
      <c r="T175" s="2187"/>
      <c r="U175" s="2415"/>
      <c r="V175" s="2416"/>
    </row>
    <row r="176" spans="1:22">
      <c r="A176" s="2164"/>
      <c r="B176" s="2175" t="s">
        <v>1198</v>
      </c>
      <c r="C176" s="2168" t="s">
        <v>1212</v>
      </c>
      <c r="D176" s="1235" t="s">
        <v>1213</v>
      </c>
      <c r="E176" s="2170"/>
      <c r="F176" s="2179"/>
      <c r="G176" s="2179"/>
      <c r="H176" s="2179"/>
      <c r="I176" s="2179"/>
      <c r="J176" s="2179"/>
      <c r="K176" s="2179"/>
      <c r="L176" s="2171">
        <v>0.95</v>
      </c>
      <c r="M176" s="2171">
        <v>0.91199999999999992</v>
      </c>
      <c r="N176" s="2171">
        <v>0.84816000000000003</v>
      </c>
      <c r="O176" s="2171">
        <v>0.83119679999999996</v>
      </c>
      <c r="P176" s="2171">
        <v>0.81457286399999995</v>
      </c>
      <c r="Q176" s="2171">
        <v>0.79828140671999992</v>
      </c>
      <c r="R176" s="2171">
        <v>0.78231577858559986</v>
      </c>
      <c r="S176" s="2171">
        <v>0.7744926207997439</v>
      </c>
      <c r="T176" s="2171">
        <v>0.76674769459174641</v>
      </c>
      <c r="U176" s="2413">
        <v>0.75908021764582889</v>
      </c>
      <c r="V176" s="2181">
        <v>0.75148941546937065</v>
      </c>
    </row>
    <row r="177" spans="1:22">
      <c r="A177" s="2164"/>
      <c r="B177" s="2167"/>
      <c r="C177" s="2169"/>
      <c r="D177" s="1236" t="s">
        <v>1214</v>
      </c>
      <c r="E177" s="2170"/>
      <c r="F177" s="2179"/>
      <c r="G177" s="2179"/>
      <c r="H177" s="2179"/>
      <c r="I177" s="2179"/>
      <c r="J177" s="2179"/>
      <c r="K177" s="2179"/>
      <c r="L177" s="2172"/>
      <c r="M177" s="2172"/>
      <c r="N177" s="2172"/>
      <c r="O177" s="2172"/>
      <c r="P177" s="2172"/>
      <c r="Q177" s="2172"/>
      <c r="R177" s="2172"/>
      <c r="S177" s="2172"/>
      <c r="T177" s="2172"/>
      <c r="U177" s="2414"/>
      <c r="V177" s="2182"/>
    </row>
    <row r="178" spans="1:22">
      <c r="A178" s="2164"/>
      <c r="B178" s="2167"/>
      <c r="C178" s="2173" t="s">
        <v>1215</v>
      </c>
      <c r="D178" s="1236" t="s">
        <v>1216</v>
      </c>
      <c r="E178" s="2170"/>
      <c r="F178" s="2179"/>
      <c r="G178" s="2179"/>
      <c r="H178" s="2179"/>
      <c r="I178" s="2179"/>
      <c r="J178" s="2179"/>
      <c r="K178" s="2179"/>
      <c r="L178" s="2172"/>
      <c r="M178" s="2172"/>
      <c r="N178" s="2172"/>
      <c r="O178" s="2172"/>
      <c r="P178" s="2172"/>
      <c r="Q178" s="2172"/>
      <c r="R178" s="2172"/>
      <c r="S178" s="2172"/>
      <c r="T178" s="2172"/>
      <c r="U178" s="2414"/>
      <c r="V178" s="2182"/>
    </row>
    <row r="179" spans="1:22">
      <c r="A179" s="2164"/>
      <c r="B179" s="2167"/>
      <c r="C179" s="2174"/>
      <c r="D179" s="1237" t="s">
        <v>1217</v>
      </c>
      <c r="E179" s="2170"/>
      <c r="F179" s="2179"/>
      <c r="G179" s="2179"/>
      <c r="H179" s="2179"/>
      <c r="I179" s="2179"/>
      <c r="J179" s="2179"/>
      <c r="K179" s="2179"/>
      <c r="L179" s="2187"/>
      <c r="M179" s="2187"/>
      <c r="N179" s="2187"/>
      <c r="O179" s="2187"/>
      <c r="P179" s="2187"/>
      <c r="Q179" s="2187"/>
      <c r="R179" s="2187"/>
      <c r="S179" s="2187"/>
      <c r="T179" s="2187"/>
      <c r="U179" s="2415"/>
      <c r="V179" s="2416"/>
    </row>
    <row r="180" spans="1:22">
      <c r="A180" s="2164"/>
      <c r="B180" s="2166" t="s">
        <v>1199</v>
      </c>
      <c r="C180" s="2168" t="s">
        <v>1212</v>
      </c>
      <c r="D180" s="1235" t="s">
        <v>1213</v>
      </c>
      <c r="E180" s="2170"/>
      <c r="F180" s="2179"/>
      <c r="G180" s="2179"/>
      <c r="H180" s="2179"/>
      <c r="I180" s="2179"/>
      <c r="J180" s="2179"/>
      <c r="K180" s="2179"/>
      <c r="L180" s="2179"/>
      <c r="M180" s="2171">
        <v>0.96</v>
      </c>
      <c r="N180" s="2171">
        <v>0.89280000000000004</v>
      </c>
      <c r="O180" s="2171">
        <v>0.87494400000000006</v>
      </c>
      <c r="P180" s="2171">
        <v>0.85744512000000006</v>
      </c>
      <c r="Q180" s="2171">
        <v>0.84029621760000006</v>
      </c>
      <c r="R180" s="2171">
        <v>0.82349029324800005</v>
      </c>
      <c r="S180" s="2171">
        <v>0.81525539031552008</v>
      </c>
      <c r="T180" s="2171">
        <v>0.80710283641236491</v>
      </c>
      <c r="U180" s="2413">
        <v>0.79903180804824125</v>
      </c>
      <c r="V180" s="2181">
        <v>0.7910414899677588</v>
      </c>
    </row>
    <row r="181" spans="1:22">
      <c r="A181" s="2164"/>
      <c r="B181" s="2167"/>
      <c r="C181" s="2169"/>
      <c r="D181" s="1236" t="s">
        <v>1214</v>
      </c>
      <c r="E181" s="2170"/>
      <c r="F181" s="2179"/>
      <c r="G181" s="2179"/>
      <c r="H181" s="2179"/>
      <c r="I181" s="2179"/>
      <c r="J181" s="2179"/>
      <c r="K181" s="2179"/>
      <c r="L181" s="2179"/>
      <c r="M181" s="2172"/>
      <c r="N181" s="2172"/>
      <c r="O181" s="2172"/>
      <c r="P181" s="2172"/>
      <c r="Q181" s="2172"/>
      <c r="R181" s="2172"/>
      <c r="S181" s="2172"/>
      <c r="T181" s="2172"/>
      <c r="U181" s="2414"/>
      <c r="V181" s="2182"/>
    </row>
    <row r="182" spans="1:22">
      <c r="A182" s="2164"/>
      <c r="B182" s="2167"/>
      <c r="C182" s="2173" t="s">
        <v>1215</v>
      </c>
      <c r="D182" s="1236" t="s">
        <v>1216</v>
      </c>
      <c r="E182" s="2170"/>
      <c r="F182" s="2179"/>
      <c r="G182" s="2179"/>
      <c r="H182" s="2179"/>
      <c r="I182" s="2179"/>
      <c r="J182" s="2179"/>
      <c r="K182" s="2179"/>
      <c r="L182" s="2179"/>
      <c r="M182" s="2172"/>
      <c r="N182" s="2172"/>
      <c r="O182" s="2172"/>
      <c r="P182" s="2172"/>
      <c r="Q182" s="2172"/>
      <c r="R182" s="2172"/>
      <c r="S182" s="2172"/>
      <c r="T182" s="2172"/>
      <c r="U182" s="2414"/>
      <c r="V182" s="2182"/>
    </row>
    <row r="183" spans="1:22">
      <c r="A183" s="2164"/>
      <c r="B183" s="2167"/>
      <c r="C183" s="2174"/>
      <c r="D183" s="1237" t="s">
        <v>1217</v>
      </c>
      <c r="E183" s="2170"/>
      <c r="F183" s="2179"/>
      <c r="G183" s="2179"/>
      <c r="H183" s="2179"/>
      <c r="I183" s="2179"/>
      <c r="J183" s="2179"/>
      <c r="K183" s="2179"/>
      <c r="L183" s="2179"/>
      <c r="M183" s="2187"/>
      <c r="N183" s="2187"/>
      <c r="O183" s="2187"/>
      <c r="P183" s="2187"/>
      <c r="Q183" s="2187"/>
      <c r="R183" s="2187"/>
      <c r="S183" s="2187"/>
      <c r="T183" s="2187"/>
      <c r="U183" s="2415"/>
      <c r="V183" s="2416"/>
    </row>
    <row r="184" spans="1:22">
      <c r="A184" s="2164"/>
      <c r="B184" s="2166" t="s">
        <v>1200</v>
      </c>
      <c r="C184" s="2168" t="s">
        <v>1212</v>
      </c>
      <c r="D184" s="1235" t="s">
        <v>1213</v>
      </c>
      <c r="E184" s="2170"/>
      <c r="F184" s="2179"/>
      <c r="G184" s="2179"/>
      <c r="H184" s="2179"/>
      <c r="I184" s="2179"/>
      <c r="J184" s="2179"/>
      <c r="K184" s="2179"/>
      <c r="L184" s="2179"/>
      <c r="M184" s="2179"/>
      <c r="N184" s="2171">
        <v>0.93</v>
      </c>
      <c r="O184" s="2171">
        <v>0.91139999999999999</v>
      </c>
      <c r="P184" s="2171">
        <v>0.89317199999999997</v>
      </c>
      <c r="Q184" s="2171">
        <v>0.8753085599999999</v>
      </c>
      <c r="R184" s="2171">
        <v>0.85780238879999993</v>
      </c>
      <c r="S184" s="2171">
        <v>0.84922436491199993</v>
      </c>
      <c r="T184" s="2171">
        <v>0.84073212126287988</v>
      </c>
      <c r="U184" s="2413">
        <v>0.83232480005025111</v>
      </c>
      <c r="V184" s="2181">
        <v>0.82400155204974856</v>
      </c>
    </row>
    <row r="185" spans="1:22">
      <c r="A185" s="2164"/>
      <c r="B185" s="2167"/>
      <c r="C185" s="2169"/>
      <c r="D185" s="1236" t="s">
        <v>1214</v>
      </c>
      <c r="E185" s="2170"/>
      <c r="F185" s="2179"/>
      <c r="G185" s="2179"/>
      <c r="H185" s="2179"/>
      <c r="I185" s="2179"/>
      <c r="J185" s="2179"/>
      <c r="K185" s="2179"/>
      <c r="L185" s="2179"/>
      <c r="M185" s="2179"/>
      <c r="N185" s="2172"/>
      <c r="O185" s="2172"/>
      <c r="P185" s="2172"/>
      <c r="Q185" s="2172"/>
      <c r="R185" s="2172"/>
      <c r="S185" s="2172"/>
      <c r="T185" s="2172"/>
      <c r="U185" s="2414"/>
      <c r="V185" s="2182"/>
    </row>
    <row r="186" spans="1:22">
      <c r="A186" s="2164"/>
      <c r="B186" s="2167"/>
      <c r="C186" s="2173" t="s">
        <v>1215</v>
      </c>
      <c r="D186" s="1236" t="s">
        <v>1216</v>
      </c>
      <c r="E186" s="2170"/>
      <c r="F186" s="2179"/>
      <c r="G186" s="2179"/>
      <c r="H186" s="2179"/>
      <c r="I186" s="2179"/>
      <c r="J186" s="2179"/>
      <c r="K186" s="2179"/>
      <c r="L186" s="2179"/>
      <c r="M186" s="2179"/>
      <c r="N186" s="2172"/>
      <c r="O186" s="2172"/>
      <c r="P186" s="2172"/>
      <c r="Q186" s="2172"/>
      <c r="R186" s="2172"/>
      <c r="S186" s="2172"/>
      <c r="T186" s="2172"/>
      <c r="U186" s="2414"/>
      <c r="V186" s="2182"/>
    </row>
    <row r="187" spans="1:22">
      <c r="A187" s="2164"/>
      <c r="B187" s="2167"/>
      <c r="C187" s="2174"/>
      <c r="D187" s="1237" t="s">
        <v>1217</v>
      </c>
      <c r="E187" s="2170"/>
      <c r="F187" s="2179"/>
      <c r="G187" s="2179"/>
      <c r="H187" s="2179"/>
      <c r="I187" s="2179"/>
      <c r="J187" s="2179"/>
      <c r="K187" s="2179"/>
      <c r="L187" s="2179"/>
      <c r="M187" s="2179"/>
      <c r="N187" s="2187"/>
      <c r="O187" s="2187"/>
      <c r="P187" s="2187"/>
      <c r="Q187" s="2187"/>
      <c r="R187" s="2187"/>
      <c r="S187" s="2187"/>
      <c r="T187" s="2187"/>
      <c r="U187" s="2415"/>
      <c r="V187" s="2416"/>
    </row>
    <row r="188" spans="1:22">
      <c r="A188" s="2164"/>
      <c r="B188" s="2166" t="s">
        <v>1201</v>
      </c>
      <c r="C188" s="2168" t="s">
        <v>1212</v>
      </c>
      <c r="D188" s="1235" t="s">
        <v>1213</v>
      </c>
      <c r="E188" s="2170"/>
      <c r="F188" s="2179"/>
      <c r="G188" s="2179"/>
      <c r="H188" s="2179"/>
      <c r="I188" s="2179"/>
      <c r="J188" s="2179"/>
      <c r="K188" s="2179"/>
      <c r="L188" s="2179"/>
      <c r="M188" s="2179"/>
      <c r="N188" s="2179"/>
      <c r="O188" s="2171">
        <v>0.98</v>
      </c>
      <c r="P188" s="2171">
        <v>0.96039999999999992</v>
      </c>
      <c r="Q188" s="2171">
        <v>0.94119199999999992</v>
      </c>
      <c r="R188" s="2171">
        <v>0.92236815999999988</v>
      </c>
      <c r="S188" s="2171">
        <v>0.9131444783999999</v>
      </c>
      <c r="T188" s="2171">
        <v>0.90401303361599994</v>
      </c>
      <c r="U188" s="2413">
        <v>0.89497290327983992</v>
      </c>
      <c r="V188" s="2181">
        <v>0.88602317424704147</v>
      </c>
    </row>
    <row r="189" spans="1:22">
      <c r="A189" s="2164"/>
      <c r="B189" s="2167"/>
      <c r="C189" s="2169"/>
      <c r="D189" s="1236" t="s">
        <v>1214</v>
      </c>
      <c r="E189" s="2170"/>
      <c r="F189" s="2179"/>
      <c r="G189" s="2179"/>
      <c r="H189" s="2179"/>
      <c r="I189" s="2179"/>
      <c r="J189" s="2179"/>
      <c r="K189" s="2179"/>
      <c r="L189" s="2179"/>
      <c r="M189" s="2179"/>
      <c r="N189" s="2179"/>
      <c r="O189" s="2172"/>
      <c r="P189" s="2172"/>
      <c r="Q189" s="2172"/>
      <c r="R189" s="2172"/>
      <c r="S189" s="2172"/>
      <c r="T189" s="2172"/>
      <c r="U189" s="2414"/>
      <c r="V189" s="2182"/>
    </row>
    <row r="190" spans="1:22">
      <c r="A190" s="2164"/>
      <c r="B190" s="2167"/>
      <c r="C190" s="2173" t="s">
        <v>1215</v>
      </c>
      <c r="D190" s="1236" t="s">
        <v>1216</v>
      </c>
      <c r="E190" s="2170"/>
      <c r="F190" s="2179"/>
      <c r="G190" s="2179"/>
      <c r="H190" s="2179"/>
      <c r="I190" s="2179"/>
      <c r="J190" s="2179"/>
      <c r="K190" s="2179"/>
      <c r="L190" s="2179"/>
      <c r="M190" s="2179"/>
      <c r="N190" s="2179"/>
      <c r="O190" s="2172"/>
      <c r="P190" s="2172"/>
      <c r="Q190" s="2172"/>
      <c r="R190" s="2172"/>
      <c r="S190" s="2172"/>
      <c r="T190" s="2172"/>
      <c r="U190" s="2414"/>
      <c r="V190" s="2182"/>
    </row>
    <row r="191" spans="1:22">
      <c r="A191" s="2164"/>
      <c r="B191" s="2167"/>
      <c r="C191" s="2174"/>
      <c r="D191" s="1237" t="s">
        <v>1217</v>
      </c>
      <c r="E191" s="2170"/>
      <c r="F191" s="2179"/>
      <c r="G191" s="2179"/>
      <c r="H191" s="2179"/>
      <c r="I191" s="2179"/>
      <c r="J191" s="2179"/>
      <c r="K191" s="2179"/>
      <c r="L191" s="2179"/>
      <c r="M191" s="2179"/>
      <c r="N191" s="2179"/>
      <c r="O191" s="2187"/>
      <c r="P191" s="2187"/>
      <c r="Q191" s="2187"/>
      <c r="R191" s="2187"/>
      <c r="S191" s="2187"/>
      <c r="T191" s="2187"/>
      <c r="U191" s="2415"/>
      <c r="V191" s="2416"/>
    </row>
    <row r="192" spans="1:22">
      <c r="A192" s="2164"/>
      <c r="B192" s="2166" t="s">
        <v>1202</v>
      </c>
      <c r="C192" s="2168" t="s">
        <v>1212</v>
      </c>
      <c r="D192" s="1235" t="s">
        <v>1213</v>
      </c>
      <c r="E192" s="2170"/>
      <c r="F192" s="2179"/>
      <c r="G192" s="2179"/>
      <c r="H192" s="2179"/>
      <c r="I192" s="2179"/>
      <c r="J192" s="2179"/>
      <c r="K192" s="2179"/>
      <c r="L192" s="2179"/>
      <c r="M192" s="2179"/>
      <c r="N192" s="2179"/>
      <c r="O192" s="2179"/>
      <c r="P192" s="2171">
        <v>0.98</v>
      </c>
      <c r="Q192" s="2171">
        <v>0.96039999999999992</v>
      </c>
      <c r="R192" s="2171">
        <v>0.94119199999999992</v>
      </c>
      <c r="S192" s="2171">
        <v>0.9317800799999999</v>
      </c>
      <c r="T192" s="2171">
        <v>0.9224622791999999</v>
      </c>
      <c r="U192" s="2413">
        <v>0.91323765640799992</v>
      </c>
      <c r="V192" s="2181">
        <v>0.90410527984391986</v>
      </c>
    </row>
    <row r="193" spans="1:22">
      <c r="A193" s="2164"/>
      <c r="B193" s="2167"/>
      <c r="C193" s="2169"/>
      <c r="D193" s="1236" t="s">
        <v>1214</v>
      </c>
      <c r="E193" s="2170"/>
      <c r="F193" s="2179"/>
      <c r="G193" s="2179"/>
      <c r="H193" s="2179"/>
      <c r="I193" s="2179"/>
      <c r="J193" s="2179"/>
      <c r="K193" s="2179"/>
      <c r="L193" s="2179"/>
      <c r="M193" s="2179"/>
      <c r="N193" s="2179"/>
      <c r="O193" s="2179"/>
      <c r="P193" s="2172"/>
      <c r="Q193" s="2172"/>
      <c r="R193" s="2172"/>
      <c r="S193" s="2172"/>
      <c r="T193" s="2172"/>
      <c r="U193" s="2414"/>
      <c r="V193" s="2182"/>
    </row>
    <row r="194" spans="1:22">
      <c r="A194" s="2164"/>
      <c r="B194" s="2167"/>
      <c r="C194" s="2173" t="s">
        <v>1215</v>
      </c>
      <c r="D194" s="1236" t="s">
        <v>1216</v>
      </c>
      <c r="E194" s="2170"/>
      <c r="F194" s="2179"/>
      <c r="G194" s="2179"/>
      <c r="H194" s="2179"/>
      <c r="I194" s="2179"/>
      <c r="J194" s="2179"/>
      <c r="K194" s="2179"/>
      <c r="L194" s="2179"/>
      <c r="M194" s="2179"/>
      <c r="N194" s="2179"/>
      <c r="O194" s="2179"/>
      <c r="P194" s="2172"/>
      <c r="Q194" s="2172"/>
      <c r="R194" s="2172"/>
      <c r="S194" s="2172"/>
      <c r="T194" s="2172"/>
      <c r="U194" s="2414"/>
      <c r="V194" s="2182"/>
    </row>
    <row r="195" spans="1:22">
      <c r="A195" s="2164"/>
      <c r="B195" s="2167"/>
      <c r="C195" s="2174"/>
      <c r="D195" s="1237" t="s">
        <v>1217</v>
      </c>
      <c r="E195" s="2170"/>
      <c r="F195" s="2179"/>
      <c r="G195" s="2179"/>
      <c r="H195" s="2179"/>
      <c r="I195" s="2179"/>
      <c r="J195" s="2179"/>
      <c r="K195" s="2179"/>
      <c r="L195" s="2179"/>
      <c r="M195" s="2179"/>
      <c r="N195" s="2179"/>
      <c r="O195" s="2179"/>
      <c r="P195" s="2187"/>
      <c r="Q195" s="2187"/>
      <c r="R195" s="2187"/>
      <c r="S195" s="2187"/>
      <c r="T195" s="2187"/>
      <c r="U195" s="2415"/>
      <c r="V195" s="2416"/>
    </row>
    <row r="196" spans="1:22">
      <c r="A196" s="2164"/>
      <c r="B196" s="2175" t="s">
        <v>1203</v>
      </c>
      <c r="C196" s="2168" t="s">
        <v>1212</v>
      </c>
      <c r="D196" s="1235" t="s">
        <v>1213</v>
      </c>
      <c r="E196" s="2170"/>
      <c r="F196" s="2179"/>
      <c r="G196" s="2179"/>
      <c r="H196" s="2179"/>
      <c r="I196" s="2179"/>
      <c r="J196" s="2179"/>
      <c r="K196" s="2179"/>
      <c r="L196" s="2179"/>
      <c r="M196" s="2179"/>
      <c r="N196" s="2179"/>
      <c r="O196" s="2179"/>
      <c r="P196" s="2179"/>
      <c r="Q196" s="2171">
        <v>0.98</v>
      </c>
      <c r="R196" s="2171">
        <v>0.96039999999999992</v>
      </c>
      <c r="S196" s="2171">
        <v>0.95079599999999986</v>
      </c>
      <c r="T196" s="2171">
        <v>0.94128803999999988</v>
      </c>
      <c r="U196" s="2413">
        <v>0.93187515959999989</v>
      </c>
      <c r="V196" s="2181">
        <v>0.92255640800399985</v>
      </c>
    </row>
    <row r="197" spans="1:22">
      <c r="A197" s="2164"/>
      <c r="B197" s="2167"/>
      <c r="C197" s="2169"/>
      <c r="D197" s="1236" t="s">
        <v>1214</v>
      </c>
      <c r="E197" s="2170"/>
      <c r="F197" s="2179"/>
      <c r="G197" s="2179"/>
      <c r="H197" s="2179"/>
      <c r="I197" s="2179"/>
      <c r="J197" s="2179"/>
      <c r="K197" s="2179"/>
      <c r="L197" s="2179"/>
      <c r="M197" s="2179"/>
      <c r="N197" s="2179"/>
      <c r="O197" s="2179"/>
      <c r="P197" s="2179"/>
      <c r="Q197" s="2172"/>
      <c r="R197" s="2172"/>
      <c r="S197" s="2172"/>
      <c r="T197" s="2172"/>
      <c r="U197" s="2414"/>
      <c r="V197" s="2182"/>
    </row>
    <row r="198" spans="1:22">
      <c r="A198" s="2164"/>
      <c r="B198" s="2167"/>
      <c r="C198" s="2173" t="s">
        <v>1215</v>
      </c>
      <c r="D198" s="1236" t="s">
        <v>1216</v>
      </c>
      <c r="E198" s="2170"/>
      <c r="F198" s="2179"/>
      <c r="G198" s="2179"/>
      <c r="H198" s="2179"/>
      <c r="I198" s="2179"/>
      <c r="J198" s="2179"/>
      <c r="K198" s="2179"/>
      <c r="L198" s="2179"/>
      <c r="M198" s="2179"/>
      <c r="N198" s="2179"/>
      <c r="O198" s="2179"/>
      <c r="P198" s="2179"/>
      <c r="Q198" s="2172"/>
      <c r="R198" s="2172"/>
      <c r="S198" s="2172"/>
      <c r="T198" s="2172"/>
      <c r="U198" s="2414"/>
      <c r="V198" s="2182"/>
    </row>
    <row r="199" spans="1:22">
      <c r="A199" s="2164"/>
      <c r="B199" s="2167"/>
      <c r="C199" s="2174"/>
      <c r="D199" s="1237" t="s">
        <v>1217</v>
      </c>
      <c r="E199" s="2170"/>
      <c r="F199" s="2179"/>
      <c r="G199" s="2179"/>
      <c r="H199" s="2179"/>
      <c r="I199" s="2179"/>
      <c r="J199" s="2179"/>
      <c r="K199" s="2179"/>
      <c r="L199" s="2179"/>
      <c r="M199" s="2179"/>
      <c r="N199" s="2179"/>
      <c r="O199" s="2179"/>
      <c r="P199" s="2179"/>
      <c r="Q199" s="2187"/>
      <c r="R199" s="2187"/>
      <c r="S199" s="2187"/>
      <c r="T199" s="2187"/>
      <c r="U199" s="2415"/>
      <c r="V199" s="2416"/>
    </row>
    <row r="200" spans="1:22">
      <c r="A200" s="2164"/>
      <c r="B200" s="2175" t="s">
        <v>1204</v>
      </c>
      <c r="C200" s="2168" t="s">
        <v>1212</v>
      </c>
      <c r="D200" s="1235" t="s">
        <v>1213</v>
      </c>
      <c r="E200" s="2170"/>
      <c r="F200" s="2179"/>
      <c r="G200" s="2179"/>
      <c r="H200" s="2179"/>
      <c r="I200" s="2179"/>
      <c r="J200" s="2179"/>
      <c r="K200" s="2179"/>
      <c r="L200" s="2179"/>
      <c r="M200" s="2179"/>
      <c r="N200" s="2179"/>
      <c r="O200" s="2179"/>
      <c r="P200" s="2179"/>
      <c r="Q200" s="2179"/>
      <c r="R200" s="2171">
        <v>0.98</v>
      </c>
      <c r="S200" s="2171">
        <v>0.97019999999999995</v>
      </c>
      <c r="T200" s="2171">
        <v>0.96049799999999996</v>
      </c>
      <c r="U200" s="2413">
        <v>0.95089301999999998</v>
      </c>
      <c r="V200" s="2181">
        <v>0.94138408979999999</v>
      </c>
    </row>
    <row r="201" spans="1:22">
      <c r="A201" s="2164"/>
      <c r="B201" s="2167"/>
      <c r="C201" s="2169"/>
      <c r="D201" s="1236" t="s">
        <v>1214</v>
      </c>
      <c r="E201" s="2170"/>
      <c r="F201" s="2179"/>
      <c r="G201" s="2179"/>
      <c r="H201" s="2179"/>
      <c r="I201" s="2179"/>
      <c r="J201" s="2179"/>
      <c r="K201" s="2179"/>
      <c r="L201" s="2179"/>
      <c r="M201" s="2179"/>
      <c r="N201" s="2179"/>
      <c r="O201" s="2179"/>
      <c r="P201" s="2179"/>
      <c r="Q201" s="2179"/>
      <c r="R201" s="2172"/>
      <c r="S201" s="2172"/>
      <c r="T201" s="2172"/>
      <c r="U201" s="2414"/>
      <c r="V201" s="2182"/>
    </row>
    <row r="202" spans="1:22">
      <c r="A202" s="2164"/>
      <c r="B202" s="2167"/>
      <c r="C202" s="2173" t="s">
        <v>1215</v>
      </c>
      <c r="D202" s="1236" t="s">
        <v>1216</v>
      </c>
      <c r="E202" s="2170"/>
      <c r="F202" s="2179"/>
      <c r="G202" s="2179"/>
      <c r="H202" s="2179"/>
      <c r="I202" s="2179"/>
      <c r="J202" s="2179"/>
      <c r="K202" s="2179"/>
      <c r="L202" s="2179"/>
      <c r="M202" s="2179"/>
      <c r="N202" s="2179"/>
      <c r="O202" s="2179"/>
      <c r="P202" s="2179"/>
      <c r="Q202" s="2179"/>
      <c r="R202" s="2172"/>
      <c r="S202" s="2172"/>
      <c r="T202" s="2172"/>
      <c r="U202" s="2414"/>
      <c r="V202" s="2182"/>
    </row>
    <row r="203" spans="1:22">
      <c r="A203" s="2164"/>
      <c r="B203" s="2167"/>
      <c r="C203" s="2174"/>
      <c r="D203" s="1237" t="s">
        <v>1217</v>
      </c>
      <c r="E203" s="2170"/>
      <c r="F203" s="2179"/>
      <c r="G203" s="2179"/>
      <c r="H203" s="2179"/>
      <c r="I203" s="2179"/>
      <c r="J203" s="2179"/>
      <c r="K203" s="2179"/>
      <c r="L203" s="2179"/>
      <c r="M203" s="2179"/>
      <c r="N203" s="2179"/>
      <c r="O203" s="2179"/>
      <c r="P203" s="2179"/>
      <c r="Q203" s="2179"/>
      <c r="R203" s="2187"/>
      <c r="S203" s="2187"/>
      <c r="T203" s="2187"/>
      <c r="U203" s="2415"/>
      <c r="V203" s="2416"/>
    </row>
    <row r="204" spans="1:22">
      <c r="A204" s="2164"/>
      <c r="B204" s="2166" t="s">
        <v>1205</v>
      </c>
      <c r="C204" s="2168" t="s">
        <v>1212</v>
      </c>
      <c r="D204" s="1235" t="s">
        <v>1213</v>
      </c>
      <c r="E204" s="2170"/>
      <c r="F204" s="2179"/>
      <c r="G204" s="2179"/>
      <c r="H204" s="2179"/>
      <c r="I204" s="2179"/>
      <c r="J204" s="2179"/>
      <c r="K204" s="2179"/>
      <c r="L204" s="2179"/>
      <c r="M204" s="2179"/>
      <c r="N204" s="2179"/>
      <c r="O204" s="2179"/>
      <c r="P204" s="2179"/>
      <c r="Q204" s="2179"/>
      <c r="R204" s="2179"/>
      <c r="S204" s="2171">
        <v>0.99</v>
      </c>
      <c r="T204" s="2171">
        <v>0.98009999999999997</v>
      </c>
      <c r="U204" s="2413">
        <v>0.97029899999999991</v>
      </c>
      <c r="V204" s="2181">
        <v>0.96059600999999994</v>
      </c>
    </row>
    <row r="205" spans="1:22">
      <c r="A205" s="2164"/>
      <c r="B205" s="2167"/>
      <c r="C205" s="2169"/>
      <c r="D205" s="1236" t="s">
        <v>1214</v>
      </c>
      <c r="E205" s="2170"/>
      <c r="F205" s="2179"/>
      <c r="G205" s="2179"/>
      <c r="H205" s="2179"/>
      <c r="I205" s="2179"/>
      <c r="J205" s="2179"/>
      <c r="K205" s="2179"/>
      <c r="L205" s="2179"/>
      <c r="M205" s="2179"/>
      <c r="N205" s="2179"/>
      <c r="O205" s="2179"/>
      <c r="P205" s="2179"/>
      <c r="Q205" s="2179"/>
      <c r="R205" s="2179"/>
      <c r="S205" s="2172"/>
      <c r="T205" s="2172"/>
      <c r="U205" s="2414"/>
      <c r="V205" s="2182"/>
    </row>
    <row r="206" spans="1:22">
      <c r="A206" s="2164"/>
      <c r="B206" s="2167"/>
      <c r="C206" s="2173" t="s">
        <v>1215</v>
      </c>
      <c r="D206" s="1236" t="s">
        <v>1216</v>
      </c>
      <c r="E206" s="2170"/>
      <c r="F206" s="2179"/>
      <c r="G206" s="2179"/>
      <c r="H206" s="2179"/>
      <c r="I206" s="2179"/>
      <c r="J206" s="2179"/>
      <c r="K206" s="2179"/>
      <c r="L206" s="2179"/>
      <c r="M206" s="2179"/>
      <c r="N206" s="2179"/>
      <c r="O206" s="2179"/>
      <c r="P206" s="2179"/>
      <c r="Q206" s="2179"/>
      <c r="R206" s="2179"/>
      <c r="S206" s="2172"/>
      <c r="T206" s="2172"/>
      <c r="U206" s="2414"/>
      <c r="V206" s="2182"/>
    </row>
    <row r="207" spans="1:22">
      <c r="A207" s="2164"/>
      <c r="B207" s="2167"/>
      <c r="C207" s="2174"/>
      <c r="D207" s="1237" t="s">
        <v>1217</v>
      </c>
      <c r="E207" s="2170"/>
      <c r="F207" s="2179"/>
      <c r="G207" s="2179"/>
      <c r="H207" s="2179"/>
      <c r="I207" s="2179"/>
      <c r="J207" s="2179"/>
      <c r="K207" s="2179"/>
      <c r="L207" s="2179"/>
      <c r="M207" s="2179"/>
      <c r="N207" s="2179"/>
      <c r="O207" s="2179"/>
      <c r="P207" s="2179"/>
      <c r="Q207" s="2179"/>
      <c r="R207" s="2179"/>
      <c r="S207" s="2187"/>
      <c r="T207" s="2187"/>
      <c r="U207" s="2415"/>
      <c r="V207" s="2416"/>
    </row>
    <row r="208" spans="1:22">
      <c r="A208" s="2164"/>
      <c r="B208" s="2166" t="s">
        <v>1206</v>
      </c>
      <c r="C208" s="2168" t="s">
        <v>1212</v>
      </c>
      <c r="D208" s="1235" t="s">
        <v>1213</v>
      </c>
      <c r="E208" s="2170"/>
      <c r="F208" s="2179"/>
      <c r="G208" s="2179"/>
      <c r="H208" s="2179"/>
      <c r="I208" s="2179"/>
      <c r="J208" s="2179"/>
      <c r="K208" s="2179"/>
      <c r="L208" s="2179"/>
      <c r="M208" s="2179"/>
      <c r="N208" s="2179"/>
      <c r="O208" s="2179"/>
      <c r="P208" s="2179"/>
      <c r="Q208" s="2179"/>
      <c r="R208" s="2179"/>
      <c r="S208" s="2179"/>
      <c r="T208" s="2171">
        <v>0.99</v>
      </c>
      <c r="U208" s="2413">
        <v>0.98009999999999997</v>
      </c>
      <c r="V208" s="2181">
        <v>0.97029899999999991</v>
      </c>
    </row>
    <row r="209" spans="1:22">
      <c r="A209" s="2164"/>
      <c r="B209" s="2167"/>
      <c r="C209" s="2169"/>
      <c r="D209" s="1236" t="s">
        <v>1214</v>
      </c>
      <c r="E209" s="2170"/>
      <c r="F209" s="2179"/>
      <c r="G209" s="2179"/>
      <c r="H209" s="2179"/>
      <c r="I209" s="2179"/>
      <c r="J209" s="2179"/>
      <c r="K209" s="2179"/>
      <c r="L209" s="2179"/>
      <c r="M209" s="2179"/>
      <c r="N209" s="2179"/>
      <c r="O209" s="2179"/>
      <c r="P209" s="2179"/>
      <c r="Q209" s="2179"/>
      <c r="R209" s="2179"/>
      <c r="S209" s="2179"/>
      <c r="T209" s="2172"/>
      <c r="U209" s="2414"/>
      <c r="V209" s="2182"/>
    </row>
    <row r="210" spans="1:22">
      <c r="A210" s="2164"/>
      <c r="B210" s="2167"/>
      <c r="C210" s="2173" t="s">
        <v>1215</v>
      </c>
      <c r="D210" s="1236" t="s">
        <v>1216</v>
      </c>
      <c r="E210" s="2170"/>
      <c r="F210" s="2179"/>
      <c r="G210" s="2179"/>
      <c r="H210" s="2179"/>
      <c r="I210" s="2179"/>
      <c r="J210" s="2179"/>
      <c r="K210" s="2179"/>
      <c r="L210" s="2179"/>
      <c r="M210" s="2179"/>
      <c r="N210" s="2179"/>
      <c r="O210" s="2179"/>
      <c r="P210" s="2179"/>
      <c r="Q210" s="2179"/>
      <c r="R210" s="2179"/>
      <c r="S210" s="2179"/>
      <c r="T210" s="2172"/>
      <c r="U210" s="2414"/>
      <c r="V210" s="2182"/>
    </row>
    <row r="211" spans="1:22">
      <c r="A211" s="2164"/>
      <c r="B211" s="2167"/>
      <c r="C211" s="2174"/>
      <c r="D211" s="1237" t="s">
        <v>1217</v>
      </c>
      <c r="E211" s="2170"/>
      <c r="F211" s="2179"/>
      <c r="G211" s="2179"/>
      <c r="H211" s="2179"/>
      <c r="I211" s="2179"/>
      <c r="J211" s="2179"/>
      <c r="K211" s="2179"/>
      <c r="L211" s="2179"/>
      <c r="M211" s="2179"/>
      <c r="N211" s="2179"/>
      <c r="O211" s="2179"/>
      <c r="P211" s="2179"/>
      <c r="Q211" s="2179"/>
      <c r="R211" s="2179"/>
      <c r="S211" s="2179"/>
      <c r="T211" s="2187"/>
      <c r="U211" s="2415"/>
      <c r="V211" s="2416"/>
    </row>
    <row r="212" spans="1:22">
      <c r="A212" s="2164"/>
      <c r="B212" s="2166" t="s">
        <v>1207</v>
      </c>
      <c r="C212" s="2168" t="s">
        <v>1212</v>
      </c>
      <c r="D212" s="1235" t="s">
        <v>1213</v>
      </c>
      <c r="E212" s="2170"/>
      <c r="F212" s="2179"/>
      <c r="G212" s="2179"/>
      <c r="H212" s="2179"/>
      <c r="I212" s="2179"/>
      <c r="J212" s="2179"/>
      <c r="K212" s="2179"/>
      <c r="L212" s="2179"/>
      <c r="M212" s="2179"/>
      <c r="N212" s="2179"/>
      <c r="O212" s="2179"/>
      <c r="P212" s="2179"/>
      <c r="Q212" s="2179"/>
      <c r="R212" s="2179"/>
      <c r="S212" s="2179"/>
      <c r="T212" s="2179"/>
      <c r="U212" s="2413">
        <v>0.99</v>
      </c>
      <c r="V212" s="2181">
        <v>0.98009999999999997</v>
      </c>
    </row>
    <row r="213" spans="1:22">
      <c r="A213" s="2164"/>
      <c r="B213" s="2167"/>
      <c r="C213" s="2169"/>
      <c r="D213" s="1236" t="s">
        <v>1214</v>
      </c>
      <c r="E213" s="2170"/>
      <c r="F213" s="2179"/>
      <c r="G213" s="2179"/>
      <c r="H213" s="2179"/>
      <c r="I213" s="2179"/>
      <c r="J213" s="2179"/>
      <c r="K213" s="2179"/>
      <c r="L213" s="2179"/>
      <c r="M213" s="2179"/>
      <c r="N213" s="2179"/>
      <c r="O213" s="2179"/>
      <c r="P213" s="2179"/>
      <c r="Q213" s="2179"/>
      <c r="R213" s="2179"/>
      <c r="S213" s="2179"/>
      <c r="T213" s="2179"/>
      <c r="U213" s="2414"/>
      <c r="V213" s="2182"/>
    </row>
    <row r="214" spans="1:22">
      <c r="A214" s="2164"/>
      <c r="B214" s="2167"/>
      <c r="C214" s="2173" t="s">
        <v>1215</v>
      </c>
      <c r="D214" s="1236" t="s">
        <v>1216</v>
      </c>
      <c r="E214" s="2170"/>
      <c r="F214" s="2179"/>
      <c r="G214" s="2179"/>
      <c r="H214" s="2179"/>
      <c r="I214" s="2179"/>
      <c r="J214" s="2179"/>
      <c r="K214" s="2179"/>
      <c r="L214" s="2179"/>
      <c r="M214" s="2179"/>
      <c r="N214" s="2179"/>
      <c r="O214" s="2179"/>
      <c r="P214" s="2179"/>
      <c r="Q214" s="2179"/>
      <c r="R214" s="2179"/>
      <c r="S214" s="2179"/>
      <c r="T214" s="2179"/>
      <c r="U214" s="2414"/>
      <c r="V214" s="2182"/>
    </row>
    <row r="215" spans="1:22">
      <c r="A215" s="2164"/>
      <c r="B215" s="2167"/>
      <c r="C215" s="2174"/>
      <c r="D215" s="1237" t="s">
        <v>1217</v>
      </c>
      <c r="E215" s="2170"/>
      <c r="F215" s="2179"/>
      <c r="G215" s="2179"/>
      <c r="H215" s="2179"/>
      <c r="I215" s="2179"/>
      <c r="J215" s="2179"/>
      <c r="K215" s="2179"/>
      <c r="L215" s="2179"/>
      <c r="M215" s="2179"/>
      <c r="N215" s="2179"/>
      <c r="O215" s="2179"/>
      <c r="P215" s="2179"/>
      <c r="Q215" s="2179"/>
      <c r="R215" s="2179"/>
      <c r="S215" s="2179"/>
      <c r="T215" s="2179"/>
      <c r="U215" s="2415"/>
      <c r="V215" s="2416"/>
    </row>
    <row r="216" spans="1:22">
      <c r="A216" s="2164"/>
      <c r="B216" s="2166" t="s">
        <v>1208</v>
      </c>
      <c r="C216" s="2168" t="s">
        <v>1212</v>
      </c>
      <c r="D216" s="1235" t="s">
        <v>1213</v>
      </c>
      <c r="E216" s="2188"/>
      <c r="F216" s="2191"/>
      <c r="G216" s="2191"/>
      <c r="H216" s="2191"/>
      <c r="I216" s="2191"/>
      <c r="J216" s="2191"/>
      <c r="K216" s="2191"/>
      <c r="L216" s="2191"/>
      <c r="M216" s="2191"/>
      <c r="N216" s="2191"/>
      <c r="O216" s="2191"/>
      <c r="P216" s="2191"/>
      <c r="Q216" s="2191"/>
      <c r="R216" s="2191"/>
      <c r="S216" s="2191"/>
      <c r="T216" s="2191"/>
      <c r="U216" s="2179"/>
      <c r="V216" s="2181">
        <v>0.99</v>
      </c>
    </row>
    <row r="217" spans="1:22">
      <c r="A217" s="2164"/>
      <c r="B217" s="2167"/>
      <c r="C217" s="2169"/>
      <c r="D217" s="1236" t="s">
        <v>1214</v>
      </c>
      <c r="E217" s="2189"/>
      <c r="F217" s="2192"/>
      <c r="G217" s="2192"/>
      <c r="H217" s="2192"/>
      <c r="I217" s="2192"/>
      <c r="J217" s="2192"/>
      <c r="K217" s="2192"/>
      <c r="L217" s="2192"/>
      <c r="M217" s="2192"/>
      <c r="N217" s="2192"/>
      <c r="O217" s="2192"/>
      <c r="P217" s="2192"/>
      <c r="Q217" s="2192"/>
      <c r="R217" s="2192"/>
      <c r="S217" s="2192"/>
      <c r="T217" s="2192"/>
      <c r="U217" s="2179"/>
      <c r="V217" s="2182"/>
    </row>
    <row r="218" spans="1:22">
      <c r="A218" s="2164"/>
      <c r="B218" s="2167"/>
      <c r="C218" s="2173" t="s">
        <v>1215</v>
      </c>
      <c r="D218" s="1236" t="s">
        <v>1216</v>
      </c>
      <c r="E218" s="2189"/>
      <c r="F218" s="2192"/>
      <c r="G218" s="2192"/>
      <c r="H218" s="2192"/>
      <c r="I218" s="2192"/>
      <c r="J218" s="2192"/>
      <c r="K218" s="2192"/>
      <c r="L218" s="2192"/>
      <c r="M218" s="2192"/>
      <c r="N218" s="2192"/>
      <c r="O218" s="2192"/>
      <c r="P218" s="2192"/>
      <c r="Q218" s="2192"/>
      <c r="R218" s="2192"/>
      <c r="S218" s="2192"/>
      <c r="T218" s="2192"/>
      <c r="U218" s="2179"/>
      <c r="V218" s="2182"/>
    </row>
    <row r="219" spans="1:22">
      <c r="A219" s="2164"/>
      <c r="B219" s="2167"/>
      <c r="C219" s="2174"/>
      <c r="D219" s="1237" t="s">
        <v>1217</v>
      </c>
      <c r="E219" s="2190"/>
      <c r="F219" s="2193"/>
      <c r="G219" s="2193"/>
      <c r="H219" s="2193"/>
      <c r="I219" s="2193"/>
      <c r="J219" s="2193"/>
      <c r="K219" s="2193"/>
      <c r="L219" s="2193"/>
      <c r="M219" s="2193"/>
      <c r="N219" s="2193"/>
      <c r="O219" s="2193"/>
      <c r="P219" s="2193"/>
      <c r="Q219" s="2193"/>
      <c r="R219" s="2193"/>
      <c r="S219" s="2193"/>
      <c r="T219" s="2193"/>
      <c r="U219" s="2179"/>
      <c r="V219" s="2416"/>
    </row>
    <row r="220" spans="1:22">
      <c r="A220" s="2164"/>
      <c r="B220" s="2175" t="s">
        <v>1209</v>
      </c>
      <c r="C220" s="2168" t="s">
        <v>1212</v>
      </c>
      <c r="D220" s="1235" t="s">
        <v>1213</v>
      </c>
      <c r="E220" s="2188"/>
      <c r="F220" s="2191"/>
      <c r="G220" s="2191"/>
      <c r="H220" s="2191"/>
      <c r="I220" s="2191"/>
      <c r="J220" s="2191"/>
      <c r="K220" s="2191"/>
      <c r="L220" s="2191"/>
      <c r="M220" s="2191"/>
      <c r="N220" s="2191"/>
      <c r="O220" s="2191"/>
      <c r="P220" s="2191"/>
      <c r="Q220" s="2191"/>
      <c r="R220" s="2191"/>
      <c r="S220" s="2191"/>
      <c r="T220" s="2191"/>
      <c r="U220" s="2417"/>
      <c r="V220" s="2194"/>
    </row>
    <row r="221" spans="1:22">
      <c r="A221" s="2164"/>
      <c r="B221" s="2167"/>
      <c r="C221" s="2169"/>
      <c r="D221" s="1236" t="s">
        <v>1214</v>
      </c>
      <c r="E221" s="2189"/>
      <c r="F221" s="2192"/>
      <c r="G221" s="2192"/>
      <c r="H221" s="2192"/>
      <c r="I221" s="2192"/>
      <c r="J221" s="2192"/>
      <c r="K221" s="2192"/>
      <c r="L221" s="2192"/>
      <c r="M221" s="2192"/>
      <c r="N221" s="2192"/>
      <c r="O221" s="2192"/>
      <c r="P221" s="2192"/>
      <c r="Q221" s="2192"/>
      <c r="R221" s="2192"/>
      <c r="S221" s="2192"/>
      <c r="T221" s="2192"/>
      <c r="U221" s="2418"/>
      <c r="V221" s="2195"/>
    </row>
    <row r="222" spans="1:22">
      <c r="A222" s="2164"/>
      <c r="B222" s="2167"/>
      <c r="C222" s="2173" t="s">
        <v>1215</v>
      </c>
      <c r="D222" s="1236" t="s">
        <v>1216</v>
      </c>
      <c r="E222" s="2189"/>
      <c r="F222" s="2192"/>
      <c r="G222" s="2192"/>
      <c r="H222" s="2192"/>
      <c r="I222" s="2192"/>
      <c r="J222" s="2192"/>
      <c r="K222" s="2192"/>
      <c r="L222" s="2192"/>
      <c r="M222" s="2192"/>
      <c r="N222" s="2192"/>
      <c r="O222" s="2192"/>
      <c r="P222" s="2192"/>
      <c r="Q222" s="2192"/>
      <c r="R222" s="2192"/>
      <c r="S222" s="2192"/>
      <c r="T222" s="2192"/>
      <c r="U222" s="2418"/>
      <c r="V222" s="2195"/>
    </row>
    <row r="223" spans="1:22">
      <c r="A223" s="2165"/>
      <c r="B223" s="2167"/>
      <c r="C223" s="2174"/>
      <c r="D223" s="1237" t="s">
        <v>1217</v>
      </c>
      <c r="E223" s="2190"/>
      <c r="F223" s="2193"/>
      <c r="G223" s="2193"/>
      <c r="H223" s="2193"/>
      <c r="I223" s="2193"/>
      <c r="J223" s="2193"/>
      <c r="K223" s="2193"/>
      <c r="L223" s="2193"/>
      <c r="M223" s="2193"/>
      <c r="N223" s="2193"/>
      <c r="O223" s="2193"/>
      <c r="P223" s="2193"/>
      <c r="Q223" s="2193"/>
      <c r="R223" s="2193"/>
      <c r="S223" s="2193"/>
      <c r="T223" s="2193"/>
      <c r="U223" s="2419"/>
      <c r="V223" s="2196"/>
    </row>
    <row r="224" spans="1:22">
      <c r="A224" s="2157" t="s">
        <v>1220</v>
      </c>
      <c r="B224" s="2175" t="s">
        <v>1274</v>
      </c>
      <c r="C224" s="2168" t="s">
        <v>1212</v>
      </c>
      <c r="D224" s="1235" t="s">
        <v>1213</v>
      </c>
      <c r="E224" s="2188"/>
      <c r="F224" s="2171">
        <v>0.61</v>
      </c>
      <c r="G224" s="2171">
        <v>0.4819</v>
      </c>
      <c r="H224" s="2171">
        <v>0.41925299999999999</v>
      </c>
      <c r="I224" s="2171">
        <v>0.40248287999999999</v>
      </c>
      <c r="J224" s="2171">
        <v>0.3702842496</v>
      </c>
      <c r="K224" s="2171">
        <v>0.34806719462399999</v>
      </c>
      <c r="L224" s="2171">
        <v>0.33066383489279999</v>
      </c>
      <c r="M224" s="2171">
        <v>0.317437281497088</v>
      </c>
      <c r="N224" s="2171">
        <v>0.29521667179229183</v>
      </c>
      <c r="O224" s="2171">
        <v>0.28931233835644599</v>
      </c>
      <c r="P224" s="2171">
        <v>0.28352609158931708</v>
      </c>
      <c r="Q224" s="2171">
        <v>0.27785556975753073</v>
      </c>
      <c r="R224" s="2171">
        <v>0.27507701405995544</v>
      </c>
      <c r="S224" s="2171">
        <v>0.27232624391935589</v>
      </c>
      <c r="T224" s="2171">
        <v>0.26960298148016232</v>
      </c>
      <c r="U224" s="2413">
        <v>0.26690695166536071</v>
      </c>
      <c r="V224" s="2181">
        <v>0.26423788214870708</v>
      </c>
    </row>
    <row r="225" spans="1:22">
      <c r="A225" s="2164"/>
      <c r="B225" s="2167"/>
      <c r="C225" s="2169"/>
      <c r="D225" s="1236" t="s">
        <v>1214</v>
      </c>
      <c r="E225" s="2189"/>
      <c r="F225" s="2172"/>
      <c r="G225" s="2172"/>
      <c r="H225" s="2172"/>
      <c r="I225" s="2172"/>
      <c r="J225" s="2172"/>
      <c r="K225" s="2172"/>
      <c r="L225" s="2172"/>
      <c r="M225" s="2172"/>
      <c r="N225" s="2172"/>
      <c r="O225" s="2172"/>
      <c r="P225" s="2172"/>
      <c r="Q225" s="2172"/>
      <c r="R225" s="2172"/>
      <c r="S225" s="2172"/>
      <c r="T225" s="2172"/>
      <c r="U225" s="2414"/>
      <c r="V225" s="2182"/>
    </row>
    <row r="226" spans="1:22">
      <c r="A226" s="2164"/>
      <c r="B226" s="2167"/>
      <c r="C226" s="2173" t="s">
        <v>1215</v>
      </c>
      <c r="D226" s="1236" t="s">
        <v>1216</v>
      </c>
      <c r="E226" s="2189"/>
      <c r="F226" s="2172"/>
      <c r="G226" s="2172"/>
      <c r="H226" s="2172"/>
      <c r="I226" s="2172"/>
      <c r="J226" s="2172"/>
      <c r="K226" s="2172"/>
      <c r="L226" s="2172"/>
      <c r="M226" s="2172"/>
      <c r="N226" s="2172"/>
      <c r="O226" s="2172"/>
      <c r="P226" s="2172"/>
      <c r="Q226" s="2172"/>
      <c r="R226" s="2172"/>
      <c r="S226" s="2172"/>
      <c r="T226" s="2172"/>
      <c r="U226" s="2414"/>
      <c r="V226" s="2182"/>
    </row>
    <row r="227" spans="1:22">
      <c r="A227" s="2164"/>
      <c r="B227" s="2167"/>
      <c r="C227" s="2174"/>
      <c r="D227" s="1237" t="s">
        <v>1217</v>
      </c>
      <c r="E227" s="2190"/>
      <c r="F227" s="2187"/>
      <c r="G227" s="2187"/>
      <c r="H227" s="2187"/>
      <c r="I227" s="2187"/>
      <c r="J227" s="2187"/>
      <c r="K227" s="2187"/>
      <c r="L227" s="2187"/>
      <c r="M227" s="2187"/>
      <c r="N227" s="2187"/>
      <c r="O227" s="2187"/>
      <c r="P227" s="2187"/>
      <c r="Q227" s="2187"/>
      <c r="R227" s="2187"/>
      <c r="S227" s="2187"/>
      <c r="T227" s="2187"/>
      <c r="U227" s="2415"/>
      <c r="V227" s="2416"/>
    </row>
    <row r="228" spans="1:22">
      <c r="A228" s="2164"/>
      <c r="B228" s="2175" t="s">
        <v>1272</v>
      </c>
      <c r="C228" s="2168" t="s">
        <v>1212</v>
      </c>
      <c r="D228" s="1235" t="s">
        <v>1213</v>
      </c>
      <c r="E228" s="2170"/>
      <c r="F228" s="2179"/>
      <c r="G228" s="2171">
        <v>0.79</v>
      </c>
      <c r="H228" s="2171">
        <v>0.68730000000000002</v>
      </c>
      <c r="I228" s="2171">
        <v>0.65980799999999995</v>
      </c>
      <c r="J228" s="2171">
        <v>0.60702336000000001</v>
      </c>
      <c r="K228" s="2171">
        <v>0.57060195839999994</v>
      </c>
      <c r="L228" s="2171">
        <v>0.54207186047999989</v>
      </c>
      <c r="M228" s="2171">
        <v>0.52038898606079986</v>
      </c>
      <c r="N228" s="2171">
        <v>0.48396175703654387</v>
      </c>
      <c r="O228" s="2171">
        <v>0.47428252189581299</v>
      </c>
      <c r="P228" s="2171">
        <v>0.46479687145789672</v>
      </c>
      <c r="Q228" s="2171">
        <v>0.45550093402873876</v>
      </c>
      <c r="R228" s="2171">
        <v>0.45094592468845135</v>
      </c>
      <c r="S228" s="2171">
        <v>0.44643646544156684</v>
      </c>
      <c r="T228" s="2171">
        <v>0.44197210078715116</v>
      </c>
      <c r="U228" s="2413">
        <v>0.43755237977927963</v>
      </c>
      <c r="V228" s="2181">
        <v>0.43317685598148681</v>
      </c>
    </row>
    <row r="229" spans="1:22">
      <c r="A229" s="2164"/>
      <c r="B229" s="2167"/>
      <c r="C229" s="2169"/>
      <c r="D229" s="1236" t="s">
        <v>1214</v>
      </c>
      <c r="E229" s="2170"/>
      <c r="F229" s="2179"/>
      <c r="G229" s="2172"/>
      <c r="H229" s="2172"/>
      <c r="I229" s="2172"/>
      <c r="J229" s="2172"/>
      <c r="K229" s="2172"/>
      <c r="L229" s="2172"/>
      <c r="M229" s="2172"/>
      <c r="N229" s="2172"/>
      <c r="O229" s="2172"/>
      <c r="P229" s="2172"/>
      <c r="Q229" s="2172"/>
      <c r="R229" s="2172"/>
      <c r="S229" s="2172"/>
      <c r="T229" s="2172"/>
      <c r="U229" s="2414"/>
      <c r="V229" s="2182"/>
    </row>
    <row r="230" spans="1:22">
      <c r="A230" s="2164"/>
      <c r="B230" s="2167"/>
      <c r="C230" s="2173" t="s">
        <v>1215</v>
      </c>
      <c r="D230" s="1236" t="s">
        <v>1216</v>
      </c>
      <c r="E230" s="2170"/>
      <c r="F230" s="2179"/>
      <c r="G230" s="2172"/>
      <c r="H230" s="2172"/>
      <c r="I230" s="2172"/>
      <c r="J230" s="2172"/>
      <c r="K230" s="2172"/>
      <c r="L230" s="2172"/>
      <c r="M230" s="2172"/>
      <c r="N230" s="2172"/>
      <c r="O230" s="2172"/>
      <c r="P230" s="2172"/>
      <c r="Q230" s="2172"/>
      <c r="R230" s="2172"/>
      <c r="S230" s="2172"/>
      <c r="T230" s="2172"/>
      <c r="U230" s="2414"/>
      <c r="V230" s="2182"/>
    </row>
    <row r="231" spans="1:22">
      <c r="A231" s="2164"/>
      <c r="B231" s="2167"/>
      <c r="C231" s="2174"/>
      <c r="D231" s="1237" t="s">
        <v>1217</v>
      </c>
      <c r="E231" s="2170"/>
      <c r="F231" s="2179"/>
      <c r="G231" s="2187"/>
      <c r="H231" s="2187"/>
      <c r="I231" s="2187"/>
      <c r="J231" s="2187"/>
      <c r="K231" s="2187"/>
      <c r="L231" s="2187"/>
      <c r="M231" s="2187"/>
      <c r="N231" s="2187"/>
      <c r="O231" s="2187"/>
      <c r="P231" s="2187"/>
      <c r="Q231" s="2187"/>
      <c r="R231" s="2187"/>
      <c r="S231" s="2187"/>
      <c r="T231" s="2187"/>
      <c r="U231" s="2415"/>
      <c r="V231" s="2416"/>
    </row>
    <row r="232" spans="1:22">
      <c r="A232" s="2164"/>
      <c r="B232" s="2175" t="s">
        <v>1194</v>
      </c>
      <c r="C232" s="2168" t="s">
        <v>1212</v>
      </c>
      <c r="D232" s="1235" t="s">
        <v>1213</v>
      </c>
      <c r="E232" s="2170"/>
      <c r="F232" s="2179"/>
      <c r="G232" s="2179"/>
      <c r="H232" s="2171">
        <v>0.87</v>
      </c>
      <c r="I232" s="2171">
        <v>0.83519999999999994</v>
      </c>
      <c r="J232" s="2171">
        <v>0.76838399999999996</v>
      </c>
      <c r="K232" s="2171">
        <v>0.72228095999999997</v>
      </c>
      <c r="L232" s="2171">
        <v>0.68616691199999991</v>
      </c>
      <c r="M232" s="2171">
        <v>0.65872023551999992</v>
      </c>
      <c r="N232" s="2171">
        <v>0.61260981903360001</v>
      </c>
      <c r="O232" s="2171">
        <v>0.60035762265292802</v>
      </c>
      <c r="P232" s="2171">
        <v>0.58835047019986941</v>
      </c>
      <c r="Q232" s="2171">
        <v>0.57658346079587197</v>
      </c>
      <c r="R232" s="2171">
        <v>0.57081762618791321</v>
      </c>
      <c r="S232" s="2171">
        <v>0.56510944992603407</v>
      </c>
      <c r="T232" s="2171">
        <v>0.55945835542677369</v>
      </c>
      <c r="U232" s="2413">
        <v>0.55386377187250591</v>
      </c>
      <c r="V232" s="2181">
        <v>0.54832513415378081</v>
      </c>
    </row>
    <row r="233" spans="1:22">
      <c r="A233" s="2164"/>
      <c r="B233" s="2167"/>
      <c r="C233" s="2169"/>
      <c r="D233" s="1236" t="s">
        <v>1214</v>
      </c>
      <c r="E233" s="2170"/>
      <c r="F233" s="2179"/>
      <c r="G233" s="2179"/>
      <c r="H233" s="2172"/>
      <c r="I233" s="2172"/>
      <c r="J233" s="2172"/>
      <c r="K233" s="2172"/>
      <c r="L233" s="2172"/>
      <c r="M233" s="2172"/>
      <c r="N233" s="2172"/>
      <c r="O233" s="2172"/>
      <c r="P233" s="2172"/>
      <c r="Q233" s="2172"/>
      <c r="R233" s="2172"/>
      <c r="S233" s="2172"/>
      <c r="T233" s="2172"/>
      <c r="U233" s="2414"/>
      <c r="V233" s="2182"/>
    </row>
    <row r="234" spans="1:22">
      <c r="A234" s="2164"/>
      <c r="B234" s="2167"/>
      <c r="C234" s="2173" t="s">
        <v>1215</v>
      </c>
      <c r="D234" s="1236" t="s">
        <v>1216</v>
      </c>
      <c r="E234" s="2170"/>
      <c r="F234" s="2179"/>
      <c r="G234" s="2179"/>
      <c r="H234" s="2172"/>
      <c r="I234" s="2172"/>
      <c r="J234" s="2172"/>
      <c r="K234" s="2172"/>
      <c r="L234" s="2172"/>
      <c r="M234" s="2172"/>
      <c r="N234" s="2172"/>
      <c r="O234" s="2172"/>
      <c r="P234" s="2172"/>
      <c r="Q234" s="2172"/>
      <c r="R234" s="2172"/>
      <c r="S234" s="2172"/>
      <c r="T234" s="2172"/>
      <c r="U234" s="2414"/>
      <c r="V234" s="2182"/>
    </row>
    <row r="235" spans="1:22">
      <c r="A235" s="2164"/>
      <c r="B235" s="2167"/>
      <c r="C235" s="2174"/>
      <c r="D235" s="1237" t="s">
        <v>1217</v>
      </c>
      <c r="E235" s="2170"/>
      <c r="F235" s="2179"/>
      <c r="G235" s="2179"/>
      <c r="H235" s="2187"/>
      <c r="I235" s="2187"/>
      <c r="J235" s="2187"/>
      <c r="K235" s="2187"/>
      <c r="L235" s="2187"/>
      <c r="M235" s="2187"/>
      <c r="N235" s="2187"/>
      <c r="O235" s="2187"/>
      <c r="P235" s="2187"/>
      <c r="Q235" s="2187"/>
      <c r="R235" s="2187"/>
      <c r="S235" s="2187"/>
      <c r="T235" s="2187"/>
      <c r="U235" s="2415"/>
      <c r="V235" s="2416"/>
    </row>
    <row r="236" spans="1:22">
      <c r="A236" s="2164"/>
      <c r="B236" s="2166" t="s">
        <v>1195</v>
      </c>
      <c r="C236" s="2168" t="s">
        <v>1212</v>
      </c>
      <c r="D236" s="1235" t="s">
        <v>1213</v>
      </c>
      <c r="E236" s="2170"/>
      <c r="F236" s="2179"/>
      <c r="G236" s="2179"/>
      <c r="H236" s="2179"/>
      <c r="I236" s="2171">
        <v>0.96</v>
      </c>
      <c r="J236" s="2171">
        <v>0.88319999999999999</v>
      </c>
      <c r="K236" s="2171">
        <v>0.83020799999999995</v>
      </c>
      <c r="L236" s="2171">
        <v>0.78869759999999989</v>
      </c>
      <c r="M236" s="2171">
        <v>0.75714969599999982</v>
      </c>
      <c r="N236" s="2171">
        <v>0.70414921727999991</v>
      </c>
      <c r="O236" s="2171">
        <v>0.69006623293439995</v>
      </c>
      <c r="P236" s="2171">
        <v>0.67626490827571195</v>
      </c>
      <c r="Q236" s="2171">
        <v>0.66273961011019766</v>
      </c>
      <c r="R236" s="2171">
        <v>0.6561122140090957</v>
      </c>
      <c r="S236" s="2171">
        <v>0.64955109186900473</v>
      </c>
      <c r="T236" s="2171">
        <v>0.64305558095031468</v>
      </c>
      <c r="U236" s="2413">
        <v>0.63662502514081154</v>
      </c>
      <c r="V236" s="2181">
        <v>0.63025877488940341</v>
      </c>
    </row>
    <row r="237" spans="1:22">
      <c r="A237" s="2164"/>
      <c r="B237" s="2167"/>
      <c r="C237" s="2169"/>
      <c r="D237" s="1236" t="s">
        <v>1214</v>
      </c>
      <c r="E237" s="2170"/>
      <c r="F237" s="2179"/>
      <c r="G237" s="2179"/>
      <c r="H237" s="2179"/>
      <c r="I237" s="2172"/>
      <c r="J237" s="2172"/>
      <c r="K237" s="2172"/>
      <c r="L237" s="2172"/>
      <c r="M237" s="2172"/>
      <c r="N237" s="2172"/>
      <c r="O237" s="2172"/>
      <c r="P237" s="2172"/>
      <c r="Q237" s="2172"/>
      <c r="R237" s="2172"/>
      <c r="S237" s="2172"/>
      <c r="T237" s="2172"/>
      <c r="U237" s="2414"/>
      <c r="V237" s="2182"/>
    </row>
    <row r="238" spans="1:22">
      <c r="A238" s="2164"/>
      <c r="B238" s="2167"/>
      <c r="C238" s="2173" t="s">
        <v>1215</v>
      </c>
      <c r="D238" s="1236" t="s">
        <v>1216</v>
      </c>
      <c r="E238" s="2170"/>
      <c r="F238" s="2179"/>
      <c r="G238" s="2179"/>
      <c r="H238" s="2179"/>
      <c r="I238" s="2172"/>
      <c r="J238" s="2172"/>
      <c r="K238" s="2172"/>
      <c r="L238" s="2172"/>
      <c r="M238" s="2172"/>
      <c r="N238" s="2172"/>
      <c r="O238" s="2172"/>
      <c r="P238" s="2172"/>
      <c r="Q238" s="2172"/>
      <c r="R238" s="2172"/>
      <c r="S238" s="2172"/>
      <c r="T238" s="2172"/>
      <c r="U238" s="2414"/>
      <c r="V238" s="2182"/>
    </row>
    <row r="239" spans="1:22">
      <c r="A239" s="2164"/>
      <c r="B239" s="2167"/>
      <c r="C239" s="2174"/>
      <c r="D239" s="1237" t="s">
        <v>1217</v>
      </c>
      <c r="E239" s="2170"/>
      <c r="F239" s="2179"/>
      <c r="G239" s="2179"/>
      <c r="H239" s="2179"/>
      <c r="I239" s="2187"/>
      <c r="J239" s="2187"/>
      <c r="K239" s="2187"/>
      <c r="L239" s="2187"/>
      <c r="M239" s="2187"/>
      <c r="N239" s="2187"/>
      <c r="O239" s="2187"/>
      <c r="P239" s="2187"/>
      <c r="Q239" s="2187"/>
      <c r="R239" s="2187"/>
      <c r="S239" s="2187"/>
      <c r="T239" s="2187"/>
      <c r="U239" s="2415"/>
      <c r="V239" s="2416"/>
    </row>
    <row r="240" spans="1:22">
      <c r="A240" s="2164"/>
      <c r="B240" s="2166" t="s">
        <v>1196</v>
      </c>
      <c r="C240" s="2168" t="s">
        <v>1212</v>
      </c>
      <c r="D240" s="1235" t="s">
        <v>1213</v>
      </c>
      <c r="E240" s="2170"/>
      <c r="F240" s="2179"/>
      <c r="G240" s="2179"/>
      <c r="H240" s="2179"/>
      <c r="I240" s="2179"/>
      <c r="J240" s="2171">
        <v>0.92</v>
      </c>
      <c r="K240" s="2171">
        <v>0.86480000000000001</v>
      </c>
      <c r="L240" s="2171">
        <v>0.82155999999999996</v>
      </c>
      <c r="M240" s="2171">
        <v>0.78869759999999989</v>
      </c>
      <c r="N240" s="2171">
        <v>0.73348876799999996</v>
      </c>
      <c r="O240" s="2171">
        <v>0.71881899263999993</v>
      </c>
      <c r="P240" s="2171">
        <v>0.70444261278719988</v>
      </c>
      <c r="Q240" s="2171">
        <v>0.69035376053145592</v>
      </c>
      <c r="R240" s="2171">
        <v>0.68345022292614133</v>
      </c>
      <c r="S240" s="2171">
        <v>0.67661572069687992</v>
      </c>
      <c r="T240" s="2171">
        <v>0.66984956348991109</v>
      </c>
      <c r="U240" s="2413">
        <v>0.66315106785501199</v>
      </c>
      <c r="V240" s="2181">
        <v>0.65651955717646182</v>
      </c>
    </row>
    <row r="241" spans="1:22">
      <c r="A241" s="2164"/>
      <c r="B241" s="2167"/>
      <c r="C241" s="2169"/>
      <c r="D241" s="1236" t="s">
        <v>1214</v>
      </c>
      <c r="E241" s="2170"/>
      <c r="F241" s="2179"/>
      <c r="G241" s="2179"/>
      <c r="H241" s="2179"/>
      <c r="I241" s="2179"/>
      <c r="J241" s="2172"/>
      <c r="K241" s="2172"/>
      <c r="L241" s="2172"/>
      <c r="M241" s="2172"/>
      <c r="N241" s="2172"/>
      <c r="O241" s="2172"/>
      <c r="P241" s="2172"/>
      <c r="Q241" s="2172"/>
      <c r="R241" s="2172"/>
      <c r="S241" s="2172"/>
      <c r="T241" s="2172"/>
      <c r="U241" s="2414"/>
      <c r="V241" s="2182"/>
    </row>
    <row r="242" spans="1:22">
      <c r="A242" s="2164"/>
      <c r="B242" s="2167"/>
      <c r="C242" s="2173" t="s">
        <v>1215</v>
      </c>
      <c r="D242" s="1236" t="s">
        <v>1216</v>
      </c>
      <c r="E242" s="2170"/>
      <c r="F242" s="2179"/>
      <c r="G242" s="2179"/>
      <c r="H242" s="2179"/>
      <c r="I242" s="2179"/>
      <c r="J242" s="2172"/>
      <c r="K242" s="2172"/>
      <c r="L242" s="2172"/>
      <c r="M242" s="2172"/>
      <c r="N242" s="2172"/>
      <c r="O242" s="2172"/>
      <c r="P242" s="2172"/>
      <c r="Q242" s="2172"/>
      <c r="R242" s="2172"/>
      <c r="S242" s="2172"/>
      <c r="T242" s="2172"/>
      <c r="U242" s="2414"/>
      <c r="V242" s="2182"/>
    </row>
    <row r="243" spans="1:22">
      <c r="A243" s="2164"/>
      <c r="B243" s="2167"/>
      <c r="C243" s="2174"/>
      <c r="D243" s="1237" t="s">
        <v>1217</v>
      </c>
      <c r="E243" s="2170"/>
      <c r="F243" s="2179"/>
      <c r="G243" s="2179"/>
      <c r="H243" s="2179"/>
      <c r="I243" s="2179"/>
      <c r="J243" s="2187"/>
      <c r="K243" s="2187"/>
      <c r="L243" s="2187"/>
      <c r="M243" s="2187"/>
      <c r="N243" s="2187"/>
      <c r="O243" s="2187"/>
      <c r="P243" s="2187"/>
      <c r="Q243" s="2187"/>
      <c r="R243" s="2187"/>
      <c r="S243" s="2187"/>
      <c r="T243" s="2187"/>
      <c r="U243" s="2415"/>
      <c r="V243" s="2416"/>
    </row>
    <row r="244" spans="1:22">
      <c r="A244" s="2164"/>
      <c r="B244" s="2166" t="s">
        <v>1197</v>
      </c>
      <c r="C244" s="2168" t="s">
        <v>1212</v>
      </c>
      <c r="D244" s="1235" t="s">
        <v>1213</v>
      </c>
      <c r="E244" s="2170"/>
      <c r="F244" s="2179"/>
      <c r="G244" s="2179"/>
      <c r="H244" s="2179"/>
      <c r="I244" s="2179"/>
      <c r="J244" s="2179"/>
      <c r="K244" s="2171">
        <v>0.94</v>
      </c>
      <c r="L244" s="2171">
        <v>0.8929999999999999</v>
      </c>
      <c r="M244" s="2171">
        <v>0.85727999999999993</v>
      </c>
      <c r="N244" s="2171">
        <v>0.79727039999999993</v>
      </c>
      <c r="O244" s="2171">
        <v>0.78132499199999994</v>
      </c>
      <c r="P244" s="2171">
        <v>0.76569849215999997</v>
      </c>
      <c r="Q244" s="2171">
        <v>0.75038452231679997</v>
      </c>
      <c r="R244" s="2171">
        <v>0.74288067709363192</v>
      </c>
      <c r="S244" s="2171">
        <v>0.73545187032269554</v>
      </c>
      <c r="T244" s="2171">
        <v>0.72809735161946854</v>
      </c>
      <c r="U244" s="2413">
        <v>0.72081637810327381</v>
      </c>
      <c r="V244" s="2181">
        <v>0.71360821432224109</v>
      </c>
    </row>
    <row r="245" spans="1:22">
      <c r="A245" s="2164"/>
      <c r="B245" s="2167"/>
      <c r="C245" s="2169"/>
      <c r="D245" s="1236" t="s">
        <v>1214</v>
      </c>
      <c r="E245" s="2170"/>
      <c r="F245" s="2179"/>
      <c r="G245" s="2179"/>
      <c r="H245" s="2179"/>
      <c r="I245" s="2179"/>
      <c r="J245" s="2179"/>
      <c r="K245" s="2172"/>
      <c r="L245" s="2172"/>
      <c r="M245" s="2172"/>
      <c r="N245" s="2172"/>
      <c r="O245" s="2172"/>
      <c r="P245" s="2172"/>
      <c r="Q245" s="2172"/>
      <c r="R245" s="2172"/>
      <c r="S245" s="2172"/>
      <c r="T245" s="2172"/>
      <c r="U245" s="2414"/>
      <c r="V245" s="2182"/>
    </row>
    <row r="246" spans="1:22">
      <c r="A246" s="2164"/>
      <c r="B246" s="2167"/>
      <c r="C246" s="2173" t="s">
        <v>1215</v>
      </c>
      <c r="D246" s="1236" t="s">
        <v>1216</v>
      </c>
      <c r="E246" s="2170"/>
      <c r="F246" s="2179"/>
      <c r="G246" s="2179"/>
      <c r="H246" s="2179"/>
      <c r="I246" s="2179"/>
      <c r="J246" s="2179"/>
      <c r="K246" s="2172"/>
      <c r="L246" s="2172"/>
      <c r="M246" s="2172"/>
      <c r="N246" s="2172"/>
      <c r="O246" s="2172"/>
      <c r="P246" s="2172"/>
      <c r="Q246" s="2172"/>
      <c r="R246" s="2172"/>
      <c r="S246" s="2172"/>
      <c r="T246" s="2172"/>
      <c r="U246" s="2414"/>
      <c r="V246" s="2182"/>
    </row>
    <row r="247" spans="1:22">
      <c r="A247" s="2164"/>
      <c r="B247" s="2167"/>
      <c r="C247" s="2174"/>
      <c r="D247" s="1237" t="s">
        <v>1217</v>
      </c>
      <c r="E247" s="2170"/>
      <c r="F247" s="2179"/>
      <c r="G247" s="2179"/>
      <c r="H247" s="2179"/>
      <c r="I247" s="2179"/>
      <c r="J247" s="2179"/>
      <c r="K247" s="2187"/>
      <c r="L247" s="2187"/>
      <c r="M247" s="2187"/>
      <c r="N247" s="2187"/>
      <c r="O247" s="2187"/>
      <c r="P247" s="2187"/>
      <c r="Q247" s="2187"/>
      <c r="R247" s="2187"/>
      <c r="S247" s="2187"/>
      <c r="T247" s="2187"/>
      <c r="U247" s="2415"/>
      <c r="V247" s="2416"/>
    </row>
    <row r="248" spans="1:22">
      <c r="A248" s="2164"/>
      <c r="B248" s="2166" t="s">
        <v>1198</v>
      </c>
      <c r="C248" s="2168" t="s">
        <v>1212</v>
      </c>
      <c r="D248" s="1235" t="s">
        <v>1213</v>
      </c>
      <c r="E248" s="2170"/>
      <c r="F248" s="2179"/>
      <c r="G248" s="2179"/>
      <c r="H248" s="2179"/>
      <c r="I248" s="2179"/>
      <c r="J248" s="2179"/>
      <c r="K248" s="2179"/>
      <c r="L248" s="2171">
        <v>0.95</v>
      </c>
      <c r="M248" s="2171">
        <v>0.91199999999999992</v>
      </c>
      <c r="N248" s="2171">
        <v>0.84816000000000003</v>
      </c>
      <c r="O248" s="2171">
        <v>0.83119679999999996</v>
      </c>
      <c r="P248" s="2171">
        <v>0.81457286399999995</v>
      </c>
      <c r="Q248" s="2171">
        <v>0.79828140671999992</v>
      </c>
      <c r="R248" s="2171">
        <v>0.79029859265279989</v>
      </c>
      <c r="S248" s="2171">
        <v>0.78239560672627184</v>
      </c>
      <c r="T248" s="2171">
        <v>0.77457165065900913</v>
      </c>
      <c r="U248" s="2413">
        <v>0.76682593415241906</v>
      </c>
      <c r="V248" s="2181">
        <v>0.75915767481089491</v>
      </c>
    </row>
    <row r="249" spans="1:22">
      <c r="A249" s="2164"/>
      <c r="B249" s="2167"/>
      <c r="C249" s="2169"/>
      <c r="D249" s="1236" t="s">
        <v>1214</v>
      </c>
      <c r="E249" s="2170"/>
      <c r="F249" s="2179"/>
      <c r="G249" s="2179"/>
      <c r="H249" s="2179"/>
      <c r="I249" s="2179"/>
      <c r="J249" s="2179"/>
      <c r="K249" s="2179"/>
      <c r="L249" s="2172"/>
      <c r="M249" s="2172"/>
      <c r="N249" s="2172"/>
      <c r="O249" s="2172"/>
      <c r="P249" s="2172"/>
      <c r="Q249" s="2172"/>
      <c r="R249" s="2172"/>
      <c r="S249" s="2172"/>
      <c r="T249" s="2172"/>
      <c r="U249" s="2414"/>
      <c r="V249" s="2182"/>
    </row>
    <row r="250" spans="1:22">
      <c r="A250" s="2164"/>
      <c r="B250" s="2167"/>
      <c r="C250" s="2173" t="s">
        <v>1215</v>
      </c>
      <c r="D250" s="1236" t="s">
        <v>1216</v>
      </c>
      <c r="E250" s="2170"/>
      <c r="F250" s="2179"/>
      <c r="G250" s="2179"/>
      <c r="H250" s="2179"/>
      <c r="I250" s="2179"/>
      <c r="J250" s="2179"/>
      <c r="K250" s="2179"/>
      <c r="L250" s="2172"/>
      <c r="M250" s="2172"/>
      <c r="N250" s="2172"/>
      <c r="O250" s="2172"/>
      <c r="P250" s="2172"/>
      <c r="Q250" s="2172"/>
      <c r="R250" s="2172"/>
      <c r="S250" s="2172"/>
      <c r="T250" s="2172"/>
      <c r="U250" s="2414"/>
      <c r="V250" s="2182"/>
    </row>
    <row r="251" spans="1:22">
      <c r="A251" s="2164"/>
      <c r="B251" s="2167"/>
      <c r="C251" s="2174"/>
      <c r="D251" s="1237" t="s">
        <v>1217</v>
      </c>
      <c r="E251" s="2170"/>
      <c r="F251" s="2179"/>
      <c r="G251" s="2179"/>
      <c r="H251" s="2179"/>
      <c r="I251" s="2179"/>
      <c r="J251" s="2179"/>
      <c r="K251" s="2179"/>
      <c r="L251" s="2187"/>
      <c r="M251" s="2187"/>
      <c r="N251" s="2187"/>
      <c r="O251" s="2187"/>
      <c r="P251" s="2187"/>
      <c r="Q251" s="2187"/>
      <c r="R251" s="2187"/>
      <c r="S251" s="2187"/>
      <c r="T251" s="2187"/>
      <c r="U251" s="2415"/>
      <c r="V251" s="2416"/>
    </row>
    <row r="252" spans="1:22">
      <c r="A252" s="2164"/>
      <c r="B252" s="2166" t="s">
        <v>1199</v>
      </c>
      <c r="C252" s="2168" t="s">
        <v>1212</v>
      </c>
      <c r="D252" s="1235" t="s">
        <v>1213</v>
      </c>
      <c r="E252" s="2170"/>
      <c r="F252" s="2179"/>
      <c r="G252" s="2179"/>
      <c r="H252" s="2179"/>
      <c r="I252" s="2179"/>
      <c r="J252" s="2179"/>
      <c r="K252" s="2179"/>
      <c r="L252" s="2179"/>
      <c r="M252" s="2171">
        <v>0.96</v>
      </c>
      <c r="N252" s="2171">
        <v>0.89280000000000004</v>
      </c>
      <c r="O252" s="2171">
        <v>0.87494400000000006</v>
      </c>
      <c r="P252" s="2171">
        <v>0.85744512000000006</v>
      </c>
      <c r="Q252" s="2171">
        <v>0.84029621760000006</v>
      </c>
      <c r="R252" s="2171">
        <v>0.83189325542400006</v>
      </c>
      <c r="S252" s="2171">
        <v>0.82357432286976007</v>
      </c>
      <c r="T252" s="2171">
        <v>0.81533857964106249</v>
      </c>
      <c r="U252" s="2413">
        <v>0.80718519384465182</v>
      </c>
      <c r="V252" s="2181">
        <v>0.79911334190620531</v>
      </c>
    </row>
    <row r="253" spans="1:22">
      <c r="A253" s="2164"/>
      <c r="B253" s="2167"/>
      <c r="C253" s="2169"/>
      <c r="D253" s="1236" t="s">
        <v>1214</v>
      </c>
      <c r="E253" s="2170"/>
      <c r="F253" s="2179"/>
      <c r="G253" s="2179"/>
      <c r="H253" s="2179"/>
      <c r="I253" s="2179"/>
      <c r="J253" s="2179"/>
      <c r="K253" s="2179"/>
      <c r="L253" s="2179"/>
      <c r="M253" s="2172"/>
      <c r="N253" s="2172"/>
      <c r="O253" s="2172"/>
      <c r="P253" s="2172"/>
      <c r="Q253" s="2172"/>
      <c r="R253" s="2172"/>
      <c r="S253" s="2172"/>
      <c r="T253" s="2172"/>
      <c r="U253" s="2414"/>
      <c r="V253" s="2182"/>
    </row>
    <row r="254" spans="1:22">
      <c r="A254" s="2164"/>
      <c r="B254" s="2167"/>
      <c r="C254" s="2173" t="s">
        <v>1215</v>
      </c>
      <c r="D254" s="1236" t="s">
        <v>1216</v>
      </c>
      <c r="E254" s="2170"/>
      <c r="F254" s="2179"/>
      <c r="G254" s="2179"/>
      <c r="H254" s="2179"/>
      <c r="I254" s="2179"/>
      <c r="J254" s="2179"/>
      <c r="K254" s="2179"/>
      <c r="L254" s="2179"/>
      <c r="M254" s="2172"/>
      <c r="N254" s="2172"/>
      <c r="O254" s="2172"/>
      <c r="P254" s="2172"/>
      <c r="Q254" s="2172"/>
      <c r="R254" s="2172"/>
      <c r="S254" s="2172"/>
      <c r="T254" s="2172"/>
      <c r="U254" s="2414"/>
      <c r="V254" s="2182"/>
    </row>
    <row r="255" spans="1:22">
      <c r="A255" s="2164"/>
      <c r="B255" s="2167"/>
      <c r="C255" s="2174"/>
      <c r="D255" s="1237" t="s">
        <v>1217</v>
      </c>
      <c r="E255" s="2170"/>
      <c r="F255" s="2179"/>
      <c r="G255" s="2179"/>
      <c r="H255" s="2179"/>
      <c r="I255" s="2179"/>
      <c r="J255" s="2179"/>
      <c r="K255" s="2179"/>
      <c r="L255" s="2179"/>
      <c r="M255" s="2187"/>
      <c r="N255" s="2187"/>
      <c r="O255" s="2187"/>
      <c r="P255" s="2187"/>
      <c r="Q255" s="2187"/>
      <c r="R255" s="2187"/>
      <c r="S255" s="2187"/>
      <c r="T255" s="2187"/>
      <c r="U255" s="2415"/>
      <c r="V255" s="2416"/>
    </row>
    <row r="256" spans="1:22">
      <c r="A256" s="2164"/>
      <c r="B256" s="2175" t="s">
        <v>1200</v>
      </c>
      <c r="C256" s="2168" t="s">
        <v>1212</v>
      </c>
      <c r="D256" s="1235" t="s">
        <v>1213</v>
      </c>
      <c r="E256" s="2170"/>
      <c r="F256" s="2179"/>
      <c r="G256" s="2179"/>
      <c r="H256" s="2179"/>
      <c r="I256" s="2179"/>
      <c r="J256" s="2179"/>
      <c r="K256" s="2179"/>
      <c r="L256" s="2179"/>
      <c r="M256" s="2179"/>
      <c r="N256" s="2171">
        <v>0.93</v>
      </c>
      <c r="O256" s="2171">
        <v>0.91139999999999999</v>
      </c>
      <c r="P256" s="2171">
        <v>0.89317199999999997</v>
      </c>
      <c r="Q256" s="2171">
        <v>0.8753085599999999</v>
      </c>
      <c r="R256" s="2171">
        <v>0.86655547439999991</v>
      </c>
      <c r="S256" s="2171">
        <v>0.85788991965599992</v>
      </c>
      <c r="T256" s="2171">
        <v>0.84931102045943996</v>
      </c>
      <c r="U256" s="2413">
        <v>0.84081791025484554</v>
      </c>
      <c r="V256" s="2181">
        <v>0.83240973115229711</v>
      </c>
    </row>
    <row r="257" spans="1:22">
      <c r="A257" s="2164"/>
      <c r="B257" s="2167"/>
      <c r="C257" s="2169"/>
      <c r="D257" s="1236" t="s">
        <v>1214</v>
      </c>
      <c r="E257" s="2170"/>
      <c r="F257" s="2179"/>
      <c r="G257" s="2179"/>
      <c r="H257" s="2179"/>
      <c r="I257" s="2179"/>
      <c r="J257" s="2179"/>
      <c r="K257" s="2179"/>
      <c r="L257" s="2179"/>
      <c r="M257" s="2179"/>
      <c r="N257" s="2172"/>
      <c r="O257" s="2172"/>
      <c r="P257" s="2172"/>
      <c r="Q257" s="2172"/>
      <c r="R257" s="2172"/>
      <c r="S257" s="2172"/>
      <c r="T257" s="2172"/>
      <c r="U257" s="2414"/>
      <c r="V257" s="2182"/>
    </row>
    <row r="258" spans="1:22">
      <c r="A258" s="2164"/>
      <c r="B258" s="2167"/>
      <c r="C258" s="2173" t="s">
        <v>1215</v>
      </c>
      <c r="D258" s="1236" t="s">
        <v>1216</v>
      </c>
      <c r="E258" s="2170"/>
      <c r="F258" s="2179"/>
      <c r="G258" s="2179"/>
      <c r="H258" s="2179"/>
      <c r="I258" s="2179"/>
      <c r="J258" s="2179"/>
      <c r="K258" s="2179"/>
      <c r="L258" s="2179"/>
      <c r="M258" s="2179"/>
      <c r="N258" s="2172"/>
      <c r="O258" s="2172"/>
      <c r="P258" s="2172"/>
      <c r="Q258" s="2172"/>
      <c r="R258" s="2172"/>
      <c r="S258" s="2172"/>
      <c r="T258" s="2172"/>
      <c r="U258" s="2414"/>
      <c r="V258" s="2182"/>
    </row>
    <row r="259" spans="1:22">
      <c r="A259" s="2164"/>
      <c r="B259" s="2167"/>
      <c r="C259" s="2174"/>
      <c r="D259" s="1237" t="s">
        <v>1217</v>
      </c>
      <c r="E259" s="2170"/>
      <c r="F259" s="2179"/>
      <c r="G259" s="2179"/>
      <c r="H259" s="2179"/>
      <c r="I259" s="2179"/>
      <c r="J259" s="2179"/>
      <c r="K259" s="2179"/>
      <c r="L259" s="2179"/>
      <c r="M259" s="2179"/>
      <c r="N259" s="2187"/>
      <c r="O259" s="2187"/>
      <c r="P259" s="2187"/>
      <c r="Q259" s="2187"/>
      <c r="R259" s="2187"/>
      <c r="S259" s="2187"/>
      <c r="T259" s="2187"/>
      <c r="U259" s="2415"/>
      <c r="V259" s="2416"/>
    </row>
    <row r="260" spans="1:22">
      <c r="A260" s="2164"/>
      <c r="B260" s="2166" t="s">
        <v>1201</v>
      </c>
      <c r="C260" s="2168" t="s">
        <v>1212</v>
      </c>
      <c r="D260" s="1235" t="s">
        <v>1213</v>
      </c>
      <c r="E260" s="2170"/>
      <c r="F260" s="2179"/>
      <c r="G260" s="2179"/>
      <c r="H260" s="2179"/>
      <c r="I260" s="2179"/>
      <c r="J260" s="2179"/>
      <c r="K260" s="2179"/>
      <c r="L260" s="2179"/>
      <c r="M260" s="2179"/>
      <c r="N260" s="2179"/>
      <c r="O260" s="2171">
        <v>0.98</v>
      </c>
      <c r="P260" s="2171">
        <v>0.96039999999999992</v>
      </c>
      <c r="Q260" s="2171">
        <v>0.94119199999999992</v>
      </c>
      <c r="R260" s="2171">
        <v>0.9317800799999999</v>
      </c>
      <c r="S260" s="2171">
        <v>0.9224622791999999</v>
      </c>
      <c r="T260" s="2171">
        <v>0.91323765640799992</v>
      </c>
      <c r="U260" s="2413">
        <v>0.90410527984391986</v>
      </c>
      <c r="V260" s="2181">
        <v>0.89506422704548061</v>
      </c>
    </row>
    <row r="261" spans="1:22">
      <c r="A261" s="2164"/>
      <c r="B261" s="2167"/>
      <c r="C261" s="2169"/>
      <c r="D261" s="1236" t="s">
        <v>1214</v>
      </c>
      <c r="E261" s="2170"/>
      <c r="F261" s="2179"/>
      <c r="G261" s="2179"/>
      <c r="H261" s="2179"/>
      <c r="I261" s="2179"/>
      <c r="J261" s="2179"/>
      <c r="K261" s="2179"/>
      <c r="L261" s="2179"/>
      <c r="M261" s="2179"/>
      <c r="N261" s="2179"/>
      <c r="O261" s="2172"/>
      <c r="P261" s="2172"/>
      <c r="Q261" s="2172"/>
      <c r="R261" s="2172"/>
      <c r="S261" s="2172"/>
      <c r="T261" s="2172"/>
      <c r="U261" s="2414"/>
      <c r="V261" s="2182"/>
    </row>
    <row r="262" spans="1:22">
      <c r="A262" s="2164"/>
      <c r="B262" s="2167"/>
      <c r="C262" s="2173" t="s">
        <v>1215</v>
      </c>
      <c r="D262" s="1236" t="s">
        <v>1216</v>
      </c>
      <c r="E262" s="2170"/>
      <c r="F262" s="2179"/>
      <c r="G262" s="2179"/>
      <c r="H262" s="2179"/>
      <c r="I262" s="2179"/>
      <c r="J262" s="2179"/>
      <c r="K262" s="2179"/>
      <c r="L262" s="2179"/>
      <c r="M262" s="2179"/>
      <c r="N262" s="2179"/>
      <c r="O262" s="2172"/>
      <c r="P262" s="2172"/>
      <c r="Q262" s="2172"/>
      <c r="R262" s="2172"/>
      <c r="S262" s="2172"/>
      <c r="T262" s="2172"/>
      <c r="U262" s="2414"/>
      <c r="V262" s="2182"/>
    </row>
    <row r="263" spans="1:22">
      <c r="A263" s="2164"/>
      <c r="B263" s="2167"/>
      <c r="C263" s="2174"/>
      <c r="D263" s="1237" t="s">
        <v>1217</v>
      </c>
      <c r="E263" s="2170"/>
      <c r="F263" s="2179"/>
      <c r="G263" s="2179"/>
      <c r="H263" s="2179"/>
      <c r="I263" s="2179"/>
      <c r="J263" s="2179"/>
      <c r="K263" s="2179"/>
      <c r="L263" s="2179"/>
      <c r="M263" s="2179"/>
      <c r="N263" s="2179"/>
      <c r="O263" s="2187"/>
      <c r="P263" s="2187"/>
      <c r="Q263" s="2187"/>
      <c r="R263" s="2187"/>
      <c r="S263" s="2187"/>
      <c r="T263" s="2187"/>
      <c r="U263" s="2415"/>
      <c r="V263" s="2416"/>
    </row>
    <row r="264" spans="1:22">
      <c r="A264" s="2164"/>
      <c r="B264" s="2166" t="s">
        <v>1202</v>
      </c>
      <c r="C264" s="2168" t="s">
        <v>1212</v>
      </c>
      <c r="D264" s="1235" t="s">
        <v>1213</v>
      </c>
      <c r="E264" s="2170"/>
      <c r="F264" s="2179"/>
      <c r="G264" s="2179"/>
      <c r="H264" s="2179"/>
      <c r="I264" s="2179"/>
      <c r="J264" s="2179"/>
      <c r="K264" s="2179"/>
      <c r="L264" s="2179"/>
      <c r="M264" s="2179"/>
      <c r="N264" s="2179"/>
      <c r="O264" s="2179"/>
      <c r="P264" s="2171">
        <v>0.98</v>
      </c>
      <c r="Q264" s="2171">
        <v>0.96039999999999992</v>
      </c>
      <c r="R264" s="2171">
        <v>0.95079599999999986</v>
      </c>
      <c r="S264" s="2171">
        <v>0.94128803999999988</v>
      </c>
      <c r="T264" s="2171">
        <v>0.93187515959999989</v>
      </c>
      <c r="U264" s="2413">
        <v>0.92255640800399985</v>
      </c>
      <c r="V264" s="2181">
        <v>0.9133308439239598</v>
      </c>
    </row>
    <row r="265" spans="1:22">
      <c r="A265" s="2164"/>
      <c r="B265" s="2167"/>
      <c r="C265" s="2169"/>
      <c r="D265" s="1236" t="s">
        <v>1214</v>
      </c>
      <c r="E265" s="2170"/>
      <c r="F265" s="2179"/>
      <c r="G265" s="2179"/>
      <c r="H265" s="2179"/>
      <c r="I265" s="2179"/>
      <c r="J265" s="2179"/>
      <c r="K265" s="2179"/>
      <c r="L265" s="2179"/>
      <c r="M265" s="2179"/>
      <c r="N265" s="2179"/>
      <c r="O265" s="2179"/>
      <c r="P265" s="2172"/>
      <c r="Q265" s="2172"/>
      <c r="R265" s="2172"/>
      <c r="S265" s="2172"/>
      <c r="T265" s="2172"/>
      <c r="U265" s="2414"/>
      <c r="V265" s="2182"/>
    </row>
    <row r="266" spans="1:22">
      <c r="A266" s="2164"/>
      <c r="B266" s="2167"/>
      <c r="C266" s="2173" t="s">
        <v>1215</v>
      </c>
      <c r="D266" s="1236" t="s">
        <v>1216</v>
      </c>
      <c r="E266" s="2170"/>
      <c r="F266" s="2179"/>
      <c r="G266" s="2179"/>
      <c r="H266" s="2179"/>
      <c r="I266" s="2179"/>
      <c r="J266" s="2179"/>
      <c r="K266" s="2179"/>
      <c r="L266" s="2179"/>
      <c r="M266" s="2179"/>
      <c r="N266" s="2179"/>
      <c r="O266" s="2179"/>
      <c r="P266" s="2172"/>
      <c r="Q266" s="2172"/>
      <c r="R266" s="2172"/>
      <c r="S266" s="2172"/>
      <c r="T266" s="2172"/>
      <c r="U266" s="2414"/>
      <c r="V266" s="2182"/>
    </row>
    <row r="267" spans="1:22">
      <c r="A267" s="2164"/>
      <c r="B267" s="2167"/>
      <c r="C267" s="2174"/>
      <c r="D267" s="1237" t="s">
        <v>1217</v>
      </c>
      <c r="E267" s="2170"/>
      <c r="F267" s="2179"/>
      <c r="G267" s="2179"/>
      <c r="H267" s="2179"/>
      <c r="I267" s="2179"/>
      <c r="J267" s="2179"/>
      <c r="K267" s="2179"/>
      <c r="L267" s="2179"/>
      <c r="M267" s="2179"/>
      <c r="N267" s="2179"/>
      <c r="O267" s="2179"/>
      <c r="P267" s="2187"/>
      <c r="Q267" s="2187"/>
      <c r="R267" s="2187"/>
      <c r="S267" s="2187"/>
      <c r="T267" s="2187"/>
      <c r="U267" s="2415"/>
      <c r="V267" s="2416"/>
    </row>
    <row r="268" spans="1:22">
      <c r="A268" s="2164"/>
      <c r="B268" s="2166" t="s">
        <v>1203</v>
      </c>
      <c r="C268" s="2168" t="s">
        <v>1212</v>
      </c>
      <c r="D268" s="1235" t="s">
        <v>1213</v>
      </c>
      <c r="E268" s="2170"/>
      <c r="F268" s="2179"/>
      <c r="G268" s="2179"/>
      <c r="H268" s="2179"/>
      <c r="I268" s="2179"/>
      <c r="J268" s="2179"/>
      <c r="K268" s="2179"/>
      <c r="L268" s="2179"/>
      <c r="M268" s="2179"/>
      <c r="N268" s="2179"/>
      <c r="O268" s="2179"/>
      <c r="P268" s="2179"/>
      <c r="Q268" s="2171">
        <v>0.98</v>
      </c>
      <c r="R268" s="2171">
        <v>0.97019999999999995</v>
      </c>
      <c r="S268" s="2171">
        <v>0.96049799999999996</v>
      </c>
      <c r="T268" s="2171">
        <v>0.95089301999999998</v>
      </c>
      <c r="U268" s="2413">
        <v>0.94138408979999999</v>
      </c>
      <c r="V268" s="2181">
        <v>0.93197024890199998</v>
      </c>
    </row>
    <row r="269" spans="1:22">
      <c r="A269" s="2164"/>
      <c r="B269" s="2167"/>
      <c r="C269" s="2169"/>
      <c r="D269" s="1236" t="s">
        <v>1214</v>
      </c>
      <c r="E269" s="2170"/>
      <c r="F269" s="2179"/>
      <c r="G269" s="2179"/>
      <c r="H269" s="2179"/>
      <c r="I269" s="2179"/>
      <c r="J269" s="2179"/>
      <c r="K269" s="2179"/>
      <c r="L269" s="2179"/>
      <c r="M269" s="2179"/>
      <c r="N269" s="2179"/>
      <c r="O269" s="2179"/>
      <c r="P269" s="2179"/>
      <c r="Q269" s="2172"/>
      <c r="R269" s="2172"/>
      <c r="S269" s="2172"/>
      <c r="T269" s="2172"/>
      <c r="U269" s="2414"/>
      <c r="V269" s="2182"/>
    </row>
    <row r="270" spans="1:22">
      <c r="A270" s="2164"/>
      <c r="B270" s="2167"/>
      <c r="C270" s="2173" t="s">
        <v>1215</v>
      </c>
      <c r="D270" s="1236" t="s">
        <v>1216</v>
      </c>
      <c r="E270" s="2170"/>
      <c r="F270" s="2179"/>
      <c r="G270" s="2179"/>
      <c r="H270" s="2179"/>
      <c r="I270" s="2179"/>
      <c r="J270" s="2179"/>
      <c r="K270" s="2179"/>
      <c r="L270" s="2179"/>
      <c r="M270" s="2179"/>
      <c r="N270" s="2179"/>
      <c r="O270" s="2179"/>
      <c r="P270" s="2179"/>
      <c r="Q270" s="2172"/>
      <c r="R270" s="2172"/>
      <c r="S270" s="2172"/>
      <c r="T270" s="2172"/>
      <c r="U270" s="2414"/>
      <c r="V270" s="2182"/>
    </row>
    <row r="271" spans="1:22">
      <c r="A271" s="2164"/>
      <c r="B271" s="2167"/>
      <c r="C271" s="2174"/>
      <c r="D271" s="1237" t="s">
        <v>1217</v>
      </c>
      <c r="E271" s="2170"/>
      <c r="F271" s="2179"/>
      <c r="G271" s="2179"/>
      <c r="H271" s="2179"/>
      <c r="I271" s="2179"/>
      <c r="J271" s="2179"/>
      <c r="K271" s="2179"/>
      <c r="L271" s="2179"/>
      <c r="M271" s="2179"/>
      <c r="N271" s="2179"/>
      <c r="O271" s="2179"/>
      <c r="P271" s="2179"/>
      <c r="Q271" s="2187"/>
      <c r="R271" s="2187"/>
      <c r="S271" s="2187"/>
      <c r="T271" s="2187"/>
      <c r="U271" s="2415"/>
      <c r="V271" s="2416"/>
    </row>
    <row r="272" spans="1:22">
      <c r="A272" s="2164"/>
      <c r="B272" s="2166" t="s">
        <v>1204</v>
      </c>
      <c r="C272" s="2168" t="s">
        <v>1212</v>
      </c>
      <c r="D272" s="1235" t="s">
        <v>1213</v>
      </c>
      <c r="E272" s="2170"/>
      <c r="F272" s="2179"/>
      <c r="G272" s="2179"/>
      <c r="H272" s="2179"/>
      <c r="I272" s="2179"/>
      <c r="J272" s="2179"/>
      <c r="K272" s="2179"/>
      <c r="L272" s="2179"/>
      <c r="M272" s="2179"/>
      <c r="N272" s="2179"/>
      <c r="O272" s="2179"/>
      <c r="P272" s="2179"/>
      <c r="Q272" s="2179"/>
      <c r="R272" s="2171">
        <v>0.99</v>
      </c>
      <c r="S272" s="2171">
        <v>0.98009999999999997</v>
      </c>
      <c r="T272" s="2171">
        <v>0.97029899999999991</v>
      </c>
      <c r="U272" s="2413">
        <v>0.96059600999999994</v>
      </c>
      <c r="V272" s="2181">
        <v>0.95099004989999991</v>
      </c>
    </row>
    <row r="273" spans="1:22">
      <c r="A273" s="2164"/>
      <c r="B273" s="2167"/>
      <c r="C273" s="2169"/>
      <c r="D273" s="1236" t="s">
        <v>1214</v>
      </c>
      <c r="E273" s="2170"/>
      <c r="F273" s="2179"/>
      <c r="G273" s="2179"/>
      <c r="H273" s="2179"/>
      <c r="I273" s="2179"/>
      <c r="J273" s="2179"/>
      <c r="K273" s="2179"/>
      <c r="L273" s="2179"/>
      <c r="M273" s="2179"/>
      <c r="N273" s="2179"/>
      <c r="O273" s="2179"/>
      <c r="P273" s="2179"/>
      <c r="Q273" s="2179"/>
      <c r="R273" s="2172"/>
      <c r="S273" s="2172"/>
      <c r="T273" s="2172"/>
      <c r="U273" s="2414"/>
      <c r="V273" s="2182"/>
    </row>
    <row r="274" spans="1:22">
      <c r="A274" s="2164"/>
      <c r="B274" s="2167"/>
      <c r="C274" s="2173" t="s">
        <v>1215</v>
      </c>
      <c r="D274" s="1236" t="s">
        <v>1216</v>
      </c>
      <c r="E274" s="2170"/>
      <c r="F274" s="2179"/>
      <c r="G274" s="2179"/>
      <c r="H274" s="2179"/>
      <c r="I274" s="2179"/>
      <c r="J274" s="2179"/>
      <c r="K274" s="2179"/>
      <c r="L274" s="2179"/>
      <c r="M274" s="2179"/>
      <c r="N274" s="2179"/>
      <c r="O274" s="2179"/>
      <c r="P274" s="2179"/>
      <c r="Q274" s="2179"/>
      <c r="R274" s="2172"/>
      <c r="S274" s="2172"/>
      <c r="T274" s="2172"/>
      <c r="U274" s="2414"/>
      <c r="V274" s="2182"/>
    </row>
    <row r="275" spans="1:22">
      <c r="A275" s="2164"/>
      <c r="B275" s="2167"/>
      <c r="C275" s="2174"/>
      <c r="D275" s="1237" t="s">
        <v>1217</v>
      </c>
      <c r="E275" s="2170"/>
      <c r="F275" s="2179"/>
      <c r="G275" s="2179"/>
      <c r="H275" s="2179"/>
      <c r="I275" s="2179"/>
      <c r="J275" s="2179"/>
      <c r="K275" s="2179"/>
      <c r="L275" s="2179"/>
      <c r="M275" s="2179"/>
      <c r="N275" s="2179"/>
      <c r="O275" s="2179"/>
      <c r="P275" s="2179"/>
      <c r="Q275" s="2179"/>
      <c r="R275" s="2187"/>
      <c r="S275" s="2187"/>
      <c r="T275" s="2187"/>
      <c r="U275" s="2415"/>
      <c r="V275" s="2416"/>
    </row>
    <row r="276" spans="1:22">
      <c r="A276" s="2164"/>
      <c r="B276" s="2166" t="s">
        <v>1205</v>
      </c>
      <c r="C276" s="2168" t="s">
        <v>1212</v>
      </c>
      <c r="D276" s="1235" t="s">
        <v>1213</v>
      </c>
      <c r="E276" s="2170"/>
      <c r="F276" s="2179"/>
      <c r="G276" s="2179"/>
      <c r="H276" s="2179"/>
      <c r="I276" s="2179"/>
      <c r="J276" s="2179"/>
      <c r="K276" s="2179"/>
      <c r="L276" s="2179"/>
      <c r="M276" s="2179"/>
      <c r="N276" s="2179"/>
      <c r="O276" s="2179"/>
      <c r="P276" s="2179"/>
      <c r="Q276" s="2179"/>
      <c r="R276" s="2179"/>
      <c r="S276" s="2171">
        <v>0.99</v>
      </c>
      <c r="T276" s="2171">
        <v>0.98009999999999997</v>
      </c>
      <c r="U276" s="2413">
        <v>0.97029899999999991</v>
      </c>
      <c r="V276" s="2181">
        <v>0.96059600999999994</v>
      </c>
    </row>
    <row r="277" spans="1:22">
      <c r="A277" s="2164"/>
      <c r="B277" s="2167"/>
      <c r="C277" s="2169"/>
      <c r="D277" s="1236" t="s">
        <v>1214</v>
      </c>
      <c r="E277" s="2170"/>
      <c r="F277" s="2179"/>
      <c r="G277" s="2179"/>
      <c r="H277" s="2179"/>
      <c r="I277" s="2179"/>
      <c r="J277" s="2179"/>
      <c r="K277" s="2179"/>
      <c r="L277" s="2179"/>
      <c r="M277" s="2179"/>
      <c r="N277" s="2179"/>
      <c r="O277" s="2179"/>
      <c r="P277" s="2179"/>
      <c r="Q277" s="2179"/>
      <c r="R277" s="2179"/>
      <c r="S277" s="2172"/>
      <c r="T277" s="2172"/>
      <c r="U277" s="2414"/>
      <c r="V277" s="2182"/>
    </row>
    <row r="278" spans="1:22">
      <c r="A278" s="2164"/>
      <c r="B278" s="2167"/>
      <c r="C278" s="2173" t="s">
        <v>1215</v>
      </c>
      <c r="D278" s="1236" t="s">
        <v>1216</v>
      </c>
      <c r="E278" s="2170"/>
      <c r="F278" s="2179"/>
      <c r="G278" s="2179"/>
      <c r="H278" s="2179"/>
      <c r="I278" s="2179"/>
      <c r="J278" s="2179"/>
      <c r="K278" s="2179"/>
      <c r="L278" s="2179"/>
      <c r="M278" s="2179"/>
      <c r="N278" s="2179"/>
      <c r="O278" s="2179"/>
      <c r="P278" s="2179"/>
      <c r="Q278" s="2179"/>
      <c r="R278" s="2179"/>
      <c r="S278" s="2172"/>
      <c r="T278" s="2172"/>
      <c r="U278" s="2414"/>
      <c r="V278" s="2182"/>
    </row>
    <row r="279" spans="1:22">
      <c r="A279" s="2164"/>
      <c r="B279" s="2167"/>
      <c r="C279" s="2174"/>
      <c r="D279" s="1237" t="s">
        <v>1217</v>
      </c>
      <c r="E279" s="2170"/>
      <c r="F279" s="2179"/>
      <c r="G279" s="2179"/>
      <c r="H279" s="2179"/>
      <c r="I279" s="2179"/>
      <c r="J279" s="2179"/>
      <c r="K279" s="2179"/>
      <c r="L279" s="2179"/>
      <c r="M279" s="2179"/>
      <c r="N279" s="2179"/>
      <c r="O279" s="2179"/>
      <c r="P279" s="2179"/>
      <c r="Q279" s="2179"/>
      <c r="R279" s="2179"/>
      <c r="S279" s="2187"/>
      <c r="T279" s="2187"/>
      <c r="U279" s="2415"/>
      <c r="V279" s="2416"/>
    </row>
    <row r="280" spans="1:22">
      <c r="A280" s="2164"/>
      <c r="B280" s="2166" t="s">
        <v>1206</v>
      </c>
      <c r="C280" s="2168" t="s">
        <v>1212</v>
      </c>
      <c r="D280" s="1235" t="s">
        <v>1213</v>
      </c>
      <c r="E280" s="2170"/>
      <c r="F280" s="2179"/>
      <c r="G280" s="2179"/>
      <c r="H280" s="2179"/>
      <c r="I280" s="2179"/>
      <c r="J280" s="2179"/>
      <c r="K280" s="2179"/>
      <c r="L280" s="2179"/>
      <c r="M280" s="2179"/>
      <c r="N280" s="2179"/>
      <c r="O280" s="2179"/>
      <c r="P280" s="2179"/>
      <c r="Q280" s="2179"/>
      <c r="R280" s="2179"/>
      <c r="S280" s="2179"/>
      <c r="T280" s="2171">
        <v>0.99</v>
      </c>
      <c r="U280" s="2413">
        <v>0.98009999999999997</v>
      </c>
      <c r="V280" s="2181">
        <v>0.97029899999999991</v>
      </c>
    </row>
    <row r="281" spans="1:22">
      <c r="A281" s="2164"/>
      <c r="B281" s="2167"/>
      <c r="C281" s="2169"/>
      <c r="D281" s="1236" t="s">
        <v>1214</v>
      </c>
      <c r="E281" s="2170"/>
      <c r="F281" s="2179"/>
      <c r="G281" s="2179"/>
      <c r="H281" s="2179"/>
      <c r="I281" s="2179"/>
      <c r="J281" s="2179"/>
      <c r="K281" s="2179"/>
      <c r="L281" s="2179"/>
      <c r="M281" s="2179"/>
      <c r="N281" s="2179"/>
      <c r="O281" s="2179"/>
      <c r="P281" s="2179"/>
      <c r="Q281" s="2179"/>
      <c r="R281" s="2179"/>
      <c r="S281" s="2179"/>
      <c r="T281" s="2172"/>
      <c r="U281" s="2414"/>
      <c r="V281" s="2182"/>
    </row>
    <row r="282" spans="1:22">
      <c r="A282" s="2164"/>
      <c r="B282" s="2167"/>
      <c r="C282" s="2173" t="s">
        <v>1215</v>
      </c>
      <c r="D282" s="1236" t="s">
        <v>1216</v>
      </c>
      <c r="E282" s="2170"/>
      <c r="F282" s="2179"/>
      <c r="G282" s="2179"/>
      <c r="H282" s="2179"/>
      <c r="I282" s="2179"/>
      <c r="J282" s="2179"/>
      <c r="K282" s="2179"/>
      <c r="L282" s="2179"/>
      <c r="M282" s="2179"/>
      <c r="N282" s="2179"/>
      <c r="O282" s="2179"/>
      <c r="P282" s="2179"/>
      <c r="Q282" s="2179"/>
      <c r="R282" s="2179"/>
      <c r="S282" s="2179"/>
      <c r="T282" s="2172"/>
      <c r="U282" s="2414"/>
      <c r="V282" s="2182"/>
    </row>
    <row r="283" spans="1:22">
      <c r="A283" s="2164"/>
      <c r="B283" s="2167"/>
      <c r="C283" s="2174"/>
      <c r="D283" s="1237" t="s">
        <v>1217</v>
      </c>
      <c r="E283" s="2170"/>
      <c r="F283" s="2179"/>
      <c r="G283" s="2179"/>
      <c r="H283" s="2179"/>
      <c r="I283" s="2179"/>
      <c r="J283" s="2179"/>
      <c r="K283" s="2179"/>
      <c r="L283" s="2179"/>
      <c r="M283" s="2179"/>
      <c r="N283" s="2179"/>
      <c r="O283" s="2179"/>
      <c r="P283" s="2179"/>
      <c r="Q283" s="2179"/>
      <c r="R283" s="2179"/>
      <c r="S283" s="2179"/>
      <c r="T283" s="2187"/>
      <c r="U283" s="2415"/>
      <c r="V283" s="2416"/>
    </row>
    <row r="284" spans="1:22">
      <c r="A284" s="2164"/>
      <c r="B284" s="2166" t="s">
        <v>1207</v>
      </c>
      <c r="C284" s="2168" t="s">
        <v>1212</v>
      </c>
      <c r="D284" s="1235" t="s">
        <v>1213</v>
      </c>
      <c r="E284" s="2170"/>
      <c r="F284" s="2179"/>
      <c r="G284" s="2179"/>
      <c r="H284" s="2179"/>
      <c r="I284" s="2179"/>
      <c r="J284" s="2179"/>
      <c r="K284" s="2179"/>
      <c r="L284" s="2179"/>
      <c r="M284" s="2179"/>
      <c r="N284" s="2179"/>
      <c r="O284" s="2179"/>
      <c r="P284" s="2179"/>
      <c r="Q284" s="2179"/>
      <c r="R284" s="2179"/>
      <c r="S284" s="2179"/>
      <c r="T284" s="2179"/>
      <c r="U284" s="2413">
        <v>0.99</v>
      </c>
      <c r="V284" s="2181">
        <v>0.98009999999999997</v>
      </c>
    </row>
    <row r="285" spans="1:22">
      <c r="A285" s="2164"/>
      <c r="B285" s="2167"/>
      <c r="C285" s="2169"/>
      <c r="D285" s="1236" t="s">
        <v>1214</v>
      </c>
      <c r="E285" s="2170"/>
      <c r="F285" s="2179"/>
      <c r="G285" s="2179"/>
      <c r="H285" s="2179"/>
      <c r="I285" s="2179"/>
      <c r="J285" s="2179"/>
      <c r="K285" s="2179"/>
      <c r="L285" s="2179"/>
      <c r="M285" s="2179"/>
      <c r="N285" s="2179"/>
      <c r="O285" s="2179"/>
      <c r="P285" s="2179"/>
      <c r="Q285" s="2179"/>
      <c r="R285" s="2179"/>
      <c r="S285" s="2179"/>
      <c r="T285" s="2179"/>
      <c r="U285" s="2414"/>
      <c r="V285" s="2182"/>
    </row>
    <row r="286" spans="1:22">
      <c r="A286" s="2164"/>
      <c r="B286" s="2167"/>
      <c r="C286" s="2173" t="s">
        <v>1215</v>
      </c>
      <c r="D286" s="1236" t="s">
        <v>1216</v>
      </c>
      <c r="E286" s="2170"/>
      <c r="F286" s="2179"/>
      <c r="G286" s="2179"/>
      <c r="H286" s="2179"/>
      <c r="I286" s="2179"/>
      <c r="J286" s="2179"/>
      <c r="K286" s="2179"/>
      <c r="L286" s="2179"/>
      <c r="M286" s="2179"/>
      <c r="N286" s="2179"/>
      <c r="O286" s="2179"/>
      <c r="P286" s="2179"/>
      <c r="Q286" s="2179"/>
      <c r="R286" s="2179"/>
      <c r="S286" s="2179"/>
      <c r="T286" s="2179"/>
      <c r="U286" s="2414"/>
      <c r="V286" s="2182"/>
    </row>
    <row r="287" spans="1:22">
      <c r="A287" s="2164"/>
      <c r="B287" s="2167"/>
      <c r="C287" s="2174"/>
      <c r="D287" s="1237" t="s">
        <v>1217</v>
      </c>
      <c r="E287" s="2170"/>
      <c r="F287" s="2179"/>
      <c r="G287" s="2179"/>
      <c r="H287" s="2179"/>
      <c r="I287" s="2179"/>
      <c r="J287" s="2179"/>
      <c r="K287" s="2179"/>
      <c r="L287" s="2179"/>
      <c r="M287" s="2179"/>
      <c r="N287" s="2179"/>
      <c r="O287" s="2179"/>
      <c r="P287" s="2179"/>
      <c r="Q287" s="2179"/>
      <c r="R287" s="2179"/>
      <c r="S287" s="2179"/>
      <c r="T287" s="2179"/>
      <c r="U287" s="2415"/>
      <c r="V287" s="2416"/>
    </row>
    <row r="288" spans="1:22">
      <c r="A288" s="2164"/>
      <c r="B288" s="2166" t="s">
        <v>1208</v>
      </c>
      <c r="C288" s="2168" t="s">
        <v>1212</v>
      </c>
      <c r="D288" s="1235" t="s">
        <v>1213</v>
      </c>
      <c r="E288" s="2188"/>
      <c r="F288" s="2191"/>
      <c r="G288" s="2191"/>
      <c r="H288" s="2191"/>
      <c r="I288" s="2191"/>
      <c r="J288" s="2191"/>
      <c r="K288" s="2191"/>
      <c r="L288" s="2191"/>
      <c r="M288" s="2191"/>
      <c r="N288" s="2191"/>
      <c r="O288" s="2191"/>
      <c r="P288" s="2191"/>
      <c r="Q288" s="2191"/>
      <c r="R288" s="2191"/>
      <c r="S288" s="2191"/>
      <c r="T288" s="2191"/>
      <c r="U288" s="2179"/>
      <c r="V288" s="2181">
        <v>0.99</v>
      </c>
    </row>
    <row r="289" spans="1:22">
      <c r="A289" s="2164"/>
      <c r="B289" s="2167"/>
      <c r="C289" s="2169"/>
      <c r="D289" s="1236" t="s">
        <v>1214</v>
      </c>
      <c r="E289" s="2189"/>
      <c r="F289" s="2192"/>
      <c r="G289" s="2192"/>
      <c r="H289" s="2192"/>
      <c r="I289" s="2192"/>
      <c r="J289" s="2192"/>
      <c r="K289" s="2192"/>
      <c r="L289" s="2192"/>
      <c r="M289" s="2192"/>
      <c r="N289" s="2192"/>
      <c r="O289" s="2192"/>
      <c r="P289" s="2192"/>
      <c r="Q289" s="2192"/>
      <c r="R289" s="2192"/>
      <c r="S289" s="2192"/>
      <c r="T289" s="2192"/>
      <c r="U289" s="2179"/>
      <c r="V289" s="2182"/>
    </row>
    <row r="290" spans="1:22">
      <c r="A290" s="2164"/>
      <c r="B290" s="2167"/>
      <c r="C290" s="2173" t="s">
        <v>1215</v>
      </c>
      <c r="D290" s="1236" t="s">
        <v>1216</v>
      </c>
      <c r="E290" s="2189"/>
      <c r="F290" s="2192"/>
      <c r="G290" s="2192"/>
      <c r="H290" s="2192"/>
      <c r="I290" s="2192"/>
      <c r="J290" s="2192"/>
      <c r="K290" s="2192"/>
      <c r="L290" s="2192"/>
      <c r="M290" s="2192"/>
      <c r="N290" s="2192"/>
      <c r="O290" s="2192"/>
      <c r="P290" s="2192"/>
      <c r="Q290" s="2192"/>
      <c r="R290" s="2192"/>
      <c r="S290" s="2192"/>
      <c r="T290" s="2192"/>
      <c r="U290" s="2179"/>
      <c r="V290" s="2182"/>
    </row>
    <row r="291" spans="1:22">
      <c r="A291" s="2164"/>
      <c r="B291" s="2167"/>
      <c r="C291" s="2174"/>
      <c r="D291" s="1237" t="s">
        <v>1217</v>
      </c>
      <c r="E291" s="2190"/>
      <c r="F291" s="2193"/>
      <c r="G291" s="2193"/>
      <c r="H291" s="2193"/>
      <c r="I291" s="2193"/>
      <c r="J291" s="2193"/>
      <c r="K291" s="2193"/>
      <c r="L291" s="2193"/>
      <c r="M291" s="2193"/>
      <c r="N291" s="2193"/>
      <c r="O291" s="2193"/>
      <c r="P291" s="2193"/>
      <c r="Q291" s="2193"/>
      <c r="R291" s="2193"/>
      <c r="S291" s="2193"/>
      <c r="T291" s="2193"/>
      <c r="U291" s="2179"/>
      <c r="V291" s="2416"/>
    </row>
    <row r="292" spans="1:22">
      <c r="A292" s="2164"/>
      <c r="B292" s="2166" t="s">
        <v>1209</v>
      </c>
      <c r="C292" s="2168" t="s">
        <v>1212</v>
      </c>
      <c r="D292" s="1235" t="s">
        <v>1213</v>
      </c>
      <c r="E292" s="2188"/>
      <c r="F292" s="2191"/>
      <c r="G292" s="2191"/>
      <c r="H292" s="2191"/>
      <c r="I292" s="2191"/>
      <c r="J292" s="2191"/>
      <c r="K292" s="2191"/>
      <c r="L292" s="2191"/>
      <c r="M292" s="2191"/>
      <c r="N292" s="2191"/>
      <c r="O292" s="2191"/>
      <c r="P292" s="2191"/>
      <c r="Q292" s="2191"/>
      <c r="R292" s="2191"/>
      <c r="S292" s="2191"/>
      <c r="T292" s="2191"/>
      <c r="U292" s="2417"/>
      <c r="V292" s="2194"/>
    </row>
    <row r="293" spans="1:22">
      <c r="A293" s="2164"/>
      <c r="B293" s="2167"/>
      <c r="C293" s="2169"/>
      <c r="D293" s="1236" t="s">
        <v>1214</v>
      </c>
      <c r="E293" s="2189"/>
      <c r="F293" s="2192"/>
      <c r="G293" s="2192"/>
      <c r="H293" s="2192"/>
      <c r="I293" s="2192"/>
      <c r="J293" s="2192"/>
      <c r="K293" s="2192"/>
      <c r="L293" s="2192"/>
      <c r="M293" s="2192"/>
      <c r="N293" s="2192"/>
      <c r="O293" s="2192"/>
      <c r="P293" s="2192"/>
      <c r="Q293" s="2192"/>
      <c r="R293" s="2192"/>
      <c r="S293" s="2192"/>
      <c r="T293" s="2192"/>
      <c r="U293" s="2418"/>
      <c r="V293" s="2195"/>
    </row>
    <row r="294" spans="1:22">
      <c r="A294" s="2164"/>
      <c r="B294" s="2167"/>
      <c r="C294" s="2173" t="s">
        <v>1215</v>
      </c>
      <c r="D294" s="1236" t="s">
        <v>1216</v>
      </c>
      <c r="E294" s="2189"/>
      <c r="F294" s="2192"/>
      <c r="G294" s="2192"/>
      <c r="H294" s="2192"/>
      <c r="I294" s="2192"/>
      <c r="J294" s="2192"/>
      <c r="K294" s="2192"/>
      <c r="L294" s="2192"/>
      <c r="M294" s="2192"/>
      <c r="N294" s="2192"/>
      <c r="O294" s="2192"/>
      <c r="P294" s="2192"/>
      <c r="Q294" s="2192"/>
      <c r="R294" s="2192"/>
      <c r="S294" s="2192"/>
      <c r="T294" s="2192"/>
      <c r="U294" s="2418"/>
      <c r="V294" s="2195"/>
    </row>
    <row r="295" spans="1:22">
      <c r="A295" s="2165"/>
      <c r="B295" s="2167"/>
      <c r="C295" s="2174"/>
      <c r="D295" s="1237" t="s">
        <v>1217</v>
      </c>
      <c r="E295" s="2190"/>
      <c r="F295" s="2193"/>
      <c r="G295" s="2193"/>
      <c r="H295" s="2193"/>
      <c r="I295" s="2193"/>
      <c r="J295" s="2193"/>
      <c r="K295" s="2193"/>
      <c r="L295" s="2193"/>
      <c r="M295" s="2193"/>
      <c r="N295" s="2193"/>
      <c r="O295" s="2193"/>
      <c r="P295" s="2193"/>
      <c r="Q295" s="2193"/>
      <c r="R295" s="2193"/>
      <c r="S295" s="2193"/>
      <c r="T295" s="2193"/>
      <c r="U295" s="2419"/>
      <c r="V295" s="2196"/>
    </row>
    <row r="296" spans="1:22">
      <c r="A296" s="2157" t="s">
        <v>1221</v>
      </c>
      <c r="B296" s="2175" t="s">
        <v>1274</v>
      </c>
      <c r="C296" s="2168" t="s">
        <v>1212</v>
      </c>
      <c r="D296" s="1235" t="s">
        <v>1213</v>
      </c>
      <c r="E296" s="2188"/>
      <c r="F296" s="2171">
        <v>0.61</v>
      </c>
      <c r="G296" s="2171">
        <v>0.4819</v>
      </c>
      <c r="H296" s="2171">
        <v>0.41925299999999999</v>
      </c>
      <c r="I296" s="2171">
        <v>0.40248287999999999</v>
      </c>
      <c r="J296" s="2171">
        <v>0.3702842496</v>
      </c>
      <c r="K296" s="2171">
        <v>0.34806719462399999</v>
      </c>
      <c r="L296" s="2171">
        <v>0.33066383489279999</v>
      </c>
      <c r="M296" s="2171">
        <v>0.317437281497088</v>
      </c>
      <c r="N296" s="2171">
        <v>0.29521667179229183</v>
      </c>
      <c r="O296" s="2171">
        <v>0.28931233835644599</v>
      </c>
      <c r="P296" s="2171">
        <v>0.28352609158931708</v>
      </c>
      <c r="Q296" s="2171">
        <v>0.27785556975753073</v>
      </c>
      <c r="R296" s="2171">
        <v>0.27229845836238009</v>
      </c>
      <c r="S296" s="2171">
        <v>0.26957547377875629</v>
      </c>
      <c r="T296" s="2171">
        <v>0.26687971904096874</v>
      </c>
      <c r="U296" s="2413">
        <v>0.26421092185055906</v>
      </c>
      <c r="V296" s="2181">
        <v>0.26156881263205345</v>
      </c>
    </row>
    <row r="297" spans="1:22">
      <c r="A297" s="2164"/>
      <c r="B297" s="2167"/>
      <c r="C297" s="2169"/>
      <c r="D297" s="1236" t="s">
        <v>1214</v>
      </c>
      <c r="E297" s="2189"/>
      <c r="F297" s="2172"/>
      <c r="G297" s="2172"/>
      <c r="H297" s="2172"/>
      <c r="I297" s="2172"/>
      <c r="J297" s="2172"/>
      <c r="K297" s="2172"/>
      <c r="L297" s="2172"/>
      <c r="M297" s="2172"/>
      <c r="N297" s="2172"/>
      <c r="O297" s="2172"/>
      <c r="P297" s="2172"/>
      <c r="Q297" s="2172"/>
      <c r="R297" s="2172"/>
      <c r="S297" s="2172"/>
      <c r="T297" s="2172"/>
      <c r="U297" s="2414"/>
      <c r="V297" s="2182"/>
    </row>
    <row r="298" spans="1:22">
      <c r="A298" s="2164"/>
      <c r="B298" s="2167"/>
      <c r="C298" s="2173" t="s">
        <v>1215</v>
      </c>
      <c r="D298" s="1236" t="s">
        <v>1216</v>
      </c>
      <c r="E298" s="2189"/>
      <c r="F298" s="2172"/>
      <c r="G298" s="2172"/>
      <c r="H298" s="2172"/>
      <c r="I298" s="2172"/>
      <c r="J298" s="2172"/>
      <c r="K298" s="2172"/>
      <c r="L298" s="2172"/>
      <c r="M298" s="2172"/>
      <c r="N298" s="2172"/>
      <c r="O298" s="2172"/>
      <c r="P298" s="2172"/>
      <c r="Q298" s="2172"/>
      <c r="R298" s="2172"/>
      <c r="S298" s="2172"/>
      <c r="T298" s="2172"/>
      <c r="U298" s="2414"/>
      <c r="V298" s="2182"/>
    </row>
    <row r="299" spans="1:22">
      <c r="A299" s="2164"/>
      <c r="B299" s="2167"/>
      <c r="C299" s="2174"/>
      <c r="D299" s="1237" t="s">
        <v>1217</v>
      </c>
      <c r="E299" s="2190"/>
      <c r="F299" s="2187"/>
      <c r="G299" s="2187"/>
      <c r="H299" s="2187"/>
      <c r="I299" s="2187"/>
      <c r="J299" s="2187"/>
      <c r="K299" s="2187"/>
      <c r="L299" s="2187"/>
      <c r="M299" s="2187"/>
      <c r="N299" s="2187"/>
      <c r="O299" s="2187"/>
      <c r="P299" s="2187"/>
      <c r="Q299" s="2187"/>
      <c r="R299" s="2187"/>
      <c r="S299" s="2187"/>
      <c r="T299" s="2187"/>
      <c r="U299" s="2415"/>
      <c r="V299" s="2416"/>
    </row>
    <row r="300" spans="1:22">
      <c r="A300" s="2164"/>
      <c r="B300" s="2175" t="s">
        <v>1272</v>
      </c>
      <c r="C300" s="2168" t="s">
        <v>1212</v>
      </c>
      <c r="D300" s="1235" t="s">
        <v>1213</v>
      </c>
      <c r="E300" s="2170"/>
      <c r="F300" s="2179"/>
      <c r="G300" s="2171">
        <v>0.79</v>
      </c>
      <c r="H300" s="2171">
        <v>0.68730000000000002</v>
      </c>
      <c r="I300" s="2171">
        <v>0.65980799999999995</v>
      </c>
      <c r="J300" s="2171">
        <v>0.60702336000000001</v>
      </c>
      <c r="K300" s="2171">
        <v>0.57060195839999994</v>
      </c>
      <c r="L300" s="2171">
        <v>0.54207186047999989</v>
      </c>
      <c r="M300" s="2171">
        <v>0.52038898606079986</v>
      </c>
      <c r="N300" s="2171">
        <v>0.48396175703654387</v>
      </c>
      <c r="O300" s="2171">
        <v>0.47428252189581299</v>
      </c>
      <c r="P300" s="2171">
        <v>0.46479687145789672</v>
      </c>
      <c r="Q300" s="2171">
        <v>0.45550093402873876</v>
      </c>
      <c r="R300" s="2171">
        <v>0.446390915348164</v>
      </c>
      <c r="S300" s="2171">
        <v>0.44192700619468234</v>
      </c>
      <c r="T300" s="2171">
        <v>0.43750773613273553</v>
      </c>
      <c r="U300" s="2413">
        <v>0.43313265877140816</v>
      </c>
      <c r="V300" s="2181">
        <v>0.42880133218369409</v>
      </c>
    </row>
    <row r="301" spans="1:22">
      <c r="A301" s="2164"/>
      <c r="B301" s="2167"/>
      <c r="C301" s="2169"/>
      <c r="D301" s="1236" t="s">
        <v>1214</v>
      </c>
      <c r="E301" s="2170"/>
      <c r="F301" s="2179"/>
      <c r="G301" s="2172"/>
      <c r="H301" s="2172"/>
      <c r="I301" s="2172"/>
      <c r="J301" s="2172"/>
      <c r="K301" s="2172"/>
      <c r="L301" s="2172"/>
      <c r="M301" s="2172"/>
      <c r="N301" s="2172"/>
      <c r="O301" s="2172"/>
      <c r="P301" s="2172"/>
      <c r="Q301" s="2172"/>
      <c r="R301" s="2172"/>
      <c r="S301" s="2172"/>
      <c r="T301" s="2172"/>
      <c r="U301" s="2414"/>
      <c r="V301" s="2182"/>
    </row>
    <row r="302" spans="1:22">
      <c r="A302" s="2164"/>
      <c r="B302" s="2167"/>
      <c r="C302" s="2173" t="s">
        <v>1215</v>
      </c>
      <c r="D302" s="1236" t="s">
        <v>1216</v>
      </c>
      <c r="E302" s="2170"/>
      <c r="F302" s="2179"/>
      <c r="G302" s="2172"/>
      <c r="H302" s="2172"/>
      <c r="I302" s="2172"/>
      <c r="J302" s="2172"/>
      <c r="K302" s="2172"/>
      <c r="L302" s="2172"/>
      <c r="M302" s="2172"/>
      <c r="N302" s="2172"/>
      <c r="O302" s="2172"/>
      <c r="P302" s="2172"/>
      <c r="Q302" s="2172"/>
      <c r="R302" s="2172"/>
      <c r="S302" s="2172"/>
      <c r="T302" s="2172"/>
      <c r="U302" s="2414"/>
      <c r="V302" s="2182"/>
    </row>
    <row r="303" spans="1:22">
      <c r="A303" s="2164"/>
      <c r="B303" s="2167"/>
      <c r="C303" s="2174"/>
      <c r="D303" s="1237" t="s">
        <v>1217</v>
      </c>
      <c r="E303" s="2170"/>
      <c r="F303" s="2179"/>
      <c r="G303" s="2187"/>
      <c r="H303" s="2187"/>
      <c r="I303" s="2187"/>
      <c r="J303" s="2187"/>
      <c r="K303" s="2187"/>
      <c r="L303" s="2187"/>
      <c r="M303" s="2187"/>
      <c r="N303" s="2187"/>
      <c r="O303" s="2187"/>
      <c r="P303" s="2187"/>
      <c r="Q303" s="2187"/>
      <c r="R303" s="2187"/>
      <c r="S303" s="2187"/>
      <c r="T303" s="2187"/>
      <c r="U303" s="2415"/>
      <c r="V303" s="2416"/>
    </row>
    <row r="304" spans="1:22">
      <c r="A304" s="2164"/>
      <c r="B304" s="2175" t="s">
        <v>1194</v>
      </c>
      <c r="C304" s="2168" t="s">
        <v>1212</v>
      </c>
      <c r="D304" s="1235" t="s">
        <v>1213</v>
      </c>
      <c r="E304" s="2170"/>
      <c r="F304" s="2179"/>
      <c r="G304" s="2179"/>
      <c r="H304" s="2171">
        <v>0.87</v>
      </c>
      <c r="I304" s="2171">
        <v>0.83519999999999994</v>
      </c>
      <c r="J304" s="2171">
        <v>0.76838399999999996</v>
      </c>
      <c r="K304" s="2171">
        <v>0.72228095999999997</v>
      </c>
      <c r="L304" s="2171">
        <v>0.68616691199999991</v>
      </c>
      <c r="M304" s="2171">
        <v>0.65872023551999992</v>
      </c>
      <c r="N304" s="2171">
        <v>0.61260981903360001</v>
      </c>
      <c r="O304" s="2171">
        <v>0.60035762265292802</v>
      </c>
      <c r="P304" s="2171">
        <v>0.58835047019986941</v>
      </c>
      <c r="Q304" s="2171">
        <v>0.57658346079587197</v>
      </c>
      <c r="R304" s="2171">
        <v>0.56505179157995455</v>
      </c>
      <c r="S304" s="2171">
        <v>0.55940127366415504</v>
      </c>
      <c r="T304" s="2171">
        <v>0.55380726092751353</v>
      </c>
      <c r="U304" s="2413">
        <v>0.54826918831823834</v>
      </c>
      <c r="V304" s="2181">
        <v>0.54278649643505594</v>
      </c>
    </row>
    <row r="305" spans="1:22">
      <c r="A305" s="2164"/>
      <c r="B305" s="2167"/>
      <c r="C305" s="2169"/>
      <c r="D305" s="1236" t="s">
        <v>1214</v>
      </c>
      <c r="E305" s="2170"/>
      <c r="F305" s="2179"/>
      <c r="G305" s="2179"/>
      <c r="H305" s="2172"/>
      <c r="I305" s="2172"/>
      <c r="J305" s="2172"/>
      <c r="K305" s="2172"/>
      <c r="L305" s="2172"/>
      <c r="M305" s="2172"/>
      <c r="N305" s="2172"/>
      <c r="O305" s="2172"/>
      <c r="P305" s="2172"/>
      <c r="Q305" s="2172"/>
      <c r="R305" s="2172"/>
      <c r="S305" s="2172"/>
      <c r="T305" s="2172"/>
      <c r="U305" s="2414"/>
      <c r="V305" s="2182"/>
    </row>
    <row r="306" spans="1:22">
      <c r="A306" s="2164"/>
      <c r="B306" s="2167"/>
      <c r="C306" s="2173" t="s">
        <v>1215</v>
      </c>
      <c r="D306" s="1236" t="s">
        <v>1216</v>
      </c>
      <c r="E306" s="2170"/>
      <c r="F306" s="2179"/>
      <c r="G306" s="2179"/>
      <c r="H306" s="2172"/>
      <c r="I306" s="2172"/>
      <c r="J306" s="2172"/>
      <c r="K306" s="2172"/>
      <c r="L306" s="2172"/>
      <c r="M306" s="2172"/>
      <c r="N306" s="2172"/>
      <c r="O306" s="2172"/>
      <c r="P306" s="2172"/>
      <c r="Q306" s="2172"/>
      <c r="R306" s="2172"/>
      <c r="S306" s="2172"/>
      <c r="T306" s="2172"/>
      <c r="U306" s="2414"/>
      <c r="V306" s="2182"/>
    </row>
    <row r="307" spans="1:22">
      <c r="A307" s="2164"/>
      <c r="B307" s="2167"/>
      <c r="C307" s="2174"/>
      <c r="D307" s="1237" t="s">
        <v>1217</v>
      </c>
      <c r="E307" s="2170"/>
      <c r="F307" s="2179"/>
      <c r="G307" s="2179"/>
      <c r="H307" s="2187"/>
      <c r="I307" s="2187"/>
      <c r="J307" s="2187"/>
      <c r="K307" s="2187"/>
      <c r="L307" s="2187"/>
      <c r="M307" s="2187"/>
      <c r="N307" s="2187"/>
      <c r="O307" s="2187"/>
      <c r="P307" s="2187"/>
      <c r="Q307" s="2187"/>
      <c r="R307" s="2187"/>
      <c r="S307" s="2187"/>
      <c r="T307" s="2187"/>
      <c r="U307" s="2415"/>
      <c r="V307" s="2416"/>
    </row>
    <row r="308" spans="1:22">
      <c r="A308" s="2164"/>
      <c r="B308" s="2175" t="s">
        <v>1195</v>
      </c>
      <c r="C308" s="2168" t="s">
        <v>1212</v>
      </c>
      <c r="D308" s="1235" t="s">
        <v>1213</v>
      </c>
      <c r="E308" s="2170"/>
      <c r="F308" s="2179"/>
      <c r="G308" s="2179"/>
      <c r="H308" s="2179"/>
      <c r="I308" s="2171">
        <v>0.96</v>
      </c>
      <c r="J308" s="2171">
        <v>0.88319999999999999</v>
      </c>
      <c r="K308" s="2171">
        <v>0.83020799999999995</v>
      </c>
      <c r="L308" s="2171">
        <v>0.78869759999999989</v>
      </c>
      <c r="M308" s="2171">
        <v>0.75714969599999982</v>
      </c>
      <c r="N308" s="2171">
        <v>0.70414921727999991</v>
      </c>
      <c r="O308" s="2171">
        <v>0.69006623293439995</v>
      </c>
      <c r="P308" s="2171">
        <v>0.67626490827571195</v>
      </c>
      <c r="Q308" s="2171">
        <v>0.66273961011019766</v>
      </c>
      <c r="R308" s="2171">
        <v>0.64948481790799373</v>
      </c>
      <c r="S308" s="2171">
        <v>0.64298996972891376</v>
      </c>
      <c r="T308" s="2171">
        <v>0.63656007003162463</v>
      </c>
      <c r="U308" s="2413">
        <v>0.6301944693313084</v>
      </c>
      <c r="V308" s="2181">
        <v>0.62389252463799527</v>
      </c>
    </row>
    <row r="309" spans="1:22">
      <c r="A309" s="2164"/>
      <c r="B309" s="2167"/>
      <c r="C309" s="2169"/>
      <c r="D309" s="1236" t="s">
        <v>1214</v>
      </c>
      <c r="E309" s="2170"/>
      <c r="F309" s="2179"/>
      <c r="G309" s="2179"/>
      <c r="H309" s="2179"/>
      <c r="I309" s="2172"/>
      <c r="J309" s="2172"/>
      <c r="K309" s="2172"/>
      <c r="L309" s="2172"/>
      <c r="M309" s="2172"/>
      <c r="N309" s="2172"/>
      <c r="O309" s="2172"/>
      <c r="P309" s="2172"/>
      <c r="Q309" s="2172"/>
      <c r="R309" s="2172"/>
      <c r="S309" s="2172"/>
      <c r="T309" s="2172"/>
      <c r="U309" s="2414"/>
      <c r="V309" s="2182"/>
    </row>
    <row r="310" spans="1:22">
      <c r="A310" s="2164"/>
      <c r="B310" s="2167"/>
      <c r="C310" s="2173" t="s">
        <v>1215</v>
      </c>
      <c r="D310" s="1236" t="s">
        <v>1216</v>
      </c>
      <c r="E310" s="2170"/>
      <c r="F310" s="2179"/>
      <c r="G310" s="2179"/>
      <c r="H310" s="2179"/>
      <c r="I310" s="2172"/>
      <c r="J310" s="2172"/>
      <c r="K310" s="2172"/>
      <c r="L310" s="2172"/>
      <c r="M310" s="2172"/>
      <c r="N310" s="2172"/>
      <c r="O310" s="2172"/>
      <c r="P310" s="2172"/>
      <c r="Q310" s="2172"/>
      <c r="R310" s="2172"/>
      <c r="S310" s="2172"/>
      <c r="T310" s="2172"/>
      <c r="U310" s="2414"/>
      <c r="V310" s="2182"/>
    </row>
    <row r="311" spans="1:22">
      <c r="A311" s="2164"/>
      <c r="B311" s="2167"/>
      <c r="C311" s="2174"/>
      <c r="D311" s="1237" t="s">
        <v>1217</v>
      </c>
      <c r="E311" s="2170"/>
      <c r="F311" s="2179"/>
      <c r="G311" s="2179"/>
      <c r="H311" s="2179"/>
      <c r="I311" s="2187"/>
      <c r="J311" s="2187"/>
      <c r="K311" s="2187"/>
      <c r="L311" s="2187"/>
      <c r="M311" s="2187"/>
      <c r="N311" s="2187"/>
      <c r="O311" s="2187"/>
      <c r="P311" s="2187"/>
      <c r="Q311" s="2187"/>
      <c r="R311" s="2187"/>
      <c r="S311" s="2187"/>
      <c r="T311" s="2187"/>
      <c r="U311" s="2415"/>
      <c r="V311" s="2416"/>
    </row>
    <row r="312" spans="1:22">
      <c r="A312" s="2164"/>
      <c r="B312" s="2166" t="s">
        <v>1196</v>
      </c>
      <c r="C312" s="2168" t="s">
        <v>1212</v>
      </c>
      <c r="D312" s="1235" t="s">
        <v>1213</v>
      </c>
      <c r="E312" s="2170"/>
      <c r="F312" s="2179"/>
      <c r="G312" s="2179"/>
      <c r="H312" s="2179"/>
      <c r="I312" s="2179"/>
      <c r="J312" s="2171">
        <v>0.92</v>
      </c>
      <c r="K312" s="2171">
        <v>0.86480000000000001</v>
      </c>
      <c r="L312" s="2171">
        <v>0.82155999999999996</v>
      </c>
      <c r="M312" s="2171">
        <v>0.78869759999999989</v>
      </c>
      <c r="N312" s="2171">
        <v>0.73348876799999996</v>
      </c>
      <c r="O312" s="2171">
        <v>0.71881899263999993</v>
      </c>
      <c r="P312" s="2171">
        <v>0.70444261278719988</v>
      </c>
      <c r="Q312" s="2171">
        <v>0.69035376053145592</v>
      </c>
      <c r="R312" s="2171">
        <v>0.67654668532082674</v>
      </c>
      <c r="S312" s="2171">
        <v>0.66978121846761851</v>
      </c>
      <c r="T312" s="2171">
        <v>0.66308340628294227</v>
      </c>
      <c r="U312" s="2413">
        <v>0.65645257222011288</v>
      </c>
      <c r="V312" s="2181">
        <v>0.64988804649791176</v>
      </c>
    </row>
    <row r="313" spans="1:22">
      <c r="A313" s="2164"/>
      <c r="B313" s="2167"/>
      <c r="C313" s="2169"/>
      <c r="D313" s="1236" t="s">
        <v>1214</v>
      </c>
      <c r="E313" s="2170"/>
      <c r="F313" s="2179"/>
      <c r="G313" s="2179"/>
      <c r="H313" s="2179"/>
      <c r="I313" s="2179"/>
      <c r="J313" s="2172"/>
      <c r="K313" s="2172"/>
      <c r="L313" s="2172"/>
      <c r="M313" s="2172"/>
      <c r="N313" s="2172"/>
      <c r="O313" s="2172"/>
      <c r="P313" s="2172"/>
      <c r="Q313" s="2172"/>
      <c r="R313" s="2172"/>
      <c r="S313" s="2172"/>
      <c r="T313" s="2172"/>
      <c r="U313" s="2414"/>
      <c r="V313" s="2182"/>
    </row>
    <row r="314" spans="1:22">
      <c r="A314" s="2164"/>
      <c r="B314" s="2167"/>
      <c r="C314" s="2173" t="s">
        <v>1215</v>
      </c>
      <c r="D314" s="1236" t="s">
        <v>1216</v>
      </c>
      <c r="E314" s="2170"/>
      <c r="F314" s="2179"/>
      <c r="G314" s="2179"/>
      <c r="H314" s="2179"/>
      <c r="I314" s="2179"/>
      <c r="J314" s="2172"/>
      <c r="K314" s="2172"/>
      <c r="L314" s="2172"/>
      <c r="M314" s="2172"/>
      <c r="N314" s="2172"/>
      <c r="O314" s="2172"/>
      <c r="P314" s="2172"/>
      <c r="Q314" s="2172"/>
      <c r="R314" s="2172"/>
      <c r="S314" s="2172"/>
      <c r="T314" s="2172"/>
      <c r="U314" s="2414"/>
      <c r="V314" s="2182"/>
    </row>
    <row r="315" spans="1:22">
      <c r="A315" s="2164"/>
      <c r="B315" s="2167"/>
      <c r="C315" s="2174"/>
      <c r="D315" s="1237" t="s">
        <v>1217</v>
      </c>
      <c r="E315" s="2170"/>
      <c r="F315" s="2179"/>
      <c r="G315" s="2179"/>
      <c r="H315" s="2179"/>
      <c r="I315" s="2179"/>
      <c r="J315" s="2187"/>
      <c r="K315" s="2187"/>
      <c r="L315" s="2187"/>
      <c r="M315" s="2187"/>
      <c r="N315" s="2187"/>
      <c r="O315" s="2187"/>
      <c r="P315" s="2187"/>
      <c r="Q315" s="2187"/>
      <c r="R315" s="2187"/>
      <c r="S315" s="2187"/>
      <c r="T315" s="2187"/>
      <c r="U315" s="2415"/>
      <c r="V315" s="2416"/>
    </row>
    <row r="316" spans="1:22">
      <c r="A316" s="2164"/>
      <c r="B316" s="2166" t="s">
        <v>1197</v>
      </c>
      <c r="C316" s="2168" t="s">
        <v>1212</v>
      </c>
      <c r="D316" s="1235" t="s">
        <v>1213</v>
      </c>
      <c r="E316" s="2170"/>
      <c r="F316" s="2179"/>
      <c r="G316" s="2179"/>
      <c r="H316" s="2179"/>
      <c r="I316" s="2179"/>
      <c r="J316" s="2179"/>
      <c r="K316" s="2171">
        <v>0.94</v>
      </c>
      <c r="L316" s="2171">
        <v>0.8929999999999999</v>
      </c>
      <c r="M316" s="2171">
        <v>0.85727999999999993</v>
      </c>
      <c r="N316" s="2171">
        <v>0.79727039999999993</v>
      </c>
      <c r="O316" s="2171">
        <v>0.78132499199999994</v>
      </c>
      <c r="P316" s="2171">
        <v>0.76569849215999997</v>
      </c>
      <c r="Q316" s="2171">
        <v>0.75038452231679997</v>
      </c>
      <c r="R316" s="2171">
        <v>0.73537683187046399</v>
      </c>
      <c r="S316" s="2171">
        <v>0.72802306355175939</v>
      </c>
      <c r="T316" s="2171">
        <v>0.72074283291624175</v>
      </c>
      <c r="U316" s="2413">
        <v>0.71353540458707931</v>
      </c>
      <c r="V316" s="2181">
        <v>0.70640005054120847</v>
      </c>
    </row>
    <row r="317" spans="1:22">
      <c r="A317" s="2164"/>
      <c r="B317" s="2167"/>
      <c r="C317" s="2169"/>
      <c r="D317" s="1236" t="s">
        <v>1214</v>
      </c>
      <c r="E317" s="2170"/>
      <c r="F317" s="2179"/>
      <c r="G317" s="2179"/>
      <c r="H317" s="2179"/>
      <c r="I317" s="2179"/>
      <c r="J317" s="2179"/>
      <c r="K317" s="2172"/>
      <c r="L317" s="2172"/>
      <c r="M317" s="2172"/>
      <c r="N317" s="2172"/>
      <c r="O317" s="2172"/>
      <c r="P317" s="2172"/>
      <c r="Q317" s="2172"/>
      <c r="R317" s="2172"/>
      <c r="S317" s="2172"/>
      <c r="T317" s="2172"/>
      <c r="U317" s="2414"/>
      <c r="V317" s="2182"/>
    </row>
    <row r="318" spans="1:22">
      <c r="A318" s="2164"/>
      <c r="B318" s="2167"/>
      <c r="C318" s="2173" t="s">
        <v>1215</v>
      </c>
      <c r="D318" s="1236" t="s">
        <v>1216</v>
      </c>
      <c r="E318" s="2170"/>
      <c r="F318" s="2179"/>
      <c r="G318" s="2179"/>
      <c r="H318" s="2179"/>
      <c r="I318" s="2179"/>
      <c r="J318" s="2179"/>
      <c r="K318" s="2172"/>
      <c r="L318" s="2172"/>
      <c r="M318" s="2172"/>
      <c r="N318" s="2172"/>
      <c r="O318" s="2172"/>
      <c r="P318" s="2172"/>
      <c r="Q318" s="2172"/>
      <c r="R318" s="2172"/>
      <c r="S318" s="2172"/>
      <c r="T318" s="2172"/>
      <c r="U318" s="2414"/>
      <c r="V318" s="2182"/>
    </row>
    <row r="319" spans="1:22">
      <c r="A319" s="2164"/>
      <c r="B319" s="2167"/>
      <c r="C319" s="2174"/>
      <c r="D319" s="1237" t="s">
        <v>1217</v>
      </c>
      <c r="E319" s="2170"/>
      <c r="F319" s="2179"/>
      <c r="G319" s="2179"/>
      <c r="H319" s="2179"/>
      <c r="I319" s="2179"/>
      <c r="J319" s="2179"/>
      <c r="K319" s="2187"/>
      <c r="L319" s="2187"/>
      <c r="M319" s="2187"/>
      <c r="N319" s="2187"/>
      <c r="O319" s="2187"/>
      <c r="P319" s="2187"/>
      <c r="Q319" s="2187"/>
      <c r="R319" s="2187"/>
      <c r="S319" s="2187"/>
      <c r="T319" s="2187"/>
      <c r="U319" s="2415"/>
      <c r="V319" s="2416"/>
    </row>
    <row r="320" spans="1:22">
      <c r="A320" s="2164"/>
      <c r="B320" s="2166" t="s">
        <v>1198</v>
      </c>
      <c r="C320" s="2168" t="s">
        <v>1212</v>
      </c>
      <c r="D320" s="1235" t="s">
        <v>1213</v>
      </c>
      <c r="E320" s="2170"/>
      <c r="F320" s="2179"/>
      <c r="G320" s="2179"/>
      <c r="H320" s="2179"/>
      <c r="I320" s="2179"/>
      <c r="J320" s="2179"/>
      <c r="K320" s="2179"/>
      <c r="L320" s="2171">
        <v>0.95</v>
      </c>
      <c r="M320" s="2171">
        <v>0.91199999999999992</v>
      </c>
      <c r="N320" s="2171">
        <v>0.84816000000000003</v>
      </c>
      <c r="O320" s="2171">
        <v>0.83119679999999996</v>
      </c>
      <c r="P320" s="2171">
        <v>0.81457286399999995</v>
      </c>
      <c r="Q320" s="2171">
        <v>0.79828140671999992</v>
      </c>
      <c r="R320" s="2171">
        <v>0.78231577858559986</v>
      </c>
      <c r="S320" s="2171">
        <v>0.7744926207997439</v>
      </c>
      <c r="T320" s="2171">
        <v>0.76674769459174641</v>
      </c>
      <c r="U320" s="2413">
        <v>0.75908021764582889</v>
      </c>
      <c r="V320" s="2181">
        <v>0.75148941546937065</v>
      </c>
    </row>
    <row r="321" spans="1:22">
      <c r="A321" s="2164"/>
      <c r="B321" s="2167"/>
      <c r="C321" s="2169"/>
      <c r="D321" s="1236" t="s">
        <v>1214</v>
      </c>
      <c r="E321" s="2170"/>
      <c r="F321" s="2179"/>
      <c r="G321" s="2179"/>
      <c r="H321" s="2179"/>
      <c r="I321" s="2179"/>
      <c r="J321" s="2179"/>
      <c r="K321" s="2179"/>
      <c r="L321" s="2172"/>
      <c r="M321" s="2172"/>
      <c r="N321" s="2172"/>
      <c r="O321" s="2172"/>
      <c r="P321" s="2172"/>
      <c r="Q321" s="2172"/>
      <c r="R321" s="2172"/>
      <c r="S321" s="2172"/>
      <c r="T321" s="2172"/>
      <c r="U321" s="2414"/>
      <c r="V321" s="2182"/>
    </row>
    <row r="322" spans="1:22">
      <c r="A322" s="2164"/>
      <c r="B322" s="2167"/>
      <c r="C322" s="2173" t="s">
        <v>1215</v>
      </c>
      <c r="D322" s="1236" t="s">
        <v>1216</v>
      </c>
      <c r="E322" s="2170"/>
      <c r="F322" s="2179"/>
      <c r="G322" s="2179"/>
      <c r="H322" s="2179"/>
      <c r="I322" s="2179"/>
      <c r="J322" s="2179"/>
      <c r="K322" s="2179"/>
      <c r="L322" s="2172"/>
      <c r="M322" s="2172"/>
      <c r="N322" s="2172"/>
      <c r="O322" s="2172"/>
      <c r="P322" s="2172"/>
      <c r="Q322" s="2172"/>
      <c r="R322" s="2172"/>
      <c r="S322" s="2172"/>
      <c r="T322" s="2172"/>
      <c r="U322" s="2414"/>
      <c r="V322" s="2182"/>
    </row>
    <row r="323" spans="1:22">
      <c r="A323" s="2164"/>
      <c r="B323" s="2167"/>
      <c r="C323" s="2174"/>
      <c r="D323" s="1237" t="s">
        <v>1217</v>
      </c>
      <c r="E323" s="2170"/>
      <c r="F323" s="2179"/>
      <c r="G323" s="2179"/>
      <c r="H323" s="2179"/>
      <c r="I323" s="2179"/>
      <c r="J323" s="2179"/>
      <c r="K323" s="2179"/>
      <c r="L323" s="2187"/>
      <c r="M323" s="2187"/>
      <c r="N323" s="2187"/>
      <c r="O323" s="2187"/>
      <c r="P323" s="2187"/>
      <c r="Q323" s="2187"/>
      <c r="R323" s="2187"/>
      <c r="S323" s="2187"/>
      <c r="T323" s="2187"/>
      <c r="U323" s="2415"/>
      <c r="V323" s="2416"/>
    </row>
    <row r="324" spans="1:22">
      <c r="A324" s="2164"/>
      <c r="B324" s="2166" t="s">
        <v>1199</v>
      </c>
      <c r="C324" s="2168" t="s">
        <v>1212</v>
      </c>
      <c r="D324" s="1235" t="s">
        <v>1213</v>
      </c>
      <c r="E324" s="2170"/>
      <c r="F324" s="2179"/>
      <c r="G324" s="2179"/>
      <c r="H324" s="2179"/>
      <c r="I324" s="2179"/>
      <c r="J324" s="2179"/>
      <c r="K324" s="2179"/>
      <c r="L324" s="2179"/>
      <c r="M324" s="2171">
        <v>0.96</v>
      </c>
      <c r="N324" s="2171">
        <v>0.89280000000000004</v>
      </c>
      <c r="O324" s="2171">
        <v>0.87494400000000006</v>
      </c>
      <c r="P324" s="2171">
        <v>0.85744512000000006</v>
      </c>
      <c r="Q324" s="2171">
        <v>0.84029621760000006</v>
      </c>
      <c r="R324" s="2171">
        <v>0.82349029324800005</v>
      </c>
      <c r="S324" s="2171">
        <v>0.81525539031552008</v>
      </c>
      <c r="T324" s="2171">
        <v>0.80710283641236491</v>
      </c>
      <c r="U324" s="2413">
        <v>0.79903180804824125</v>
      </c>
      <c r="V324" s="2181">
        <v>0.7910414899677588</v>
      </c>
    </row>
    <row r="325" spans="1:22">
      <c r="A325" s="2164"/>
      <c r="B325" s="2167"/>
      <c r="C325" s="2169"/>
      <c r="D325" s="1236" t="s">
        <v>1214</v>
      </c>
      <c r="E325" s="2170"/>
      <c r="F325" s="2179"/>
      <c r="G325" s="2179"/>
      <c r="H325" s="2179"/>
      <c r="I325" s="2179"/>
      <c r="J325" s="2179"/>
      <c r="K325" s="2179"/>
      <c r="L325" s="2179"/>
      <c r="M325" s="2172"/>
      <c r="N325" s="2172"/>
      <c r="O325" s="2172"/>
      <c r="P325" s="2172"/>
      <c r="Q325" s="2172"/>
      <c r="R325" s="2172"/>
      <c r="S325" s="2172"/>
      <c r="T325" s="2172"/>
      <c r="U325" s="2414"/>
      <c r="V325" s="2182"/>
    </row>
    <row r="326" spans="1:22">
      <c r="A326" s="2164"/>
      <c r="B326" s="2167"/>
      <c r="C326" s="2173" t="s">
        <v>1215</v>
      </c>
      <c r="D326" s="1236" t="s">
        <v>1216</v>
      </c>
      <c r="E326" s="2170"/>
      <c r="F326" s="2179"/>
      <c r="G326" s="2179"/>
      <c r="H326" s="2179"/>
      <c r="I326" s="2179"/>
      <c r="J326" s="2179"/>
      <c r="K326" s="2179"/>
      <c r="L326" s="2179"/>
      <c r="M326" s="2172"/>
      <c r="N326" s="2172"/>
      <c r="O326" s="2172"/>
      <c r="P326" s="2172"/>
      <c r="Q326" s="2172"/>
      <c r="R326" s="2172"/>
      <c r="S326" s="2172"/>
      <c r="T326" s="2172"/>
      <c r="U326" s="2414"/>
      <c r="V326" s="2182"/>
    </row>
    <row r="327" spans="1:22">
      <c r="A327" s="2164"/>
      <c r="B327" s="2167"/>
      <c r="C327" s="2174"/>
      <c r="D327" s="1237" t="s">
        <v>1217</v>
      </c>
      <c r="E327" s="2170"/>
      <c r="F327" s="2179"/>
      <c r="G327" s="2179"/>
      <c r="H327" s="2179"/>
      <c r="I327" s="2179"/>
      <c r="J327" s="2179"/>
      <c r="K327" s="2179"/>
      <c r="L327" s="2179"/>
      <c r="M327" s="2187"/>
      <c r="N327" s="2187"/>
      <c r="O327" s="2187"/>
      <c r="P327" s="2187"/>
      <c r="Q327" s="2187"/>
      <c r="R327" s="2187"/>
      <c r="S327" s="2187"/>
      <c r="T327" s="2187"/>
      <c r="U327" s="2415"/>
      <c r="V327" s="2416"/>
    </row>
    <row r="328" spans="1:22">
      <c r="A328" s="2164"/>
      <c r="B328" s="2166" t="s">
        <v>1200</v>
      </c>
      <c r="C328" s="2168" t="s">
        <v>1212</v>
      </c>
      <c r="D328" s="1235" t="s">
        <v>1213</v>
      </c>
      <c r="E328" s="2170"/>
      <c r="F328" s="2179"/>
      <c r="G328" s="2179"/>
      <c r="H328" s="2179"/>
      <c r="I328" s="2179"/>
      <c r="J328" s="2179"/>
      <c r="K328" s="2179"/>
      <c r="L328" s="2179"/>
      <c r="M328" s="2179"/>
      <c r="N328" s="2171">
        <v>0.93</v>
      </c>
      <c r="O328" s="2171">
        <v>0.91139999999999999</v>
      </c>
      <c r="P328" s="2171">
        <v>0.89317199999999997</v>
      </c>
      <c r="Q328" s="2171">
        <v>0.8753085599999999</v>
      </c>
      <c r="R328" s="2171">
        <v>0.85780238879999993</v>
      </c>
      <c r="S328" s="2171">
        <v>0.84922436491199993</v>
      </c>
      <c r="T328" s="2171">
        <v>0.84073212126287988</v>
      </c>
      <c r="U328" s="2413">
        <v>0.83232480005025111</v>
      </c>
      <c r="V328" s="2181">
        <v>0.82400155204974856</v>
      </c>
    </row>
    <row r="329" spans="1:22">
      <c r="A329" s="2164"/>
      <c r="B329" s="2167"/>
      <c r="C329" s="2169"/>
      <c r="D329" s="1236" t="s">
        <v>1214</v>
      </c>
      <c r="E329" s="2170"/>
      <c r="F329" s="2179"/>
      <c r="G329" s="2179"/>
      <c r="H329" s="2179"/>
      <c r="I329" s="2179"/>
      <c r="J329" s="2179"/>
      <c r="K329" s="2179"/>
      <c r="L329" s="2179"/>
      <c r="M329" s="2179"/>
      <c r="N329" s="2172"/>
      <c r="O329" s="2172"/>
      <c r="P329" s="2172"/>
      <c r="Q329" s="2172"/>
      <c r="R329" s="2172"/>
      <c r="S329" s="2172"/>
      <c r="T329" s="2172"/>
      <c r="U329" s="2414"/>
      <c r="V329" s="2182"/>
    </row>
    <row r="330" spans="1:22">
      <c r="A330" s="2164"/>
      <c r="B330" s="2167"/>
      <c r="C330" s="2173" t="s">
        <v>1215</v>
      </c>
      <c r="D330" s="1236" t="s">
        <v>1216</v>
      </c>
      <c r="E330" s="2170"/>
      <c r="F330" s="2179"/>
      <c r="G330" s="2179"/>
      <c r="H330" s="2179"/>
      <c r="I330" s="2179"/>
      <c r="J330" s="2179"/>
      <c r="K330" s="2179"/>
      <c r="L330" s="2179"/>
      <c r="M330" s="2179"/>
      <c r="N330" s="2172"/>
      <c r="O330" s="2172"/>
      <c r="P330" s="2172"/>
      <c r="Q330" s="2172"/>
      <c r="R330" s="2172"/>
      <c r="S330" s="2172"/>
      <c r="T330" s="2172"/>
      <c r="U330" s="2414"/>
      <c r="V330" s="2182"/>
    </row>
    <row r="331" spans="1:22">
      <c r="A331" s="2164"/>
      <c r="B331" s="2167"/>
      <c r="C331" s="2174"/>
      <c r="D331" s="1237" t="s">
        <v>1217</v>
      </c>
      <c r="E331" s="2170"/>
      <c r="F331" s="2179"/>
      <c r="G331" s="2179"/>
      <c r="H331" s="2179"/>
      <c r="I331" s="2179"/>
      <c r="J331" s="2179"/>
      <c r="K331" s="2179"/>
      <c r="L331" s="2179"/>
      <c r="M331" s="2179"/>
      <c r="N331" s="2187"/>
      <c r="O331" s="2187"/>
      <c r="P331" s="2187"/>
      <c r="Q331" s="2187"/>
      <c r="R331" s="2187"/>
      <c r="S331" s="2187"/>
      <c r="T331" s="2187"/>
      <c r="U331" s="2415"/>
      <c r="V331" s="2416"/>
    </row>
    <row r="332" spans="1:22">
      <c r="A332" s="2164"/>
      <c r="B332" s="2175" t="s">
        <v>1201</v>
      </c>
      <c r="C332" s="2168" t="s">
        <v>1212</v>
      </c>
      <c r="D332" s="1235" t="s">
        <v>1213</v>
      </c>
      <c r="E332" s="2170"/>
      <c r="F332" s="2179"/>
      <c r="G332" s="2179"/>
      <c r="H332" s="2179"/>
      <c r="I332" s="2179"/>
      <c r="J332" s="2179"/>
      <c r="K332" s="2179"/>
      <c r="L332" s="2179"/>
      <c r="M332" s="2179"/>
      <c r="N332" s="2179"/>
      <c r="O332" s="2171">
        <v>0.98</v>
      </c>
      <c r="P332" s="2171">
        <v>0.96039999999999992</v>
      </c>
      <c r="Q332" s="2171">
        <v>0.94119199999999992</v>
      </c>
      <c r="R332" s="2171">
        <v>0.92236815999999988</v>
      </c>
      <c r="S332" s="2171">
        <v>0.9131444783999999</v>
      </c>
      <c r="T332" s="2171">
        <v>0.90401303361599994</v>
      </c>
      <c r="U332" s="2413">
        <v>0.89497290327983992</v>
      </c>
      <c r="V332" s="2181">
        <v>0.88602317424704147</v>
      </c>
    </row>
    <row r="333" spans="1:22">
      <c r="A333" s="2164"/>
      <c r="B333" s="2167"/>
      <c r="C333" s="2169"/>
      <c r="D333" s="1236" t="s">
        <v>1214</v>
      </c>
      <c r="E333" s="2170"/>
      <c r="F333" s="2179"/>
      <c r="G333" s="2179"/>
      <c r="H333" s="2179"/>
      <c r="I333" s="2179"/>
      <c r="J333" s="2179"/>
      <c r="K333" s="2179"/>
      <c r="L333" s="2179"/>
      <c r="M333" s="2179"/>
      <c r="N333" s="2179"/>
      <c r="O333" s="2172"/>
      <c r="P333" s="2172"/>
      <c r="Q333" s="2172"/>
      <c r="R333" s="2172"/>
      <c r="S333" s="2172"/>
      <c r="T333" s="2172"/>
      <c r="U333" s="2414"/>
      <c r="V333" s="2182"/>
    </row>
    <row r="334" spans="1:22">
      <c r="A334" s="2164"/>
      <c r="B334" s="2167"/>
      <c r="C334" s="2173" t="s">
        <v>1215</v>
      </c>
      <c r="D334" s="1236" t="s">
        <v>1216</v>
      </c>
      <c r="E334" s="2170"/>
      <c r="F334" s="2179"/>
      <c r="G334" s="2179"/>
      <c r="H334" s="2179"/>
      <c r="I334" s="2179"/>
      <c r="J334" s="2179"/>
      <c r="K334" s="2179"/>
      <c r="L334" s="2179"/>
      <c r="M334" s="2179"/>
      <c r="N334" s="2179"/>
      <c r="O334" s="2172"/>
      <c r="P334" s="2172"/>
      <c r="Q334" s="2172"/>
      <c r="R334" s="2172"/>
      <c r="S334" s="2172"/>
      <c r="T334" s="2172"/>
      <c r="U334" s="2414"/>
      <c r="V334" s="2182"/>
    </row>
    <row r="335" spans="1:22">
      <c r="A335" s="2164"/>
      <c r="B335" s="2167"/>
      <c r="C335" s="2174"/>
      <c r="D335" s="1237" t="s">
        <v>1217</v>
      </c>
      <c r="E335" s="2170"/>
      <c r="F335" s="2179"/>
      <c r="G335" s="2179"/>
      <c r="H335" s="2179"/>
      <c r="I335" s="2179"/>
      <c r="J335" s="2179"/>
      <c r="K335" s="2179"/>
      <c r="L335" s="2179"/>
      <c r="M335" s="2179"/>
      <c r="N335" s="2179"/>
      <c r="O335" s="2187"/>
      <c r="P335" s="2187"/>
      <c r="Q335" s="2187"/>
      <c r="R335" s="2187"/>
      <c r="S335" s="2187"/>
      <c r="T335" s="2187"/>
      <c r="U335" s="2415"/>
      <c r="V335" s="2416"/>
    </row>
    <row r="336" spans="1:22">
      <c r="A336" s="2164"/>
      <c r="B336" s="2166" t="s">
        <v>1202</v>
      </c>
      <c r="C336" s="2168" t="s">
        <v>1212</v>
      </c>
      <c r="D336" s="1235" t="s">
        <v>1213</v>
      </c>
      <c r="E336" s="2170"/>
      <c r="F336" s="2179"/>
      <c r="G336" s="2179"/>
      <c r="H336" s="2179"/>
      <c r="I336" s="2179"/>
      <c r="J336" s="2179"/>
      <c r="K336" s="2179"/>
      <c r="L336" s="2179"/>
      <c r="M336" s="2179"/>
      <c r="N336" s="2179"/>
      <c r="O336" s="2179"/>
      <c r="P336" s="2171">
        <v>0.98</v>
      </c>
      <c r="Q336" s="2171">
        <v>0.96039999999999992</v>
      </c>
      <c r="R336" s="2171">
        <v>0.94119199999999992</v>
      </c>
      <c r="S336" s="2171">
        <v>0.9317800799999999</v>
      </c>
      <c r="T336" s="2171">
        <v>0.9224622791999999</v>
      </c>
      <c r="U336" s="2413">
        <v>0.91323765640799992</v>
      </c>
      <c r="V336" s="2181">
        <v>0.90410527984391986</v>
      </c>
    </row>
    <row r="337" spans="1:22">
      <c r="A337" s="2164"/>
      <c r="B337" s="2167"/>
      <c r="C337" s="2169"/>
      <c r="D337" s="1236" t="s">
        <v>1214</v>
      </c>
      <c r="E337" s="2170"/>
      <c r="F337" s="2179"/>
      <c r="G337" s="2179"/>
      <c r="H337" s="2179"/>
      <c r="I337" s="2179"/>
      <c r="J337" s="2179"/>
      <c r="K337" s="2179"/>
      <c r="L337" s="2179"/>
      <c r="M337" s="2179"/>
      <c r="N337" s="2179"/>
      <c r="O337" s="2179"/>
      <c r="P337" s="2172"/>
      <c r="Q337" s="2172"/>
      <c r="R337" s="2172"/>
      <c r="S337" s="2172"/>
      <c r="T337" s="2172"/>
      <c r="U337" s="2414"/>
      <c r="V337" s="2182"/>
    </row>
    <row r="338" spans="1:22">
      <c r="A338" s="2164"/>
      <c r="B338" s="2167"/>
      <c r="C338" s="2173" t="s">
        <v>1215</v>
      </c>
      <c r="D338" s="1236" t="s">
        <v>1216</v>
      </c>
      <c r="E338" s="2170"/>
      <c r="F338" s="2179"/>
      <c r="G338" s="2179"/>
      <c r="H338" s="2179"/>
      <c r="I338" s="2179"/>
      <c r="J338" s="2179"/>
      <c r="K338" s="2179"/>
      <c r="L338" s="2179"/>
      <c r="M338" s="2179"/>
      <c r="N338" s="2179"/>
      <c r="O338" s="2179"/>
      <c r="P338" s="2172"/>
      <c r="Q338" s="2172"/>
      <c r="R338" s="2172"/>
      <c r="S338" s="2172"/>
      <c r="T338" s="2172"/>
      <c r="U338" s="2414"/>
      <c r="V338" s="2182"/>
    </row>
    <row r="339" spans="1:22">
      <c r="A339" s="2164"/>
      <c r="B339" s="2167"/>
      <c r="C339" s="2174"/>
      <c r="D339" s="1237" t="s">
        <v>1217</v>
      </c>
      <c r="E339" s="2170"/>
      <c r="F339" s="2179"/>
      <c r="G339" s="2179"/>
      <c r="H339" s="2179"/>
      <c r="I339" s="2179"/>
      <c r="J339" s="2179"/>
      <c r="K339" s="2179"/>
      <c r="L339" s="2179"/>
      <c r="M339" s="2179"/>
      <c r="N339" s="2179"/>
      <c r="O339" s="2179"/>
      <c r="P339" s="2187"/>
      <c r="Q339" s="2187"/>
      <c r="R339" s="2187"/>
      <c r="S339" s="2187"/>
      <c r="T339" s="2187"/>
      <c r="U339" s="2415"/>
      <c r="V339" s="2416"/>
    </row>
    <row r="340" spans="1:22">
      <c r="A340" s="2164"/>
      <c r="B340" s="2166" t="s">
        <v>1203</v>
      </c>
      <c r="C340" s="2168" t="s">
        <v>1212</v>
      </c>
      <c r="D340" s="1235" t="s">
        <v>1213</v>
      </c>
      <c r="E340" s="2170"/>
      <c r="F340" s="2179"/>
      <c r="G340" s="2179"/>
      <c r="H340" s="2179"/>
      <c r="I340" s="2179"/>
      <c r="J340" s="2179"/>
      <c r="K340" s="2179"/>
      <c r="L340" s="2179"/>
      <c r="M340" s="2179"/>
      <c r="N340" s="2179"/>
      <c r="O340" s="2179"/>
      <c r="P340" s="2179"/>
      <c r="Q340" s="2171">
        <v>0.98</v>
      </c>
      <c r="R340" s="2171">
        <v>0.96039999999999992</v>
      </c>
      <c r="S340" s="2171">
        <v>0.95079599999999986</v>
      </c>
      <c r="T340" s="2171">
        <v>0.94128803999999988</v>
      </c>
      <c r="U340" s="2413">
        <v>0.93187515959999989</v>
      </c>
      <c r="V340" s="2181">
        <v>0.92255640800399985</v>
      </c>
    </row>
    <row r="341" spans="1:22">
      <c r="A341" s="2164"/>
      <c r="B341" s="2167"/>
      <c r="C341" s="2169"/>
      <c r="D341" s="1236" t="s">
        <v>1214</v>
      </c>
      <c r="E341" s="2170"/>
      <c r="F341" s="2179"/>
      <c r="G341" s="2179"/>
      <c r="H341" s="2179"/>
      <c r="I341" s="2179"/>
      <c r="J341" s="2179"/>
      <c r="K341" s="2179"/>
      <c r="L341" s="2179"/>
      <c r="M341" s="2179"/>
      <c r="N341" s="2179"/>
      <c r="O341" s="2179"/>
      <c r="P341" s="2179"/>
      <c r="Q341" s="2172"/>
      <c r="R341" s="2172"/>
      <c r="S341" s="2172"/>
      <c r="T341" s="2172"/>
      <c r="U341" s="2414"/>
      <c r="V341" s="2182"/>
    </row>
    <row r="342" spans="1:22">
      <c r="A342" s="2164"/>
      <c r="B342" s="2167"/>
      <c r="C342" s="2173" t="s">
        <v>1215</v>
      </c>
      <c r="D342" s="1236" t="s">
        <v>1216</v>
      </c>
      <c r="E342" s="2170"/>
      <c r="F342" s="2179"/>
      <c r="G342" s="2179"/>
      <c r="H342" s="2179"/>
      <c r="I342" s="2179"/>
      <c r="J342" s="2179"/>
      <c r="K342" s="2179"/>
      <c r="L342" s="2179"/>
      <c r="M342" s="2179"/>
      <c r="N342" s="2179"/>
      <c r="O342" s="2179"/>
      <c r="P342" s="2179"/>
      <c r="Q342" s="2172"/>
      <c r="R342" s="2172"/>
      <c r="S342" s="2172"/>
      <c r="T342" s="2172"/>
      <c r="U342" s="2414"/>
      <c r="V342" s="2182"/>
    </row>
    <row r="343" spans="1:22">
      <c r="A343" s="2164"/>
      <c r="B343" s="2167"/>
      <c r="C343" s="2174"/>
      <c r="D343" s="1237" t="s">
        <v>1217</v>
      </c>
      <c r="E343" s="2170"/>
      <c r="F343" s="2179"/>
      <c r="G343" s="2179"/>
      <c r="H343" s="2179"/>
      <c r="I343" s="2179"/>
      <c r="J343" s="2179"/>
      <c r="K343" s="2179"/>
      <c r="L343" s="2179"/>
      <c r="M343" s="2179"/>
      <c r="N343" s="2179"/>
      <c r="O343" s="2179"/>
      <c r="P343" s="2179"/>
      <c r="Q343" s="2187"/>
      <c r="R343" s="2187"/>
      <c r="S343" s="2187"/>
      <c r="T343" s="2187"/>
      <c r="U343" s="2415"/>
      <c r="V343" s="2416"/>
    </row>
    <row r="344" spans="1:22">
      <c r="A344" s="2164"/>
      <c r="B344" s="2166" t="s">
        <v>1204</v>
      </c>
      <c r="C344" s="2168" t="s">
        <v>1212</v>
      </c>
      <c r="D344" s="1235" t="s">
        <v>1213</v>
      </c>
      <c r="E344" s="2170"/>
      <c r="F344" s="2179"/>
      <c r="G344" s="2179"/>
      <c r="H344" s="2179"/>
      <c r="I344" s="2179"/>
      <c r="J344" s="2179"/>
      <c r="K344" s="2179"/>
      <c r="L344" s="2179"/>
      <c r="M344" s="2179"/>
      <c r="N344" s="2179"/>
      <c r="O344" s="2179"/>
      <c r="P344" s="2179"/>
      <c r="Q344" s="2179"/>
      <c r="R344" s="2171">
        <v>0.98</v>
      </c>
      <c r="S344" s="2171">
        <v>0.97019999999999995</v>
      </c>
      <c r="T344" s="2171">
        <v>0.96049799999999996</v>
      </c>
      <c r="U344" s="2413">
        <v>0.95089301999999998</v>
      </c>
      <c r="V344" s="2181">
        <v>0.94138408979999999</v>
      </c>
    </row>
    <row r="345" spans="1:22">
      <c r="A345" s="2164"/>
      <c r="B345" s="2167"/>
      <c r="C345" s="2169"/>
      <c r="D345" s="1236" t="s">
        <v>1214</v>
      </c>
      <c r="E345" s="2170"/>
      <c r="F345" s="2179"/>
      <c r="G345" s="2179"/>
      <c r="H345" s="2179"/>
      <c r="I345" s="2179"/>
      <c r="J345" s="2179"/>
      <c r="K345" s="2179"/>
      <c r="L345" s="2179"/>
      <c r="M345" s="2179"/>
      <c r="N345" s="2179"/>
      <c r="O345" s="2179"/>
      <c r="P345" s="2179"/>
      <c r="Q345" s="2179"/>
      <c r="R345" s="2172"/>
      <c r="S345" s="2172"/>
      <c r="T345" s="2172"/>
      <c r="U345" s="2414"/>
      <c r="V345" s="2182"/>
    </row>
    <row r="346" spans="1:22">
      <c r="A346" s="2164"/>
      <c r="B346" s="2167"/>
      <c r="C346" s="2173" t="s">
        <v>1215</v>
      </c>
      <c r="D346" s="1236" t="s">
        <v>1216</v>
      </c>
      <c r="E346" s="2170"/>
      <c r="F346" s="2179"/>
      <c r="G346" s="2179"/>
      <c r="H346" s="2179"/>
      <c r="I346" s="2179"/>
      <c r="J346" s="2179"/>
      <c r="K346" s="2179"/>
      <c r="L346" s="2179"/>
      <c r="M346" s="2179"/>
      <c r="N346" s="2179"/>
      <c r="O346" s="2179"/>
      <c r="P346" s="2179"/>
      <c r="Q346" s="2179"/>
      <c r="R346" s="2172"/>
      <c r="S346" s="2172"/>
      <c r="T346" s="2172"/>
      <c r="U346" s="2414"/>
      <c r="V346" s="2182"/>
    </row>
    <row r="347" spans="1:22">
      <c r="A347" s="2164"/>
      <c r="B347" s="2167"/>
      <c r="C347" s="2174"/>
      <c r="D347" s="1237" t="s">
        <v>1217</v>
      </c>
      <c r="E347" s="2170"/>
      <c r="F347" s="2179"/>
      <c r="G347" s="2179"/>
      <c r="H347" s="2179"/>
      <c r="I347" s="2179"/>
      <c r="J347" s="2179"/>
      <c r="K347" s="2179"/>
      <c r="L347" s="2179"/>
      <c r="M347" s="2179"/>
      <c r="N347" s="2179"/>
      <c r="O347" s="2179"/>
      <c r="P347" s="2179"/>
      <c r="Q347" s="2179"/>
      <c r="R347" s="2187"/>
      <c r="S347" s="2187"/>
      <c r="T347" s="2187"/>
      <c r="U347" s="2415"/>
      <c r="V347" s="2416"/>
    </row>
    <row r="348" spans="1:22">
      <c r="A348" s="2164"/>
      <c r="B348" s="2166" t="s">
        <v>1205</v>
      </c>
      <c r="C348" s="2168" t="s">
        <v>1212</v>
      </c>
      <c r="D348" s="1235" t="s">
        <v>1213</v>
      </c>
      <c r="E348" s="2170"/>
      <c r="F348" s="2179"/>
      <c r="G348" s="2179"/>
      <c r="H348" s="2179"/>
      <c r="I348" s="2179"/>
      <c r="J348" s="2179"/>
      <c r="K348" s="2179"/>
      <c r="L348" s="2179"/>
      <c r="M348" s="2179"/>
      <c r="N348" s="2179"/>
      <c r="O348" s="2179"/>
      <c r="P348" s="2179"/>
      <c r="Q348" s="2179"/>
      <c r="R348" s="2179"/>
      <c r="S348" s="2171">
        <v>0.99</v>
      </c>
      <c r="T348" s="2171">
        <v>0.98009999999999997</v>
      </c>
      <c r="U348" s="2413">
        <v>0.97029899999999991</v>
      </c>
      <c r="V348" s="2181">
        <v>0.96059600999999994</v>
      </c>
    </row>
    <row r="349" spans="1:22">
      <c r="A349" s="2164"/>
      <c r="B349" s="2167"/>
      <c r="C349" s="2169"/>
      <c r="D349" s="1236" t="s">
        <v>1214</v>
      </c>
      <c r="E349" s="2170"/>
      <c r="F349" s="2179"/>
      <c r="G349" s="2179"/>
      <c r="H349" s="2179"/>
      <c r="I349" s="2179"/>
      <c r="J349" s="2179"/>
      <c r="K349" s="2179"/>
      <c r="L349" s="2179"/>
      <c r="M349" s="2179"/>
      <c r="N349" s="2179"/>
      <c r="O349" s="2179"/>
      <c r="P349" s="2179"/>
      <c r="Q349" s="2179"/>
      <c r="R349" s="2179"/>
      <c r="S349" s="2172"/>
      <c r="T349" s="2172"/>
      <c r="U349" s="2414"/>
      <c r="V349" s="2182"/>
    </row>
    <row r="350" spans="1:22">
      <c r="A350" s="2164"/>
      <c r="B350" s="2167"/>
      <c r="C350" s="2173" t="s">
        <v>1215</v>
      </c>
      <c r="D350" s="1236" t="s">
        <v>1216</v>
      </c>
      <c r="E350" s="2170"/>
      <c r="F350" s="2179"/>
      <c r="G350" s="2179"/>
      <c r="H350" s="2179"/>
      <c r="I350" s="2179"/>
      <c r="J350" s="2179"/>
      <c r="K350" s="2179"/>
      <c r="L350" s="2179"/>
      <c r="M350" s="2179"/>
      <c r="N350" s="2179"/>
      <c r="O350" s="2179"/>
      <c r="P350" s="2179"/>
      <c r="Q350" s="2179"/>
      <c r="R350" s="2179"/>
      <c r="S350" s="2172"/>
      <c r="T350" s="2172"/>
      <c r="U350" s="2414"/>
      <c r="V350" s="2182"/>
    </row>
    <row r="351" spans="1:22">
      <c r="A351" s="2164"/>
      <c r="B351" s="2167"/>
      <c r="C351" s="2174"/>
      <c r="D351" s="1237" t="s">
        <v>1217</v>
      </c>
      <c r="E351" s="2170"/>
      <c r="F351" s="2179"/>
      <c r="G351" s="2179"/>
      <c r="H351" s="2179"/>
      <c r="I351" s="2179"/>
      <c r="J351" s="2179"/>
      <c r="K351" s="2179"/>
      <c r="L351" s="2179"/>
      <c r="M351" s="2179"/>
      <c r="N351" s="2179"/>
      <c r="O351" s="2179"/>
      <c r="P351" s="2179"/>
      <c r="Q351" s="2179"/>
      <c r="R351" s="2179"/>
      <c r="S351" s="2187"/>
      <c r="T351" s="2187"/>
      <c r="U351" s="2415"/>
      <c r="V351" s="2416"/>
    </row>
    <row r="352" spans="1:22">
      <c r="A352" s="2164"/>
      <c r="B352" s="2175" t="s">
        <v>1206</v>
      </c>
      <c r="C352" s="2168" t="s">
        <v>1212</v>
      </c>
      <c r="D352" s="1235" t="s">
        <v>1213</v>
      </c>
      <c r="E352" s="2170"/>
      <c r="F352" s="2179"/>
      <c r="G352" s="2179"/>
      <c r="H352" s="2179"/>
      <c r="I352" s="2179"/>
      <c r="J352" s="2179"/>
      <c r="K352" s="2179"/>
      <c r="L352" s="2179"/>
      <c r="M352" s="2179"/>
      <c r="N352" s="2179"/>
      <c r="O352" s="2179"/>
      <c r="P352" s="2179"/>
      <c r="Q352" s="2179"/>
      <c r="R352" s="2179"/>
      <c r="S352" s="2179"/>
      <c r="T352" s="2171">
        <v>0.99</v>
      </c>
      <c r="U352" s="2413">
        <v>0.98009999999999997</v>
      </c>
      <c r="V352" s="2181">
        <v>0.97029899999999991</v>
      </c>
    </row>
    <row r="353" spans="1:22">
      <c r="A353" s="2164"/>
      <c r="B353" s="2167"/>
      <c r="C353" s="2169"/>
      <c r="D353" s="1236" t="s">
        <v>1214</v>
      </c>
      <c r="E353" s="2170"/>
      <c r="F353" s="2179"/>
      <c r="G353" s="2179"/>
      <c r="H353" s="2179"/>
      <c r="I353" s="2179"/>
      <c r="J353" s="2179"/>
      <c r="K353" s="2179"/>
      <c r="L353" s="2179"/>
      <c r="M353" s="2179"/>
      <c r="N353" s="2179"/>
      <c r="O353" s="2179"/>
      <c r="P353" s="2179"/>
      <c r="Q353" s="2179"/>
      <c r="R353" s="2179"/>
      <c r="S353" s="2179"/>
      <c r="T353" s="2172"/>
      <c r="U353" s="2414"/>
      <c r="V353" s="2182"/>
    </row>
    <row r="354" spans="1:22">
      <c r="A354" s="2164"/>
      <c r="B354" s="2167"/>
      <c r="C354" s="2173" t="s">
        <v>1215</v>
      </c>
      <c r="D354" s="1236" t="s">
        <v>1216</v>
      </c>
      <c r="E354" s="2170"/>
      <c r="F354" s="2179"/>
      <c r="G354" s="2179"/>
      <c r="H354" s="2179"/>
      <c r="I354" s="2179"/>
      <c r="J354" s="2179"/>
      <c r="K354" s="2179"/>
      <c r="L354" s="2179"/>
      <c r="M354" s="2179"/>
      <c r="N354" s="2179"/>
      <c r="O354" s="2179"/>
      <c r="P354" s="2179"/>
      <c r="Q354" s="2179"/>
      <c r="R354" s="2179"/>
      <c r="S354" s="2179"/>
      <c r="T354" s="2172"/>
      <c r="U354" s="2414"/>
      <c r="V354" s="2182"/>
    </row>
    <row r="355" spans="1:22">
      <c r="A355" s="2164"/>
      <c r="B355" s="2167"/>
      <c r="C355" s="2174"/>
      <c r="D355" s="1237" t="s">
        <v>1217</v>
      </c>
      <c r="E355" s="2170"/>
      <c r="F355" s="2179"/>
      <c r="G355" s="2179"/>
      <c r="H355" s="2179"/>
      <c r="I355" s="2179"/>
      <c r="J355" s="2179"/>
      <c r="K355" s="2179"/>
      <c r="L355" s="2179"/>
      <c r="M355" s="2179"/>
      <c r="N355" s="2179"/>
      <c r="O355" s="2179"/>
      <c r="P355" s="2179"/>
      <c r="Q355" s="2179"/>
      <c r="R355" s="2179"/>
      <c r="S355" s="2179"/>
      <c r="T355" s="2187"/>
      <c r="U355" s="2415"/>
      <c r="V355" s="2416"/>
    </row>
    <row r="356" spans="1:22">
      <c r="A356" s="2164"/>
      <c r="B356" s="2166" t="s">
        <v>1207</v>
      </c>
      <c r="C356" s="2168" t="s">
        <v>1212</v>
      </c>
      <c r="D356" s="1235" t="s">
        <v>1213</v>
      </c>
      <c r="E356" s="2170"/>
      <c r="F356" s="2179"/>
      <c r="G356" s="2179"/>
      <c r="H356" s="2179"/>
      <c r="I356" s="2179"/>
      <c r="J356" s="2179"/>
      <c r="K356" s="2179"/>
      <c r="L356" s="2179"/>
      <c r="M356" s="2179"/>
      <c r="N356" s="2179"/>
      <c r="O356" s="2179"/>
      <c r="P356" s="2179"/>
      <c r="Q356" s="2179"/>
      <c r="R356" s="2179"/>
      <c r="S356" s="2179"/>
      <c r="T356" s="2179"/>
      <c r="U356" s="2413">
        <v>0.99</v>
      </c>
      <c r="V356" s="2181">
        <v>0.98009999999999997</v>
      </c>
    </row>
    <row r="357" spans="1:22">
      <c r="A357" s="2164"/>
      <c r="B357" s="2167"/>
      <c r="C357" s="2169"/>
      <c r="D357" s="1236" t="s">
        <v>1214</v>
      </c>
      <c r="E357" s="2170"/>
      <c r="F357" s="2179"/>
      <c r="G357" s="2179"/>
      <c r="H357" s="2179"/>
      <c r="I357" s="2179"/>
      <c r="J357" s="2179"/>
      <c r="K357" s="2179"/>
      <c r="L357" s="2179"/>
      <c r="M357" s="2179"/>
      <c r="N357" s="2179"/>
      <c r="O357" s="2179"/>
      <c r="P357" s="2179"/>
      <c r="Q357" s="2179"/>
      <c r="R357" s="2179"/>
      <c r="S357" s="2179"/>
      <c r="T357" s="2179"/>
      <c r="U357" s="2414"/>
      <c r="V357" s="2182"/>
    </row>
    <row r="358" spans="1:22">
      <c r="A358" s="2164"/>
      <c r="B358" s="2167"/>
      <c r="C358" s="2173" t="s">
        <v>1215</v>
      </c>
      <c r="D358" s="1236" t="s">
        <v>1216</v>
      </c>
      <c r="E358" s="2170"/>
      <c r="F358" s="2179"/>
      <c r="G358" s="2179"/>
      <c r="H358" s="2179"/>
      <c r="I358" s="2179"/>
      <c r="J358" s="2179"/>
      <c r="K358" s="2179"/>
      <c r="L358" s="2179"/>
      <c r="M358" s="2179"/>
      <c r="N358" s="2179"/>
      <c r="O358" s="2179"/>
      <c r="P358" s="2179"/>
      <c r="Q358" s="2179"/>
      <c r="R358" s="2179"/>
      <c r="S358" s="2179"/>
      <c r="T358" s="2179"/>
      <c r="U358" s="2414"/>
      <c r="V358" s="2182"/>
    </row>
    <row r="359" spans="1:22">
      <c r="A359" s="2164"/>
      <c r="B359" s="2167"/>
      <c r="C359" s="2174"/>
      <c r="D359" s="1237" t="s">
        <v>1217</v>
      </c>
      <c r="E359" s="2170"/>
      <c r="F359" s="2179"/>
      <c r="G359" s="2179"/>
      <c r="H359" s="2179"/>
      <c r="I359" s="2179"/>
      <c r="J359" s="2179"/>
      <c r="K359" s="2179"/>
      <c r="L359" s="2179"/>
      <c r="M359" s="2179"/>
      <c r="N359" s="2179"/>
      <c r="O359" s="2179"/>
      <c r="P359" s="2179"/>
      <c r="Q359" s="2179"/>
      <c r="R359" s="2179"/>
      <c r="S359" s="2179"/>
      <c r="T359" s="2179"/>
      <c r="U359" s="2415"/>
      <c r="V359" s="2416"/>
    </row>
    <row r="360" spans="1:22">
      <c r="A360" s="2164"/>
      <c r="B360" s="2166" t="s">
        <v>1208</v>
      </c>
      <c r="C360" s="2168" t="s">
        <v>1212</v>
      </c>
      <c r="D360" s="1235" t="s">
        <v>1213</v>
      </c>
      <c r="E360" s="2188"/>
      <c r="F360" s="2191"/>
      <c r="G360" s="2191"/>
      <c r="H360" s="2191"/>
      <c r="I360" s="2191"/>
      <c r="J360" s="2191"/>
      <c r="K360" s="2191"/>
      <c r="L360" s="2191"/>
      <c r="M360" s="2191"/>
      <c r="N360" s="2191"/>
      <c r="O360" s="2191"/>
      <c r="P360" s="2191"/>
      <c r="Q360" s="2191"/>
      <c r="R360" s="2191"/>
      <c r="S360" s="2191"/>
      <c r="T360" s="2191"/>
      <c r="U360" s="2179"/>
      <c r="V360" s="2181">
        <v>0.99</v>
      </c>
    </row>
    <row r="361" spans="1:22">
      <c r="A361" s="2164"/>
      <c r="B361" s="2167"/>
      <c r="C361" s="2169"/>
      <c r="D361" s="1236" t="s">
        <v>1214</v>
      </c>
      <c r="E361" s="2189"/>
      <c r="F361" s="2192"/>
      <c r="G361" s="2192"/>
      <c r="H361" s="2192"/>
      <c r="I361" s="2192"/>
      <c r="J361" s="2192"/>
      <c r="K361" s="2192"/>
      <c r="L361" s="2192"/>
      <c r="M361" s="2192"/>
      <c r="N361" s="2192"/>
      <c r="O361" s="2192"/>
      <c r="P361" s="2192"/>
      <c r="Q361" s="2192"/>
      <c r="R361" s="2192"/>
      <c r="S361" s="2192"/>
      <c r="T361" s="2192"/>
      <c r="U361" s="2179"/>
      <c r="V361" s="2182"/>
    </row>
    <row r="362" spans="1:22">
      <c r="A362" s="2164"/>
      <c r="B362" s="2167"/>
      <c r="C362" s="2173" t="s">
        <v>1215</v>
      </c>
      <c r="D362" s="1236" t="s">
        <v>1216</v>
      </c>
      <c r="E362" s="2189"/>
      <c r="F362" s="2192"/>
      <c r="G362" s="2192"/>
      <c r="H362" s="2192"/>
      <c r="I362" s="2192"/>
      <c r="J362" s="2192"/>
      <c r="K362" s="2192"/>
      <c r="L362" s="2192"/>
      <c r="M362" s="2192"/>
      <c r="N362" s="2192"/>
      <c r="O362" s="2192"/>
      <c r="P362" s="2192"/>
      <c r="Q362" s="2192"/>
      <c r="R362" s="2192"/>
      <c r="S362" s="2192"/>
      <c r="T362" s="2192"/>
      <c r="U362" s="2179"/>
      <c r="V362" s="2182"/>
    </row>
    <row r="363" spans="1:22">
      <c r="A363" s="2164"/>
      <c r="B363" s="2167"/>
      <c r="C363" s="2174"/>
      <c r="D363" s="1237" t="s">
        <v>1217</v>
      </c>
      <c r="E363" s="2190"/>
      <c r="F363" s="2193"/>
      <c r="G363" s="2193"/>
      <c r="H363" s="2193"/>
      <c r="I363" s="2193"/>
      <c r="J363" s="2193"/>
      <c r="K363" s="2193"/>
      <c r="L363" s="2193"/>
      <c r="M363" s="2193"/>
      <c r="N363" s="2193"/>
      <c r="O363" s="2193"/>
      <c r="P363" s="2193"/>
      <c r="Q363" s="2193"/>
      <c r="R363" s="2193"/>
      <c r="S363" s="2193"/>
      <c r="T363" s="2193"/>
      <c r="U363" s="2179"/>
      <c r="V363" s="2416"/>
    </row>
    <row r="364" spans="1:22">
      <c r="A364" s="2164"/>
      <c r="B364" s="2166" t="s">
        <v>1209</v>
      </c>
      <c r="C364" s="2168" t="s">
        <v>1212</v>
      </c>
      <c r="D364" s="1235" t="s">
        <v>1213</v>
      </c>
      <c r="E364" s="2188"/>
      <c r="F364" s="2191"/>
      <c r="G364" s="2191"/>
      <c r="H364" s="2191"/>
      <c r="I364" s="2191"/>
      <c r="J364" s="2191"/>
      <c r="K364" s="2191"/>
      <c r="L364" s="2191"/>
      <c r="M364" s="2191"/>
      <c r="N364" s="2191"/>
      <c r="O364" s="2191"/>
      <c r="P364" s="2191"/>
      <c r="Q364" s="2191"/>
      <c r="R364" s="2191"/>
      <c r="S364" s="2191"/>
      <c r="T364" s="2191"/>
      <c r="U364" s="2417"/>
      <c r="V364" s="2194"/>
    </row>
    <row r="365" spans="1:22">
      <c r="A365" s="2164"/>
      <c r="B365" s="2167"/>
      <c r="C365" s="2169"/>
      <c r="D365" s="1236" t="s">
        <v>1214</v>
      </c>
      <c r="E365" s="2189"/>
      <c r="F365" s="2192"/>
      <c r="G365" s="2192"/>
      <c r="H365" s="2192"/>
      <c r="I365" s="2192"/>
      <c r="J365" s="2192"/>
      <c r="K365" s="2192"/>
      <c r="L365" s="2192"/>
      <c r="M365" s="2192"/>
      <c r="N365" s="2192"/>
      <c r="O365" s="2192"/>
      <c r="P365" s="2192"/>
      <c r="Q365" s="2192"/>
      <c r="R365" s="2192"/>
      <c r="S365" s="2192"/>
      <c r="T365" s="2192"/>
      <c r="U365" s="2418"/>
      <c r="V365" s="2195"/>
    </row>
    <row r="366" spans="1:22">
      <c r="A366" s="2164"/>
      <c r="B366" s="2167"/>
      <c r="C366" s="2173" t="s">
        <v>1215</v>
      </c>
      <c r="D366" s="1236" t="s">
        <v>1216</v>
      </c>
      <c r="E366" s="2189"/>
      <c r="F366" s="2192"/>
      <c r="G366" s="2192"/>
      <c r="H366" s="2192"/>
      <c r="I366" s="2192"/>
      <c r="J366" s="2192"/>
      <c r="K366" s="2192"/>
      <c r="L366" s="2192"/>
      <c r="M366" s="2192"/>
      <c r="N366" s="2192"/>
      <c r="O366" s="2192"/>
      <c r="P366" s="2192"/>
      <c r="Q366" s="2192"/>
      <c r="R366" s="2192"/>
      <c r="S366" s="2192"/>
      <c r="T366" s="2192"/>
      <c r="U366" s="2418"/>
      <c r="V366" s="2195"/>
    </row>
    <row r="367" spans="1:22">
      <c r="A367" s="2165"/>
      <c r="B367" s="2167"/>
      <c r="C367" s="2174"/>
      <c r="D367" s="1237" t="s">
        <v>1217</v>
      </c>
      <c r="E367" s="2190"/>
      <c r="F367" s="2193"/>
      <c r="G367" s="2193"/>
      <c r="H367" s="2193"/>
      <c r="I367" s="2193"/>
      <c r="J367" s="2193"/>
      <c r="K367" s="2193"/>
      <c r="L367" s="2193"/>
      <c r="M367" s="2193"/>
      <c r="N367" s="2193"/>
      <c r="O367" s="2193"/>
      <c r="P367" s="2193"/>
      <c r="Q367" s="2193"/>
      <c r="R367" s="2193"/>
      <c r="S367" s="2193"/>
      <c r="T367" s="2193"/>
      <c r="U367" s="2419"/>
      <c r="V367" s="2196"/>
    </row>
    <row r="368" spans="1:22">
      <c r="A368" s="2157" t="s">
        <v>1222</v>
      </c>
      <c r="B368" s="2175" t="s">
        <v>1274</v>
      </c>
      <c r="C368" s="2168" t="s">
        <v>1212</v>
      </c>
      <c r="D368" s="1235" t="s">
        <v>1213</v>
      </c>
      <c r="E368" s="2188"/>
      <c r="F368" s="2171">
        <v>0.61</v>
      </c>
      <c r="G368" s="2171">
        <v>0.4819</v>
      </c>
      <c r="H368" s="2171">
        <v>0.41925299999999999</v>
      </c>
      <c r="I368" s="2171">
        <v>0.40248287999999999</v>
      </c>
      <c r="J368" s="2171">
        <v>0.3702842496</v>
      </c>
      <c r="K368" s="2171">
        <v>0.34806719462399999</v>
      </c>
      <c r="L368" s="2171">
        <v>0.33066383489279999</v>
      </c>
      <c r="M368" s="2171">
        <v>0.317437281497088</v>
      </c>
      <c r="N368" s="2171">
        <v>0.29521667179229183</v>
      </c>
      <c r="O368" s="2171">
        <v>0.28931233835644599</v>
      </c>
      <c r="P368" s="2171">
        <v>0.28352609158931708</v>
      </c>
      <c r="Q368" s="2171">
        <v>0.27785556975753073</v>
      </c>
      <c r="R368" s="2171">
        <v>0.27229845836238009</v>
      </c>
      <c r="S368" s="2171">
        <v>0.26957547377875629</v>
      </c>
      <c r="T368" s="2171">
        <v>0.26687971904096874</v>
      </c>
      <c r="U368" s="2413">
        <v>0.26421092185055906</v>
      </c>
      <c r="V368" s="2181">
        <v>0.26156881263205345</v>
      </c>
    </row>
    <row r="369" spans="1:22">
      <c r="A369" s="2164"/>
      <c r="B369" s="2167"/>
      <c r="C369" s="2169"/>
      <c r="D369" s="1236" t="s">
        <v>1214</v>
      </c>
      <c r="E369" s="2189"/>
      <c r="F369" s="2172"/>
      <c r="G369" s="2172"/>
      <c r="H369" s="2172"/>
      <c r="I369" s="2172"/>
      <c r="J369" s="2172"/>
      <c r="K369" s="2172"/>
      <c r="L369" s="2172"/>
      <c r="M369" s="2172"/>
      <c r="N369" s="2172"/>
      <c r="O369" s="2172"/>
      <c r="P369" s="2172"/>
      <c r="Q369" s="2172"/>
      <c r="R369" s="2172"/>
      <c r="S369" s="2172"/>
      <c r="T369" s="2172"/>
      <c r="U369" s="2414"/>
      <c r="V369" s="2182"/>
    </row>
    <row r="370" spans="1:22">
      <c r="A370" s="2164"/>
      <c r="B370" s="2167"/>
      <c r="C370" s="2173" t="s">
        <v>1215</v>
      </c>
      <c r="D370" s="1236" t="s">
        <v>1216</v>
      </c>
      <c r="E370" s="2189"/>
      <c r="F370" s="2172"/>
      <c r="G370" s="2172"/>
      <c r="H370" s="2172"/>
      <c r="I370" s="2172"/>
      <c r="J370" s="2172"/>
      <c r="K370" s="2172"/>
      <c r="L370" s="2172"/>
      <c r="M370" s="2172"/>
      <c r="N370" s="2172"/>
      <c r="O370" s="2172"/>
      <c r="P370" s="2172"/>
      <c r="Q370" s="2172"/>
      <c r="R370" s="2172"/>
      <c r="S370" s="2172"/>
      <c r="T370" s="2172"/>
      <c r="U370" s="2414"/>
      <c r="V370" s="2182"/>
    </row>
    <row r="371" spans="1:22">
      <c r="A371" s="2164"/>
      <c r="B371" s="2167"/>
      <c r="C371" s="2174"/>
      <c r="D371" s="1237" t="s">
        <v>1217</v>
      </c>
      <c r="E371" s="2190"/>
      <c r="F371" s="2187"/>
      <c r="G371" s="2187"/>
      <c r="H371" s="2187"/>
      <c r="I371" s="2187"/>
      <c r="J371" s="2187"/>
      <c r="K371" s="2187"/>
      <c r="L371" s="2187"/>
      <c r="M371" s="2187"/>
      <c r="N371" s="2187"/>
      <c r="O371" s="2187"/>
      <c r="P371" s="2187"/>
      <c r="Q371" s="2187"/>
      <c r="R371" s="2187"/>
      <c r="S371" s="2187"/>
      <c r="T371" s="2187"/>
      <c r="U371" s="2415"/>
      <c r="V371" s="2416"/>
    </row>
    <row r="372" spans="1:22">
      <c r="A372" s="2164"/>
      <c r="B372" s="2175" t="s">
        <v>1272</v>
      </c>
      <c r="C372" s="2168" t="s">
        <v>1212</v>
      </c>
      <c r="D372" s="1235" t="s">
        <v>1213</v>
      </c>
      <c r="E372" s="2170"/>
      <c r="F372" s="2179"/>
      <c r="G372" s="2171">
        <v>0.79</v>
      </c>
      <c r="H372" s="2171">
        <v>0.68730000000000002</v>
      </c>
      <c r="I372" s="2171">
        <v>0.65980799999999995</v>
      </c>
      <c r="J372" s="2171">
        <v>0.60702336000000001</v>
      </c>
      <c r="K372" s="2171">
        <v>0.57060195839999994</v>
      </c>
      <c r="L372" s="2171">
        <v>0.54207186047999989</v>
      </c>
      <c r="M372" s="2171">
        <v>0.52038898606079986</v>
      </c>
      <c r="N372" s="2171">
        <v>0.48396175703654387</v>
      </c>
      <c r="O372" s="2171">
        <v>0.47428252189581299</v>
      </c>
      <c r="P372" s="2171">
        <v>0.46479687145789672</v>
      </c>
      <c r="Q372" s="2171">
        <v>0.45550093402873876</v>
      </c>
      <c r="R372" s="2171">
        <v>0.446390915348164</v>
      </c>
      <c r="S372" s="2171">
        <v>0.44192700619468234</v>
      </c>
      <c r="T372" s="2171">
        <v>0.43750773613273553</v>
      </c>
      <c r="U372" s="2413">
        <v>0.43313265877140816</v>
      </c>
      <c r="V372" s="2181">
        <v>0.42880133218369409</v>
      </c>
    </row>
    <row r="373" spans="1:22">
      <c r="A373" s="2164"/>
      <c r="B373" s="2167"/>
      <c r="C373" s="2169"/>
      <c r="D373" s="1236" t="s">
        <v>1214</v>
      </c>
      <c r="E373" s="2170"/>
      <c r="F373" s="2179"/>
      <c r="G373" s="2172"/>
      <c r="H373" s="2172"/>
      <c r="I373" s="2172"/>
      <c r="J373" s="2172"/>
      <c r="K373" s="2172"/>
      <c r="L373" s="2172"/>
      <c r="M373" s="2172"/>
      <c r="N373" s="2172"/>
      <c r="O373" s="2172"/>
      <c r="P373" s="2172"/>
      <c r="Q373" s="2172"/>
      <c r="R373" s="2172"/>
      <c r="S373" s="2172"/>
      <c r="T373" s="2172"/>
      <c r="U373" s="2414"/>
      <c r="V373" s="2182"/>
    </row>
    <row r="374" spans="1:22">
      <c r="A374" s="2164"/>
      <c r="B374" s="2167"/>
      <c r="C374" s="2173" t="s">
        <v>1215</v>
      </c>
      <c r="D374" s="1236" t="s">
        <v>1216</v>
      </c>
      <c r="E374" s="2170"/>
      <c r="F374" s="2179"/>
      <c r="G374" s="2172"/>
      <c r="H374" s="2172"/>
      <c r="I374" s="2172"/>
      <c r="J374" s="2172"/>
      <c r="K374" s="2172"/>
      <c r="L374" s="2172"/>
      <c r="M374" s="2172"/>
      <c r="N374" s="2172"/>
      <c r="O374" s="2172"/>
      <c r="P374" s="2172"/>
      <c r="Q374" s="2172"/>
      <c r="R374" s="2172"/>
      <c r="S374" s="2172"/>
      <c r="T374" s="2172"/>
      <c r="U374" s="2414"/>
      <c r="V374" s="2182"/>
    </row>
    <row r="375" spans="1:22">
      <c r="A375" s="2164"/>
      <c r="B375" s="2167"/>
      <c r="C375" s="2174"/>
      <c r="D375" s="1237" t="s">
        <v>1217</v>
      </c>
      <c r="E375" s="2170"/>
      <c r="F375" s="2179"/>
      <c r="G375" s="2187"/>
      <c r="H375" s="2187"/>
      <c r="I375" s="2187"/>
      <c r="J375" s="2187"/>
      <c r="K375" s="2187"/>
      <c r="L375" s="2187"/>
      <c r="M375" s="2187"/>
      <c r="N375" s="2187"/>
      <c r="O375" s="2187"/>
      <c r="P375" s="2187"/>
      <c r="Q375" s="2187"/>
      <c r="R375" s="2187"/>
      <c r="S375" s="2187"/>
      <c r="T375" s="2187"/>
      <c r="U375" s="2415"/>
      <c r="V375" s="2416"/>
    </row>
    <row r="376" spans="1:22">
      <c r="A376" s="2164"/>
      <c r="B376" s="2175" t="s">
        <v>1194</v>
      </c>
      <c r="C376" s="2168" t="s">
        <v>1212</v>
      </c>
      <c r="D376" s="1235" t="s">
        <v>1213</v>
      </c>
      <c r="E376" s="2170"/>
      <c r="F376" s="2179"/>
      <c r="G376" s="2179"/>
      <c r="H376" s="2171">
        <v>0.87</v>
      </c>
      <c r="I376" s="2171">
        <v>0.83519999999999994</v>
      </c>
      <c r="J376" s="2171">
        <v>0.76838399999999996</v>
      </c>
      <c r="K376" s="2171">
        <v>0.72228095999999997</v>
      </c>
      <c r="L376" s="2171">
        <v>0.68616691199999991</v>
      </c>
      <c r="M376" s="2171">
        <v>0.65872023551999992</v>
      </c>
      <c r="N376" s="2171">
        <v>0.61260981903360001</v>
      </c>
      <c r="O376" s="2171">
        <v>0.60035762265292802</v>
      </c>
      <c r="P376" s="2171">
        <v>0.58835047019986941</v>
      </c>
      <c r="Q376" s="2171">
        <v>0.57658346079587197</v>
      </c>
      <c r="R376" s="2171">
        <v>0.56505179157995455</v>
      </c>
      <c r="S376" s="2171">
        <v>0.55940127366415504</v>
      </c>
      <c r="T376" s="2171">
        <v>0.55380726092751353</v>
      </c>
      <c r="U376" s="2413">
        <v>0.54826918831823834</v>
      </c>
      <c r="V376" s="2181">
        <v>0.54278649643505594</v>
      </c>
    </row>
    <row r="377" spans="1:22">
      <c r="A377" s="2164"/>
      <c r="B377" s="2167"/>
      <c r="C377" s="2169"/>
      <c r="D377" s="1236" t="s">
        <v>1214</v>
      </c>
      <c r="E377" s="2170"/>
      <c r="F377" s="2179"/>
      <c r="G377" s="2179"/>
      <c r="H377" s="2172"/>
      <c r="I377" s="2172"/>
      <c r="J377" s="2172"/>
      <c r="K377" s="2172"/>
      <c r="L377" s="2172"/>
      <c r="M377" s="2172"/>
      <c r="N377" s="2172"/>
      <c r="O377" s="2172"/>
      <c r="P377" s="2172"/>
      <c r="Q377" s="2172"/>
      <c r="R377" s="2172"/>
      <c r="S377" s="2172"/>
      <c r="T377" s="2172"/>
      <c r="U377" s="2414"/>
      <c r="V377" s="2182"/>
    </row>
    <row r="378" spans="1:22">
      <c r="A378" s="2164"/>
      <c r="B378" s="2167"/>
      <c r="C378" s="2173" t="s">
        <v>1215</v>
      </c>
      <c r="D378" s="1236" t="s">
        <v>1216</v>
      </c>
      <c r="E378" s="2170"/>
      <c r="F378" s="2179"/>
      <c r="G378" s="2179"/>
      <c r="H378" s="2172"/>
      <c r="I378" s="2172"/>
      <c r="J378" s="2172"/>
      <c r="K378" s="2172"/>
      <c r="L378" s="2172"/>
      <c r="M378" s="2172"/>
      <c r="N378" s="2172"/>
      <c r="O378" s="2172"/>
      <c r="P378" s="2172"/>
      <c r="Q378" s="2172"/>
      <c r="R378" s="2172"/>
      <c r="S378" s="2172"/>
      <c r="T378" s="2172"/>
      <c r="U378" s="2414"/>
      <c r="V378" s="2182"/>
    </row>
    <row r="379" spans="1:22">
      <c r="A379" s="2164"/>
      <c r="B379" s="2167"/>
      <c r="C379" s="2174"/>
      <c r="D379" s="1237" t="s">
        <v>1217</v>
      </c>
      <c r="E379" s="2170"/>
      <c r="F379" s="2179"/>
      <c r="G379" s="2179"/>
      <c r="H379" s="2187"/>
      <c r="I379" s="2187"/>
      <c r="J379" s="2187"/>
      <c r="K379" s="2187"/>
      <c r="L379" s="2187"/>
      <c r="M379" s="2187"/>
      <c r="N379" s="2187"/>
      <c r="O379" s="2187"/>
      <c r="P379" s="2187"/>
      <c r="Q379" s="2187"/>
      <c r="R379" s="2187"/>
      <c r="S379" s="2187"/>
      <c r="T379" s="2187"/>
      <c r="U379" s="2415"/>
      <c r="V379" s="2416"/>
    </row>
    <row r="380" spans="1:22">
      <c r="A380" s="2164"/>
      <c r="B380" s="2166" t="s">
        <v>1195</v>
      </c>
      <c r="C380" s="2168" t="s">
        <v>1212</v>
      </c>
      <c r="D380" s="1235" t="s">
        <v>1213</v>
      </c>
      <c r="E380" s="2170"/>
      <c r="F380" s="2179"/>
      <c r="G380" s="2179"/>
      <c r="H380" s="2179"/>
      <c r="I380" s="2171">
        <v>0.96</v>
      </c>
      <c r="J380" s="2171">
        <v>0.88319999999999999</v>
      </c>
      <c r="K380" s="2171">
        <v>0.83020799999999995</v>
      </c>
      <c r="L380" s="2171">
        <v>0.78869759999999989</v>
      </c>
      <c r="M380" s="2171">
        <v>0.75714969599999982</v>
      </c>
      <c r="N380" s="2171">
        <v>0.70414921727999991</v>
      </c>
      <c r="O380" s="2171">
        <v>0.69006623293439995</v>
      </c>
      <c r="P380" s="2171">
        <v>0.67626490827571195</v>
      </c>
      <c r="Q380" s="2171">
        <v>0.66273961011019766</v>
      </c>
      <c r="R380" s="2171">
        <v>0.64948481790799373</v>
      </c>
      <c r="S380" s="2171">
        <v>0.64298996972891376</v>
      </c>
      <c r="T380" s="2171">
        <v>0.63656007003162463</v>
      </c>
      <c r="U380" s="2413">
        <v>0.6301944693313084</v>
      </c>
      <c r="V380" s="2181">
        <v>0.62389252463799527</v>
      </c>
    </row>
    <row r="381" spans="1:22">
      <c r="A381" s="2164"/>
      <c r="B381" s="2167"/>
      <c r="C381" s="2169"/>
      <c r="D381" s="1236" t="s">
        <v>1214</v>
      </c>
      <c r="E381" s="2170"/>
      <c r="F381" s="2179"/>
      <c r="G381" s="2179"/>
      <c r="H381" s="2179"/>
      <c r="I381" s="2172"/>
      <c r="J381" s="2172"/>
      <c r="K381" s="2172"/>
      <c r="L381" s="2172"/>
      <c r="M381" s="2172"/>
      <c r="N381" s="2172"/>
      <c r="O381" s="2172"/>
      <c r="P381" s="2172"/>
      <c r="Q381" s="2172"/>
      <c r="R381" s="2172"/>
      <c r="S381" s="2172"/>
      <c r="T381" s="2172"/>
      <c r="U381" s="2414"/>
      <c r="V381" s="2182"/>
    </row>
    <row r="382" spans="1:22">
      <c r="A382" s="2164"/>
      <c r="B382" s="2167"/>
      <c r="C382" s="2173" t="s">
        <v>1215</v>
      </c>
      <c r="D382" s="1236" t="s">
        <v>1216</v>
      </c>
      <c r="E382" s="2170"/>
      <c r="F382" s="2179"/>
      <c r="G382" s="2179"/>
      <c r="H382" s="2179"/>
      <c r="I382" s="2172"/>
      <c r="J382" s="2172"/>
      <c r="K382" s="2172"/>
      <c r="L382" s="2172"/>
      <c r="M382" s="2172"/>
      <c r="N382" s="2172"/>
      <c r="O382" s="2172"/>
      <c r="P382" s="2172"/>
      <c r="Q382" s="2172"/>
      <c r="R382" s="2172"/>
      <c r="S382" s="2172"/>
      <c r="T382" s="2172"/>
      <c r="U382" s="2414"/>
      <c r="V382" s="2182"/>
    </row>
    <row r="383" spans="1:22">
      <c r="A383" s="2164"/>
      <c r="B383" s="2167"/>
      <c r="C383" s="2174"/>
      <c r="D383" s="1237" t="s">
        <v>1217</v>
      </c>
      <c r="E383" s="2170"/>
      <c r="F383" s="2179"/>
      <c r="G383" s="2179"/>
      <c r="H383" s="2179"/>
      <c r="I383" s="2187"/>
      <c r="J383" s="2187"/>
      <c r="K383" s="2187"/>
      <c r="L383" s="2187"/>
      <c r="M383" s="2187"/>
      <c r="N383" s="2187"/>
      <c r="O383" s="2187"/>
      <c r="P383" s="2187"/>
      <c r="Q383" s="2187"/>
      <c r="R383" s="2187"/>
      <c r="S383" s="2187"/>
      <c r="T383" s="2187"/>
      <c r="U383" s="2415"/>
      <c r="V383" s="2416"/>
    </row>
    <row r="384" spans="1:22">
      <c r="A384" s="2164"/>
      <c r="B384" s="2166" t="s">
        <v>1223</v>
      </c>
      <c r="C384" s="2168" t="s">
        <v>1212</v>
      </c>
      <c r="D384" s="1235" t="s">
        <v>1213</v>
      </c>
      <c r="E384" s="2170"/>
      <c r="F384" s="2179"/>
      <c r="G384" s="2179"/>
      <c r="H384" s="2179"/>
      <c r="I384" s="2179"/>
      <c r="J384" s="2171">
        <v>0.92</v>
      </c>
      <c r="K384" s="2171">
        <v>0.86480000000000001</v>
      </c>
      <c r="L384" s="2171">
        <v>0.82155999999999996</v>
      </c>
      <c r="M384" s="2171">
        <v>0.78869759999999989</v>
      </c>
      <c r="N384" s="2171">
        <v>0.73348876799999996</v>
      </c>
      <c r="O384" s="2171">
        <v>0.71881899263999993</v>
      </c>
      <c r="P384" s="2171">
        <v>0.70444261278719988</v>
      </c>
      <c r="Q384" s="2171">
        <v>0.69035376053145592</v>
      </c>
      <c r="R384" s="2171">
        <v>0.67654668532082674</v>
      </c>
      <c r="S384" s="2171">
        <v>0.66978121846761851</v>
      </c>
      <c r="T384" s="2171">
        <v>0.66308340628294227</v>
      </c>
      <c r="U384" s="2413">
        <v>0.65645257222011288</v>
      </c>
      <c r="V384" s="2181">
        <v>0.64988804649791176</v>
      </c>
    </row>
    <row r="385" spans="1:22">
      <c r="A385" s="2164"/>
      <c r="B385" s="2167"/>
      <c r="C385" s="2169"/>
      <c r="D385" s="1236" t="s">
        <v>1214</v>
      </c>
      <c r="E385" s="2170"/>
      <c r="F385" s="2179"/>
      <c r="G385" s="2179"/>
      <c r="H385" s="2179"/>
      <c r="I385" s="2179"/>
      <c r="J385" s="2172"/>
      <c r="K385" s="2172"/>
      <c r="L385" s="2172"/>
      <c r="M385" s="2172"/>
      <c r="N385" s="2172"/>
      <c r="O385" s="2172"/>
      <c r="P385" s="2172"/>
      <c r="Q385" s="2172"/>
      <c r="R385" s="2172"/>
      <c r="S385" s="2172"/>
      <c r="T385" s="2172"/>
      <c r="U385" s="2414"/>
      <c r="V385" s="2182"/>
    </row>
    <row r="386" spans="1:22">
      <c r="A386" s="2164"/>
      <c r="B386" s="2167"/>
      <c r="C386" s="2173" t="s">
        <v>1215</v>
      </c>
      <c r="D386" s="1236" t="s">
        <v>1216</v>
      </c>
      <c r="E386" s="2170"/>
      <c r="F386" s="2179"/>
      <c r="G386" s="2179"/>
      <c r="H386" s="2179"/>
      <c r="I386" s="2179"/>
      <c r="J386" s="2172"/>
      <c r="K386" s="2172"/>
      <c r="L386" s="2172"/>
      <c r="M386" s="2172"/>
      <c r="N386" s="2172"/>
      <c r="O386" s="2172"/>
      <c r="P386" s="2172"/>
      <c r="Q386" s="2172"/>
      <c r="R386" s="2172"/>
      <c r="S386" s="2172"/>
      <c r="T386" s="2172"/>
      <c r="U386" s="2414"/>
      <c r="V386" s="2182"/>
    </row>
    <row r="387" spans="1:22">
      <c r="A387" s="2164"/>
      <c r="B387" s="2167"/>
      <c r="C387" s="2174"/>
      <c r="D387" s="1237" t="s">
        <v>1217</v>
      </c>
      <c r="E387" s="2170"/>
      <c r="F387" s="2179"/>
      <c r="G387" s="2179"/>
      <c r="H387" s="2179"/>
      <c r="I387" s="2179"/>
      <c r="J387" s="2187"/>
      <c r="K387" s="2187"/>
      <c r="L387" s="2187"/>
      <c r="M387" s="2187"/>
      <c r="N387" s="2187"/>
      <c r="O387" s="2187"/>
      <c r="P387" s="2187"/>
      <c r="Q387" s="2187"/>
      <c r="R387" s="2187"/>
      <c r="S387" s="2187"/>
      <c r="T387" s="2187"/>
      <c r="U387" s="2415"/>
      <c r="V387" s="2416"/>
    </row>
    <row r="388" spans="1:22">
      <c r="A388" s="2164"/>
      <c r="B388" s="2166" t="s">
        <v>1197</v>
      </c>
      <c r="C388" s="2168" t="s">
        <v>1212</v>
      </c>
      <c r="D388" s="1235" t="s">
        <v>1213</v>
      </c>
      <c r="E388" s="2170"/>
      <c r="F388" s="2179"/>
      <c r="G388" s="2179"/>
      <c r="H388" s="2179"/>
      <c r="I388" s="2179"/>
      <c r="J388" s="2179"/>
      <c r="K388" s="2171">
        <v>0.94</v>
      </c>
      <c r="L388" s="2171">
        <v>0.8929999999999999</v>
      </c>
      <c r="M388" s="2171">
        <v>0.85727999999999993</v>
      </c>
      <c r="N388" s="2171">
        <v>0.79727039999999993</v>
      </c>
      <c r="O388" s="2171">
        <v>0.78132499199999994</v>
      </c>
      <c r="P388" s="2171">
        <v>0.76569849215999997</v>
      </c>
      <c r="Q388" s="2171">
        <v>0.75038452231679997</v>
      </c>
      <c r="R388" s="2171">
        <v>0.73537683187046399</v>
      </c>
      <c r="S388" s="2171">
        <v>0.72802306355175939</v>
      </c>
      <c r="T388" s="2171">
        <v>0.72074283291624175</v>
      </c>
      <c r="U388" s="2413">
        <v>0.71353540458707931</v>
      </c>
      <c r="V388" s="2181">
        <v>0.70640005054120847</v>
      </c>
    </row>
    <row r="389" spans="1:22">
      <c r="A389" s="2164"/>
      <c r="B389" s="2167"/>
      <c r="C389" s="2169"/>
      <c r="D389" s="1236" t="s">
        <v>1214</v>
      </c>
      <c r="E389" s="2170"/>
      <c r="F389" s="2179"/>
      <c r="G389" s="2179"/>
      <c r="H389" s="2179"/>
      <c r="I389" s="2179"/>
      <c r="J389" s="2179"/>
      <c r="K389" s="2172"/>
      <c r="L389" s="2172"/>
      <c r="M389" s="2172"/>
      <c r="N389" s="2172"/>
      <c r="O389" s="2172"/>
      <c r="P389" s="2172"/>
      <c r="Q389" s="2172"/>
      <c r="R389" s="2172"/>
      <c r="S389" s="2172"/>
      <c r="T389" s="2172"/>
      <c r="U389" s="2414"/>
      <c r="V389" s="2182"/>
    </row>
    <row r="390" spans="1:22">
      <c r="A390" s="2164"/>
      <c r="B390" s="2167"/>
      <c r="C390" s="2173" t="s">
        <v>1215</v>
      </c>
      <c r="D390" s="1236" t="s">
        <v>1216</v>
      </c>
      <c r="E390" s="2170"/>
      <c r="F390" s="2179"/>
      <c r="G390" s="2179"/>
      <c r="H390" s="2179"/>
      <c r="I390" s="2179"/>
      <c r="J390" s="2179"/>
      <c r="K390" s="2172"/>
      <c r="L390" s="2172"/>
      <c r="M390" s="2172"/>
      <c r="N390" s="2172"/>
      <c r="O390" s="2172"/>
      <c r="P390" s="2172"/>
      <c r="Q390" s="2172"/>
      <c r="R390" s="2172"/>
      <c r="S390" s="2172"/>
      <c r="T390" s="2172"/>
      <c r="U390" s="2414"/>
      <c r="V390" s="2182"/>
    </row>
    <row r="391" spans="1:22">
      <c r="A391" s="2164"/>
      <c r="B391" s="2167"/>
      <c r="C391" s="2174"/>
      <c r="D391" s="1237" t="s">
        <v>1217</v>
      </c>
      <c r="E391" s="2170"/>
      <c r="F391" s="2179"/>
      <c r="G391" s="2179"/>
      <c r="H391" s="2179"/>
      <c r="I391" s="2179"/>
      <c r="J391" s="2179"/>
      <c r="K391" s="2187"/>
      <c r="L391" s="2187"/>
      <c r="M391" s="2187"/>
      <c r="N391" s="2187"/>
      <c r="O391" s="2187"/>
      <c r="P391" s="2187"/>
      <c r="Q391" s="2187"/>
      <c r="R391" s="2187"/>
      <c r="S391" s="2187"/>
      <c r="T391" s="2187"/>
      <c r="U391" s="2415"/>
      <c r="V391" s="2416"/>
    </row>
    <row r="392" spans="1:22">
      <c r="A392" s="2164"/>
      <c r="B392" s="2175" t="s">
        <v>1198</v>
      </c>
      <c r="C392" s="2168" t="s">
        <v>1212</v>
      </c>
      <c r="D392" s="1235" t="s">
        <v>1213</v>
      </c>
      <c r="E392" s="2170"/>
      <c r="F392" s="2179"/>
      <c r="G392" s="2179"/>
      <c r="H392" s="2179"/>
      <c r="I392" s="2179"/>
      <c r="J392" s="2179"/>
      <c r="K392" s="2179"/>
      <c r="L392" s="2171">
        <v>0.95</v>
      </c>
      <c r="M392" s="2171">
        <v>0.91199999999999992</v>
      </c>
      <c r="N392" s="2171">
        <v>0.84816000000000003</v>
      </c>
      <c r="O392" s="2171">
        <v>0.83119679999999996</v>
      </c>
      <c r="P392" s="2171">
        <v>0.81457286399999995</v>
      </c>
      <c r="Q392" s="2171">
        <v>0.79828140671999992</v>
      </c>
      <c r="R392" s="2171">
        <v>0.78231577858559986</v>
      </c>
      <c r="S392" s="2171">
        <v>0.7744926207997439</v>
      </c>
      <c r="T392" s="2171">
        <v>0.76674769459174641</v>
      </c>
      <c r="U392" s="2413">
        <v>0.75908021764582889</v>
      </c>
      <c r="V392" s="2181">
        <v>0.75148941546937065</v>
      </c>
    </row>
    <row r="393" spans="1:22">
      <c r="A393" s="2164"/>
      <c r="B393" s="2167"/>
      <c r="C393" s="2169"/>
      <c r="D393" s="1236" t="s">
        <v>1214</v>
      </c>
      <c r="E393" s="2170"/>
      <c r="F393" s="2179"/>
      <c r="G393" s="2179"/>
      <c r="H393" s="2179"/>
      <c r="I393" s="2179"/>
      <c r="J393" s="2179"/>
      <c r="K393" s="2179"/>
      <c r="L393" s="2172"/>
      <c r="M393" s="2172"/>
      <c r="N393" s="2172"/>
      <c r="O393" s="2172"/>
      <c r="P393" s="2172"/>
      <c r="Q393" s="2172"/>
      <c r="R393" s="2172"/>
      <c r="S393" s="2172"/>
      <c r="T393" s="2172"/>
      <c r="U393" s="2414"/>
      <c r="V393" s="2182"/>
    </row>
    <row r="394" spans="1:22">
      <c r="A394" s="2164"/>
      <c r="B394" s="2167"/>
      <c r="C394" s="2173" t="s">
        <v>1215</v>
      </c>
      <c r="D394" s="1236" t="s">
        <v>1216</v>
      </c>
      <c r="E394" s="2170"/>
      <c r="F394" s="2179"/>
      <c r="G394" s="2179"/>
      <c r="H394" s="2179"/>
      <c r="I394" s="2179"/>
      <c r="J394" s="2179"/>
      <c r="K394" s="2179"/>
      <c r="L394" s="2172"/>
      <c r="M394" s="2172"/>
      <c r="N394" s="2172"/>
      <c r="O394" s="2172"/>
      <c r="P394" s="2172"/>
      <c r="Q394" s="2172"/>
      <c r="R394" s="2172"/>
      <c r="S394" s="2172"/>
      <c r="T394" s="2172"/>
      <c r="U394" s="2414"/>
      <c r="V394" s="2182"/>
    </row>
    <row r="395" spans="1:22">
      <c r="A395" s="2164"/>
      <c r="B395" s="2167"/>
      <c r="C395" s="2174"/>
      <c r="D395" s="1237" t="s">
        <v>1217</v>
      </c>
      <c r="E395" s="2170"/>
      <c r="F395" s="2179"/>
      <c r="G395" s="2179"/>
      <c r="H395" s="2179"/>
      <c r="I395" s="2179"/>
      <c r="J395" s="2179"/>
      <c r="K395" s="2179"/>
      <c r="L395" s="2187"/>
      <c r="M395" s="2187"/>
      <c r="N395" s="2187"/>
      <c r="O395" s="2187"/>
      <c r="P395" s="2187"/>
      <c r="Q395" s="2187"/>
      <c r="R395" s="2187"/>
      <c r="S395" s="2187"/>
      <c r="T395" s="2187"/>
      <c r="U395" s="2415"/>
      <c r="V395" s="2416"/>
    </row>
    <row r="396" spans="1:22">
      <c r="A396" s="2164"/>
      <c r="B396" s="2166" t="s">
        <v>1199</v>
      </c>
      <c r="C396" s="2168" t="s">
        <v>1212</v>
      </c>
      <c r="D396" s="1235" t="s">
        <v>1213</v>
      </c>
      <c r="E396" s="2170"/>
      <c r="F396" s="2179"/>
      <c r="G396" s="2179"/>
      <c r="H396" s="2179"/>
      <c r="I396" s="2179"/>
      <c r="J396" s="2179"/>
      <c r="K396" s="2179"/>
      <c r="L396" s="2179"/>
      <c r="M396" s="2171">
        <v>0.96</v>
      </c>
      <c r="N396" s="2171">
        <v>0.89280000000000004</v>
      </c>
      <c r="O396" s="2171">
        <v>0.87494400000000006</v>
      </c>
      <c r="P396" s="2171">
        <v>0.85744512000000006</v>
      </c>
      <c r="Q396" s="2171">
        <v>0.84029621760000006</v>
      </c>
      <c r="R396" s="2171">
        <v>0.82349029324800005</v>
      </c>
      <c r="S396" s="2171">
        <v>0.81525539031552008</v>
      </c>
      <c r="T396" s="2171">
        <v>0.80710283641236491</v>
      </c>
      <c r="U396" s="2413">
        <v>0.79903180804824125</v>
      </c>
      <c r="V396" s="2181">
        <v>0.7910414899677588</v>
      </c>
    </row>
    <row r="397" spans="1:22">
      <c r="A397" s="2164"/>
      <c r="B397" s="2167"/>
      <c r="C397" s="2169"/>
      <c r="D397" s="1236" t="s">
        <v>1214</v>
      </c>
      <c r="E397" s="2170"/>
      <c r="F397" s="2179"/>
      <c r="G397" s="2179"/>
      <c r="H397" s="2179"/>
      <c r="I397" s="2179"/>
      <c r="J397" s="2179"/>
      <c r="K397" s="2179"/>
      <c r="L397" s="2179"/>
      <c r="M397" s="2172"/>
      <c r="N397" s="2172"/>
      <c r="O397" s="2172"/>
      <c r="P397" s="2172"/>
      <c r="Q397" s="2172"/>
      <c r="R397" s="2172"/>
      <c r="S397" s="2172"/>
      <c r="T397" s="2172"/>
      <c r="U397" s="2414"/>
      <c r="V397" s="2182"/>
    </row>
    <row r="398" spans="1:22">
      <c r="A398" s="2164"/>
      <c r="B398" s="2167"/>
      <c r="C398" s="2173" t="s">
        <v>1215</v>
      </c>
      <c r="D398" s="1236" t="s">
        <v>1216</v>
      </c>
      <c r="E398" s="2170"/>
      <c r="F398" s="2179"/>
      <c r="G398" s="2179"/>
      <c r="H398" s="2179"/>
      <c r="I398" s="2179"/>
      <c r="J398" s="2179"/>
      <c r="K398" s="2179"/>
      <c r="L398" s="2179"/>
      <c r="M398" s="2172"/>
      <c r="N398" s="2172"/>
      <c r="O398" s="2172"/>
      <c r="P398" s="2172"/>
      <c r="Q398" s="2172"/>
      <c r="R398" s="2172"/>
      <c r="S398" s="2172"/>
      <c r="T398" s="2172"/>
      <c r="U398" s="2414"/>
      <c r="V398" s="2182"/>
    </row>
    <row r="399" spans="1:22">
      <c r="A399" s="2164"/>
      <c r="B399" s="2167"/>
      <c r="C399" s="2174"/>
      <c r="D399" s="1237" t="s">
        <v>1217</v>
      </c>
      <c r="E399" s="2170"/>
      <c r="F399" s="2179"/>
      <c r="G399" s="2179"/>
      <c r="H399" s="2179"/>
      <c r="I399" s="2179"/>
      <c r="J399" s="2179"/>
      <c r="K399" s="2179"/>
      <c r="L399" s="2179"/>
      <c r="M399" s="2187"/>
      <c r="N399" s="2187"/>
      <c r="O399" s="2187"/>
      <c r="P399" s="2187"/>
      <c r="Q399" s="2187"/>
      <c r="R399" s="2187"/>
      <c r="S399" s="2187"/>
      <c r="T399" s="2187"/>
      <c r="U399" s="2415"/>
      <c r="V399" s="2416"/>
    </row>
    <row r="400" spans="1:22">
      <c r="A400" s="2164"/>
      <c r="B400" s="2166" t="s">
        <v>1200</v>
      </c>
      <c r="C400" s="2168" t="s">
        <v>1212</v>
      </c>
      <c r="D400" s="1235" t="s">
        <v>1213</v>
      </c>
      <c r="E400" s="2170"/>
      <c r="F400" s="2179"/>
      <c r="G400" s="2179"/>
      <c r="H400" s="2179"/>
      <c r="I400" s="2179"/>
      <c r="J400" s="2179"/>
      <c r="K400" s="2179"/>
      <c r="L400" s="2179"/>
      <c r="M400" s="2179"/>
      <c r="N400" s="2171">
        <v>0.93</v>
      </c>
      <c r="O400" s="2171">
        <v>0.91139999999999999</v>
      </c>
      <c r="P400" s="2171">
        <v>0.89317199999999997</v>
      </c>
      <c r="Q400" s="2171">
        <v>0.8753085599999999</v>
      </c>
      <c r="R400" s="2171">
        <v>0.85780238879999993</v>
      </c>
      <c r="S400" s="2171">
        <v>0.84922436491199993</v>
      </c>
      <c r="T400" s="2171">
        <v>0.84073212126287988</v>
      </c>
      <c r="U400" s="2413">
        <v>0.83232480005025111</v>
      </c>
      <c r="V400" s="2181">
        <v>0.82400155204974856</v>
      </c>
    </row>
    <row r="401" spans="1:22">
      <c r="A401" s="2164"/>
      <c r="B401" s="2167"/>
      <c r="C401" s="2169"/>
      <c r="D401" s="1236" t="s">
        <v>1214</v>
      </c>
      <c r="E401" s="2170"/>
      <c r="F401" s="2179"/>
      <c r="G401" s="2179"/>
      <c r="H401" s="2179"/>
      <c r="I401" s="2179"/>
      <c r="J401" s="2179"/>
      <c r="K401" s="2179"/>
      <c r="L401" s="2179"/>
      <c r="M401" s="2179"/>
      <c r="N401" s="2172"/>
      <c r="O401" s="2172"/>
      <c r="P401" s="2172"/>
      <c r="Q401" s="2172"/>
      <c r="R401" s="2172"/>
      <c r="S401" s="2172"/>
      <c r="T401" s="2172"/>
      <c r="U401" s="2414"/>
      <c r="V401" s="2182"/>
    </row>
    <row r="402" spans="1:22">
      <c r="A402" s="2164"/>
      <c r="B402" s="2167"/>
      <c r="C402" s="2173" t="s">
        <v>1215</v>
      </c>
      <c r="D402" s="1236" t="s">
        <v>1216</v>
      </c>
      <c r="E402" s="2170"/>
      <c r="F402" s="2179"/>
      <c r="G402" s="2179"/>
      <c r="H402" s="2179"/>
      <c r="I402" s="2179"/>
      <c r="J402" s="2179"/>
      <c r="K402" s="2179"/>
      <c r="L402" s="2179"/>
      <c r="M402" s="2179"/>
      <c r="N402" s="2172"/>
      <c r="O402" s="2172"/>
      <c r="P402" s="2172"/>
      <c r="Q402" s="2172"/>
      <c r="R402" s="2172"/>
      <c r="S402" s="2172"/>
      <c r="T402" s="2172"/>
      <c r="U402" s="2414"/>
      <c r="V402" s="2182"/>
    </row>
    <row r="403" spans="1:22">
      <c r="A403" s="2164"/>
      <c r="B403" s="2167"/>
      <c r="C403" s="2174"/>
      <c r="D403" s="1237" t="s">
        <v>1217</v>
      </c>
      <c r="E403" s="2170"/>
      <c r="F403" s="2179"/>
      <c r="G403" s="2179"/>
      <c r="H403" s="2179"/>
      <c r="I403" s="2179"/>
      <c r="J403" s="2179"/>
      <c r="K403" s="2179"/>
      <c r="L403" s="2179"/>
      <c r="M403" s="2179"/>
      <c r="N403" s="2187"/>
      <c r="O403" s="2187"/>
      <c r="P403" s="2187"/>
      <c r="Q403" s="2187"/>
      <c r="R403" s="2187"/>
      <c r="S403" s="2187"/>
      <c r="T403" s="2187"/>
      <c r="U403" s="2415"/>
      <c r="V403" s="2416"/>
    </row>
    <row r="404" spans="1:22">
      <c r="A404" s="2164"/>
      <c r="B404" s="2166" t="s">
        <v>1201</v>
      </c>
      <c r="C404" s="2168" t="s">
        <v>1212</v>
      </c>
      <c r="D404" s="1235" t="s">
        <v>1213</v>
      </c>
      <c r="E404" s="2170"/>
      <c r="F404" s="2179"/>
      <c r="G404" s="2179"/>
      <c r="H404" s="2179"/>
      <c r="I404" s="2179"/>
      <c r="J404" s="2179"/>
      <c r="K404" s="2179"/>
      <c r="L404" s="2179"/>
      <c r="M404" s="2179"/>
      <c r="N404" s="2179"/>
      <c r="O404" s="2171">
        <v>0.98</v>
      </c>
      <c r="P404" s="2171">
        <v>0.96039999999999992</v>
      </c>
      <c r="Q404" s="2171">
        <v>0.94119199999999992</v>
      </c>
      <c r="R404" s="2171">
        <v>0.92236815999999988</v>
      </c>
      <c r="S404" s="2171">
        <v>0.9131444783999999</v>
      </c>
      <c r="T404" s="2171">
        <v>0.90401303361599994</v>
      </c>
      <c r="U404" s="2413">
        <v>0.89497290327983992</v>
      </c>
      <c r="V404" s="2181">
        <v>0.88602317424704147</v>
      </c>
    </row>
    <row r="405" spans="1:22">
      <c r="A405" s="2164"/>
      <c r="B405" s="2167"/>
      <c r="C405" s="2169"/>
      <c r="D405" s="1236" t="s">
        <v>1214</v>
      </c>
      <c r="E405" s="2170"/>
      <c r="F405" s="2179"/>
      <c r="G405" s="2179"/>
      <c r="H405" s="2179"/>
      <c r="I405" s="2179"/>
      <c r="J405" s="2179"/>
      <c r="K405" s="2179"/>
      <c r="L405" s="2179"/>
      <c r="M405" s="2179"/>
      <c r="N405" s="2179"/>
      <c r="O405" s="2172"/>
      <c r="P405" s="2172"/>
      <c r="Q405" s="2172"/>
      <c r="R405" s="2172"/>
      <c r="S405" s="2172"/>
      <c r="T405" s="2172"/>
      <c r="U405" s="2414"/>
      <c r="V405" s="2182"/>
    </row>
    <row r="406" spans="1:22">
      <c r="A406" s="2164"/>
      <c r="B406" s="2167"/>
      <c r="C406" s="2173" t="s">
        <v>1215</v>
      </c>
      <c r="D406" s="1236" t="s">
        <v>1216</v>
      </c>
      <c r="E406" s="2170"/>
      <c r="F406" s="2179"/>
      <c r="G406" s="2179"/>
      <c r="H406" s="2179"/>
      <c r="I406" s="2179"/>
      <c r="J406" s="2179"/>
      <c r="K406" s="2179"/>
      <c r="L406" s="2179"/>
      <c r="M406" s="2179"/>
      <c r="N406" s="2179"/>
      <c r="O406" s="2172"/>
      <c r="P406" s="2172"/>
      <c r="Q406" s="2172"/>
      <c r="R406" s="2172"/>
      <c r="S406" s="2172"/>
      <c r="T406" s="2172"/>
      <c r="U406" s="2414"/>
      <c r="V406" s="2182"/>
    </row>
    <row r="407" spans="1:22">
      <c r="A407" s="2164"/>
      <c r="B407" s="2167"/>
      <c r="C407" s="2174"/>
      <c r="D407" s="1237" t="s">
        <v>1217</v>
      </c>
      <c r="E407" s="2170"/>
      <c r="F407" s="2179"/>
      <c r="G407" s="2179"/>
      <c r="H407" s="2179"/>
      <c r="I407" s="2179"/>
      <c r="J407" s="2179"/>
      <c r="K407" s="2179"/>
      <c r="L407" s="2179"/>
      <c r="M407" s="2179"/>
      <c r="N407" s="2179"/>
      <c r="O407" s="2187"/>
      <c r="P407" s="2187"/>
      <c r="Q407" s="2187"/>
      <c r="R407" s="2187"/>
      <c r="S407" s="2187"/>
      <c r="T407" s="2187"/>
      <c r="U407" s="2415"/>
      <c r="V407" s="2416"/>
    </row>
    <row r="408" spans="1:22">
      <c r="A408" s="2164"/>
      <c r="B408" s="2166" t="s">
        <v>1202</v>
      </c>
      <c r="C408" s="2168" t="s">
        <v>1212</v>
      </c>
      <c r="D408" s="1235" t="s">
        <v>1213</v>
      </c>
      <c r="E408" s="2170"/>
      <c r="F408" s="2179"/>
      <c r="G408" s="2179"/>
      <c r="H408" s="2179"/>
      <c r="I408" s="2179"/>
      <c r="J408" s="2179"/>
      <c r="K408" s="2179"/>
      <c r="L408" s="2179"/>
      <c r="M408" s="2179"/>
      <c r="N408" s="2179"/>
      <c r="O408" s="2179"/>
      <c r="P408" s="2171">
        <v>0.98</v>
      </c>
      <c r="Q408" s="2171">
        <v>0.96039999999999992</v>
      </c>
      <c r="R408" s="2171">
        <v>0.94119199999999992</v>
      </c>
      <c r="S408" s="2171">
        <v>0.9317800799999999</v>
      </c>
      <c r="T408" s="2171">
        <v>0.9224622791999999</v>
      </c>
      <c r="U408" s="2413">
        <v>0.91323765640799992</v>
      </c>
      <c r="V408" s="2181">
        <v>0.90410527984391986</v>
      </c>
    </row>
    <row r="409" spans="1:22">
      <c r="A409" s="2164"/>
      <c r="B409" s="2167"/>
      <c r="C409" s="2169"/>
      <c r="D409" s="1236" t="s">
        <v>1214</v>
      </c>
      <c r="E409" s="2170"/>
      <c r="F409" s="2179"/>
      <c r="G409" s="2179"/>
      <c r="H409" s="2179"/>
      <c r="I409" s="2179"/>
      <c r="J409" s="2179"/>
      <c r="K409" s="2179"/>
      <c r="L409" s="2179"/>
      <c r="M409" s="2179"/>
      <c r="N409" s="2179"/>
      <c r="O409" s="2179"/>
      <c r="P409" s="2172"/>
      <c r="Q409" s="2172"/>
      <c r="R409" s="2172"/>
      <c r="S409" s="2172"/>
      <c r="T409" s="2172"/>
      <c r="U409" s="2414"/>
      <c r="V409" s="2182"/>
    </row>
    <row r="410" spans="1:22">
      <c r="A410" s="2164"/>
      <c r="B410" s="2167"/>
      <c r="C410" s="2173" t="s">
        <v>1215</v>
      </c>
      <c r="D410" s="1236" t="s">
        <v>1216</v>
      </c>
      <c r="E410" s="2170"/>
      <c r="F410" s="2179"/>
      <c r="G410" s="2179"/>
      <c r="H410" s="2179"/>
      <c r="I410" s="2179"/>
      <c r="J410" s="2179"/>
      <c r="K410" s="2179"/>
      <c r="L410" s="2179"/>
      <c r="M410" s="2179"/>
      <c r="N410" s="2179"/>
      <c r="O410" s="2179"/>
      <c r="P410" s="2172"/>
      <c r="Q410" s="2172"/>
      <c r="R410" s="2172"/>
      <c r="S410" s="2172"/>
      <c r="T410" s="2172"/>
      <c r="U410" s="2414"/>
      <c r="V410" s="2182"/>
    </row>
    <row r="411" spans="1:22">
      <c r="A411" s="2164"/>
      <c r="B411" s="2167"/>
      <c r="C411" s="2174"/>
      <c r="D411" s="1237" t="s">
        <v>1217</v>
      </c>
      <c r="E411" s="2170"/>
      <c r="F411" s="2179"/>
      <c r="G411" s="2179"/>
      <c r="H411" s="2179"/>
      <c r="I411" s="2179"/>
      <c r="J411" s="2179"/>
      <c r="K411" s="2179"/>
      <c r="L411" s="2179"/>
      <c r="M411" s="2179"/>
      <c r="N411" s="2179"/>
      <c r="O411" s="2179"/>
      <c r="P411" s="2187"/>
      <c r="Q411" s="2187"/>
      <c r="R411" s="2187"/>
      <c r="S411" s="2187"/>
      <c r="T411" s="2187"/>
      <c r="U411" s="2415"/>
      <c r="V411" s="2416"/>
    </row>
    <row r="412" spans="1:22">
      <c r="A412" s="2164"/>
      <c r="B412" s="2175" t="s">
        <v>1203</v>
      </c>
      <c r="C412" s="2168" t="s">
        <v>1212</v>
      </c>
      <c r="D412" s="1235" t="s">
        <v>1213</v>
      </c>
      <c r="E412" s="2170"/>
      <c r="F412" s="2179"/>
      <c r="G412" s="2179"/>
      <c r="H412" s="2179"/>
      <c r="I412" s="2179"/>
      <c r="J412" s="2179"/>
      <c r="K412" s="2179"/>
      <c r="L412" s="2179"/>
      <c r="M412" s="2179"/>
      <c r="N412" s="2179"/>
      <c r="O412" s="2179"/>
      <c r="P412" s="2179"/>
      <c r="Q412" s="2171">
        <v>0.98</v>
      </c>
      <c r="R412" s="2171">
        <v>0.96039999999999992</v>
      </c>
      <c r="S412" s="2171">
        <v>0.95079599999999986</v>
      </c>
      <c r="T412" s="2171">
        <v>0.94128803999999988</v>
      </c>
      <c r="U412" s="2413">
        <v>0.93187515959999989</v>
      </c>
      <c r="V412" s="2181">
        <v>0.92255640800399985</v>
      </c>
    </row>
    <row r="413" spans="1:22">
      <c r="A413" s="2164"/>
      <c r="B413" s="2167"/>
      <c r="C413" s="2169"/>
      <c r="D413" s="1236" t="s">
        <v>1214</v>
      </c>
      <c r="E413" s="2170"/>
      <c r="F413" s="2179"/>
      <c r="G413" s="2179"/>
      <c r="H413" s="2179"/>
      <c r="I413" s="2179"/>
      <c r="J413" s="2179"/>
      <c r="K413" s="2179"/>
      <c r="L413" s="2179"/>
      <c r="M413" s="2179"/>
      <c r="N413" s="2179"/>
      <c r="O413" s="2179"/>
      <c r="P413" s="2179"/>
      <c r="Q413" s="2172"/>
      <c r="R413" s="2172"/>
      <c r="S413" s="2172"/>
      <c r="T413" s="2172"/>
      <c r="U413" s="2414"/>
      <c r="V413" s="2182"/>
    </row>
    <row r="414" spans="1:22">
      <c r="A414" s="2164"/>
      <c r="B414" s="2167"/>
      <c r="C414" s="2173" t="s">
        <v>1215</v>
      </c>
      <c r="D414" s="1236" t="s">
        <v>1216</v>
      </c>
      <c r="E414" s="2170"/>
      <c r="F414" s="2179"/>
      <c r="G414" s="2179"/>
      <c r="H414" s="2179"/>
      <c r="I414" s="2179"/>
      <c r="J414" s="2179"/>
      <c r="K414" s="2179"/>
      <c r="L414" s="2179"/>
      <c r="M414" s="2179"/>
      <c r="N414" s="2179"/>
      <c r="O414" s="2179"/>
      <c r="P414" s="2179"/>
      <c r="Q414" s="2172"/>
      <c r="R414" s="2172"/>
      <c r="S414" s="2172"/>
      <c r="T414" s="2172"/>
      <c r="U414" s="2414"/>
      <c r="V414" s="2182"/>
    </row>
    <row r="415" spans="1:22">
      <c r="A415" s="2164"/>
      <c r="B415" s="2167"/>
      <c r="C415" s="2174"/>
      <c r="D415" s="1237" t="s">
        <v>1217</v>
      </c>
      <c r="E415" s="2170"/>
      <c r="F415" s="2179"/>
      <c r="G415" s="2179"/>
      <c r="H415" s="2179"/>
      <c r="I415" s="2179"/>
      <c r="J415" s="2179"/>
      <c r="K415" s="2179"/>
      <c r="L415" s="2179"/>
      <c r="M415" s="2179"/>
      <c r="N415" s="2179"/>
      <c r="O415" s="2179"/>
      <c r="P415" s="2179"/>
      <c r="Q415" s="2187"/>
      <c r="R415" s="2187"/>
      <c r="S415" s="2187"/>
      <c r="T415" s="2187"/>
      <c r="U415" s="2415"/>
      <c r="V415" s="2416"/>
    </row>
    <row r="416" spans="1:22">
      <c r="A416" s="2164"/>
      <c r="B416" s="2175" t="s">
        <v>1204</v>
      </c>
      <c r="C416" s="2168" t="s">
        <v>1212</v>
      </c>
      <c r="D416" s="1235" t="s">
        <v>1213</v>
      </c>
      <c r="E416" s="2170"/>
      <c r="F416" s="2179"/>
      <c r="G416" s="2179"/>
      <c r="H416" s="2179"/>
      <c r="I416" s="2179"/>
      <c r="J416" s="2179"/>
      <c r="K416" s="2179"/>
      <c r="L416" s="2179"/>
      <c r="M416" s="2179"/>
      <c r="N416" s="2179"/>
      <c r="O416" s="2179"/>
      <c r="P416" s="2179"/>
      <c r="Q416" s="2179"/>
      <c r="R416" s="2171">
        <v>0.98</v>
      </c>
      <c r="S416" s="2171">
        <v>0.97019999999999995</v>
      </c>
      <c r="T416" s="2171">
        <v>0.96049799999999996</v>
      </c>
      <c r="U416" s="2413">
        <v>0.95089301999999998</v>
      </c>
      <c r="V416" s="2181">
        <v>0.94138408979999999</v>
      </c>
    </row>
    <row r="417" spans="1:22">
      <c r="A417" s="2164"/>
      <c r="B417" s="2167"/>
      <c r="C417" s="2169"/>
      <c r="D417" s="1236" t="s">
        <v>1214</v>
      </c>
      <c r="E417" s="2170"/>
      <c r="F417" s="2179"/>
      <c r="G417" s="2179"/>
      <c r="H417" s="2179"/>
      <c r="I417" s="2179"/>
      <c r="J417" s="2179"/>
      <c r="K417" s="2179"/>
      <c r="L417" s="2179"/>
      <c r="M417" s="2179"/>
      <c r="N417" s="2179"/>
      <c r="O417" s="2179"/>
      <c r="P417" s="2179"/>
      <c r="Q417" s="2179"/>
      <c r="R417" s="2172"/>
      <c r="S417" s="2172"/>
      <c r="T417" s="2172"/>
      <c r="U417" s="2414"/>
      <c r="V417" s="2182"/>
    </row>
    <row r="418" spans="1:22">
      <c r="A418" s="2164"/>
      <c r="B418" s="2167"/>
      <c r="C418" s="2173" t="s">
        <v>1215</v>
      </c>
      <c r="D418" s="1236" t="s">
        <v>1216</v>
      </c>
      <c r="E418" s="2170"/>
      <c r="F418" s="2179"/>
      <c r="G418" s="2179"/>
      <c r="H418" s="2179"/>
      <c r="I418" s="2179"/>
      <c r="J418" s="2179"/>
      <c r="K418" s="2179"/>
      <c r="L418" s="2179"/>
      <c r="M418" s="2179"/>
      <c r="N418" s="2179"/>
      <c r="O418" s="2179"/>
      <c r="P418" s="2179"/>
      <c r="Q418" s="2179"/>
      <c r="R418" s="2172"/>
      <c r="S418" s="2172"/>
      <c r="T418" s="2172"/>
      <c r="U418" s="2414"/>
      <c r="V418" s="2182"/>
    </row>
    <row r="419" spans="1:22">
      <c r="A419" s="2164"/>
      <c r="B419" s="2167"/>
      <c r="C419" s="2174"/>
      <c r="D419" s="1237" t="s">
        <v>1217</v>
      </c>
      <c r="E419" s="2170"/>
      <c r="F419" s="2179"/>
      <c r="G419" s="2179"/>
      <c r="H419" s="2179"/>
      <c r="I419" s="2179"/>
      <c r="J419" s="2179"/>
      <c r="K419" s="2179"/>
      <c r="L419" s="2179"/>
      <c r="M419" s="2179"/>
      <c r="N419" s="2179"/>
      <c r="O419" s="2179"/>
      <c r="P419" s="2179"/>
      <c r="Q419" s="2179"/>
      <c r="R419" s="2187"/>
      <c r="S419" s="2187"/>
      <c r="T419" s="2187"/>
      <c r="U419" s="2415"/>
      <c r="V419" s="2416"/>
    </row>
    <row r="420" spans="1:22">
      <c r="A420" s="2164"/>
      <c r="B420" s="2166" t="s">
        <v>1205</v>
      </c>
      <c r="C420" s="2168" t="s">
        <v>1212</v>
      </c>
      <c r="D420" s="1235" t="s">
        <v>1213</v>
      </c>
      <c r="E420" s="2170"/>
      <c r="F420" s="2179"/>
      <c r="G420" s="2179"/>
      <c r="H420" s="2179"/>
      <c r="I420" s="2179"/>
      <c r="J420" s="2179"/>
      <c r="K420" s="2179"/>
      <c r="L420" s="2179"/>
      <c r="M420" s="2179"/>
      <c r="N420" s="2179"/>
      <c r="O420" s="2179"/>
      <c r="P420" s="2179"/>
      <c r="Q420" s="2179"/>
      <c r="R420" s="2179"/>
      <c r="S420" s="2171">
        <v>0.99</v>
      </c>
      <c r="T420" s="2171">
        <v>0.98009999999999997</v>
      </c>
      <c r="U420" s="2413">
        <v>0.97029899999999991</v>
      </c>
      <c r="V420" s="2181">
        <v>0.96059600999999994</v>
      </c>
    </row>
    <row r="421" spans="1:22">
      <c r="A421" s="2164"/>
      <c r="B421" s="2167"/>
      <c r="C421" s="2169"/>
      <c r="D421" s="1236" t="s">
        <v>1214</v>
      </c>
      <c r="E421" s="2170"/>
      <c r="F421" s="2179"/>
      <c r="G421" s="2179"/>
      <c r="H421" s="2179"/>
      <c r="I421" s="2179"/>
      <c r="J421" s="2179"/>
      <c r="K421" s="2179"/>
      <c r="L421" s="2179"/>
      <c r="M421" s="2179"/>
      <c r="N421" s="2179"/>
      <c r="O421" s="2179"/>
      <c r="P421" s="2179"/>
      <c r="Q421" s="2179"/>
      <c r="R421" s="2179"/>
      <c r="S421" s="2172"/>
      <c r="T421" s="2172"/>
      <c r="U421" s="2414"/>
      <c r="V421" s="2182"/>
    </row>
    <row r="422" spans="1:22">
      <c r="A422" s="2164"/>
      <c r="B422" s="2167"/>
      <c r="C422" s="2173" t="s">
        <v>1215</v>
      </c>
      <c r="D422" s="1236" t="s">
        <v>1216</v>
      </c>
      <c r="E422" s="2170"/>
      <c r="F422" s="2179"/>
      <c r="G422" s="2179"/>
      <c r="H422" s="2179"/>
      <c r="I422" s="2179"/>
      <c r="J422" s="2179"/>
      <c r="K422" s="2179"/>
      <c r="L422" s="2179"/>
      <c r="M422" s="2179"/>
      <c r="N422" s="2179"/>
      <c r="O422" s="2179"/>
      <c r="P422" s="2179"/>
      <c r="Q422" s="2179"/>
      <c r="R422" s="2179"/>
      <c r="S422" s="2172"/>
      <c r="T422" s="2172"/>
      <c r="U422" s="2414"/>
      <c r="V422" s="2182"/>
    </row>
    <row r="423" spans="1:22">
      <c r="A423" s="2164"/>
      <c r="B423" s="2167"/>
      <c r="C423" s="2174"/>
      <c r="D423" s="1237" t="s">
        <v>1217</v>
      </c>
      <c r="E423" s="2170"/>
      <c r="F423" s="2179"/>
      <c r="G423" s="2179"/>
      <c r="H423" s="2179"/>
      <c r="I423" s="2179"/>
      <c r="J423" s="2179"/>
      <c r="K423" s="2179"/>
      <c r="L423" s="2179"/>
      <c r="M423" s="2179"/>
      <c r="N423" s="2179"/>
      <c r="O423" s="2179"/>
      <c r="P423" s="2179"/>
      <c r="Q423" s="2179"/>
      <c r="R423" s="2179"/>
      <c r="S423" s="2187"/>
      <c r="T423" s="2187"/>
      <c r="U423" s="2415"/>
      <c r="V423" s="2416"/>
    </row>
    <row r="424" spans="1:22">
      <c r="A424" s="2164"/>
      <c r="B424" s="2166" t="s">
        <v>1206</v>
      </c>
      <c r="C424" s="2168" t="s">
        <v>1212</v>
      </c>
      <c r="D424" s="1235" t="s">
        <v>1213</v>
      </c>
      <c r="E424" s="2170"/>
      <c r="F424" s="2179"/>
      <c r="G424" s="2179"/>
      <c r="H424" s="2179"/>
      <c r="I424" s="2179"/>
      <c r="J424" s="2179"/>
      <c r="K424" s="2179"/>
      <c r="L424" s="2179"/>
      <c r="M424" s="2179"/>
      <c r="N424" s="2179"/>
      <c r="O424" s="2179"/>
      <c r="P424" s="2179"/>
      <c r="Q424" s="2179"/>
      <c r="R424" s="2179"/>
      <c r="S424" s="2179"/>
      <c r="T424" s="2171">
        <v>0.99</v>
      </c>
      <c r="U424" s="2413">
        <v>0.98009999999999997</v>
      </c>
      <c r="V424" s="2181">
        <v>0.97029899999999991</v>
      </c>
    </row>
    <row r="425" spans="1:22">
      <c r="A425" s="2164"/>
      <c r="B425" s="2167"/>
      <c r="C425" s="2169"/>
      <c r="D425" s="1236" t="s">
        <v>1214</v>
      </c>
      <c r="E425" s="2170"/>
      <c r="F425" s="2179"/>
      <c r="G425" s="2179"/>
      <c r="H425" s="2179"/>
      <c r="I425" s="2179"/>
      <c r="J425" s="2179"/>
      <c r="K425" s="2179"/>
      <c r="L425" s="2179"/>
      <c r="M425" s="2179"/>
      <c r="N425" s="2179"/>
      <c r="O425" s="2179"/>
      <c r="P425" s="2179"/>
      <c r="Q425" s="2179"/>
      <c r="R425" s="2179"/>
      <c r="S425" s="2179"/>
      <c r="T425" s="2172"/>
      <c r="U425" s="2414"/>
      <c r="V425" s="2182"/>
    </row>
    <row r="426" spans="1:22">
      <c r="A426" s="2164"/>
      <c r="B426" s="2167"/>
      <c r="C426" s="2173" t="s">
        <v>1215</v>
      </c>
      <c r="D426" s="1236" t="s">
        <v>1216</v>
      </c>
      <c r="E426" s="2170"/>
      <c r="F426" s="2179"/>
      <c r="G426" s="2179"/>
      <c r="H426" s="2179"/>
      <c r="I426" s="2179"/>
      <c r="J426" s="2179"/>
      <c r="K426" s="2179"/>
      <c r="L426" s="2179"/>
      <c r="M426" s="2179"/>
      <c r="N426" s="2179"/>
      <c r="O426" s="2179"/>
      <c r="P426" s="2179"/>
      <c r="Q426" s="2179"/>
      <c r="R426" s="2179"/>
      <c r="S426" s="2179"/>
      <c r="T426" s="2172"/>
      <c r="U426" s="2414"/>
      <c r="V426" s="2182"/>
    </row>
    <row r="427" spans="1:22">
      <c r="A427" s="2164"/>
      <c r="B427" s="2167"/>
      <c r="C427" s="2174"/>
      <c r="D427" s="1237" t="s">
        <v>1217</v>
      </c>
      <c r="E427" s="2170"/>
      <c r="F427" s="2179"/>
      <c r="G427" s="2179"/>
      <c r="H427" s="2179"/>
      <c r="I427" s="2179"/>
      <c r="J427" s="2179"/>
      <c r="K427" s="2179"/>
      <c r="L427" s="2179"/>
      <c r="M427" s="2179"/>
      <c r="N427" s="2179"/>
      <c r="O427" s="2179"/>
      <c r="P427" s="2179"/>
      <c r="Q427" s="2179"/>
      <c r="R427" s="2179"/>
      <c r="S427" s="2179"/>
      <c r="T427" s="2187"/>
      <c r="U427" s="2415"/>
      <c r="V427" s="2416"/>
    </row>
    <row r="428" spans="1:22">
      <c r="A428" s="2164"/>
      <c r="B428" s="2166" t="s">
        <v>1207</v>
      </c>
      <c r="C428" s="2168" t="s">
        <v>1212</v>
      </c>
      <c r="D428" s="1235" t="s">
        <v>1213</v>
      </c>
      <c r="E428" s="2170"/>
      <c r="F428" s="2179"/>
      <c r="G428" s="2179"/>
      <c r="H428" s="2179"/>
      <c r="I428" s="2179"/>
      <c r="J428" s="2179"/>
      <c r="K428" s="2179"/>
      <c r="L428" s="2179"/>
      <c r="M428" s="2179"/>
      <c r="N428" s="2179"/>
      <c r="O428" s="2179"/>
      <c r="P428" s="2179"/>
      <c r="Q428" s="2179"/>
      <c r="R428" s="2179"/>
      <c r="S428" s="2179"/>
      <c r="T428" s="2179"/>
      <c r="U428" s="2413">
        <v>0.99</v>
      </c>
      <c r="V428" s="2181">
        <v>0.98009999999999997</v>
      </c>
    </row>
    <row r="429" spans="1:22">
      <c r="A429" s="2164"/>
      <c r="B429" s="2167"/>
      <c r="C429" s="2169"/>
      <c r="D429" s="1236" t="s">
        <v>1214</v>
      </c>
      <c r="E429" s="2170"/>
      <c r="F429" s="2179"/>
      <c r="G429" s="2179"/>
      <c r="H429" s="2179"/>
      <c r="I429" s="2179"/>
      <c r="J429" s="2179"/>
      <c r="K429" s="2179"/>
      <c r="L429" s="2179"/>
      <c r="M429" s="2179"/>
      <c r="N429" s="2179"/>
      <c r="O429" s="2179"/>
      <c r="P429" s="2179"/>
      <c r="Q429" s="2179"/>
      <c r="R429" s="2179"/>
      <c r="S429" s="2179"/>
      <c r="T429" s="2179"/>
      <c r="U429" s="2414"/>
      <c r="V429" s="2182"/>
    </row>
    <row r="430" spans="1:22">
      <c r="A430" s="2164"/>
      <c r="B430" s="2167"/>
      <c r="C430" s="2173" t="s">
        <v>1215</v>
      </c>
      <c r="D430" s="1236" t="s">
        <v>1216</v>
      </c>
      <c r="E430" s="2170"/>
      <c r="F430" s="2179"/>
      <c r="G430" s="2179"/>
      <c r="H430" s="2179"/>
      <c r="I430" s="2179"/>
      <c r="J430" s="2179"/>
      <c r="K430" s="2179"/>
      <c r="L430" s="2179"/>
      <c r="M430" s="2179"/>
      <c r="N430" s="2179"/>
      <c r="O430" s="2179"/>
      <c r="P430" s="2179"/>
      <c r="Q430" s="2179"/>
      <c r="R430" s="2179"/>
      <c r="S430" s="2179"/>
      <c r="T430" s="2179"/>
      <c r="U430" s="2414"/>
      <c r="V430" s="2182"/>
    </row>
    <row r="431" spans="1:22">
      <c r="A431" s="2164"/>
      <c r="B431" s="2167"/>
      <c r="C431" s="2174"/>
      <c r="D431" s="1237" t="s">
        <v>1217</v>
      </c>
      <c r="E431" s="2170"/>
      <c r="F431" s="2179"/>
      <c r="G431" s="2179"/>
      <c r="H431" s="2179"/>
      <c r="I431" s="2179"/>
      <c r="J431" s="2179"/>
      <c r="K431" s="2179"/>
      <c r="L431" s="2179"/>
      <c r="M431" s="2179"/>
      <c r="N431" s="2179"/>
      <c r="O431" s="2179"/>
      <c r="P431" s="2179"/>
      <c r="Q431" s="2179"/>
      <c r="R431" s="2179"/>
      <c r="S431" s="2179"/>
      <c r="T431" s="2179"/>
      <c r="U431" s="2415"/>
      <c r="V431" s="2416"/>
    </row>
    <row r="432" spans="1:22">
      <c r="A432" s="2164"/>
      <c r="B432" s="2166" t="s">
        <v>1208</v>
      </c>
      <c r="C432" s="2168" t="s">
        <v>1212</v>
      </c>
      <c r="D432" s="1235" t="s">
        <v>1213</v>
      </c>
      <c r="E432" s="2188"/>
      <c r="F432" s="2191"/>
      <c r="G432" s="2191"/>
      <c r="H432" s="2191"/>
      <c r="I432" s="2191"/>
      <c r="J432" s="2191"/>
      <c r="K432" s="2191"/>
      <c r="L432" s="2191"/>
      <c r="M432" s="2191"/>
      <c r="N432" s="2191"/>
      <c r="O432" s="2191"/>
      <c r="P432" s="2191"/>
      <c r="Q432" s="2191"/>
      <c r="R432" s="2191"/>
      <c r="S432" s="2191"/>
      <c r="T432" s="2191"/>
      <c r="U432" s="2179"/>
      <c r="V432" s="2181">
        <v>0.99</v>
      </c>
    </row>
    <row r="433" spans="1:22">
      <c r="A433" s="2164"/>
      <c r="B433" s="2167"/>
      <c r="C433" s="2169"/>
      <c r="D433" s="1236" t="s">
        <v>1214</v>
      </c>
      <c r="E433" s="2189"/>
      <c r="F433" s="2192"/>
      <c r="G433" s="2192"/>
      <c r="H433" s="2192"/>
      <c r="I433" s="2192"/>
      <c r="J433" s="2192"/>
      <c r="K433" s="2192"/>
      <c r="L433" s="2192"/>
      <c r="M433" s="2192"/>
      <c r="N433" s="2192"/>
      <c r="O433" s="2192"/>
      <c r="P433" s="2192"/>
      <c r="Q433" s="2192"/>
      <c r="R433" s="2192"/>
      <c r="S433" s="2192"/>
      <c r="T433" s="2192"/>
      <c r="U433" s="2179"/>
      <c r="V433" s="2182"/>
    </row>
    <row r="434" spans="1:22">
      <c r="A434" s="2164"/>
      <c r="B434" s="2167"/>
      <c r="C434" s="2173" t="s">
        <v>1215</v>
      </c>
      <c r="D434" s="1236" t="s">
        <v>1216</v>
      </c>
      <c r="E434" s="2189"/>
      <c r="F434" s="2192"/>
      <c r="G434" s="2192"/>
      <c r="H434" s="2192"/>
      <c r="I434" s="2192"/>
      <c r="J434" s="2192"/>
      <c r="K434" s="2192"/>
      <c r="L434" s="2192"/>
      <c r="M434" s="2192"/>
      <c r="N434" s="2192"/>
      <c r="O434" s="2192"/>
      <c r="P434" s="2192"/>
      <c r="Q434" s="2192"/>
      <c r="R434" s="2192"/>
      <c r="S434" s="2192"/>
      <c r="T434" s="2192"/>
      <c r="U434" s="2179"/>
      <c r="V434" s="2182"/>
    </row>
    <row r="435" spans="1:22">
      <c r="A435" s="2164"/>
      <c r="B435" s="2167"/>
      <c r="C435" s="2174"/>
      <c r="D435" s="1237" t="s">
        <v>1217</v>
      </c>
      <c r="E435" s="2190"/>
      <c r="F435" s="2193"/>
      <c r="G435" s="2193"/>
      <c r="H435" s="2193"/>
      <c r="I435" s="2193"/>
      <c r="J435" s="2193"/>
      <c r="K435" s="2193"/>
      <c r="L435" s="2193"/>
      <c r="M435" s="2193"/>
      <c r="N435" s="2193"/>
      <c r="O435" s="2193"/>
      <c r="P435" s="2193"/>
      <c r="Q435" s="2193"/>
      <c r="R435" s="2193"/>
      <c r="S435" s="2193"/>
      <c r="T435" s="2193"/>
      <c r="U435" s="2179"/>
      <c r="V435" s="2416"/>
    </row>
    <row r="436" spans="1:22">
      <c r="A436" s="2164"/>
      <c r="B436" s="2175" t="s">
        <v>1209</v>
      </c>
      <c r="C436" s="2168" t="s">
        <v>1212</v>
      </c>
      <c r="D436" s="1235" t="s">
        <v>1213</v>
      </c>
      <c r="E436" s="2188"/>
      <c r="F436" s="2191"/>
      <c r="G436" s="2191"/>
      <c r="H436" s="2191"/>
      <c r="I436" s="2191"/>
      <c r="J436" s="2191"/>
      <c r="K436" s="2191"/>
      <c r="L436" s="2191"/>
      <c r="M436" s="2191"/>
      <c r="N436" s="2191"/>
      <c r="O436" s="2191"/>
      <c r="P436" s="2191"/>
      <c r="Q436" s="2191"/>
      <c r="R436" s="2191"/>
      <c r="S436" s="2191"/>
      <c r="T436" s="2191"/>
      <c r="U436" s="2417"/>
      <c r="V436" s="2194"/>
    </row>
    <row r="437" spans="1:22">
      <c r="A437" s="2164"/>
      <c r="B437" s="2167"/>
      <c r="C437" s="2169"/>
      <c r="D437" s="1236" t="s">
        <v>1214</v>
      </c>
      <c r="E437" s="2189"/>
      <c r="F437" s="2192"/>
      <c r="G437" s="2192"/>
      <c r="H437" s="2192"/>
      <c r="I437" s="2192"/>
      <c r="J437" s="2192"/>
      <c r="K437" s="2192"/>
      <c r="L437" s="2192"/>
      <c r="M437" s="2192"/>
      <c r="N437" s="2192"/>
      <c r="O437" s="2192"/>
      <c r="P437" s="2192"/>
      <c r="Q437" s="2192"/>
      <c r="R437" s="2192"/>
      <c r="S437" s="2192"/>
      <c r="T437" s="2192"/>
      <c r="U437" s="2418"/>
      <c r="V437" s="2195"/>
    </row>
    <row r="438" spans="1:22">
      <c r="A438" s="2164"/>
      <c r="B438" s="2167"/>
      <c r="C438" s="2173" t="s">
        <v>1215</v>
      </c>
      <c r="D438" s="1236" t="s">
        <v>1216</v>
      </c>
      <c r="E438" s="2189"/>
      <c r="F438" s="2192"/>
      <c r="G438" s="2192"/>
      <c r="H438" s="2192"/>
      <c r="I438" s="2192"/>
      <c r="J438" s="2192"/>
      <c r="K438" s="2192"/>
      <c r="L438" s="2192"/>
      <c r="M438" s="2192"/>
      <c r="N438" s="2192"/>
      <c r="O438" s="2192"/>
      <c r="P438" s="2192"/>
      <c r="Q438" s="2192"/>
      <c r="R438" s="2192"/>
      <c r="S438" s="2192"/>
      <c r="T438" s="2192"/>
      <c r="U438" s="2418"/>
      <c r="V438" s="2195"/>
    </row>
    <row r="439" spans="1:22">
      <c r="A439" s="2165"/>
      <c r="B439" s="2167"/>
      <c r="C439" s="2174"/>
      <c r="D439" s="1237" t="s">
        <v>1217</v>
      </c>
      <c r="E439" s="2190"/>
      <c r="F439" s="2193"/>
      <c r="G439" s="2193"/>
      <c r="H439" s="2193"/>
      <c r="I439" s="2193"/>
      <c r="J439" s="2193"/>
      <c r="K439" s="2193"/>
      <c r="L439" s="2193"/>
      <c r="M439" s="2193"/>
      <c r="N439" s="2193"/>
      <c r="O439" s="2193"/>
      <c r="P439" s="2193"/>
      <c r="Q439" s="2193"/>
      <c r="R439" s="2193"/>
      <c r="S439" s="2193"/>
      <c r="T439" s="2193"/>
      <c r="U439" s="2419"/>
      <c r="V439" s="2196"/>
    </row>
    <row r="440" spans="1:22">
      <c r="A440" s="2157" t="s">
        <v>1224</v>
      </c>
      <c r="B440" s="2175" t="s">
        <v>1274</v>
      </c>
      <c r="C440" s="2168" t="s">
        <v>1212</v>
      </c>
      <c r="D440" s="1235" t="s">
        <v>1213</v>
      </c>
      <c r="E440" s="2188"/>
      <c r="F440" s="2171">
        <v>0.61</v>
      </c>
      <c r="G440" s="2171">
        <v>0.4819</v>
      </c>
      <c r="H440" s="2171">
        <v>0.41925299999999999</v>
      </c>
      <c r="I440" s="2171">
        <v>0.40248287999999999</v>
      </c>
      <c r="J440" s="2171">
        <v>0.3702842496</v>
      </c>
      <c r="K440" s="2171">
        <v>0.34806719462399999</v>
      </c>
      <c r="L440" s="2171">
        <v>0.33066383489279999</v>
      </c>
      <c r="M440" s="2171">
        <v>0.317437281497088</v>
      </c>
      <c r="N440" s="2171">
        <v>0.29521667179229183</v>
      </c>
      <c r="O440" s="2171">
        <v>0.28931233835644599</v>
      </c>
      <c r="P440" s="2171">
        <v>0.28352609158931708</v>
      </c>
      <c r="Q440" s="2171">
        <v>0.27785556975753073</v>
      </c>
      <c r="R440" s="2171">
        <v>0.27507701405995544</v>
      </c>
      <c r="S440" s="2171">
        <v>0.27232624391935589</v>
      </c>
      <c r="T440" s="2171">
        <v>0.26960298148016232</v>
      </c>
      <c r="U440" s="2413">
        <v>0.26690695166536071</v>
      </c>
      <c r="V440" s="2181">
        <v>0.26423788214870708</v>
      </c>
    </row>
    <row r="441" spans="1:22">
      <c r="A441" s="2164"/>
      <c r="B441" s="2167"/>
      <c r="C441" s="2169"/>
      <c r="D441" s="1236" t="s">
        <v>1214</v>
      </c>
      <c r="E441" s="2189"/>
      <c r="F441" s="2172"/>
      <c r="G441" s="2172"/>
      <c r="H441" s="2172"/>
      <c r="I441" s="2172"/>
      <c r="J441" s="2172"/>
      <c r="K441" s="2172"/>
      <c r="L441" s="2172"/>
      <c r="M441" s="2172"/>
      <c r="N441" s="2172"/>
      <c r="O441" s="2172"/>
      <c r="P441" s="2172"/>
      <c r="Q441" s="2172"/>
      <c r="R441" s="2172"/>
      <c r="S441" s="2172"/>
      <c r="T441" s="2172"/>
      <c r="U441" s="2414"/>
      <c r="V441" s="2182"/>
    </row>
    <row r="442" spans="1:22">
      <c r="A442" s="2164"/>
      <c r="B442" s="2167"/>
      <c r="C442" s="2173" t="s">
        <v>1215</v>
      </c>
      <c r="D442" s="1236" t="s">
        <v>1216</v>
      </c>
      <c r="E442" s="2189"/>
      <c r="F442" s="2172"/>
      <c r="G442" s="2172"/>
      <c r="H442" s="2172"/>
      <c r="I442" s="2172"/>
      <c r="J442" s="2172"/>
      <c r="K442" s="2172"/>
      <c r="L442" s="2172"/>
      <c r="M442" s="2172"/>
      <c r="N442" s="2172"/>
      <c r="O442" s="2172"/>
      <c r="P442" s="2172"/>
      <c r="Q442" s="2172"/>
      <c r="R442" s="2172"/>
      <c r="S442" s="2172"/>
      <c r="T442" s="2172"/>
      <c r="U442" s="2414"/>
      <c r="V442" s="2182"/>
    </row>
    <row r="443" spans="1:22">
      <c r="A443" s="2164"/>
      <c r="B443" s="2167"/>
      <c r="C443" s="2174"/>
      <c r="D443" s="1237" t="s">
        <v>1217</v>
      </c>
      <c r="E443" s="2190"/>
      <c r="F443" s="2187"/>
      <c r="G443" s="2187"/>
      <c r="H443" s="2187"/>
      <c r="I443" s="2187"/>
      <c r="J443" s="2187"/>
      <c r="K443" s="2187"/>
      <c r="L443" s="2187"/>
      <c r="M443" s="2187"/>
      <c r="N443" s="2187"/>
      <c r="O443" s="2187"/>
      <c r="P443" s="2187"/>
      <c r="Q443" s="2187"/>
      <c r="R443" s="2187"/>
      <c r="S443" s="2187"/>
      <c r="T443" s="2187"/>
      <c r="U443" s="2415"/>
      <c r="V443" s="2416"/>
    </row>
    <row r="444" spans="1:22">
      <c r="A444" s="2164"/>
      <c r="B444" s="2175" t="s">
        <v>1272</v>
      </c>
      <c r="C444" s="2168" t="s">
        <v>1212</v>
      </c>
      <c r="D444" s="1235" t="s">
        <v>1213</v>
      </c>
      <c r="E444" s="2170"/>
      <c r="F444" s="2179"/>
      <c r="G444" s="2171">
        <v>0.79</v>
      </c>
      <c r="H444" s="2171">
        <v>0.68730000000000002</v>
      </c>
      <c r="I444" s="2171">
        <v>0.65980799999999995</v>
      </c>
      <c r="J444" s="2171">
        <v>0.60702336000000001</v>
      </c>
      <c r="K444" s="2171">
        <v>0.57060195839999994</v>
      </c>
      <c r="L444" s="2171">
        <v>0.54207186047999989</v>
      </c>
      <c r="M444" s="2171">
        <v>0.52038898606079986</v>
      </c>
      <c r="N444" s="2171">
        <v>0.48396175703654387</v>
      </c>
      <c r="O444" s="2171">
        <v>0.47428252189581299</v>
      </c>
      <c r="P444" s="2171">
        <v>0.46479687145789672</v>
      </c>
      <c r="Q444" s="2171">
        <v>0.45550093402873876</v>
      </c>
      <c r="R444" s="2171">
        <v>0.45094592468845135</v>
      </c>
      <c r="S444" s="2171">
        <v>0.44643646544156684</v>
      </c>
      <c r="T444" s="2171">
        <v>0.44197210078715116</v>
      </c>
      <c r="U444" s="2413">
        <v>0.43755237977927963</v>
      </c>
      <c r="V444" s="2181">
        <v>0.43317685598148681</v>
      </c>
    </row>
    <row r="445" spans="1:22">
      <c r="A445" s="2164"/>
      <c r="B445" s="2167"/>
      <c r="C445" s="2169"/>
      <c r="D445" s="1236" t="s">
        <v>1214</v>
      </c>
      <c r="E445" s="2170"/>
      <c r="F445" s="2179"/>
      <c r="G445" s="2172"/>
      <c r="H445" s="2172"/>
      <c r="I445" s="2172"/>
      <c r="J445" s="2172"/>
      <c r="K445" s="2172"/>
      <c r="L445" s="2172"/>
      <c r="M445" s="2172"/>
      <c r="N445" s="2172"/>
      <c r="O445" s="2172"/>
      <c r="P445" s="2172"/>
      <c r="Q445" s="2172"/>
      <c r="R445" s="2172"/>
      <c r="S445" s="2172"/>
      <c r="T445" s="2172"/>
      <c r="U445" s="2414"/>
      <c r="V445" s="2182"/>
    </row>
    <row r="446" spans="1:22">
      <c r="A446" s="2164"/>
      <c r="B446" s="2167"/>
      <c r="C446" s="2173" t="s">
        <v>1215</v>
      </c>
      <c r="D446" s="1236" t="s">
        <v>1216</v>
      </c>
      <c r="E446" s="2170"/>
      <c r="F446" s="2179"/>
      <c r="G446" s="2172"/>
      <c r="H446" s="2172"/>
      <c r="I446" s="2172"/>
      <c r="J446" s="2172"/>
      <c r="K446" s="2172"/>
      <c r="L446" s="2172"/>
      <c r="M446" s="2172"/>
      <c r="N446" s="2172"/>
      <c r="O446" s="2172"/>
      <c r="P446" s="2172"/>
      <c r="Q446" s="2172"/>
      <c r="R446" s="2172"/>
      <c r="S446" s="2172"/>
      <c r="T446" s="2172"/>
      <c r="U446" s="2414"/>
      <c r="V446" s="2182"/>
    </row>
    <row r="447" spans="1:22">
      <c r="A447" s="2164"/>
      <c r="B447" s="2167"/>
      <c r="C447" s="2174"/>
      <c r="D447" s="1237" t="s">
        <v>1217</v>
      </c>
      <c r="E447" s="2170"/>
      <c r="F447" s="2179"/>
      <c r="G447" s="2187"/>
      <c r="H447" s="2187"/>
      <c r="I447" s="2187"/>
      <c r="J447" s="2187"/>
      <c r="K447" s="2187"/>
      <c r="L447" s="2187"/>
      <c r="M447" s="2187"/>
      <c r="N447" s="2187"/>
      <c r="O447" s="2187"/>
      <c r="P447" s="2187"/>
      <c r="Q447" s="2187"/>
      <c r="R447" s="2187"/>
      <c r="S447" s="2187"/>
      <c r="T447" s="2187"/>
      <c r="U447" s="2415"/>
      <c r="V447" s="2416"/>
    </row>
    <row r="448" spans="1:22">
      <c r="A448" s="2164"/>
      <c r="B448" s="2175" t="s">
        <v>1194</v>
      </c>
      <c r="C448" s="2168" t="s">
        <v>1212</v>
      </c>
      <c r="D448" s="1235" t="s">
        <v>1213</v>
      </c>
      <c r="E448" s="2170"/>
      <c r="F448" s="2179"/>
      <c r="G448" s="2179"/>
      <c r="H448" s="2171">
        <v>0.87</v>
      </c>
      <c r="I448" s="2171">
        <v>0.83519999999999994</v>
      </c>
      <c r="J448" s="2171">
        <v>0.76838399999999996</v>
      </c>
      <c r="K448" s="2171">
        <v>0.72228095999999997</v>
      </c>
      <c r="L448" s="2171">
        <v>0.68616691199999991</v>
      </c>
      <c r="M448" s="2171">
        <v>0.65872023551999992</v>
      </c>
      <c r="N448" s="2171">
        <v>0.61260981903360001</v>
      </c>
      <c r="O448" s="2171">
        <v>0.60035762265292802</v>
      </c>
      <c r="P448" s="2171">
        <v>0.58835047019986941</v>
      </c>
      <c r="Q448" s="2171">
        <v>0.57658346079587197</v>
      </c>
      <c r="R448" s="2171">
        <v>0.57081762618791321</v>
      </c>
      <c r="S448" s="2171">
        <v>0.56510944992603407</v>
      </c>
      <c r="T448" s="2171">
        <v>0.55945835542677369</v>
      </c>
      <c r="U448" s="2413">
        <v>0.55386377187250591</v>
      </c>
      <c r="V448" s="2181">
        <v>0.54832513415378081</v>
      </c>
    </row>
    <row r="449" spans="1:22">
      <c r="A449" s="2164"/>
      <c r="B449" s="2167"/>
      <c r="C449" s="2169"/>
      <c r="D449" s="1236" t="s">
        <v>1214</v>
      </c>
      <c r="E449" s="2170"/>
      <c r="F449" s="2179"/>
      <c r="G449" s="2179"/>
      <c r="H449" s="2172"/>
      <c r="I449" s="2172"/>
      <c r="J449" s="2172"/>
      <c r="K449" s="2172"/>
      <c r="L449" s="2172"/>
      <c r="M449" s="2172"/>
      <c r="N449" s="2172"/>
      <c r="O449" s="2172"/>
      <c r="P449" s="2172"/>
      <c r="Q449" s="2172"/>
      <c r="R449" s="2172"/>
      <c r="S449" s="2172"/>
      <c r="T449" s="2172"/>
      <c r="U449" s="2414"/>
      <c r="V449" s="2182"/>
    </row>
    <row r="450" spans="1:22">
      <c r="A450" s="2164"/>
      <c r="B450" s="2167"/>
      <c r="C450" s="2173" t="s">
        <v>1215</v>
      </c>
      <c r="D450" s="1236" t="s">
        <v>1216</v>
      </c>
      <c r="E450" s="2170"/>
      <c r="F450" s="2179"/>
      <c r="G450" s="2179"/>
      <c r="H450" s="2172"/>
      <c r="I450" s="2172"/>
      <c r="J450" s="2172"/>
      <c r="K450" s="2172"/>
      <c r="L450" s="2172"/>
      <c r="M450" s="2172"/>
      <c r="N450" s="2172"/>
      <c r="O450" s="2172"/>
      <c r="P450" s="2172"/>
      <c r="Q450" s="2172"/>
      <c r="R450" s="2172"/>
      <c r="S450" s="2172"/>
      <c r="T450" s="2172"/>
      <c r="U450" s="2414"/>
      <c r="V450" s="2182"/>
    </row>
    <row r="451" spans="1:22">
      <c r="A451" s="2164"/>
      <c r="B451" s="2167"/>
      <c r="C451" s="2174"/>
      <c r="D451" s="1237" t="s">
        <v>1217</v>
      </c>
      <c r="E451" s="2170"/>
      <c r="F451" s="2179"/>
      <c r="G451" s="2179"/>
      <c r="H451" s="2187"/>
      <c r="I451" s="2187"/>
      <c r="J451" s="2187"/>
      <c r="K451" s="2187"/>
      <c r="L451" s="2187"/>
      <c r="M451" s="2187"/>
      <c r="N451" s="2187"/>
      <c r="O451" s="2187"/>
      <c r="P451" s="2187"/>
      <c r="Q451" s="2187"/>
      <c r="R451" s="2187"/>
      <c r="S451" s="2187"/>
      <c r="T451" s="2187"/>
      <c r="U451" s="2415"/>
      <c r="V451" s="2416"/>
    </row>
    <row r="452" spans="1:22">
      <c r="A452" s="2164"/>
      <c r="B452" s="2175" t="s">
        <v>1195</v>
      </c>
      <c r="C452" s="2168" t="s">
        <v>1212</v>
      </c>
      <c r="D452" s="1235" t="s">
        <v>1213</v>
      </c>
      <c r="E452" s="2170"/>
      <c r="F452" s="2179"/>
      <c r="G452" s="2179"/>
      <c r="H452" s="2179"/>
      <c r="I452" s="2171">
        <v>0.96</v>
      </c>
      <c r="J452" s="2171">
        <v>0.88319999999999999</v>
      </c>
      <c r="K452" s="2171">
        <v>0.83020799999999995</v>
      </c>
      <c r="L452" s="2171">
        <v>0.78869759999999989</v>
      </c>
      <c r="M452" s="2171">
        <v>0.75714969599999982</v>
      </c>
      <c r="N452" s="2171">
        <v>0.70414921727999991</v>
      </c>
      <c r="O452" s="2171">
        <v>0.69006623293439995</v>
      </c>
      <c r="P452" s="2171">
        <v>0.67626490827571195</v>
      </c>
      <c r="Q452" s="2171">
        <v>0.66273961011019766</v>
      </c>
      <c r="R452" s="2171">
        <v>0.6561122140090957</v>
      </c>
      <c r="S452" s="2171">
        <v>0.64955109186900473</v>
      </c>
      <c r="T452" s="2171">
        <v>0.64305558095031468</v>
      </c>
      <c r="U452" s="2413">
        <v>0.63662502514081154</v>
      </c>
      <c r="V452" s="2181">
        <v>0.63025877488940341</v>
      </c>
    </row>
    <row r="453" spans="1:22">
      <c r="A453" s="2164"/>
      <c r="B453" s="2167"/>
      <c r="C453" s="2169"/>
      <c r="D453" s="1236" t="s">
        <v>1214</v>
      </c>
      <c r="E453" s="2170"/>
      <c r="F453" s="2179"/>
      <c r="G453" s="2179"/>
      <c r="H453" s="2179"/>
      <c r="I453" s="2172"/>
      <c r="J453" s="2172"/>
      <c r="K453" s="2172"/>
      <c r="L453" s="2172"/>
      <c r="M453" s="2172"/>
      <c r="N453" s="2172"/>
      <c r="O453" s="2172"/>
      <c r="P453" s="2172"/>
      <c r="Q453" s="2172"/>
      <c r="R453" s="2172"/>
      <c r="S453" s="2172"/>
      <c r="T453" s="2172"/>
      <c r="U453" s="2414"/>
      <c r="V453" s="2182"/>
    </row>
    <row r="454" spans="1:22">
      <c r="A454" s="2164"/>
      <c r="B454" s="2167"/>
      <c r="C454" s="2173" t="s">
        <v>1215</v>
      </c>
      <c r="D454" s="1236" t="s">
        <v>1216</v>
      </c>
      <c r="E454" s="2170"/>
      <c r="F454" s="2179"/>
      <c r="G454" s="2179"/>
      <c r="H454" s="2179"/>
      <c r="I454" s="2172"/>
      <c r="J454" s="2172"/>
      <c r="K454" s="2172"/>
      <c r="L454" s="2172"/>
      <c r="M454" s="2172"/>
      <c r="N454" s="2172"/>
      <c r="O454" s="2172"/>
      <c r="P454" s="2172"/>
      <c r="Q454" s="2172"/>
      <c r="R454" s="2172"/>
      <c r="S454" s="2172"/>
      <c r="T454" s="2172"/>
      <c r="U454" s="2414"/>
      <c r="V454" s="2182"/>
    </row>
    <row r="455" spans="1:22">
      <c r="A455" s="2164"/>
      <c r="B455" s="2167"/>
      <c r="C455" s="2174"/>
      <c r="D455" s="1237" t="s">
        <v>1217</v>
      </c>
      <c r="E455" s="2170"/>
      <c r="F455" s="2179"/>
      <c r="G455" s="2179"/>
      <c r="H455" s="2179"/>
      <c r="I455" s="2187"/>
      <c r="J455" s="2187"/>
      <c r="K455" s="2187"/>
      <c r="L455" s="2187"/>
      <c r="M455" s="2187"/>
      <c r="N455" s="2187"/>
      <c r="O455" s="2187"/>
      <c r="P455" s="2187"/>
      <c r="Q455" s="2187"/>
      <c r="R455" s="2187"/>
      <c r="S455" s="2187"/>
      <c r="T455" s="2187"/>
      <c r="U455" s="2415"/>
      <c r="V455" s="2416"/>
    </row>
    <row r="456" spans="1:22">
      <c r="A456" s="2164"/>
      <c r="B456" s="2166" t="s">
        <v>1196</v>
      </c>
      <c r="C456" s="2168" t="s">
        <v>1212</v>
      </c>
      <c r="D456" s="1235" t="s">
        <v>1213</v>
      </c>
      <c r="E456" s="2170"/>
      <c r="F456" s="2179"/>
      <c r="G456" s="2179"/>
      <c r="H456" s="2179"/>
      <c r="I456" s="2179"/>
      <c r="J456" s="2171">
        <v>0.92</v>
      </c>
      <c r="K456" s="2171">
        <v>0.86480000000000001</v>
      </c>
      <c r="L456" s="2171">
        <v>0.82155999999999996</v>
      </c>
      <c r="M456" s="2171">
        <v>0.78869759999999989</v>
      </c>
      <c r="N456" s="2171">
        <v>0.73348876799999996</v>
      </c>
      <c r="O456" s="2171">
        <v>0.71881899263999993</v>
      </c>
      <c r="P456" s="2171">
        <v>0.70444261278719988</v>
      </c>
      <c r="Q456" s="2171">
        <v>0.69035376053145592</v>
      </c>
      <c r="R456" s="2171">
        <v>0.68345022292614133</v>
      </c>
      <c r="S456" s="2171">
        <v>0.67661572069687992</v>
      </c>
      <c r="T456" s="2171">
        <v>0.66984956348991109</v>
      </c>
      <c r="U456" s="2413">
        <v>0.66315106785501199</v>
      </c>
      <c r="V456" s="2181">
        <v>0.65651955717646182</v>
      </c>
    </row>
    <row r="457" spans="1:22">
      <c r="A457" s="2164"/>
      <c r="B457" s="2167"/>
      <c r="C457" s="2169"/>
      <c r="D457" s="1236" t="s">
        <v>1214</v>
      </c>
      <c r="E457" s="2170"/>
      <c r="F457" s="2179"/>
      <c r="G457" s="2179"/>
      <c r="H457" s="2179"/>
      <c r="I457" s="2179"/>
      <c r="J457" s="2172"/>
      <c r="K457" s="2172"/>
      <c r="L457" s="2172"/>
      <c r="M457" s="2172"/>
      <c r="N457" s="2172"/>
      <c r="O457" s="2172"/>
      <c r="P457" s="2172"/>
      <c r="Q457" s="2172"/>
      <c r="R457" s="2172"/>
      <c r="S457" s="2172"/>
      <c r="T457" s="2172"/>
      <c r="U457" s="2414"/>
      <c r="V457" s="2182"/>
    </row>
    <row r="458" spans="1:22">
      <c r="A458" s="2164"/>
      <c r="B458" s="2167"/>
      <c r="C458" s="2173" t="s">
        <v>1215</v>
      </c>
      <c r="D458" s="1236" t="s">
        <v>1216</v>
      </c>
      <c r="E458" s="2170"/>
      <c r="F458" s="2179"/>
      <c r="G458" s="2179"/>
      <c r="H458" s="2179"/>
      <c r="I458" s="2179"/>
      <c r="J458" s="2172"/>
      <c r="K458" s="2172"/>
      <c r="L458" s="2172"/>
      <c r="M458" s="2172"/>
      <c r="N458" s="2172"/>
      <c r="O458" s="2172"/>
      <c r="P458" s="2172"/>
      <c r="Q458" s="2172"/>
      <c r="R458" s="2172"/>
      <c r="S458" s="2172"/>
      <c r="T458" s="2172"/>
      <c r="U458" s="2414"/>
      <c r="V458" s="2182"/>
    </row>
    <row r="459" spans="1:22">
      <c r="A459" s="2164"/>
      <c r="B459" s="2167"/>
      <c r="C459" s="2174"/>
      <c r="D459" s="1237" t="s">
        <v>1217</v>
      </c>
      <c r="E459" s="2170"/>
      <c r="F459" s="2179"/>
      <c r="G459" s="2179"/>
      <c r="H459" s="2179"/>
      <c r="I459" s="2179"/>
      <c r="J459" s="2187"/>
      <c r="K459" s="2187"/>
      <c r="L459" s="2187"/>
      <c r="M459" s="2187"/>
      <c r="N459" s="2187"/>
      <c r="O459" s="2187"/>
      <c r="P459" s="2187"/>
      <c r="Q459" s="2187"/>
      <c r="R459" s="2187"/>
      <c r="S459" s="2187"/>
      <c r="T459" s="2187"/>
      <c r="U459" s="2415"/>
      <c r="V459" s="2416"/>
    </row>
    <row r="460" spans="1:22">
      <c r="A460" s="2164"/>
      <c r="B460" s="2166" t="s">
        <v>1197</v>
      </c>
      <c r="C460" s="2168" t="s">
        <v>1212</v>
      </c>
      <c r="D460" s="1235" t="s">
        <v>1213</v>
      </c>
      <c r="E460" s="2170"/>
      <c r="F460" s="2179"/>
      <c r="G460" s="2179"/>
      <c r="H460" s="2179"/>
      <c r="I460" s="2179"/>
      <c r="J460" s="2179"/>
      <c r="K460" s="2171">
        <v>0.94</v>
      </c>
      <c r="L460" s="2171">
        <v>0.8929999999999999</v>
      </c>
      <c r="M460" s="2171">
        <v>0.85727999999999993</v>
      </c>
      <c r="N460" s="2171">
        <v>0.79727039999999993</v>
      </c>
      <c r="O460" s="2171">
        <v>0.78132499199999994</v>
      </c>
      <c r="P460" s="2171">
        <v>0.76569849215999997</v>
      </c>
      <c r="Q460" s="2171">
        <v>0.75038452231679997</v>
      </c>
      <c r="R460" s="2171">
        <v>0.74288067709363192</v>
      </c>
      <c r="S460" s="2171">
        <v>0.73545187032269554</v>
      </c>
      <c r="T460" s="2171">
        <v>0.72809735161946854</v>
      </c>
      <c r="U460" s="2413">
        <v>0.72081637810327381</v>
      </c>
      <c r="V460" s="2181">
        <v>0.71360821432224109</v>
      </c>
    </row>
    <row r="461" spans="1:22">
      <c r="A461" s="2164"/>
      <c r="B461" s="2167"/>
      <c r="C461" s="2169"/>
      <c r="D461" s="1236" t="s">
        <v>1214</v>
      </c>
      <c r="E461" s="2170"/>
      <c r="F461" s="2179"/>
      <c r="G461" s="2179"/>
      <c r="H461" s="2179"/>
      <c r="I461" s="2179"/>
      <c r="J461" s="2179"/>
      <c r="K461" s="2172"/>
      <c r="L461" s="2172"/>
      <c r="M461" s="2172"/>
      <c r="N461" s="2172"/>
      <c r="O461" s="2172"/>
      <c r="P461" s="2172"/>
      <c r="Q461" s="2172"/>
      <c r="R461" s="2172"/>
      <c r="S461" s="2172"/>
      <c r="T461" s="2172"/>
      <c r="U461" s="2414"/>
      <c r="V461" s="2182"/>
    </row>
    <row r="462" spans="1:22">
      <c r="A462" s="2164"/>
      <c r="B462" s="2167"/>
      <c r="C462" s="2173" t="s">
        <v>1215</v>
      </c>
      <c r="D462" s="1236" t="s">
        <v>1216</v>
      </c>
      <c r="E462" s="2170"/>
      <c r="F462" s="2179"/>
      <c r="G462" s="2179"/>
      <c r="H462" s="2179"/>
      <c r="I462" s="2179"/>
      <c r="J462" s="2179"/>
      <c r="K462" s="2172"/>
      <c r="L462" s="2172"/>
      <c r="M462" s="2172"/>
      <c r="N462" s="2172"/>
      <c r="O462" s="2172"/>
      <c r="P462" s="2172"/>
      <c r="Q462" s="2172"/>
      <c r="R462" s="2172"/>
      <c r="S462" s="2172"/>
      <c r="T462" s="2172"/>
      <c r="U462" s="2414"/>
      <c r="V462" s="2182"/>
    </row>
    <row r="463" spans="1:22">
      <c r="A463" s="2164"/>
      <c r="B463" s="2167"/>
      <c r="C463" s="2174"/>
      <c r="D463" s="1237" t="s">
        <v>1217</v>
      </c>
      <c r="E463" s="2170"/>
      <c r="F463" s="2179"/>
      <c r="G463" s="2179"/>
      <c r="H463" s="2179"/>
      <c r="I463" s="2179"/>
      <c r="J463" s="2179"/>
      <c r="K463" s="2187"/>
      <c r="L463" s="2187"/>
      <c r="M463" s="2187"/>
      <c r="N463" s="2187"/>
      <c r="O463" s="2187"/>
      <c r="P463" s="2187"/>
      <c r="Q463" s="2187"/>
      <c r="R463" s="2187"/>
      <c r="S463" s="2187"/>
      <c r="T463" s="2187"/>
      <c r="U463" s="2415"/>
      <c r="V463" s="2416"/>
    </row>
    <row r="464" spans="1:22">
      <c r="A464" s="2164"/>
      <c r="B464" s="2166" t="s">
        <v>1198</v>
      </c>
      <c r="C464" s="2168" t="s">
        <v>1212</v>
      </c>
      <c r="D464" s="1235" t="s">
        <v>1213</v>
      </c>
      <c r="E464" s="2170"/>
      <c r="F464" s="2179"/>
      <c r="G464" s="2179"/>
      <c r="H464" s="2179"/>
      <c r="I464" s="2179"/>
      <c r="J464" s="2179"/>
      <c r="K464" s="2179"/>
      <c r="L464" s="2171">
        <v>0.95</v>
      </c>
      <c r="M464" s="2171">
        <v>0.91199999999999992</v>
      </c>
      <c r="N464" s="2171">
        <v>0.84816000000000003</v>
      </c>
      <c r="O464" s="2171">
        <v>0.83119679999999996</v>
      </c>
      <c r="P464" s="2171">
        <v>0.81457286399999995</v>
      </c>
      <c r="Q464" s="2171">
        <v>0.79828140671999992</v>
      </c>
      <c r="R464" s="2171">
        <v>0.79029859265279989</v>
      </c>
      <c r="S464" s="2171">
        <v>0.78239560672627184</v>
      </c>
      <c r="T464" s="2171">
        <v>0.77457165065900913</v>
      </c>
      <c r="U464" s="2413">
        <v>0.76682593415241906</v>
      </c>
      <c r="V464" s="2181">
        <v>0.75915767481089491</v>
      </c>
    </row>
    <row r="465" spans="1:22">
      <c r="A465" s="2164"/>
      <c r="B465" s="2167"/>
      <c r="C465" s="2169"/>
      <c r="D465" s="1236" t="s">
        <v>1214</v>
      </c>
      <c r="E465" s="2170"/>
      <c r="F465" s="2179"/>
      <c r="G465" s="2179"/>
      <c r="H465" s="2179"/>
      <c r="I465" s="2179"/>
      <c r="J465" s="2179"/>
      <c r="K465" s="2179"/>
      <c r="L465" s="2172"/>
      <c r="M465" s="2172"/>
      <c r="N465" s="2172"/>
      <c r="O465" s="2172"/>
      <c r="P465" s="2172"/>
      <c r="Q465" s="2172"/>
      <c r="R465" s="2172"/>
      <c r="S465" s="2172"/>
      <c r="T465" s="2172"/>
      <c r="U465" s="2414"/>
      <c r="V465" s="2182"/>
    </row>
    <row r="466" spans="1:22">
      <c r="A466" s="2164"/>
      <c r="B466" s="2167"/>
      <c r="C466" s="2173" t="s">
        <v>1215</v>
      </c>
      <c r="D466" s="1236" t="s">
        <v>1216</v>
      </c>
      <c r="E466" s="2170"/>
      <c r="F466" s="2179"/>
      <c r="G466" s="2179"/>
      <c r="H466" s="2179"/>
      <c r="I466" s="2179"/>
      <c r="J466" s="2179"/>
      <c r="K466" s="2179"/>
      <c r="L466" s="2172"/>
      <c r="M466" s="2172"/>
      <c r="N466" s="2172"/>
      <c r="O466" s="2172"/>
      <c r="P466" s="2172"/>
      <c r="Q466" s="2172"/>
      <c r="R466" s="2172"/>
      <c r="S466" s="2172"/>
      <c r="T466" s="2172"/>
      <c r="U466" s="2414"/>
      <c r="V466" s="2182"/>
    </row>
    <row r="467" spans="1:22">
      <c r="A467" s="2164"/>
      <c r="B467" s="2167"/>
      <c r="C467" s="2174"/>
      <c r="D467" s="1237" t="s">
        <v>1217</v>
      </c>
      <c r="E467" s="2170"/>
      <c r="F467" s="2179"/>
      <c r="G467" s="2179"/>
      <c r="H467" s="2179"/>
      <c r="I467" s="2179"/>
      <c r="J467" s="2179"/>
      <c r="K467" s="2179"/>
      <c r="L467" s="2187"/>
      <c r="M467" s="2187"/>
      <c r="N467" s="2187"/>
      <c r="O467" s="2187"/>
      <c r="P467" s="2187"/>
      <c r="Q467" s="2187"/>
      <c r="R467" s="2187"/>
      <c r="S467" s="2187"/>
      <c r="T467" s="2187"/>
      <c r="U467" s="2415"/>
      <c r="V467" s="2416"/>
    </row>
    <row r="468" spans="1:22">
      <c r="A468" s="2164"/>
      <c r="B468" s="2166" t="s">
        <v>1199</v>
      </c>
      <c r="C468" s="2168" t="s">
        <v>1212</v>
      </c>
      <c r="D468" s="1235" t="s">
        <v>1213</v>
      </c>
      <c r="E468" s="2170"/>
      <c r="F468" s="2179"/>
      <c r="G468" s="2179"/>
      <c r="H468" s="2179"/>
      <c r="I468" s="2179"/>
      <c r="J468" s="2179"/>
      <c r="K468" s="2179"/>
      <c r="L468" s="2179"/>
      <c r="M468" s="2171">
        <v>0.96</v>
      </c>
      <c r="N468" s="2171">
        <v>0.89280000000000004</v>
      </c>
      <c r="O468" s="2171">
        <v>0.87494400000000006</v>
      </c>
      <c r="P468" s="2171">
        <v>0.85744512000000006</v>
      </c>
      <c r="Q468" s="2171">
        <v>0.84029621760000006</v>
      </c>
      <c r="R468" s="2171">
        <v>0.83189325542400006</v>
      </c>
      <c r="S468" s="2171">
        <v>0.82357432286976007</v>
      </c>
      <c r="T468" s="2171">
        <v>0.81533857964106249</v>
      </c>
      <c r="U468" s="2413">
        <v>0.80718519384465182</v>
      </c>
      <c r="V468" s="2181">
        <v>0.79911334190620531</v>
      </c>
    </row>
    <row r="469" spans="1:22">
      <c r="A469" s="2164"/>
      <c r="B469" s="2167"/>
      <c r="C469" s="2169"/>
      <c r="D469" s="1236" t="s">
        <v>1214</v>
      </c>
      <c r="E469" s="2170"/>
      <c r="F469" s="2179"/>
      <c r="G469" s="2179"/>
      <c r="H469" s="2179"/>
      <c r="I469" s="2179"/>
      <c r="J469" s="2179"/>
      <c r="K469" s="2179"/>
      <c r="L469" s="2179"/>
      <c r="M469" s="2172"/>
      <c r="N469" s="2172"/>
      <c r="O469" s="2172"/>
      <c r="P469" s="2172"/>
      <c r="Q469" s="2172"/>
      <c r="R469" s="2172"/>
      <c r="S469" s="2172"/>
      <c r="T469" s="2172"/>
      <c r="U469" s="2414"/>
      <c r="V469" s="2182"/>
    </row>
    <row r="470" spans="1:22">
      <c r="A470" s="2164"/>
      <c r="B470" s="2167"/>
      <c r="C470" s="2173" t="s">
        <v>1215</v>
      </c>
      <c r="D470" s="1236" t="s">
        <v>1216</v>
      </c>
      <c r="E470" s="2170"/>
      <c r="F470" s="2179"/>
      <c r="G470" s="2179"/>
      <c r="H470" s="2179"/>
      <c r="I470" s="2179"/>
      <c r="J470" s="2179"/>
      <c r="K470" s="2179"/>
      <c r="L470" s="2179"/>
      <c r="M470" s="2172"/>
      <c r="N470" s="2172"/>
      <c r="O470" s="2172"/>
      <c r="P470" s="2172"/>
      <c r="Q470" s="2172"/>
      <c r="R470" s="2172"/>
      <c r="S470" s="2172"/>
      <c r="T470" s="2172"/>
      <c r="U470" s="2414"/>
      <c r="V470" s="2182"/>
    </row>
    <row r="471" spans="1:22">
      <c r="A471" s="2164"/>
      <c r="B471" s="2167"/>
      <c r="C471" s="2174"/>
      <c r="D471" s="1237" t="s">
        <v>1217</v>
      </c>
      <c r="E471" s="2170"/>
      <c r="F471" s="2179"/>
      <c r="G471" s="2179"/>
      <c r="H471" s="2179"/>
      <c r="I471" s="2179"/>
      <c r="J471" s="2179"/>
      <c r="K471" s="2179"/>
      <c r="L471" s="2179"/>
      <c r="M471" s="2187"/>
      <c r="N471" s="2187"/>
      <c r="O471" s="2187"/>
      <c r="P471" s="2187"/>
      <c r="Q471" s="2187"/>
      <c r="R471" s="2187"/>
      <c r="S471" s="2187"/>
      <c r="T471" s="2187"/>
      <c r="U471" s="2415"/>
      <c r="V471" s="2416"/>
    </row>
    <row r="472" spans="1:22">
      <c r="A472" s="2164"/>
      <c r="B472" s="2166" t="s">
        <v>1200</v>
      </c>
      <c r="C472" s="2168" t="s">
        <v>1212</v>
      </c>
      <c r="D472" s="1235" t="s">
        <v>1213</v>
      </c>
      <c r="E472" s="2170"/>
      <c r="F472" s="2179"/>
      <c r="G472" s="2179"/>
      <c r="H472" s="2179"/>
      <c r="I472" s="2179"/>
      <c r="J472" s="2179"/>
      <c r="K472" s="2179"/>
      <c r="L472" s="2179"/>
      <c r="M472" s="2179"/>
      <c r="N472" s="2171">
        <v>0.93</v>
      </c>
      <c r="O472" s="2171">
        <v>0.91139999999999999</v>
      </c>
      <c r="P472" s="2171">
        <v>0.89317199999999997</v>
      </c>
      <c r="Q472" s="2171">
        <v>0.8753085599999999</v>
      </c>
      <c r="R472" s="2171">
        <v>0.86655547439999991</v>
      </c>
      <c r="S472" s="2171">
        <v>0.85788991965599992</v>
      </c>
      <c r="T472" s="2171">
        <v>0.84931102045943996</v>
      </c>
      <c r="U472" s="2413">
        <v>0.84081791025484554</v>
      </c>
      <c r="V472" s="2181">
        <v>0.83240973115229711</v>
      </c>
    </row>
    <row r="473" spans="1:22">
      <c r="A473" s="2164"/>
      <c r="B473" s="2167"/>
      <c r="C473" s="2169"/>
      <c r="D473" s="1236" t="s">
        <v>1214</v>
      </c>
      <c r="E473" s="2170"/>
      <c r="F473" s="2179"/>
      <c r="G473" s="2179"/>
      <c r="H473" s="2179"/>
      <c r="I473" s="2179"/>
      <c r="J473" s="2179"/>
      <c r="K473" s="2179"/>
      <c r="L473" s="2179"/>
      <c r="M473" s="2179"/>
      <c r="N473" s="2172"/>
      <c r="O473" s="2172"/>
      <c r="P473" s="2172"/>
      <c r="Q473" s="2172"/>
      <c r="R473" s="2172"/>
      <c r="S473" s="2172"/>
      <c r="T473" s="2172"/>
      <c r="U473" s="2414"/>
      <c r="V473" s="2182"/>
    </row>
    <row r="474" spans="1:22">
      <c r="A474" s="2164"/>
      <c r="B474" s="2167"/>
      <c r="C474" s="2173" t="s">
        <v>1215</v>
      </c>
      <c r="D474" s="1236" t="s">
        <v>1216</v>
      </c>
      <c r="E474" s="2170"/>
      <c r="F474" s="2179"/>
      <c r="G474" s="2179"/>
      <c r="H474" s="2179"/>
      <c r="I474" s="2179"/>
      <c r="J474" s="2179"/>
      <c r="K474" s="2179"/>
      <c r="L474" s="2179"/>
      <c r="M474" s="2179"/>
      <c r="N474" s="2172"/>
      <c r="O474" s="2172"/>
      <c r="P474" s="2172"/>
      <c r="Q474" s="2172"/>
      <c r="R474" s="2172"/>
      <c r="S474" s="2172"/>
      <c r="T474" s="2172"/>
      <c r="U474" s="2414"/>
      <c r="V474" s="2182"/>
    </row>
    <row r="475" spans="1:22">
      <c r="A475" s="2164"/>
      <c r="B475" s="2167"/>
      <c r="C475" s="2174"/>
      <c r="D475" s="1237" t="s">
        <v>1217</v>
      </c>
      <c r="E475" s="2170"/>
      <c r="F475" s="2179"/>
      <c r="G475" s="2179"/>
      <c r="H475" s="2179"/>
      <c r="I475" s="2179"/>
      <c r="J475" s="2179"/>
      <c r="K475" s="2179"/>
      <c r="L475" s="2179"/>
      <c r="M475" s="2179"/>
      <c r="N475" s="2187"/>
      <c r="O475" s="2187"/>
      <c r="P475" s="2187"/>
      <c r="Q475" s="2187"/>
      <c r="R475" s="2187"/>
      <c r="S475" s="2187"/>
      <c r="T475" s="2187"/>
      <c r="U475" s="2415"/>
      <c r="V475" s="2416"/>
    </row>
    <row r="476" spans="1:22">
      <c r="A476" s="2164"/>
      <c r="B476" s="2166" t="s">
        <v>1201</v>
      </c>
      <c r="C476" s="2168" t="s">
        <v>1212</v>
      </c>
      <c r="D476" s="1235" t="s">
        <v>1213</v>
      </c>
      <c r="E476" s="2170"/>
      <c r="F476" s="2179"/>
      <c r="G476" s="2179"/>
      <c r="H476" s="2179"/>
      <c r="I476" s="2179"/>
      <c r="J476" s="2179"/>
      <c r="K476" s="2179"/>
      <c r="L476" s="2179"/>
      <c r="M476" s="2179"/>
      <c r="N476" s="2179"/>
      <c r="O476" s="2171">
        <v>0.98</v>
      </c>
      <c r="P476" s="2171">
        <v>0.96039999999999992</v>
      </c>
      <c r="Q476" s="2171">
        <v>0.94119199999999992</v>
      </c>
      <c r="R476" s="2171">
        <v>0.9317800799999999</v>
      </c>
      <c r="S476" s="2171">
        <v>0.9224622791999999</v>
      </c>
      <c r="T476" s="2171">
        <v>0.91323765640799992</v>
      </c>
      <c r="U476" s="2413">
        <v>0.90410527984391986</v>
      </c>
      <c r="V476" s="2181">
        <v>0.89506422704548061</v>
      </c>
    </row>
    <row r="477" spans="1:22">
      <c r="A477" s="2164"/>
      <c r="B477" s="2167"/>
      <c r="C477" s="2169"/>
      <c r="D477" s="1236" t="s">
        <v>1214</v>
      </c>
      <c r="E477" s="2170"/>
      <c r="F477" s="2179"/>
      <c r="G477" s="2179"/>
      <c r="H477" s="2179"/>
      <c r="I477" s="2179"/>
      <c r="J477" s="2179"/>
      <c r="K477" s="2179"/>
      <c r="L477" s="2179"/>
      <c r="M477" s="2179"/>
      <c r="N477" s="2179"/>
      <c r="O477" s="2172"/>
      <c r="P477" s="2172"/>
      <c r="Q477" s="2172"/>
      <c r="R477" s="2172"/>
      <c r="S477" s="2172"/>
      <c r="T477" s="2172"/>
      <c r="U477" s="2414"/>
      <c r="V477" s="2182"/>
    </row>
    <row r="478" spans="1:22">
      <c r="A478" s="2164"/>
      <c r="B478" s="2167"/>
      <c r="C478" s="2173" t="s">
        <v>1215</v>
      </c>
      <c r="D478" s="1236" t="s">
        <v>1216</v>
      </c>
      <c r="E478" s="2170"/>
      <c r="F478" s="2179"/>
      <c r="G478" s="2179"/>
      <c r="H478" s="2179"/>
      <c r="I478" s="2179"/>
      <c r="J478" s="2179"/>
      <c r="K478" s="2179"/>
      <c r="L478" s="2179"/>
      <c r="M478" s="2179"/>
      <c r="N478" s="2179"/>
      <c r="O478" s="2172"/>
      <c r="P478" s="2172"/>
      <c r="Q478" s="2172"/>
      <c r="R478" s="2172"/>
      <c r="S478" s="2172"/>
      <c r="T478" s="2172"/>
      <c r="U478" s="2414"/>
      <c r="V478" s="2182"/>
    </row>
    <row r="479" spans="1:22">
      <c r="A479" s="2164"/>
      <c r="B479" s="2167"/>
      <c r="C479" s="2174"/>
      <c r="D479" s="1237" t="s">
        <v>1217</v>
      </c>
      <c r="E479" s="2170"/>
      <c r="F479" s="2179"/>
      <c r="G479" s="2179"/>
      <c r="H479" s="2179"/>
      <c r="I479" s="2179"/>
      <c r="J479" s="2179"/>
      <c r="K479" s="2179"/>
      <c r="L479" s="2179"/>
      <c r="M479" s="2179"/>
      <c r="N479" s="2179"/>
      <c r="O479" s="2187"/>
      <c r="P479" s="2187"/>
      <c r="Q479" s="2187"/>
      <c r="R479" s="2187"/>
      <c r="S479" s="2187"/>
      <c r="T479" s="2187"/>
      <c r="U479" s="2415"/>
      <c r="V479" s="2416"/>
    </row>
    <row r="480" spans="1:22">
      <c r="A480" s="2164"/>
      <c r="B480" s="2166" t="s">
        <v>1202</v>
      </c>
      <c r="C480" s="2168" t="s">
        <v>1212</v>
      </c>
      <c r="D480" s="1235" t="s">
        <v>1213</v>
      </c>
      <c r="E480" s="2170"/>
      <c r="F480" s="2179"/>
      <c r="G480" s="2179"/>
      <c r="H480" s="2179"/>
      <c r="I480" s="2179"/>
      <c r="J480" s="2179"/>
      <c r="K480" s="2179"/>
      <c r="L480" s="2179"/>
      <c r="M480" s="2179"/>
      <c r="N480" s="2179"/>
      <c r="O480" s="2179"/>
      <c r="P480" s="2171">
        <v>0.98</v>
      </c>
      <c r="Q480" s="2171">
        <v>0.96039999999999992</v>
      </c>
      <c r="R480" s="2171">
        <v>0.95079599999999986</v>
      </c>
      <c r="S480" s="2171">
        <v>0.94128803999999988</v>
      </c>
      <c r="T480" s="2171">
        <v>0.93187515959999989</v>
      </c>
      <c r="U480" s="2413">
        <v>0.92255640800399985</v>
      </c>
      <c r="V480" s="2181">
        <v>0.9133308439239598</v>
      </c>
    </row>
    <row r="481" spans="1:22">
      <c r="A481" s="2164"/>
      <c r="B481" s="2167"/>
      <c r="C481" s="2169"/>
      <c r="D481" s="1236" t="s">
        <v>1214</v>
      </c>
      <c r="E481" s="2170"/>
      <c r="F481" s="2179"/>
      <c r="G481" s="2179"/>
      <c r="H481" s="2179"/>
      <c r="I481" s="2179"/>
      <c r="J481" s="2179"/>
      <c r="K481" s="2179"/>
      <c r="L481" s="2179"/>
      <c r="M481" s="2179"/>
      <c r="N481" s="2179"/>
      <c r="O481" s="2179"/>
      <c r="P481" s="2172"/>
      <c r="Q481" s="2172"/>
      <c r="R481" s="2172"/>
      <c r="S481" s="2172"/>
      <c r="T481" s="2172"/>
      <c r="U481" s="2414"/>
      <c r="V481" s="2182"/>
    </row>
    <row r="482" spans="1:22">
      <c r="A482" s="2164"/>
      <c r="B482" s="2167"/>
      <c r="C482" s="2173" t="s">
        <v>1215</v>
      </c>
      <c r="D482" s="1236" t="s">
        <v>1216</v>
      </c>
      <c r="E482" s="2170"/>
      <c r="F482" s="2179"/>
      <c r="G482" s="2179"/>
      <c r="H482" s="2179"/>
      <c r="I482" s="2179"/>
      <c r="J482" s="2179"/>
      <c r="K482" s="2179"/>
      <c r="L482" s="2179"/>
      <c r="M482" s="2179"/>
      <c r="N482" s="2179"/>
      <c r="O482" s="2179"/>
      <c r="P482" s="2172"/>
      <c r="Q482" s="2172"/>
      <c r="R482" s="2172"/>
      <c r="S482" s="2172"/>
      <c r="T482" s="2172"/>
      <c r="U482" s="2414"/>
      <c r="V482" s="2182"/>
    </row>
    <row r="483" spans="1:22">
      <c r="A483" s="2164"/>
      <c r="B483" s="2167"/>
      <c r="C483" s="2174"/>
      <c r="D483" s="1237" t="s">
        <v>1217</v>
      </c>
      <c r="E483" s="2170"/>
      <c r="F483" s="2179"/>
      <c r="G483" s="2179"/>
      <c r="H483" s="2179"/>
      <c r="I483" s="2179"/>
      <c r="J483" s="2179"/>
      <c r="K483" s="2179"/>
      <c r="L483" s="2179"/>
      <c r="M483" s="2179"/>
      <c r="N483" s="2179"/>
      <c r="O483" s="2179"/>
      <c r="P483" s="2187"/>
      <c r="Q483" s="2187"/>
      <c r="R483" s="2187"/>
      <c r="S483" s="2187"/>
      <c r="T483" s="2187"/>
      <c r="U483" s="2415"/>
      <c r="V483" s="2416"/>
    </row>
    <row r="484" spans="1:22">
      <c r="A484" s="2164"/>
      <c r="B484" s="2166" t="s">
        <v>1203</v>
      </c>
      <c r="C484" s="2168" t="s">
        <v>1212</v>
      </c>
      <c r="D484" s="1235" t="s">
        <v>1213</v>
      </c>
      <c r="E484" s="2170"/>
      <c r="F484" s="2179"/>
      <c r="G484" s="2179"/>
      <c r="H484" s="2179"/>
      <c r="I484" s="2179"/>
      <c r="J484" s="2179"/>
      <c r="K484" s="2179"/>
      <c r="L484" s="2179"/>
      <c r="M484" s="2179"/>
      <c r="N484" s="2179"/>
      <c r="O484" s="2179"/>
      <c r="P484" s="2179"/>
      <c r="Q484" s="2171">
        <v>0.98</v>
      </c>
      <c r="R484" s="2171">
        <v>0.97019999999999995</v>
      </c>
      <c r="S484" s="2171">
        <v>0.96049799999999996</v>
      </c>
      <c r="T484" s="2171">
        <v>0.95089301999999998</v>
      </c>
      <c r="U484" s="2413">
        <v>0.94138408979999999</v>
      </c>
      <c r="V484" s="2181">
        <v>0.93197024890199998</v>
      </c>
    </row>
    <row r="485" spans="1:22">
      <c r="A485" s="2164"/>
      <c r="B485" s="2167"/>
      <c r="C485" s="2169"/>
      <c r="D485" s="1236" t="s">
        <v>1214</v>
      </c>
      <c r="E485" s="2170"/>
      <c r="F485" s="2179"/>
      <c r="G485" s="2179"/>
      <c r="H485" s="2179"/>
      <c r="I485" s="2179"/>
      <c r="J485" s="2179"/>
      <c r="K485" s="2179"/>
      <c r="L485" s="2179"/>
      <c r="M485" s="2179"/>
      <c r="N485" s="2179"/>
      <c r="O485" s="2179"/>
      <c r="P485" s="2179"/>
      <c r="Q485" s="2172"/>
      <c r="R485" s="2172"/>
      <c r="S485" s="2172"/>
      <c r="T485" s="2172"/>
      <c r="U485" s="2414"/>
      <c r="V485" s="2182"/>
    </row>
    <row r="486" spans="1:22">
      <c r="A486" s="2164"/>
      <c r="B486" s="2167"/>
      <c r="C486" s="2173" t="s">
        <v>1215</v>
      </c>
      <c r="D486" s="1236" t="s">
        <v>1216</v>
      </c>
      <c r="E486" s="2170"/>
      <c r="F486" s="2179"/>
      <c r="G486" s="2179"/>
      <c r="H486" s="2179"/>
      <c r="I486" s="2179"/>
      <c r="J486" s="2179"/>
      <c r="K486" s="2179"/>
      <c r="L486" s="2179"/>
      <c r="M486" s="2179"/>
      <c r="N486" s="2179"/>
      <c r="O486" s="2179"/>
      <c r="P486" s="2179"/>
      <c r="Q486" s="2172"/>
      <c r="R486" s="2172"/>
      <c r="S486" s="2172"/>
      <c r="T486" s="2172"/>
      <c r="U486" s="2414"/>
      <c r="V486" s="2182"/>
    </row>
    <row r="487" spans="1:22">
      <c r="A487" s="2164"/>
      <c r="B487" s="2167"/>
      <c r="C487" s="2174"/>
      <c r="D487" s="1237" t="s">
        <v>1217</v>
      </c>
      <c r="E487" s="2170"/>
      <c r="F487" s="2179"/>
      <c r="G487" s="2179"/>
      <c r="H487" s="2179"/>
      <c r="I487" s="2179"/>
      <c r="J487" s="2179"/>
      <c r="K487" s="2179"/>
      <c r="L487" s="2179"/>
      <c r="M487" s="2179"/>
      <c r="N487" s="2179"/>
      <c r="O487" s="2179"/>
      <c r="P487" s="2179"/>
      <c r="Q487" s="2187"/>
      <c r="R487" s="2187"/>
      <c r="S487" s="2187"/>
      <c r="T487" s="2187"/>
      <c r="U487" s="2415"/>
      <c r="V487" s="2416"/>
    </row>
    <row r="488" spans="1:22">
      <c r="A488" s="2164"/>
      <c r="B488" s="2166" t="s">
        <v>1204</v>
      </c>
      <c r="C488" s="2168" t="s">
        <v>1212</v>
      </c>
      <c r="D488" s="1235" t="s">
        <v>1213</v>
      </c>
      <c r="E488" s="2170"/>
      <c r="F488" s="2179"/>
      <c r="G488" s="2179"/>
      <c r="H488" s="2179"/>
      <c r="I488" s="2179"/>
      <c r="J488" s="2179"/>
      <c r="K488" s="2179"/>
      <c r="L488" s="2179"/>
      <c r="M488" s="2179"/>
      <c r="N488" s="2179"/>
      <c r="O488" s="2179"/>
      <c r="P488" s="2179"/>
      <c r="Q488" s="2179"/>
      <c r="R488" s="2171">
        <v>0.99</v>
      </c>
      <c r="S488" s="2171">
        <v>0.98009999999999997</v>
      </c>
      <c r="T488" s="2171">
        <v>0.97029899999999991</v>
      </c>
      <c r="U488" s="2413">
        <v>0.96059600999999994</v>
      </c>
      <c r="V488" s="2181">
        <v>0.95099004989999991</v>
      </c>
    </row>
    <row r="489" spans="1:22">
      <c r="A489" s="2164"/>
      <c r="B489" s="2167"/>
      <c r="C489" s="2169"/>
      <c r="D489" s="1236" t="s">
        <v>1214</v>
      </c>
      <c r="E489" s="2170"/>
      <c r="F489" s="2179"/>
      <c r="G489" s="2179"/>
      <c r="H489" s="2179"/>
      <c r="I489" s="2179"/>
      <c r="J489" s="2179"/>
      <c r="K489" s="2179"/>
      <c r="L489" s="2179"/>
      <c r="M489" s="2179"/>
      <c r="N489" s="2179"/>
      <c r="O489" s="2179"/>
      <c r="P489" s="2179"/>
      <c r="Q489" s="2179"/>
      <c r="R489" s="2172"/>
      <c r="S489" s="2172"/>
      <c r="T489" s="2172"/>
      <c r="U489" s="2414"/>
      <c r="V489" s="2182"/>
    </row>
    <row r="490" spans="1:22">
      <c r="A490" s="2164"/>
      <c r="B490" s="2167"/>
      <c r="C490" s="2173" t="s">
        <v>1215</v>
      </c>
      <c r="D490" s="1236" t="s">
        <v>1216</v>
      </c>
      <c r="E490" s="2170"/>
      <c r="F490" s="2179"/>
      <c r="G490" s="2179"/>
      <c r="H490" s="2179"/>
      <c r="I490" s="2179"/>
      <c r="J490" s="2179"/>
      <c r="K490" s="2179"/>
      <c r="L490" s="2179"/>
      <c r="M490" s="2179"/>
      <c r="N490" s="2179"/>
      <c r="O490" s="2179"/>
      <c r="P490" s="2179"/>
      <c r="Q490" s="2179"/>
      <c r="R490" s="2172"/>
      <c r="S490" s="2172"/>
      <c r="T490" s="2172"/>
      <c r="U490" s="2414"/>
      <c r="V490" s="2182"/>
    </row>
    <row r="491" spans="1:22">
      <c r="A491" s="2164"/>
      <c r="B491" s="2167"/>
      <c r="C491" s="2174"/>
      <c r="D491" s="1237" t="s">
        <v>1217</v>
      </c>
      <c r="E491" s="2170"/>
      <c r="F491" s="2179"/>
      <c r="G491" s="2179"/>
      <c r="H491" s="2179"/>
      <c r="I491" s="2179"/>
      <c r="J491" s="2179"/>
      <c r="K491" s="2179"/>
      <c r="L491" s="2179"/>
      <c r="M491" s="2179"/>
      <c r="N491" s="2179"/>
      <c r="O491" s="2179"/>
      <c r="P491" s="2179"/>
      <c r="Q491" s="2179"/>
      <c r="R491" s="2187"/>
      <c r="S491" s="2187"/>
      <c r="T491" s="2187"/>
      <c r="U491" s="2415"/>
      <c r="V491" s="2416"/>
    </row>
    <row r="492" spans="1:22">
      <c r="A492" s="2164"/>
      <c r="B492" s="2166" t="s">
        <v>1205</v>
      </c>
      <c r="C492" s="2168" t="s">
        <v>1212</v>
      </c>
      <c r="D492" s="1235" t="s">
        <v>1213</v>
      </c>
      <c r="E492" s="2170"/>
      <c r="F492" s="2179"/>
      <c r="G492" s="2179"/>
      <c r="H492" s="2179"/>
      <c r="I492" s="2179"/>
      <c r="J492" s="2179"/>
      <c r="K492" s="2179"/>
      <c r="L492" s="2179"/>
      <c r="M492" s="2179"/>
      <c r="N492" s="2179"/>
      <c r="O492" s="2179"/>
      <c r="P492" s="2179"/>
      <c r="Q492" s="2179"/>
      <c r="R492" s="2179"/>
      <c r="S492" s="2171">
        <v>0.99</v>
      </c>
      <c r="T492" s="2171">
        <v>0.98009999999999997</v>
      </c>
      <c r="U492" s="2413">
        <v>0.97029899999999991</v>
      </c>
      <c r="V492" s="2181">
        <v>0.96059600999999994</v>
      </c>
    </row>
    <row r="493" spans="1:22">
      <c r="A493" s="2164"/>
      <c r="B493" s="2167"/>
      <c r="C493" s="2169"/>
      <c r="D493" s="1236" t="s">
        <v>1214</v>
      </c>
      <c r="E493" s="2170"/>
      <c r="F493" s="2179"/>
      <c r="G493" s="2179"/>
      <c r="H493" s="2179"/>
      <c r="I493" s="2179"/>
      <c r="J493" s="2179"/>
      <c r="K493" s="2179"/>
      <c r="L493" s="2179"/>
      <c r="M493" s="2179"/>
      <c r="N493" s="2179"/>
      <c r="O493" s="2179"/>
      <c r="P493" s="2179"/>
      <c r="Q493" s="2179"/>
      <c r="R493" s="2179"/>
      <c r="S493" s="2172"/>
      <c r="T493" s="2172"/>
      <c r="U493" s="2414"/>
      <c r="V493" s="2182"/>
    </row>
    <row r="494" spans="1:22">
      <c r="A494" s="2164"/>
      <c r="B494" s="2167"/>
      <c r="C494" s="2173" t="s">
        <v>1215</v>
      </c>
      <c r="D494" s="1236" t="s">
        <v>1216</v>
      </c>
      <c r="E494" s="2170"/>
      <c r="F494" s="2179"/>
      <c r="G494" s="2179"/>
      <c r="H494" s="2179"/>
      <c r="I494" s="2179"/>
      <c r="J494" s="2179"/>
      <c r="K494" s="2179"/>
      <c r="L494" s="2179"/>
      <c r="M494" s="2179"/>
      <c r="N494" s="2179"/>
      <c r="O494" s="2179"/>
      <c r="P494" s="2179"/>
      <c r="Q494" s="2179"/>
      <c r="R494" s="2179"/>
      <c r="S494" s="2172"/>
      <c r="T494" s="2172"/>
      <c r="U494" s="2414"/>
      <c r="V494" s="2182"/>
    </row>
    <row r="495" spans="1:22">
      <c r="A495" s="2164"/>
      <c r="B495" s="2167"/>
      <c r="C495" s="2174"/>
      <c r="D495" s="1237" t="s">
        <v>1217</v>
      </c>
      <c r="E495" s="2170"/>
      <c r="F495" s="2179"/>
      <c r="G495" s="2179"/>
      <c r="H495" s="2179"/>
      <c r="I495" s="2179"/>
      <c r="J495" s="2179"/>
      <c r="K495" s="2179"/>
      <c r="L495" s="2179"/>
      <c r="M495" s="2179"/>
      <c r="N495" s="2179"/>
      <c r="O495" s="2179"/>
      <c r="P495" s="2179"/>
      <c r="Q495" s="2179"/>
      <c r="R495" s="2179"/>
      <c r="S495" s="2187"/>
      <c r="T495" s="2187"/>
      <c r="U495" s="2415"/>
      <c r="V495" s="2416"/>
    </row>
    <row r="496" spans="1:22">
      <c r="A496" s="2164"/>
      <c r="B496" s="2166" t="s">
        <v>1206</v>
      </c>
      <c r="C496" s="2168" t="s">
        <v>1212</v>
      </c>
      <c r="D496" s="1235" t="s">
        <v>1213</v>
      </c>
      <c r="E496" s="2170"/>
      <c r="F496" s="2179"/>
      <c r="G496" s="2179"/>
      <c r="H496" s="2179"/>
      <c r="I496" s="2179"/>
      <c r="J496" s="2179"/>
      <c r="K496" s="2179"/>
      <c r="L496" s="2179"/>
      <c r="M496" s="2179"/>
      <c r="N496" s="2179"/>
      <c r="O496" s="2179"/>
      <c r="P496" s="2179"/>
      <c r="Q496" s="2179"/>
      <c r="R496" s="2179"/>
      <c r="S496" s="2179"/>
      <c r="T496" s="2171">
        <v>0.99</v>
      </c>
      <c r="U496" s="2413">
        <v>0.98009999999999997</v>
      </c>
      <c r="V496" s="2181">
        <v>0.97029899999999991</v>
      </c>
    </row>
    <row r="497" spans="1:22">
      <c r="A497" s="2164"/>
      <c r="B497" s="2167"/>
      <c r="C497" s="2169"/>
      <c r="D497" s="1236" t="s">
        <v>1214</v>
      </c>
      <c r="E497" s="2170"/>
      <c r="F497" s="2179"/>
      <c r="G497" s="2179"/>
      <c r="H497" s="2179"/>
      <c r="I497" s="2179"/>
      <c r="J497" s="2179"/>
      <c r="K497" s="2179"/>
      <c r="L497" s="2179"/>
      <c r="M497" s="2179"/>
      <c r="N497" s="2179"/>
      <c r="O497" s="2179"/>
      <c r="P497" s="2179"/>
      <c r="Q497" s="2179"/>
      <c r="R497" s="2179"/>
      <c r="S497" s="2179"/>
      <c r="T497" s="2172"/>
      <c r="U497" s="2414"/>
      <c r="V497" s="2182"/>
    </row>
    <row r="498" spans="1:22">
      <c r="A498" s="2164"/>
      <c r="B498" s="2167"/>
      <c r="C498" s="2173" t="s">
        <v>1215</v>
      </c>
      <c r="D498" s="1236" t="s">
        <v>1216</v>
      </c>
      <c r="E498" s="2170"/>
      <c r="F498" s="2179"/>
      <c r="G498" s="2179"/>
      <c r="H498" s="2179"/>
      <c r="I498" s="2179"/>
      <c r="J498" s="2179"/>
      <c r="K498" s="2179"/>
      <c r="L498" s="2179"/>
      <c r="M498" s="2179"/>
      <c r="N498" s="2179"/>
      <c r="O498" s="2179"/>
      <c r="P498" s="2179"/>
      <c r="Q498" s="2179"/>
      <c r="R498" s="2179"/>
      <c r="S498" s="2179"/>
      <c r="T498" s="2172"/>
      <c r="U498" s="2414"/>
      <c r="V498" s="2182"/>
    </row>
    <row r="499" spans="1:22">
      <c r="A499" s="2164"/>
      <c r="B499" s="2167"/>
      <c r="C499" s="2174"/>
      <c r="D499" s="1237" t="s">
        <v>1217</v>
      </c>
      <c r="E499" s="2170"/>
      <c r="F499" s="2179"/>
      <c r="G499" s="2179"/>
      <c r="H499" s="2179"/>
      <c r="I499" s="2179"/>
      <c r="J499" s="2179"/>
      <c r="K499" s="2179"/>
      <c r="L499" s="2179"/>
      <c r="M499" s="2179"/>
      <c r="N499" s="2179"/>
      <c r="O499" s="2179"/>
      <c r="P499" s="2179"/>
      <c r="Q499" s="2179"/>
      <c r="R499" s="2179"/>
      <c r="S499" s="2179"/>
      <c r="T499" s="2187"/>
      <c r="U499" s="2415"/>
      <c r="V499" s="2416"/>
    </row>
    <row r="500" spans="1:22">
      <c r="A500" s="2164"/>
      <c r="B500" s="2166" t="s">
        <v>1207</v>
      </c>
      <c r="C500" s="2168" t="s">
        <v>1212</v>
      </c>
      <c r="D500" s="1235" t="s">
        <v>1213</v>
      </c>
      <c r="E500" s="2170"/>
      <c r="F500" s="2179"/>
      <c r="G500" s="2179"/>
      <c r="H500" s="2179"/>
      <c r="I500" s="2179"/>
      <c r="J500" s="2179"/>
      <c r="K500" s="2179"/>
      <c r="L500" s="2179"/>
      <c r="M500" s="2179"/>
      <c r="N500" s="2179"/>
      <c r="O500" s="2179"/>
      <c r="P500" s="2179"/>
      <c r="Q500" s="2179"/>
      <c r="R500" s="2179"/>
      <c r="S500" s="2179"/>
      <c r="T500" s="2179"/>
      <c r="U500" s="2413">
        <v>0.99</v>
      </c>
      <c r="V500" s="2181">
        <v>0.98009999999999997</v>
      </c>
    </row>
    <row r="501" spans="1:22">
      <c r="A501" s="2164"/>
      <c r="B501" s="2167"/>
      <c r="C501" s="2169"/>
      <c r="D501" s="1236" t="s">
        <v>1214</v>
      </c>
      <c r="E501" s="2170"/>
      <c r="F501" s="2179"/>
      <c r="G501" s="2179"/>
      <c r="H501" s="2179"/>
      <c r="I501" s="2179"/>
      <c r="J501" s="2179"/>
      <c r="K501" s="2179"/>
      <c r="L501" s="2179"/>
      <c r="M501" s="2179"/>
      <c r="N501" s="2179"/>
      <c r="O501" s="2179"/>
      <c r="P501" s="2179"/>
      <c r="Q501" s="2179"/>
      <c r="R501" s="2179"/>
      <c r="S501" s="2179"/>
      <c r="T501" s="2179"/>
      <c r="U501" s="2414"/>
      <c r="V501" s="2182"/>
    </row>
    <row r="502" spans="1:22">
      <c r="A502" s="2164"/>
      <c r="B502" s="2167"/>
      <c r="C502" s="2173" t="s">
        <v>1215</v>
      </c>
      <c r="D502" s="1236" t="s">
        <v>1216</v>
      </c>
      <c r="E502" s="2170"/>
      <c r="F502" s="2179"/>
      <c r="G502" s="2179"/>
      <c r="H502" s="2179"/>
      <c r="I502" s="2179"/>
      <c r="J502" s="2179"/>
      <c r="K502" s="2179"/>
      <c r="L502" s="2179"/>
      <c r="M502" s="2179"/>
      <c r="N502" s="2179"/>
      <c r="O502" s="2179"/>
      <c r="P502" s="2179"/>
      <c r="Q502" s="2179"/>
      <c r="R502" s="2179"/>
      <c r="S502" s="2179"/>
      <c r="T502" s="2179"/>
      <c r="U502" s="2414"/>
      <c r="V502" s="2182"/>
    </row>
    <row r="503" spans="1:22">
      <c r="A503" s="2164"/>
      <c r="B503" s="2167"/>
      <c r="C503" s="2174"/>
      <c r="D503" s="1237" t="s">
        <v>1217</v>
      </c>
      <c r="E503" s="2170"/>
      <c r="F503" s="2179"/>
      <c r="G503" s="2179"/>
      <c r="H503" s="2179"/>
      <c r="I503" s="2179"/>
      <c r="J503" s="2179"/>
      <c r="K503" s="2179"/>
      <c r="L503" s="2179"/>
      <c r="M503" s="2179"/>
      <c r="N503" s="2179"/>
      <c r="O503" s="2179"/>
      <c r="P503" s="2179"/>
      <c r="Q503" s="2179"/>
      <c r="R503" s="2179"/>
      <c r="S503" s="2179"/>
      <c r="T503" s="2179"/>
      <c r="U503" s="2415"/>
      <c r="V503" s="2416"/>
    </row>
    <row r="504" spans="1:22">
      <c r="A504" s="2164"/>
      <c r="B504" s="2166" t="s">
        <v>1208</v>
      </c>
      <c r="C504" s="2168" t="s">
        <v>1212</v>
      </c>
      <c r="D504" s="1235" t="s">
        <v>1213</v>
      </c>
      <c r="E504" s="2188"/>
      <c r="F504" s="2191"/>
      <c r="G504" s="2191"/>
      <c r="H504" s="2191"/>
      <c r="I504" s="2191"/>
      <c r="J504" s="2191"/>
      <c r="K504" s="2191"/>
      <c r="L504" s="2191"/>
      <c r="M504" s="2191"/>
      <c r="N504" s="2191"/>
      <c r="O504" s="2191"/>
      <c r="P504" s="2191"/>
      <c r="Q504" s="2191"/>
      <c r="R504" s="2191"/>
      <c r="S504" s="2191"/>
      <c r="T504" s="2191"/>
      <c r="U504" s="2179"/>
      <c r="V504" s="2181">
        <v>0.99</v>
      </c>
    </row>
    <row r="505" spans="1:22">
      <c r="A505" s="2164"/>
      <c r="B505" s="2167"/>
      <c r="C505" s="2169"/>
      <c r="D505" s="1236" t="s">
        <v>1214</v>
      </c>
      <c r="E505" s="2189"/>
      <c r="F505" s="2192"/>
      <c r="G505" s="2192"/>
      <c r="H505" s="2192"/>
      <c r="I505" s="2192"/>
      <c r="J505" s="2192"/>
      <c r="K505" s="2192"/>
      <c r="L505" s="2192"/>
      <c r="M505" s="2192"/>
      <c r="N505" s="2192"/>
      <c r="O505" s="2192"/>
      <c r="P505" s="2192"/>
      <c r="Q505" s="2192"/>
      <c r="R505" s="2192"/>
      <c r="S505" s="2192"/>
      <c r="T505" s="2192"/>
      <c r="U505" s="2179"/>
      <c r="V505" s="2182"/>
    </row>
    <row r="506" spans="1:22">
      <c r="A506" s="2164"/>
      <c r="B506" s="2167"/>
      <c r="C506" s="2173" t="s">
        <v>1215</v>
      </c>
      <c r="D506" s="1236" t="s">
        <v>1216</v>
      </c>
      <c r="E506" s="2189"/>
      <c r="F506" s="2192"/>
      <c r="G506" s="2192"/>
      <c r="H506" s="2192"/>
      <c r="I506" s="2192"/>
      <c r="J506" s="2192"/>
      <c r="K506" s="2192"/>
      <c r="L506" s="2192"/>
      <c r="M506" s="2192"/>
      <c r="N506" s="2192"/>
      <c r="O506" s="2192"/>
      <c r="P506" s="2192"/>
      <c r="Q506" s="2192"/>
      <c r="R506" s="2192"/>
      <c r="S506" s="2192"/>
      <c r="T506" s="2192"/>
      <c r="U506" s="2179"/>
      <c r="V506" s="2182"/>
    </row>
    <row r="507" spans="1:22">
      <c r="A507" s="2164"/>
      <c r="B507" s="2167"/>
      <c r="C507" s="2174"/>
      <c r="D507" s="1237" t="s">
        <v>1217</v>
      </c>
      <c r="E507" s="2190"/>
      <c r="F507" s="2193"/>
      <c r="G507" s="2193"/>
      <c r="H507" s="2193"/>
      <c r="I507" s="2193"/>
      <c r="J507" s="2193"/>
      <c r="K507" s="2193"/>
      <c r="L507" s="2193"/>
      <c r="M507" s="2193"/>
      <c r="N507" s="2193"/>
      <c r="O507" s="2193"/>
      <c r="P507" s="2193"/>
      <c r="Q507" s="2193"/>
      <c r="R507" s="2193"/>
      <c r="S507" s="2193"/>
      <c r="T507" s="2193"/>
      <c r="U507" s="2179"/>
      <c r="V507" s="2416"/>
    </row>
    <row r="508" spans="1:22">
      <c r="A508" s="2164"/>
      <c r="B508" s="2175" t="s">
        <v>1209</v>
      </c>
      <c r="C508" s="2168" t="s">
        <v>1212</v>
      </c>
      <c r="D508" s="1235" t="s">
        <v>1213</v>
      </c>
      <c r="E508" s="2188"/>
      <c r="F508" s="2191"/>
      <c r="G508" s="2191"/>
      <c r="H508" s="2191"/>
      <c r="I508" s="2191"/>
      <c r="J508" s="2191"/>
      <c r="K508" s="2191"/>
      <c r="L508" s="2191"/>
      <c r="M508" s="2191"/>
      <c r="N508" s="2191"/>
      <c r="O508" s="2191"/>
      <c r="P508" s="2191"/>
      <c r="Q508" s="2191"/>
      <c r="R508" s="2191"/>
      <c r="S508" s="2191"/>
      <c r="T508" s="2191"/>
      <c r="U508" s="2417"/>
      <c r="V508" s="2194"/>
    </row>
    <row r="509" spans="1:22">
      <c r="A509" s="2164"/>
      <c r="B509" s="2167"/>
      <c r="C509" s="2169"/>
      <c r="D509" s="1236" t="s">
        <v>1214</v>
      </c>
      <c r="E509" s="2189"/>
      <c r="F509" s="2192"/>
      <c r="G509" s="2192"/>
      <c r="H509" s="2192"/>
      <c r="I509" s="2192"/>
      <c r="J509" s="2192"/>
      <c r="K509" s="2192"/>
      <c r="L509" s="2192"/>
      <c r="M509" s="2192"/>
      <c r="N509" s="2192"/>
      <c r="O509" s="2192"/>
      <c r="P509" s="2192"/>
      <c r="Q509" s="2192"/>
      <c r="R509" s="2192"/>
      <c r="S509" s="2192"/>
      <c r="T509" s="2192"/>
      <c r="U509" s="2418"/>
      <c r="V509" s="2195"/>
    </row>
    <row r="510" spans="1:22">
      <c r="A510" s="2164"/>
      <c r="B510" s="2167"/>
      <c r="C510" s="2173" t="s">
        <v>1215</v>
      </c>
      <c r="D510" s="1236" t="s">
        <v>1216</v>
      </c>
      <c r="E510" s="2189"/>
      <c r="F510" s="2192"/>
      <c r="G510" s="2192"/>
      <c r="H510" s="2192"/>
      <c r="I510" s="2192"/>
      <c r="J510" s="2192"/>
      <c r="K510" s="2192"/>
      <c r="L510" s="2192"/>
      <c r="M510" s="2192"/>
      <c r="N510" s="2192"/>
      <c r="O510" s="2192"/>
      <c r="P510" s="2192"/>
      <c r="Q510" s="2192"/>
      <c r="R510" s="2192"/>
      <c r="S510" s="2192"/>
      <c r="T510" s="2192"/>
      <c r="U510" s="2418"/>
      <c r="V510" s="2195"/>
    </row>
    <row r="511" spans="1:22">
      <c r="A511" s="2165"/>
      <c r="B511" s="2167"/>
      <c r="C511" s="2174"/>
      <c r="D511" s="1237" t="s">
        <v>1217</v>
      </c>
      <c r="E511" s="2190"/>
      <c r="F511" s="2193"/>
      <c r="G511" s="2193"/>
      <c r="H511" s="2193"/>
      <c r="I511" s="2193"/>
      <c r="J511" s="2193"/>
      <c r="K511" s="2193"/>
      <c r="L511" s="2193"/>
      <c r="M511" s="2193"/>
      <c r="N511" s="2193"/>
      <c r="O511" s="2193"/>
      <c r="P511" s="2193"/>
      <c r="Q511" s="2193"/>
      <c r="R511" s="2193"/>
      <c r="S511" s="2193"/>
      <c r="T511" s="2193"/>
      <c r="U511" s="2419"/>
      <c r="V511" s="2196"/>
    </row>
    <row r="512" spans="1:22">
      <c r="A512" s="2157" t="s">
        <v>1225</v>
      </c>
      <c r="B512" s="2175" t="s">
        <v>1274</v>
      </c>
      <c r="C512" s="2168" t="s">
        <v>1212</v>
      </c>
      <c r="D512" s="1235" t="s">
        <v>1213</v>
      </c>
      <c r="E512" s="2188"/>
      <c r="F512" s="2171">
        <v>0.61</v>
      </c>
      <c r="G512" s="2171">
        <v>0.4819</v>
      </c>
      <c r="H512" s="2171">
        <v>0.41925299999999999</v>
      </c>
      <c r="I512" s="2171">
        <v>0.40248287999999999</v>
      </c>
      <c r="J512" s="2171">
        <v>0.3702842496</v>
      </c>
      <c r="K512" s="2171">
        <v>0.34806719462399999</v>
      </c>
      <c r="L512" s="2171">
        <v>0.33066383489279999</v>
      </c>
      <c r="M512" s="2171">
        <v>0.317437281497088</v>
      </c>
      <c r="N512" s="2171">
        <v>0.29521667179229183</v>
      </c>
      <c r="O512" s="2171">
        <v>0.28931233835644599</v>
      </c>
      <c r="P512" s="2171">
        <v>0.28352609158931708</v>
      </c>
      <c r="Q512" s="2171">
        <v>0.27785556975753073</v>
      </c>
      <c r="R512" s="2171">
        <v>0.27229845836238009</v>
      </c>
      <c r="S512" s="2171">
        <v>0.26957547377875629</v>
      </c>
      <c r="T512" s="2171">
        <v>0.26687971904096874</v>
      </c>
      <c r="U512" s="2413">
        <v>0.26421092185055906</v>
      </c>
      <c r="V512" s="2181">
        <v>0.26156881263205345</v>
      </c>
    </row>
    <row r="513" spans="1:22">
      <c r="A513" s="2164"/>
      <c r="B513" s="2167"/>
      <c r="C513" s="2169"/>
      <c r="D513" s="1236" t="s">
        <v>1214</v>
      </c>
      <c r="E513" s="2189"/>
      <c r="F513" s="2172"/>
      <c r="G513" s="2172"/>
      <c r="H513" s="2172"/>
      <c r="I513" s="2172"/>
      <c r="J513" s="2172"/>
      <c r="K513" s="2172"/>
      <c r="L513" s="2172"/>
      <c r="M513" s="2172"/>
      <c r="N513" s="2172"/>
      <c r="O513" s="2172"/>
      <c r="P513" s="2172"/>
      <c r="Q513" s="2172"/>
      <c r="R513" s="2172"/>
      <c r="S513" s="2172"/>
      <c r="T513" s="2172"/>
      <c r="U513" s="2414"/>
      <c r="V513" s="2182"/>
    </row>
    <row r="514" spans="1:22">
      <c r="A514" s="2164"/>
      <c r="B514" s="2167"/>
      <c r="C514" s="2173" t="s">
        <v>1215</v>
      </c>
      <c r="D514" s="1236" t="s">
        <v>1216</v>
      </c>
      <c r="E514" s="2189"/>
      <c r="F514" s="2172"/>
      <c r="G514" s="2172"/>
      <c r="H514" s="2172"/>
      <c r="I514" s="2172"/>
      <c r="J514" s="2172"/>
      <c r="K514" s="2172"/>
      <c r="L514" s="2172"/>
      <c r="M514" s="2172"/>
      <c r="N514" s="2172"/>
      <c r="O514" s="2172"/>
      <c r="P514" s="2172"/>
      <c r="Q514" s="2172"/>
      <c r="R514" s="2172"/>
      <c r="S514" s="2172"/>
      <c r="T514" s="2172"/>
      <c r="U514" s="2414"/>
      <c r="V514" s="2182"/>
    </row>
    <row r="515" spans="1:22">
      <c r="A515" s="2164"/>
      <c r="B515" s="2167"/>
      <c r="C515" s="2174"/>
      <c r="D515" s="1237" t="s">
        <v>1217</v>
      </c>
      <c r="E515" s="2190"/>
      <c r="F515" s="2187"/>
      <c r="G515" s="2187"/>
      <c r="H515" s="2187"/>
      <c r="I515" s="2187"/>
      <c r="J515" s="2187"/>
      <c r="K515" s="2187"/>
      <c r="L515" s="2187"/>
      <c r="M515" s="2187"/>
      <c r="N515" s="2187"/>
      <c r="O515" s="2187"/>
      <c r="P515" s="2187"/>
      <c r="Q515" s="2187"/>
      <c r="R515" s="2187"/>
      <c r="S515" s="2187"/>
      <c r="T515" s="2187"/>
      <c r="U515" s="2415"/>
      <c r="V515" s="2416"/>
    </row>
    <row r="516" spans="1:22">
      <c r="A516" s="2164"/>
      <c r="B516" s="2175" t="s">
        <v>1272</v>
      </c>
      <c r="C516" s="2168" t="s">
        <v>1212</v>
      </c>
      <c r="D516" s="1235" t="s">
        <v>1213</v>
      </c>
      <c r="E516" s="2170"/>
      <c r="F516" s="2179"/>
      <c r="G516" s="2171">
        <v>0.79</v>
      </c>
      <c r="H516" s="2171">
        <v>0.68730000000000002</v>
      </c>
      <c r="I516" s="2171">
        <v>0.65980799999999995</v>
      </c>
      <c r="J516" s="2171">
        <v>0.60702336000000001</v>
      </c>
      <c r="K516" s="2171">
        <v>0.57060195839999994</v>
      </c>
      <c r="L516" s="2171">
        <v>0.54207186047999989</v>
      </c>
      <c r="M516" s="2171">
        <v>0.52038898606079986</v>
      </c>
      <c r="N516" s="2171">
        <v>0.48396175703654387</v>
      </c>
      <c r="O516" s="2171">
        <v>0.47428252189581299</v>
      </c>
      <c r="P516" s="2171">
        <v>0.46479687145789672</v>
      </c>
      <c r="Q516" s="2171">
        <v>0.45550093402873876</v>
      </c>
      <c r="R516" s="2171">
        <v>0.446390915348164</v>
      </c>
      <c r="S516" s="2171">
        <v>0.44192700619468234</v>
      </c>
      <c r="T516" s="2171">
        <v>0.43750773613273553</v>
      </c>
      <c r="U516" s="2413">
        <v>0.43313265877140816</v>
      </c>
      <c r="V516" s="2181">
        <v>0.42880133218369409</v>
      </c>
    </row>
    <row r="517" spans="1:22">
      <c r="A517" s="2164"/>
      <c r="B517" s="2167"/>
      <c r="C517" s="2169"/>
      <c r="D517" s="1236" t="s">
        <v>1214</v>
      </c>
      <c r="E517" s="2170"/>
      <c r="F517" s="2179"/>
      <c r="G517" s="2172"/>
      <c r="H517" s="2172"/>
      <c r="I517" s="2172"/>
      <c r="J517" s="2172"/>
      <c r="K517" s="2172"/>
      <c r="L517" s="2172"/>
      <c r="M517" s="2172"/>
      <c r="N517" s="2172"/>
      <c r="O517" s="2172"/>
      <c r="P517" s="2172"/>
      <c r="Q517" s="2172"/>
      <c r="R517" s="2172"/>
      <c r="S517" s="2172"/>
      <c r="T517" s="2172"/>
      <c r="U517" s="2414"/>
      <c r="V517" s="2182"/>
    </row>
    <row r="518" spans="1:22">
      <c r="A518" s="2164"/>
      <c r="B518" s="2167"/>
      <c r="C518" s="2173" t="s">
        <v>1215</v>
      </c>
      <c r="D518" s="1236" t="s">
        <v>1216</v>
      </c>
      <c r="E518" s="2170"/>
      <c r="F518" s="2179"/>
      <c r="G518" s="2172"/>
      <c r="H518" s="2172"/>
      <c r="I518" s="2172"/>
      <c r="J518" s="2172"/>
      <c r="K518" s="2172"/>
      <c r="L518" s="2172"/>
      <c r="M518" s="2172"/>
      <c r="N518" s="2172"/>
      <c r="O518" s="2172"/>
      <c r="P518" s="2172"/>
      <c r="Q518" s="2172"/>
      <c r="R518" s="2172"/>
      <c r="S518" s="2172"/>
      <c r="T518" s="2172"/>
      <c r="U518" s="2414"/>
      <c r="V518" s="2182"/>
    </row>
    <row r="519" spans="1:22">
      <c r="A519" s="2164"/>
      <c r="B519" s="2167"/>
      <c r="C519" s="2174"/>
      <c r="D519" s="1237" t="s">
        <v>1217</v>
      </c>
      <c r="E519" s="2170"/>
      <c r="F519" s="2179"/>
      <c r="G519" s="2187"/>
      <c r="H519" s="2187"/>
      <c r="I519" s="2187"/>
      <c r="J519" s="2187"/>
      <c r="K519" s="2187"/>
      <c r="L519" s="2187"/>
      <c r="M519" s="2187"/>
      <c r="N519" s="2187"/>
      <c r="O519" s="2187"/>
      <c r="P519" s="2187"/>
      <c r="Q519" s="2187"/>
      <c r="R519" s="2187"/>
      <c r="S519" s="2187"/>
      <c r="T519" s="2187"/>
      <c r="U519" s="2415"/>
      <c r="V519" s="2416"/>
    </row>
    <row r="520" spans="1:22">
      <c r="A520" s="2164"/>
      <c r="B520" s="2175" t="s">
        <v>1194</v>
      </c>
      <c r="C520" s="2168" t="s">
        <v>1212</v>
      </c>
      <c r="D520" s="1235" t="s">
        <v>1213</v>
      </c>
      <c r="E520" s="2170"/>
      <c r="F520" s="2179"/>
      <c r="G520" s="2179"/>
      <c r="H520" s="2171">
        <v>0.87</v>
      </c>
      <c r="I520" s="2171">
        <v>0.83519999999999994</v>
      </c>
      <c r="J520" s="2171">
        <v>0.76838399999999996</v>
      </c>
      <c r="K520" s="2171">
        <v>0.72228095999999997</v>
      </c>
      <c r="L520" s="2171">
        <v>0.68616691199999991</v>
      </c>
      <c r="M520" s="2171">
        <v>0.65872023551999992</v>
      </c>
      <c r="N520" s="2171">
        <v>0.61260981903360001</v>
      </c>
      <c r="O520" s="2171">
        <v>0.60035762265292802</v>
      </c>
      <c r="P520" s="2171">
        <v>0.58835047019986941</v>
      </c>
      <c r="Q520" s="2171">
        <v>0.57658346079587197</v>
      </c>
      <c r="R520" s="2171">
        <v>0.56505179157995455</v>
      </c>
      <c r="S520" s="2171">
        <v>0.55940127366415504</v>
      </c>
      <c r="T520" s="2171">
        <v>0.55380726092751353</v>
      </c>
      <c r="U520" s="2413">
        <v>0.54826918831823834</v>
      </c>
      <c r="V520" s="2181">
        <v>0.54278649643505594</v>
      </c>
    </row>
    <row r="521" spans="1:22">
      <c r="A521" s="2164"/>
      <c r="B521" s="2167"/>
      <c r="C521" s="2169"/>
      <c r="D521" s="1236" t="s">
        <v>1214</v>
      </c>
      <c r="E521" s="2170"/>
      <c r="F521" s="2179"/>
      <c r="G521" s="2179"/>
      <c r="H521" s="2172"/>
      <c r="I521" s="2172"/>
      <c r="J521" s="2172"/>
      <c r="K521" s="2172"/>
      <c r="L521" s="2172"/>
      <c r="M521" s="2172"/>
      <c r="N521" s="2172"/>
      <c r="O521" s="2172"/>
      <c r="P521" s="2172"/>
      <c r="Q521" s="2172"/>
      <c r="R521" s="2172"/>
      <c r="S521" s="2172"/>
      <c r="T521" s="2172"/>
      <c r="U521" s="2414"/>
      <c r="V521" s="2182"/>
    </row>
    <row r="522" spans="1:22">
      <c r="A522" s="2164"/>
      <c r="B522" s="2167"/>
      <c r="C522" s="2173" t="s">
        <v>1215</v>
      </c>
      <c r="D522" s="1236" t="s">
        <v>1216</v>
      </c>
      <c r="E522" s="2170"/>
      <c r="F522" s="2179"/>
      <c r="G522" s="2179"/>
      <c r="H522" s="2172"/>
      <c r="I522" s="2172"/>
      <c r="J522" s="2172"/>
      <c r="K522" s="2172"/>
      <c r="L522" s="2172"/>
      <c r="M522" s="2172"/>
      <c r="N522" s="2172"/>
      <c r="O522" s="2172"/>
      <c r="P522" s="2172"/>
      <c r="Q522" s="2172"/>
      <c r="R522" s="2172"/>
      <c r="S522" s="2172"/>
      <c r="T522" s="2172"/>
      <c r="U522" s="2414"/>
      <c r="V522" s="2182"/>
    </row>
    <row r="523" spans="1:22">
      <c r="A523" s="2164"/>
      <c r="B523" s="2167"/>
      <c r="C523" s="2174"/>
      <c r="D523" s="1237" t="s">
        <v>1217</v>
      </c>
      <c r="E523" s="2170"/>
      <c r="F523" s="2179"/>
      <c r="G523" s="2179"/>
      <c r="H523" s="2187"/>
      <c r="I523" s="2187"/>
      <c r="J523" s="2187"/>
      <c r="K523" s="2187"/>
      <c r="L523" s="2187"/>
      <c r="M523" s="2187"/>
      <c r="N523" s="2187"/>
      <c r="O523" s="2187"/>
      <c r="P523" s="2187"/>
      <c r="Q523" s="2187"/>
      <c r="R523" s="2187"/>
      <c r="S523" s="2187"/>
      <c r="T523" s="2187"/>
      <c r="U523" s="2415"/>
      <c r="V523" s="2416"/>
    </row>
    <row r="524" spans="1:22">
      <c r="A524" s="2164"/>
      <c r="B524" s="2175" t="s">
        <v>1195</v>
      </c>
      <c r="C524" s="2168" t="s">
        <v>1212</v>
      </c>
      <c r="D524" s="1235" t="s">
        <v>1213</v>
      </c>
      <c r="E524" s="2170"/>
      <c r="F524" s="2179"/>
      <c r="G524" s="2179"/>
      <c r="H524" s="2179"/>
      <c r="I524" s="2171">
        <v>0.96</v>
      </c>
      <c r="J524" s="2171">
        <v>0.88319999999999999</v>
      </c>
      <c r="K524" s="2171">
        <v>0.83020799999999995</v>
      </c>
      <c r="L524" s="2171">
        <v>0.78869759999999989</v>
      </c>
      <c r="M524" s="2171">
        <v>0.75714969599999982</v>
      </c>
      <c r="N524" s="2171">
        <v>0.70414921727999991</v>
      </c>
      <c r="O524" s="2171">
        <v>0.69006623293439995</v>
      </c>
      <c r="P524" s="2171">
        <v>0.67626490827571195</v>
      </c>
      <c r="Q524" s="2171">
        <v>0.66273961011019766</v>
      </c>
      <c r="R524" s="2171">
        <v>0.64948481790799373</v>
      </c>
      <c r="S524" s="2171">
        <v>0.64298996972891376</v>
      </c>
      <c r="T524" s="2171">
        <v>0.63656007003162463</v>
      </c>
      <c r="U524" s="2413">
        <v>0.6301944693313084</v>
      </c>
      <c r="V524" s="2181">
        <v>0.62389252463799527</v>
      </c>
    </row>
    <row r="525" spans="1:22">
      <c r="A525" s="2164"/>
      <c r="B525" s="2167"/>
      <c r="C525" s="2169"/>
      <c r="D525" s="1236" t="s">
        <v>1214</v>
      </c>
      <c r="E525" s="2170"/>
      <c r="F525" s="2179"/>
      <c r="G525" s="2179"/>
      <c r="H525" s="2179"/>
      <c r="I525" s="2172"/>
      <c r="J525" s="2172"/>
      <c r="K525" s="2172"/>
      <c r="L525" s="2172"/>
      <c r="M525" s="2172"/>
      <c r="N525" s="2172"/>
      <c r="O525" s="2172"/>
      <c r="P525" s="2172"/>
      <c r="Q525" s="2172"/>
      <c r="R525" s="2172"/>
      <c r="S525" s="2172"/>
      <c r="T525" s="2172"/>
      <c r="U525" s="2414"/>
      <c r="V525" s="2182"/>
    </row>
    <row r="526" spans="1:22">
      <c r="A526" s="2164"/>
      <c r="B526" s="2167"/>
      <c r="C526" s="2173" t="s">
        <v>1215</v>
      </c>
      <c r="D526" s="1236" t="s">
        <v>1216</v>
      </c>
      <c r="E526" s="2170"/>
      <c r="F526" s="2179"/>
      <c r="G526" s="2179"/>
      <c r="H526" s="2179"/>
      <c r="I526" s="2172"/>
      <c r="J526" s="2172"/>
      <c r="K526" s="2172"/>
      <c r="L526" s="2172"/>
      <c r="M526" s="2172"/>
      <c r="N526" s="2172"/>
      <c r="O526" s="2172"/>
      <c r="P526" s="2172"/>
      <c r="Q526" s="2172"/>
      <c r="R526" s="2172"/>
      <c r="S526" s="2172"/>
      <c r="T526" s="2172"/>
      <c r="U526" s="2414"/>
      <c r="V526" s="2182"/>
    </row>
    <row r="527" spans="1:22">
      <c r="A527" s="2164"/>
      <c r="B527" s="2167"/>
      <c r="C527" s="2174"/>
      <c r="D527" s="1237" t="s">
        <v>1217</v>
      </c>
      <c r="E527" s="2170"/>
      <c r="F527" s="2179"/>
      <c r="G527" s="2179"/>
      <c r="H527" s="2179"/>
      <c r="I527" s="2187"/>
      <c r="J527" s="2187"/>
      <c r="K527" s="2187"/>
      <c r="L527" s="2187"/>
      <c r="M527" s="2187"/>
      <c r="N527" s="2187"/>
      <c r="O527" s="2187"/>
      <c r="P527" s="2187"/>
      <c r="Q527" s="2187"/>
      <c r="R527" s="2187"/>
      <c r="S527" s="2187"/>
      <c r="T527" s="2187"/>
      <c r="U527" s="2415"/>
      <c r="V527" s="2416"/>
    </row>
    <row r="528" spans="1:22">
      <c r="A528" s="2164"/>
      <c r="B528" s="2166" t="s">
        <v>1196</v>
      </c>
      <c r="C528" s="2168" t="s">
        <v>1212</v>
      </c>
      <c r="D528" s="1235" t="s">
        <v>1213</v>
      </c>
      <c r="E528" s="2170"/>
      <c r="F528" s="2179"/>
      <c r="G528" s="2179"/>
      <c r="H528" s="2179"/>
      <c r="I528" s="2179"/>
      <c r="J528" s="2171">
        <v>0.92</v>
      </c>
      <c r="K528" s="2171">
        <v>0.86480000000000001</v>
      </c>
      <c r="L528" s="2171">
        <v>0.82155999999999996</v>
      </c>
      <c r="M528" s="2171">
        <v>0.78869759999999989</v>
      </c>
      <c r="N528" s="2171">
        <v>0.73348876799999996</v>
      </c>
      <c r="O528" s="2171">
        <v>0.71881899263999993</v>
      </c>
      <c r="P528" s="2171">
        <v>0.70444261278719988</v>
      </c>
      <c r="Q528" s="2171">
        <v>0.69035376053145592</v>
      </c>
      <c r="R528" s="2171">
        <v>0.67654668532082674</v>
      </c>
      <c r="S528" s="2171">
        <v>0.66978121846761851</v>
      </c>
      <c r="T528" s="2171">
        <v>0.66308340628294227</v>
      </c>
      <c r="U528" s="2413">
        <v>0.65645257222011288</v>
      </c>
      <c r="V528" s="2181">
        <v>0.64988804649791176</v>
      </c>
    </row>
    <row r="529" spans="1:22">
      <c r="A529" s="2164"/>
      <c r="B529" s="2167"/>
      <c r="C529" s="2169"/>
      <c r="D529" s="1236" t="s">
        <v>1214</v>
      </c>
      <c r="E529" s="2170"/>
      <c r="F529" s="2179"/>
      <c r="G529" s="2179"/>
      <c r="H529" s="2179"/>
      <c r="I529" s="2179"/>
      <c r="J529" s="2172"/>
      <c r="K529" s="2172"/>
      <c r="L529" s="2172"/>
      <c r="M529" s="2172"/>
      <c r="N529" s="2172"/>
      <c r="O529" s="2172"/>
      <c r="P529" s="2172"/>
      <c r="Q529" s="2172"/>
      <c r="R529" s="2172"/>
      <c r="S529" s="2172"/>
      <c r="T529" s="2172"/>
      <c r="U529" s="2414"/>
      <c r="V529" s="2182"/>
    </row>
    <row r="530" spans="1:22">
      <c r="A530" s="2164"/>
      <c r="B530" s="2167"/>
      <c r="C530" s="2173" t="s">
        <v>1215</v>
      </c>
      <c r="D530" s="1236" t="s">
        <v>1216</v>
      </c>
      <c r="E530" s="2170"/>
      <c r="F530" s="2179"/>
      <c r="G530" s="2179"/>
      <c r="H530" s="2179"/>
      <c r="I530" s="2179"/>
      <c r="J530" s="2172"/>
      <c r="K530" s="2172"/>
      <c r="L530" s="2172"/>
      <c r="M530" s="2172"/>
      <c r="N530" s="2172"/>
      <c r="O530" s="2172"/>
      <c r="P530" s="2172"/>
      <c r="Q530" s="2172"/>
      <c r="R530" s="2172"/>
      <c r="S530" s="2172"/>
      <c r="T530" s="2172"/>
      <c r="U530" s="2414"/>
      <c r="V530" s="2182"/>
    </row>
    <row r="531" spans="1:22">
      <c r="A531" s="2164"/>
      <c r="B531" s="2167"/>
      <c r="C531" s="2174"/>
      <c r="D531" s="1237" t="s">
        <v>1217</v>
      </c>
      <c r="E531" s="2170"/>
      <c r="F531" s="2179"/>
      <c r="G531" s="2179"/>
      <c r="H531" s="2179"/>
      <c r="I531" s="2179"/>
      <c r="J531" s="2187"/>
      <c r="K531" s="2187"/>
      <c r="L531" s="2187"/>
      <c r="M531" s="2187"/>
      <c r="N531" s="2187"/>
      <c r="O531" s="2187"/>
      <c r="P531" s="2187"/>
      <c r="Q531" s="2187"/>
      <c r="R531" s="2187"/>
      <c r="S531" s="2187"/>
      <c r="T531" s="2187"/>
      <c r="U531" s="2415"/>
      <c r="V531" s="2416"/>
    </row>
    <row r="532" spans="1:22">
      <c r="A532" s="2164"/>
      <c r="B532" s="2166" t="s">
        <v>1197</v>
      </c>
      <c r="C532" s="2168" t="s">
        <v>1212</v>
      </c>
      <c r="D532" s="1235" t="s">
        <v>1213</v>
      </c>
      <c r="E532" s="2170"/>
      <c r="F532" s="2179"/>
      <c r="G532" s="2179"/>
      <c r="H532" s="2179"/>
      <c r="I532" s="2179"/>
      <c r="J532" s="2179"/>
      <c r="K532" s="2171">
        <v>0.94</v>
      </c>
      <c r="L532" s="2171">
        <v>0.8929999999999999</v>
      </c>
      <c r="M532" s="2171">
        <v>0.85727999999999993</v>
      </c>
      <c r="N532" s="2171">
        <v>0.79727039999999993</v>
      </c>
      <c r="O532" s="2171">
        <v>0.78132499199999994</v>
      </c>
      <c r="P532" s="2171">
        <v>0.76569849215999997</v>
      </c>
      <c r="Q532" s="2171">
        <v>0.75038452231679997</v>
      </c>
      <c r="R532" s="2171">
        <v>0.73537683187046399</v>
      </c>
      <c r="S532" s="2171">
        <v>0.72802306355175939</v>
      </c>
      <c r="T532" s="2171">
        <v>0.72074283291624175</v>
      </c>
      <c r="U532" s="2413">
        <v>0.71353540458707931</v>
      </c>
      <c r="V532" s="2181">
        <v>0.70640005054120847</v>
      </c>
    </row>
    <row r="533" spans="1:22">
      <c r="A533" s="2164"/>
      <c r="B533" s="2167"/>
      <c r="C533" s="2169"/>
      <c r="D533" s="1236" t="s">
        <v>1214</v>
      </c>
      <c r="E533" s="2170"/>
      <c r="F533" s="2179"/>
      <c r="G533" s="2179"/>
      <c r="H533" s="2179"/>
      <c r="I533" s="2179"/>
      <c r="J533" s="2179"/>
      <c r="K533" s="2172"/>
      <c r="L533" s="2172"/>
      <c r="M533" s="2172"/>
      <c r="N533" s="2172"/>
      <c r="O533" s="2172"/>
      <c r="P533" s="2172"/>
      <c r="Q533" s="2172"/>
      <c r="R533" s="2172"/>
      <c r="S533" s="2172"/>
      <c r="T533" s="2172"/>
      <c r="U533" s="2414"/>
      <c r="V533" s="2182"/>
    </row>
    <row r="534" spans="1:22">
      <c r="A534" s="2164"/>
      <c r="B534" s="2167"/>
      <c r="C534" s="2173" t="s">
        <v>1215</v>
      </c>
      <c r="D534" s="1236" t="s">
        <v>1216</v>
      </c>
      <c r="E534" s="2170"/>
      <c r="F534" s="2179"/>
      <c r="G534" s="2179"/>
      <c r="H534" s="2179"/>
      <c r="I534" s="2179"/>
      <c r="J534" s="2179"/>
      <c r="K534" s="2172"/>
      <c r="L534" s="2172"/>
      <c r="M534" s="2172"/>
      <c r="N534" s="2172"/>
      <c r="O534" s="2172"/>
      <c r="P534" s="2172"/>
      <c r="Q534" s="2172"/>
      <c r="R534" s="2172"/>
      <c r="S534" s="2172"/>
      <c r="T534" s="2172"/>
      <c r="U534" s="2414"/>
      <c r="V534" s="2182"/>
    </row>
    <row r="535" spans="1:22">
      <c r="A535" s="2164"/>
      <c r="B535" s="2167"/>
      <c r="C535" s="2174"/>
      <c r="D535" s="1237" t="s">
        <v>1217</v>
      </c>
      <c r="E535" s="2170"/>
      <c r="F535" s="2179"/>
      <c r="G535" s="2179"/>
      <c r="H535" s="2179"/>
      <c r="I535" s="2179"/>
      <c r="J535" s="2179"/>
      <c r="K535" s="2187"/>
      <c r="L535" s="2187"/>
      <c r="M535" s="2187"/>
      <c r="N535" s="2187"/>
      <c r="O535" s="2187"/>
      <c r="P535" s="2187"/>
      <c r="Q535" s="2187"/>
      <c r="R535" s="2187"/>
      <c r="S535" s="2187"/>
      <c r="T535" s="2187"/>
      <c r="U535" s="2415"/>
      <c r="V535" s="2416"/>
    </row>
    <row r="536" spans="1:22">
      <c r="A536" s="2164"/>
      <c r="B536" s="2166" t="s">
        <v>1198</v>
      </c>
      <c r="C536" s="2168" t="s">
        <v>1212</v>
      </c>
      <c r="D536" s="1235" t="s">
        <v>1213</v>
      </c>
      <c r="E536" s="2170"/>
      <c r="F536" s="2179"/>
      <c r="G536" s="2179"/>
      <c r="H536" s="2179"/>
      <c r="I536" s="2179"/>
      <c r="J536" s="2179"/>
      <c r="K536" s="2179"/>
      <c r="L536" s="2171">
        <v>0.95</v>
      </c>
      <c r="M536" s="2171">
        <v>0.91199999999999992</v>
      </c>
      <c r="N536" s="2171">
        <v>0.84816000000000003</v>
      </c>
      <c r="O536" s="2171">
        <v>0.83119679999999996</v>
      </c>
      <c r="P536" s="2171">
        <v>0.81457286399999995</v>
      </c>
      <c r="Q536" s="2171">
        <v>0.79828140671999992</v>
      </c>
      <c r="R536" s="2171">
        <v>0.78231577858559986</v>
      </c>
      <c r="S536" s="2171">
        <v>0.7744926207997439</v>
      </c>
      <c r="T536" s="2171">
        <v>0.76674769459174641</v>
      </c>
      <c r="U536" s="2413">
        <v>0.75908021764582889</v>
      </c>
      <c r="V536" s="2181">
        <v>0.75148941546937065</v>
      </c>
    </row>
    <row r="537" spans="1:22">
      <c r="A537" s="2164"/>
      <c r="B537" s="2167"/>
      <c r="C537" s="2169"/>
      <c r="D537" s="1236" t="s">
        <v>1214</v>
      </c>
      <c r="E537" s="2170"/>
      <c r="F537" s="2179"/>
      <c r="G537" s="2179"/>
      <c r="H537" s="2179"/>
      <c r="I537" s="2179"/>
      <c r="J537" s="2179"/>
      <c r="K537" s="2179"/>
      <c r="L537" s="2172"/>
      <c r="M537" s="2172"/>
      <c r="N537" s="2172"/>
      <c r="O537" s="2172"/>
      <c r="P537" s="2172"/>
      <c r="Q537" s="2172"/>
      <c r="R537" s="2172"/>
      <c r="S537" s="2172"/>
      <c r="T537" s="2172"/>
      <c r="U537" s="2414"/>
      <c r="V537" s="2182"/>
    </row>
    <row r="538" spans="1:22">
      <c r="A538" s="2164"/>
      <c r="B538" s="2167"/>
      <c r="C538" s="2173" t="s">
        <v>1215</v>
      </c>
      <c r="D538" s="1236" t="s">
        <v>1216</v>
      </c>
      <c r="E538" s="2170"/>
      <c r="F538" s="2179"/>
      <c r="G538" s="2179"/>
      <c r="H538" s="2179"/>
      <c r="I538" s="2179"/>
      <c r="J538" s="2179"/>
      <c r="K538" s="2179"/>
      <c r="L538" s="2172"/>
      <c r="M538" s="2172"/>
      <c r="N538" s="2172"/>
      <c r="O538" s="2172"/>
      <c r="P538" s="2172"/>
      <c r="Q538" s="2172"/>
      <c r="R538" s="2172"/>
      <c r="S538" s="2172"/>
      <c r="T538" s="2172"/>
      <c r="U538" s="2414"/>
      <c r="V538" s="2182"/>
    </row>
    <row r="539" spans="1:22">
      <c r="A539" s="2164"/>
      <c r="B539" s="2167"/>
      <c r="C539" s="2174"/>
      <c r="D539" s="1237" t="s">
        <v>1217</v>
      </c>
      <c r="E539" s="2170"/>
      <c r="F539" s="2179"/>
      <c r="G539" s="2179"/>
      <c r="H539" s="2179"/>
      <c r="I539" s="2179"/>
      <c r="J539" s="2179"/>
      <c r="K539" s="2179"/>
      <c r="L539" s="2187"/>
      <c r="M539" s="2187"/>
      <c r="N539" s="2187"/>
      <c r="O539" s="2187"/>
      <c r="P539" s="2187"/>
      <c r="Q539" s="2187"/>
      <c r="R539" s="2187"/>
      <c r="S539" s="2187"/>
      <c r="T539" s="2187"/>
      <c r="U539" s="2415"/>
      <c r="V539" s="2416"/>
    </row>
    <row r="540" spans="1:22">
      <c r="A540" s="2164"/>
      <c r="B540" s="2166" t="s">
        <v>1199</v>
      </c>
      <c r="C540" s="2168" t="s">
        <v>1212</v>
      </c>
      <c r="D540" s="1235" t="s">
        <v>1213</v>
      </c>
      <c r="E540" s="2170"/>
      <c r="F540" s="2179"/>
      <c r="G540" s="2179"/>
      <c r="H540" s="2179"/>
      <c r="I540" s="2179"/>
      <c r="J540" s="2179"/>
      <c r="K540" s="2179"/>
      <c r="L540" s="2179"/>
      <c r="M540" s="2171">
        <v>0.96</v>
      </c>
      <c r="N540" s="2171">
        <v>0.89280000000000004</v>
      </c>
      <c r="O540" s="2171">
        <v>0.87494400000000006</v>
      </c>
      <c r="P540" s="2171">
        <v>0.85744512000000006</v>
      </c>
      <c r="Q540" s="2171">
        <v>0.84029621760000006</v>
      </c>
      <c r="R540" s="2171">
        <v>0.82349029324800005</v>
      </c>
      <c r="S540" s="2171">
        <v>0.81525539031552008</v>
      </c>
      <c r="T540" s="2171">
        <v>0.80710283641236491</v>
      </c>
      <c r="U540" s="2413">
        <v>0.79903180804824125</v>
      </c>
      <c r="V540" s="2181">
        <v>0.7910414899677588</v>
      </c>
    </row>
    <row r="541" spans="1:22">
      <c r="A541" s="2164"/>
      <c r="B541" s="2167"/>
      <c r="C541" s="2169"/>
      <c r="D541" s="1236" t="s">
        <v>1214</v>
      </c>
      <c r="E541" s="2170"/>
      <c r="F541" s="2179"/>
      <c r="G541" s="2179"/>
      <c r="H541" s="2179"/>
      <c r="I541" s="2179"/>
      <c r="J541" s="2179"/>
      <c r="K541" s="2179"/>
      <c r="L541" s="2179"/>
      <c r="M541" s="2172"/>
      <c r="N541" s="2172"/>
      <c r="O541" s="2172"/>
      <c r="P541" s="2172"/>
      <c r="Q541" s="2172"/>
      <c r="R541" s="2172"/>
      <c r="S541" s="2172"/>
      <c r="T541" s="2172"/>
      <c r="U541" s="2414"/>
      <c r="V541" s="2182"/>
    </row>
    <row r="542" spans="1:22">
      <c r="A542" s="2164"/>
      <c r="B542" s="2167"/>
      <c r="C542" s="2173" t="s">
        <v>1215</v>
      </c>
      <c r="D542" s="1236" t="s">
        <v>1216</v>
      </c>
      <c r="E542" s="2170"/>
      <c r="F542" s="2179"/>
      <c r="G542" s="2179"/>
      <c r="H542" s="2179"/>
      <c r="I542" s="2179"/>
      <c r="J542" s="2179"/>
      <c r="K542" s="2179"/>
      <c r="L542" s="2179"/>
      <c r="M542" s="2172"/>
      <c r="N542" s="2172"/>
      <c r="O542" s="2172"/>
      <c r="P542" s="2172"/>
      <c r="Q542" s="2172"/>
      <c r="R542" s="2172"/>
      <c r="S542" s="2172"/>
      <c r="T542" s="2172"/>
      <c r="U542" s="2414"/>
      <c r="V542" s="2182"/>
    </row>
    <row r="543" spans="1:22">
      <c r="A543" s="2164"/>
      <c r="B543" s="2167"/>
      <c r="C543" s="2174"/>
      <c r="D543" s="1237" t="s">
        <v>1217</v>
      </c>
      <c r="E543" s="2170"/>
      <c r="F543" s="2179"/>
      <c r="G543" s="2179"/>
      <c r="H543" s="2179"/>
      <c r="I543" s="2179"/>
      <c r="J543" s="2179"/>
      <c r="K543" s="2179"/>
      <c r="L543" s="2179"/>
      <c r="M543" s="2187"/>
      <c r="N543" s="2187"/>
      <c r="O543" s="2187"/>
      <c r="P543" s="2187"/>
      <c r="Q543" s="2187"/>
      <c r="R543" s="2187"/>
      <c r="S543" s="2187"/>
      <c r="T543" s="2187"/>
      <c r="U543" s="2415"/>
      <c r="V543" s="2416"/>
    </row>
    <row r="544" spans="1:22">
      <c r="A544" s="2164"/>
      <c r="B544" s="2166" t="s">
        <v>1200</v>
      </c>
      <c r="C544" s="2168" t="s">
        <v>1212</v>
      </c>
      <c r="D544" s="1235" t="s">
        <v>1213</v>
      </c>
      <c r="E544" s="2170"/>
      <c r="F544" s="2179"/>
      <c r="G544" s="2179"/>
      <c r="H544" s="2179"/>
      <c r="I544" s="2179"/>
      <c r="J544" s="2179"/>
      <c r="K544" s="2179"/>
      <c r="L544" s="2179"/>
      <c r="M544" s="2179"/>
      <c r="N544" s="2171">
        <v>0.93</v>
      </c>
      <c r="O544" s="2171">
        <v>0.91139999999999999</v>
      </c>
      <c r="P544" s="2171">
        <v>0.89317199999999997</v>
      </c>
      <c r="Q544" s="2171">
        <v>0.8753085599999999</v>
      </c>
      <c r="R544" s="2171">
        <v>0.85780238879999993</v>
      </c>
      <c r="S544" s="2171">
        <v>0.84922436491199993</v>
      </c>
      <c r="T544" s="2171">
        <v>0.84073212126287988</v>
      </c>
      <c r="U544" s="2413">
        <v>0.83232480005025111</v>
      </c>
      <c r="V544" s="2181">
        <v>0.82400155204974856</v>
      </c>
    </row>
    <row r="545" spans="1:22">
      <c r="A545" s="2164"/>
      <c r="B545" s="2167"/>
      <c r="C545" s="2169"/>
      <c r="D545" s="1236" t="s">
        <v>1214</v>
      </c>
      <c r="E545" s="2170"/>
      <c r="F545" s="2179"/>
      <c r="G545" s="2179"/>
      <c r="H545" s="2179"/>
      <c r="I545" s="2179"/>
      <c r="J545" s="2179"/>
      <c r="K545" s="2179"/>
      <c r="L545" s="2179"/>
      <c r="M545" s="2179"/>
      <c r="N545" s="2172"/>
      <c r="O545" s="2172"/>
      <c r="P545" s="2172"/>
      <c r="Q545" s="2172"/>
      <c r="R545" s="2172"/>
      <c r="S545" s="2172"/>
      <c r="T545" s="2172"/>
      <c r="U545" s="2414"/>
      <c r="V545" s="2182"/>
    </row>
    <row r="546" spans="1:22">
      <c r="A546" s="2164"/>
      <c r="B546" s="2167"/>
      <c r="C546" s="2173" t="s">
        <v>1215</v>
      </c>
      <c r="D546" s="1236" t="s">
        <v>1216</v>
      </c>
      <c r="E546" s="2170"/>
      <c r="F546" s="2179"/>
      <c r="G546" s="2179"/>
      <c r="H546" s="2179"/>
      <c r="I546" s="2179"/>
      <c r="J546" s="2179"/>
      <c r="K546" s="2179"/>
      <c r="L546" s="2179"/>
      <c r="M546" s="2179"/>
      <c r="N546" s="2172"/>
      <c r="O546" s="2172"/>
      <c r="P546" s="2172"/>
      <c r="Q546" s="2172"/>
      <c r="R546" s="2172"/>
      <c r="S546" s="2172"/>
      <c r="T546" s="2172"/>
      <c r="U546" s="2414"/>
      <c r="V546" s="2182"/>
    </row>
    <row r="547" spans="1:22">
      <c r="A547" s="2164"/>
      <c r="B547" s="2167"/>
      <c r="C547" s="2174"/>
      <c r="D547" s="1237" t="s">
        <v>1217</v>
      </c>
      <c r="E547" s="2170"/>
      <c r="F547" s="2179"/>
      <c r="G547" s="2179"/>
      <c r="H547" s="2179"/>
      <c r="I547" s="2179"/>
      <c r="J547" s="2179"/>
      <c r="K547" s="2179"/>
      <c r="L547" s="2179"/>
      <c r="M547" s="2179"/>
      <c r="N547" s="2187"/>
      <c r="O547" s="2187"/>
      <c r="P547" s="2187"/>
      <c r="Q547" s="2187"/>
      <c r="R547" s="2187"/>
      <c r="S547" s="2187"/>
      <c r="T547" s="2187"/>
      <c r="U547" s="2415"/>
      <c r="V547" s="2416"/>
    </row>
    <row r="548" spans="1:22">
      <c r="A548" s="2164"/>
      <c r="B548" s="2166" t="s">
        <v>1201</v>
      </c>
      <c r="C548" s="2168" t="s">
        <v>1212</v>
      </c>
      <c r="D548" s="1235" t="s">
        <v>1213</v>
      </c>
      <c r="E548" s="2170"/>
      <c r="F548" s="2179"/>
      <c r="G548" s="2179"/>
      <c r="H548" s="2179"/>
      <c r="I548" s="2179"/>
      <c r="J548" s="2179"/>
      <c r="K548" s="2179"/>
      <c r="L548" s="2179"/>
      <c r="M548" s="2179"/>
      <c r="N548" s="2179"/>
      <c r="O548" s="2171">
        <v>0.98</v>
      </c>
      <c r="P548" s="2171">
        <v>0.96039999999999992</v>
      </c>
      <c r="Q548" s="2171">
        <v>0.94119199999999992</v>
      </c>
      <c r="R548" s="2171">
        <v>0.92236815999999988</v>
      </c>
      <c r="S548" s="2171">
        <v>0.9131444783999999</v>
      </c>
      <c r="T548" s="2171">
        <v>0.90401303361599994</v>
      </c>
      <c r="U548" s="2413">
        <v>0.89497290327983992</v>
      </c>
      <c r="V548" s="2181">
        <v>0.88602317424704147</v>
      </c>
    </row>
    <row r="549" spans="1:22">
      <c r="A549" s="2164"/>
      <c r="B549" s="2167"/>
      <c r="C549" s="2169"/>
      <c r="D549" s="1236" t="s">
        <v>1214</v>
      </c>
      <c r="E549" s="2170"/>
      <c r="F549" s="2179"/>
      <c r="G549" s="2179"/>
      <c r="H549" s="2179"/>
      <c r="I549" s="2179"/>
      <c r="J549" s="2179"/>
      <c r="K549" s="2179"/>
      <c r="L549" s="2179"/>
      <c r="M549" s="2179"/>
      <c r="N549" s="2179"/>
      <c r="O549" s="2172"/>
      <c r="P549" s="2172"/>
      <c r="Q549" s="2172"/>
      <c r="R549" s="2172"/>
      <c r="S549" s="2172"/>
      <c r="T549" s="2172"/>
      <c r="U549" s="2414"/>
      <c r="V549" s="2182"/>
    </row>
    <row r="550" spans="1:22">
      <c r="A550" s="2164"/>
      <c r="B550" s="2167"/>
      <c r="C550" s="2173" t="s">
        <v>1215</v>
      </c>
      <c r="D550" s="1236" t="s">
        <v>1216</v>
      </c>
      <c r="E550" s="2170"/>
      <c r="F550" s="2179"/>
      <c r="G550" s="2179"/>
      <c r="H550" s="2179"/>
      <c r="I550" s="2179"/>
      <c r="J550" s="2179"/>
      <c r="K550" s="2179"/>
      <c r="L550" s="2179"/>
      <c r="M550" s="2179"/>
      <c r="N550" s="2179"/>
      <c r="O550" s="2172"/>
      <c r="P550" s="2172"/>
      <c r="Q550" s="2172"/>
      <c r="R550" s="2172"/>
      <c r="S550" s="2172"/>
      <c r="T550" s="2172"/>
      <c r="U550" s="2414"/>
      <c r="V550" s="2182"/>
    </row>
    <row r="551" spans="1:22">
      <c r="A551" s="2164"/>
      <c r="B551" s="2167"/>
      <c r="C551" s="2174"/>
      <c r="D551" s="1237" t="s">
        <v>1217</v>
      </c>
      <c r="E551" s="2170"/>
      <c r="F551" s="2179"/>
      <c r="G551" s="2179"/>
      <c r="H551" s="2179"/>
      <c r="I551" s="2179"/>
      <c r="J551" s="2179"/>
      <c r="K551" s="2179"/>
      <c r="L551" s="2179"/>
      <c r="M551" s="2179"/>
      <c r="N551" s="2179"/>
      <c r="O551" s="2187"/>
      <c r="P551" s="2187"/>
      <c r="Q551" s="2187"/>
      <c r="R551" s="2187"/>
      <c r="S551" s="2187"/>
      <c r="T551" s="2187"/>
      <c r="U551" s="2415"/>
      <c r="V551" s="2416"/>
    </row>
    <row r="552" spans="1:22">
      <c r="A552" s="2164"/>
      <c r="B552" s="2166" t="s">
        <v>1202</v>
      </c>
      <c r="C552" s="2168" t="s">
        <v>1212</v>
      </c>
      <c r="D552" s="1235" t="s">
        <v>1213</v>
      </c>
      <c r="E552" s="2170"/>
      <c r="F552" s="2179"/>
      <c r="G552" s="2179"/>
      <c r="H552" s="2179"/>
      <c r="I552" s="2179"/>
      <c r="J552" s="2179"/>
      <c r="K552" s="2179"/>
      <c r="L552" s="2179"/>
      <c r="M552" s="2179"/>
      <c r="N552" s="2179"/>
      <c r="O552" s="2179"/>
      <c r="P552" s="2171">
        <v>0.98</v>
      </c>
      <c r="Q552" s="2171">
        <v>0.96039999999999992</v>
      </c>
      <c r="R552" s="2171">
        <v>0.94119199999999992</v>
      </c>
      <c r="S552" s="2171">
        <v>0.9317800799999999</v>
      </c>
      <c r="T552" s="2171">
        <v>0.9224622791999999</v>
      </c>
      <c r="U552" s="2413">
        <v>0.91323765640799992</v>
      </c>
      <c r="V552" s="2181">
        <v>0.90410527984391986</v>
      </c>
    </row>
    <row r="553" spans="1:22">
      <c r="A553" s="2164"/>
      <c r="B553" s="2167"/>
      <c r="C553" s="2169"/>
      <c r="D553" s="1236" t="s">
        <v>1214</v>
      </c>
      <c r="E553" s="2170"/>
      <c r="F553" s="2179"/>
      <c r="G553" s="2179"/>
      <c r="H553" s="2179"/>
      <c r="I553" s="2179"/>
      <c r="J553" s="2179"/>
      <c r="K553" s="2179"/>
      <c r="L553" s="2179"/>
      <c r="M553" s="2179"/>
      <c r="N553" s="2179"/>
      <c r="O553" s="2179"/>
      <c r="P553" s="2172"/>
      <c r="Q553" s="2172"/>
      <c r="R553" s="2172"/>
      <c r="S553" s="2172"/>
      <c r="T553" s="2172"/>
      <c r="U553" s="2414"/>
      <c r="V553" s="2182"/>
    </row>
    <row r="554" spans="1:22">
      <c r="A554" s="2164"/>
      <c r="B554" s="2167"/>
      <c r="C554" s="2173" t="s">
        <v>1215</v>
      </c>
      <c r="D554" s="1236" t="s">
        <v>1216</v>
      </c>
      <c r="E554" s="2170"/>
      <c r="F554" s="2179"/>
      <c r="G554" s="2179"/>
      <c r="H554" s="2179"/>
      <c r="I554" s="2179"/>
      <c r="J554" s="2179"/>
      <c r="K554" s="2179"/>
      <c r="L554" s="2179"/>
      <c r="M554" s="2179"/>
      <c r="N554" s="2179"/>
      <c r="O554" s="2179"/>
      <c r="P554" s="2172"/>
      <c r="Q554" s="2172"/>
      <c r="R554" s="2172"/>
      <c r="S554" s="2172"/>
      <c r="T554" s="2172"/>
      <c r="U554" s="2414"/>
      <c r="V554" s="2182"/>
    </row>
    <row r="555" spans="1:22">
      <c r="A555" s="2164"/>
      <c r="B555" s="2167"/>
      <c r="C555" s="2174"/>
      <c r="D555" s="1237" t="s">
        <v>1217</v>
      </c>
      <c r="E555" s="2170"/>
      <c r="F555" s="2179"/>
      <c r="G555" s="2179"/>
      <c r="H555" s="2179"/>
      <c r="I555" s="2179"/>
      <c r="J555" s="2179"/>
      <c r="K555" s="2179"/>
      <c r="L555" s="2179"/>
      <c r="M555" s="2179"/>
      <c r="N555" s="2179"/>
      <c r="O555" s="2179"/>
      <c r="P555" s="2187"/>
      <c r="Q555" s="2187"/>
      <c r="R555" s="2187"/>
      <c r="S555" s="2187"/>
      <c r="T555" s="2187"/>
      <c r="U555" s="2415"/>
      <c r="V555" s="2416"/>
    </row>
    <row r="556" spans="1:22">
      <c r="A556" s="2164"/>
      <c r="B556" s="2166" t="s">
        <v>1203</v>
      </c>
      <c r="C556" s="2168" t="s">
        <v>1212</v>
      </c>
      <c r="D556" s="1235" t="s">
        <v>1213</v>
      </c>
      <c r="E556" s="2170"/>
      <c r="F556" s="2179"/>
      <c r="G556" s="2179"/>
      <c r="H556" s="2179"/>
      <c r="I556" s="2179"/>
      <c r="J556" s="2179"/>
      <c r="K556" s="2179"/>
      <c r="L556" s="2179"/>
      <c r="M556" s="2179"/>
      <c r="N556" s="2179"/>
      <c r="O556" s="2179"/>
      <c r="P556" s="2179"/>
      <c r="Q556" s="2171">
        <v>0.98</v>
      </c>
      <c r="R556" s="2171">
        <v>0.96039999999999992</v>
      </c>
      <c r="S556" s="2171">
        <v>0.95079599999999986</v>
      </c>
      <c r="T556" s="2171">
        <v>0.94128803999999988</v>
      </c>
      <c r="U556" s="2413">
        <v>0.93187515959999989</v>
      </c>
      <c r="V556" s="2181">
        <v>0.92255640800399985</v>
      </c>
    </row>
    <row r="557" spans="1:22">
      <c r="A557" s="2164"/>
      <c r="B557" s="2167"/>
      <c r="C557" s="2169"/>
      <c r="D557" s="1236" t="s">
        <v>1214</v>
      </c>
      <c r="E557" s="2170"/>
      <c r="F557" s="2179"/>
      <c r="G557" s="2179"/>
      <c r="H557" s="2179"/>
      <c r="I557" s="2179"/>
      <c r="J557" s="2179"/>
      <c r="K557" s="2179"/>
      <c r="L557" s="2179"/>
      <c r="M557" s="2179"/>
      <c r="N557" s="2179"/>
      <c r="O557" s="2179"/>
      <c r="P557" s="2179"/>
      <c r="Q557" s="2172"/>
      <c r="R557" s="2172"/>
      <c r="S557" s="2172"/>
      <c r="T557" s="2172"/>
      <c r="U557" s="2414"/>
      <c r="V557" s="2182"/>
    </row>
    <row r="558" spans="1:22">
      <c r="A558" s="2164"/>
      <c r="B558" s="2167"/>
      <c r="C558" s="2173" t="s">
        <v>1215</v>
      </c>
      <c r="D558" s="1236" t="s">
        <v>1216</v>
      </c>
      <c r="E558" s="2170"/>
      <c r="F558" s="2179"/>
      <c r="G558" s="2179"/>
      <c r="H558" s="2179"/>
      <c r="I558" s="2179"/>
      <c r="J558" s="2179"/>
      <c r="K558" s="2179"/>
      <c r="L558" s="2179"/>
      <c r="M558" s="2179"/>
      <c r="N558" s="2179"/>
      <c r="O558" s="2179"/>
      <c r="P558" s="2179"/>
      <c r="Q558" s="2172"/>
      <c r="R558" s="2172"/>
      <c r="S558" s="2172"/>
      <c r="T558" s="2172"/>
      <c r="U558" s="2414"/>
      <c r="V558" s="2182"/>
    </row>
    <row r="559" spans="1:22">
      <c r="A559" s="2164"/>
      <c r="B559" s="2167"/>
      <c r="C559" s="2174"/>
      <c r="D559" s="1237" t="s">
        <v>1217</v>
      </c>
      <c r="E559" s="2170"/>
      <c r="F559" s="2179"/>
      <c r="G559" s="2179"/>
      <c r="H559" s="2179"/>
      <c r="I559" s="2179"/>
      <c r="J559" s="2179"/>
      <c r="K559" s="2179"/>
      <c r="L559" s="2179"/>
      <c r="M559" s="2179"/>
      <c r="N559" s="2179"/>
      <c r="O559" s="2179"/>
      <c r="P559" s="2179"/>
      <c r="Q559" s="2187"/>
      <c r="R559" s="2187"/>
      <c r="S559" s="2187"/>
      <c r="T559" s="2187"/>
      <c r="U559" s="2415"/>
      <c r="V559" s="2416"/>
    </row>
    <row r="560" spans="1:22">
      <c r="A560" s="2164"/>
      <c r="B560" s="2166" t="s">
        <v>1204</v>
      </c>
      <c r="C560" s="2168" t="s">
        <v>1212</v>
      </c>
      <c r="D560" s="1235" t="s">
        <v>1213</v>
      </c>
      <c r="E560" s="2170"/>
      <c r="F560" s="2179"/>
      <c r="G560" s="2179"/>
      <c r="H560" s="2179"/>
      <c r="I560" s="2179"/>
      <c r="J560" s="2179"/>
      <c r="K560" s="2179"/>
      <c r="L560" s="2179"/>
      <c r="M560" s="2179"/>
      <c r="N560" s="2179"/>
      <c r="O560" s="2179"/>
      <c r="P560" s="2179"/>
      <c r="Q560" s="2179"/>
      <c r="R560" s="2171">
        <v>0.98</v>
      </c>
      <c r="S560" s="2171">
        <v>0.97019999999999995</v>
      </c>
      <c r="T560" s="2171">
        <v>0.96049799999999996</v>
      </c>
      <c r="U560" s="2413">
        <v>0.95089301999999998</v>
      </c>
      <c r="V560" s="2181">
        <v>0.94138408979999999</v>
      </c>
    </row>
    <row r="561" spans="1:22">
      <c r="A561" s="2164"/>
      <c r="B561" s="2167"/>
      <c r="C561" s="2169"/>
      <c r="D561" s="1236" t="s">
        <v>1214</v>
      </c>
      <c r="E561" s="2170"/>
      <c r="F561" s="2179"/>
      <c r="G561" s="2179"/>
      <c r="H561" s="2179"/>
      <c r="I561" s="2179"/>
      <c r="J561" s="2179"/>
      <c r="K561" s="2179"/>
      <c r="L561" s="2179"/>
      <c r="M561" s="2179"/>
      <c r="N561" s="2179"/>
      <c r="O561" s="2179"/>
      <c r="P561" s="2179"/>
      <c r="Q561" s="2179"/>
      <c r="R561" s="2172"/>
      <c r="S561" s="2172"/>
      <c r="T561" s="2172"/>
      <c r="U561" s="2414"/>
      <c r="V561" s="2182"/>
    </row>
    <row r="562" spans="1:22">
      <c r="A562" s="2164"/>
      <c r="B562" s="2167"/>
      <c r="C562" s="2173" t="s">
        <v>1215</v>
      </c>
      <c r="D562" s="1236" t="s">
        <v>1216</v>
      </c>
      <c r="E562" s="2170"/>
      <c r="F562" s="2179"/>
      <c r="G562" s="2179"/>
      <c r="H562" s="2179"/>
      <c r="I562" s="2179"/>
      <c r="J562" s="2179"/>
      <c r="K562" s="2179"/>
      <c r="L562" s="2179"/>
      <c r="M562" s="2179"/>
      <c r="N562" s="2179"/>
      <c r="O562" s="2179"/>
      <c r="P562" s="2179"/>
      <c r="Q562" s="2179"/>
      <c r="R562" s="2172"/>
      <c r="S562" s="2172"/>
      <c r="T562" s="2172"/>
      <c r="U562" s="2414"/>
      <c r="V562" s="2182"/>
    </row>
    <row r="563" spans="1:22">
      <c r="A563" s="2164"/>
      <c r="B563" s="2167"/>
      <c r="C563" s="2174"/>
      <c r="D563" s="1237" t="s">
        <v>1217</v>
      </c>
      <c r="E563" s="2170"/>
      <c r="F563" s="2179"/>
      <c r="G563" s="2179"/>
      <c r="H563" s="2179"/>
      <c r="I563" s="2179"/>
      <c r="J563" s="2179"/>
      <c r="K563" s="2179"/>
      <c r="L563" s="2179"/>
      <c r="M563" s="2179"/>
      <c r="N563" s="2179"/>
      <c r="O563" s="2179"/>
      <c r="P563" s="2179"/>
      <c r="Q563" s="2179"/>
      <c r="R563" s="2187"/>
      <c r="S563" s="2187"/>
      <c r="T563" s="2187"/>
      <c r="U563" s="2415"/>
      <c r="V563" s="2416"/>
    </row>
    <row r="564" spans="1:22">
      <c r="A564" s="2164"/>
      <c r="B564" s="2166" t="s">
        <v>1205</v>
      </c>
      <c r="C564" s="2168" t="s">
        <v>1212</v>
      </c>
      <c r="D564" s="1235" t="s">
        <v>1213</v>
      </c>
      <c r="E564" s="2170"/>
      <c r="F564" s="2179"/>
      <c r="G564" s="2179"/>
      <c r="H564" s="2179"/>
      <c r="I564" s="2179"/>
      <c r="J564" s="2179"/>
      <c r="K564" s="2179"/>
      <c r="L564" s="2179"/>
      <c r="M564" s="2179"/>
      <c r="N564" s="2179"/>
      <c r="O564" s="2179"/>
      <c r="P564" s="2179"/>
      <c r="Q564" s="2179"/>
      <c r="R564" s="2179"/>
      <c r="S564" s="2171">
        <v>0.99</v>
      </c>
      <c r="T564" s="2171">
        <v>0.98009999999999997</v>
      </c>
      <c r="U564" s="2413">
        <v>0.97029899999999991</v>
      </c>
      <c r="V564" s="2181">
        <v>0.96059600999999994</v>
      </c>
    </row>
    <row r="565" spans="1:22">
      <c r="A565" s="2164"/>
      <c r="B565" s="2167"/>
      <c r="C565" s="2169"/>
      <c r="D565" s="1236" t="s">
        <v>1214</v>
      </c>
      <c r="E565" s="2170"/>
      <c r="F565" s="2179"/>
      <c r="G565" s="2179"/>
      <c r="H565" s="2179"/>
      <c r="I565" s="2179"/>
      <c r="J565" s="2179"/>
      <c r="K565" s="2179"/>
      <c r="L565" s="2179"/>
      <c r="M565" s="2179"/>
      <c r="N565" s="2179"/>
      <c r="O565" s="2179"/>
      <c r="P565" s="2179"/>
      <c r="Q565" s="2179"/>
      <c r="R565" s="2179"/>
      <c r="S565" s="2172"/>
      <c r="T565" s="2172"/>
      <c r="U565" s="2414"/>
      <c r="V565" s="2182"/>
    </row>
    <row r="566" spans="1:22">
      <c r="A566" s="2164"/>
      <c r="B566" s="2167"/>
      <c r="C566" s="2173" t="s">
        <v>1215</v>
      </c>
      <c r="D566" s="1236" t="s">
        <v>1216</v>
      </c>
      <c r="E566" s="2170"/>
      <c r="F566" s="2179"/>
      <c r="G566" s="2179"/>
      <c r="H566" s="2179"/>
      <c r="I566" s="2179"/>
      <c r="J566" s="2179"/>
      <c r="K566" s="2179"/>
      <c r="L566" s="2179"/>
      <c r="M566" s="2179"/>
      <c r="N566" s="2179"/>
      <c r="O566" s="2179"/>
      <c r="P566" s="2179"/>
      <c r="Q566" s="2179"/>
      <c r="R566" s="2179"/>
      <c r="S566" s="2172"/>
      <c r="T566" s="2172"/>
      <c r="U566" s="2414"/>
      <c r="V566" s="2182"/>
    </row>
    <row r="567" spans="1:22">
      <c r="A567" s="2164"/>
      <c r="B567" s="2167"/>
      <c r="C567" s="2174"/>
      <c r="D567" s="1237" t="s">
        <v>1217</v>
      </c>
      <c r="E567" s="2170"/>
      <c r="F567" s="2179"/>
      <c r="G567" s="2179"/>
      <c r="H567" s="2179"/>
      <c r="I567" s="2179"/>
      <c r="J567" s="2179"/>
      <c r="K567" s="2179"/>
      <c r="L567" s="2179"/>
      <c r="M567" s="2179"/>
      <c r="N567" s="2179"/>
      <c r="O567" s="2179"/>
      <c r="P567" s="2179"/>
      <c r="Q567" s="2179"/>
      <c r="R567" s="2179"/>
      <c r="S567" s="2187"/>
      <c r="T567" s="2187"/>
      <c r="U567" s="2415"/>
      <c r="V567" s="2416"/>
    </row>
    <row r="568" spans="1:22">
      <c r="A568" s="2164"/>
      <c r="B568" s="2166" t="s">
        <v>1206</v>
      </c>
      <c r="C568" s="2168" t="s">
        <v>1212</v>
      </c>
      <c r="D568" s="1235" t="s">
        <v>1213</v>
      </c>
      <c r="E568" s="2170"/>
      <c r="F568" s="2179"/>
      <c r="G568" s="2179"/>
      <c r="H568" s="2179"/>
      <c r="I568" s="2179"/>
      <c r="J568" s="2179"/>
      <c r="K568" s="2179"/>
      <c r="L568" s="2179"/>
      <c r="M568" s="2179"/>
      <c r="N568" s="2179"/>
      <c r="O568" s="2179"/>
      <c r="P568" s="2179"/>
      <c r="Q568" s="2179"/>
      <c r="R568" s="2179"/>
      <c r="S568" s="2179"/>
      <c r="T568" s="2171">
        <v>0.99</v>
      </c>
      <c r="U568" s="2413">
        <v>0.98009999999999997</v>
      </c>
      <c r="V568" s="2181">
        <v>0.97029899999999991</v>
      </c>
    </row>
    <row r="569" spans="1:22">
      <c r="A569" s="2164"/>
      <c r="B569" s="2167"/>
      <c r="C569" s="2169"/>
      <c r="D569" s="1236" t="s">
        <v>1214</v>
      </c>
      <c r="E569" s="2170"/>
      <c r="F569" s="2179"/>
      <c r="G569" s="2179"/>
      <c r="H569" s="2179"/>
      <c r="I569" s="2179"/>
      <c r="J569" s="2179"/>
      <c r="K569" s="2179"/>
      <c r="L569" s="2179"/>
      <c r="M569" s="2179"/>
      <c r="N569" s="2179"/>
      <c r="O569" s="2179"/>
      <c r="P569" s="2179"/>
      <c r="Q569" s="2179"/>
      <c r="R569" s="2179"/>
      <c r="S569" s="2179"/>
      <c r="T569" s="2172"/>
      <c r="U569" s="2414"/>
      <c r="V569" s="2182"/>
    </row>
    <row r="570" spans="1:22">
      <c r="A570" s="2164"/>
      <c r="B570" s="2167"/>
      <c r="C570" s="2173" t="s">
        <v>1215</v>
      </c>
      <c r="D570" s="1236" t="s">
        <v>1216</v>
      </c>
      <c r="E570" s="2170"/>
      <c r="F570" s="2179"/>
      <c r="G570" s="2179"/>
      <c r="H570" s="2179"/>
      <c r="I570" s="2179"/>
      <c r="J570" s="2179"/>
      <c r="K570" s="2179"/>
      <c r="L570" s="2179"/>
      <c r="M570" s="2179"/>
      <c r="N570" s="2179"/>
      <c r="O570" s="2179"/>
      <c r="P570" s="2179"/>
      <c r="Q570" s="2179"/>
      <c r="R570" s="2179"/>
      <c r="S570" s="2179"/>
      <c r="T570" s="2172"/>
      <c r="U570" s="2414"/>
      <c r="V570" s="2182"/>
    </row>
    <row r="571" spans="1:22">
      <c r="A571" s="2164"/>
      <c r="B571" s="2167"/>
      <c r="C571" s="2174"/>
      <c r="D571" s="1237" t="s">
        <v>1217</v>
      </c>
      <c r="E571" s="2170"/>
      <c r="F571" s="2179"/>
      <c r="G571" s="2179"/>
      <c r="H571" s="2179"/>
      <c r="I571" s="2179"/>
      <c r="J571" s="2179"/>
      <c r="K571" s="2179"/>
      <c r="L571" s="2179"/>
      <c r="M571" s="2179"/>
      <c r="N571" s="2179"/>
      <c r="O571" s="2179"/>
      <c r="P571" s="2179"/>
      <c r="Q571" s="2179"/>
      <c r="R571" s="2179"/>
      <c r="S571" s="2179"/>
      <c r="T571" s="2187"/>
      <c r="U571" s="2415"/>
      <c r="V571" s="2416"/>
    </row>
    <row r="572" spans="1:22">
      <c r="A572" s="2164"/>
      <c r="B572" s="2166" t="s">
        <v>1207</v>
      </c>
      <c r="C572" s="2168" t="s">
        <v>1212</v>
      </c>
      <c r="D572" s="1235" t="s">
        <v>1213</v>
      </c>
      <c r="E572" s="2170"/>
      <c r="F572" s="2179"/>
      <c r="G572" s="2179"/>
      <c r="H572" s="2179"/>
      <c r="I572" s="2179"/>
      <c r="J572" s="2179"/>
      <c r="K572" s="2179"/>
      <c r="L572" s="2179"/>
      <c r="M572" s="2179"/>
      <c r="N572" s="2179"/>
      <c r="O572" s="2179"/>
      <c r="P572" s="2179"/>
      <c r="Q572" s="2179"/>
      <c r="R572" s="2179"/>
      <c r="S572" s="2179"/>
      <c r="T572" s="2179"/>
      <c r="U572" s="2413">
        <v>0.99</v>
      </c>
      <c r="V572" s="2181">
        <v>0.98009999999999997</v>
      </c>
    </row>
    <row r="573" spans="1:22">
      <c r="A573" s="2164"/>
      <c r="B573" s="2167"/>
      <c r="C573" s="2169"/>
      <c r="D573" s="1236" t="s">
        <v>1214</v>
      </c>
      <c r="E573" s="2170"/>
      <c r="F573" s="2179"/>
      <c r="G573" s="2179"/>
      <c r="H573" s="2179"/>
      <c r="I573" s="2179"/>
      <c r="J573" s="2179"/>
      <c r="K573" s="2179"/>
      <c r="L573" s="2179"/>
      <c r="M573" s="2179"/>
      <c r="N573" s="2179"/>
      <c r="O573" s="2179"/>
      <c r="P573" s="2179"/>
      <c r="Q573" s="2179"/>
      <c r="R573" s="2179"/>
      <c r="S573" s="2179"/>
      <c r="T573" s="2179"/>
      <c r="U573" s="2414"/>
      <c r="V573" s="2182"/>
    </row>
    <row r="574" spans="1:22">
      <c r="A574" s="2164"/>
      <c r="B574" s="2167"/>
      <c r="C574" s="2173" t="s">
        <v>1215</v>
      </c>
      <c r="D574" s="1236" t="s">
        <v>1216</v>
      </c>
      <c r="E574" s="2170"/>
      <c r="F574" s="2179"/>
      <c r="G574" s="2179"/>
      <c r="H574" s="2179"/>
      <c r="I574" s="2179"/>
      <c r="J574" s="2179"/>
      <c r="K574" s="2179"/>
      <c r="L574" s="2179"/>
      <c r="M574" s="2179"/>
      <c r="N574" s="2179"/>
      <c r="O574" s="2179"/>
      <c r="P574" s="2179"/>
      <c r="Q574" s="2179"/>
      <c r="R574" s="2179"/>
      <c r="S574" s="2179"/>
      <c r="T574" s="2179"/>
      <c r="U574" s="2414"/>
      <c r="V574" s="2182"/>
    </row>
    <row r="575" spans="1:22">
      <c r="A575" s="2164"/>
      <c r="B575" s="2167"/>
      <c r="C575" s="2174"/>
      <c r="D575" s="1237" t="s">
        <v>1217</v>
      </c>
      <c r="E575" s="2170"/>
      <c r="F575" s="2179"/>
      <c r="G575" s="2179"/>
      <c r="H575" s="2179"/>
      <c r="I575" s="2179"/>
      <c r="J575" s="2179"/>
      <c r="K575" s="2179"/>
      <c r="L575" s="2179"/>
      <c r="M575" s="2179"/>
      <c r="N575" s="2179"/>
      <c r="O575" s="2179"/>
      <c r="P575" s="2179"/>
      <c r="Q575" s="2179"/>
      <c r="R575" s="2179"/>
      <c r="S575" s="2179"/>
      <c r="T575" s="2179"/>
      <c r="U575" s="2415"/>
      <c r="V575" s="2416"/>
    </row>
    <row r="576" spans="1:22">
      <c r="A576" s="2164"/>
      <c r="B576" s="2166" t="s">
        <v>1208</v>
      </c>
      <c r="C576" s="2168" t="s">
        <v>1212</v>
      </c>
      <c r="D576" s="1235" t="s">
        <v>1213</v>
      </c>
      <c r="E576" s="2188"/>
      <c r="F576" s="2191"/>
      <c r="G576" s="2191"/>
      <c r="H576" s="2191"/>
      <c r="I576" s="2191"/>
      <c r="J576" s="2191"/>
      <c r="K576" s="2191"/>
      <c r="L576" s="2191"/>
      <c r="M576" s="2191"/>
      <c r="N576" s="2191"/>
      <c r="O576" s="2191"/>
      <c r="P576" s="2191"/>
      <c r="Q576" s="2191"/>
      <c r="R576" s="2191"/>
      <c r="S576" s="2191"/>
      <c r="T576" s="2191"/>
      <c r="U576" s="2179"/>
      <c r="V576" s="2181">
        <v>0.99</v>
      </c>
    </row>
    <row r="577" spans="1:22">
      <c r="A577" s="2164"/>
      <c r="B577" s="2167"/>
      <c r="C577" s="2169"/>
      <c r="D577" s="1236" t="s">
        <v>1214</v>
      </c>
      <c r="E577" s="2189"/>
      <c r="F577" s="2192"/>
      <c r="G577" s="2192"/>
      <c r="H577" s="2192"/>
      <c r="I577" s="2192"/>
      <c r="J577" s="2192"/>
      <c r="K577" s="2192"/>
      <c r="L577" s="2192"/>
      <c r="M577" s="2192"/>
      <c r="N577" s="2192"/>
      <c r="O577" s="2192"/>
      <c r="P577" s="2192"/>
      <c r="Q577" s="2192"/>
      <c r="R577" s="2192"/>
      <c r="S577" s="2192"/>
      <c r="T577" s="2192"/>
      <c r="U577" s="2179"/>
      <c r="V577" s="2182"/>
    </row>
    <row r="578" spans="1:22">
      <c r="A578" s="2164"/>
      <c r="B578" s="2167"/>
      <c r="C578" s="2173" t="s">
        <v>1215</v>
      </c>
      <c r="D578" s="1236" t="s">
        <v>1216</v>
      </c>
      <c r="E578" s="2189"/>
      <c r="F578" s="2192"/>
      <c r="G578" s="2192"/>
      <c r="H578" s="2192"/>
      <c r="I578" s="2192"/>
      <c r="J578" s="2192"/>
      <c r="K578" s="2192"/>
      <c r="L578" s="2192"/>
      <c r="M578" s="2192"/>
      <c r="N578" s="2192"/>
      <c r="O578" s="2192"/>
      <c r="P578" s="2192"/>
      <c r="Q578" s="2192"/>
      <c r="R578" s="2192"/>
      <c r="S578" s="2192"/>
      <c r="T578" s="2192"/>
      <c r="U578" s="2179"/>
      <c r="V578" s="2182"/>
    </row>
    <row r="579" spans="1:22">
      <c r="A579" s="2164"/>
      <c r="B579" s="2167"/>
      <c r="C579" s="2174"/>
      <c r="D579" s="1237" t="s">
        <v>1217</v>
      </c>
      <c r="E579" s="2190"/>
      <c r="F579" s="2193"/>
      <c r="G579" s="2193"/>
      <c r="H579" s="2193"/>
      <c r="I579" s="2193"/>
      <c r="J579" s="2193"/>
      <c r="K579" s="2193"/>
      <c r="L579" s="2193"/>
      <c r="M579" s="2193"/>
      <c r="N579" s="2193"/>
      <c r="O579" s="2193"/>
      <c r="P579" s="2193"/>
      <c r="Q579" s="2193"/>
      <c r="R579" s="2193"/>
      <c r="S579" s="2193"/>
      <c r="T579" s="2193"/>
      <c r="U579" s="2179"/>
      <c r="V579" s="2416"/>
    </row>
    <row r="580" spans="1:22">
      <c r="A580" s="2164"/>
      <c r="B580" s="2175" t="s">
        <v>1209</v>
      </c>
      <c r="C580" s="2168" t="s">
        <v>1212</v>
      </c>
      <c r="D580" s="1235" t="s">
        <v>1213</v>
      </c>
      <c r="E580" s="2188"/>
      <c r="F580" s="2191"/>
      <c r="G580" s="2191"/>
      <c r="H580" s="2191"/>
      <c r="I580" s="2191"/>
      <c r="J580" s="2191"/>
      <c r="K580" s="2191"/>
      <c r="L580" s="2191"/>
      <c r="M580" s="2191"/>
      <c r="N580" s="2191"/>
      <c r="O580" s="2191"/>
      <c r="P580" s="2191"/>
      <c r="Q580" s="2191"/>
      <c r="R580" s="2191"/>
      <c r="S580" s="2191"/>
      <c r="T580" s="2191"/>
      <c r="U580" s="2417"/>
      <c r="V580" s="2194"/>
    </row>
    <row r="581" spans="1:22">
      <c r="A581" s="2164"/>
      <c r="B581" s="2167"/>
      <c r="C581" s="2169"/>
      <c r="D581" s="1236" t="s">
        <v>1214</v>
      </c>
      <c r="E581" s="2189"/>
      <c r="F581" s="2192"/>
      <c r="G581" s="2192"/>
      <c r="H581" s="2192"/>
      <c r="I581" s="2192"/>
      <c r="J581" s="2192"/>
      <c r="K581" s="2192"/>
      <c r="L581" s="2192"/>
      <c r="M581" s="2192"/>
      <c r="N581" s="2192"/>
      <c r="O581" s="2192"/>
      <c r="P581" s="2192"/>
      <c r="Q581" s="2192"/>
      <c r="R581" s="2192"/>
      <c r="S581" s="2192"/>
      <c r="T581" s="2192"/>
      <c r="U581" s="2418"/>
      <c r="V581" s="2195"/>
    </row>
    <row r="582" spans="1:22">
      <c r="A582" s="2164"/>
      <c r="B582" s="2167"/>
      <c r="C582" s="2173" t="s">
        <v>1215</v>
      </c>
      <c r="D582" s="1236" t="s">
        <v>1216</v>
      </c>
      <c r="E582" s="2189"/>
      <c r="F582" s="2192"/>
      <c r="G582" s="2192"/>
      <c r="H582" s="2192"/>
      <c r="I582" s="2192"/>
      <c r="J582" s="2192"/>
      <c r="K582" s="2192"/>
      <c r="L582" s="2192"/>
      <c r="M582" s="2192"/>
      <c r="N582" s="2192"/>
      <c r="O582" s="2192"/>
      <c r="P582" s="2192"/>
      <c r="Q582" s="2192"/>
      <c r="R582" s="2192"/>
      <c r="S582" s="2192"/>
      <c r="T582" s="2192"/>
      <c r="U582" s="2418"/>
      <c r="V582" s="2195"/>
    </row>
    <row r="583" spans="1:22">
      <c r="A583" s="2165"/>
      <c r="B583" s="2167"/>
      <c r="C583" s="2174"/>
      <c r="D583" s="1237" t="s">
        <v>1217</v>
      </c>
      <c r="E583" s="2190"/>
      <c r="F583" s="2193"/>
      <c r="G583" s="2193"/>
      <c r="H583" s="2193"/>
      <c r="I583" s="2193"/>
      <c r="J583" s="2193"/>
      <c r="K583" s="2193"/>
      <c r="L583" s="2193"/>
      <c r="M583" s="2193"/>
      <c r="N583" s="2193"/>
      <c r="O583" s="2193"/>
      <c r="P583" s="2193"/>
      <c r="Q583" s="2193"/>
      <c r="R583" s="2193"/>
      <c r="S583" s="2193"/>
      <c r="T583" s="2193"/>
      <c r="U583" s="2419"/>
      <c r="V583" s="2196"/>
    </row>
  </sheetData>
  <sheetProtection algorithmName="SHA-512" hashValue="zl3oS+645iRPDvEL6S4xD1IU5aLajRKiXpmKV/wwg7QvTUo2t8I8t2+c+qa5P0p2EVRbfzyLOzy7YAOBAQ1nUQ==" saltValue="7YHpGEESJaTeZgKHekQVvQ==" spinCount="100000" sheet="1" objects="1" scenarios="1"/>
  <mergeCells count="3055">
    <mergeCell ref="C582:C583"/>
    <mergeCell ref="Q580:Q583"/>
    <mergeCell ref="R580:R583"/>
    <mergeCell ref="S580:S583"/>
    <mergeCell ref="T580:T583"/>
    <mergeCell ref="U580:U583"/>
    <mergeCell ref="V580:V583"/>
    <mergeCell ref="K580:K583"/>
    <mergeCell ref="L580:L583"/>
    <mergeCell ref="M580:M583"/>
    <mergeCell ref="N580:N583"/>
    <mergeCell ref="O580:O583"/>
    <mergeCell ref="P580:P583"/>
    <mergeCell ref="V576:V579"/>
    <mergeCell ref="C578:C579"/>
    <mergeCell ref="B580:B583"/>
    <mergeCell ref="C580:C581"/>
    <mergeCell ref="E580:E583"/>
    <mergeCell ref="F580:F583"/>
    <mergeCell ref="G580:G583"/>
    <mergeCell ref="H580:H583"/>
    <mergeCell ref="I580:I583"/>
    <mergeCell ref="J580:J583"/>
    <mergeCell ref="P576:P579"/>
    <mergeCell ref="Q576:Q579"/>
    <mergeCell ref="R576:R579"/>
    <mergeCell ref="S576:S579"/>
    <mergeCell ref="T576:T579"/>
    <mergeCell ref="U576:U579"/>
    <mergeCell ref="J576:J579"/>
    <mergeCell ref="K576:K579"/>
    <mergeCell ref="L576:L579"/>
    <mergeCell ref="M576:M579"/>
    <mergeCell ref="N576:N579"/>
    <mergeCell ref="O576:O579"/>
    <mergeCell ref="U572:U575"/>
    <mergeCell ref="V572:V575"/>
    <mergeCell ref="C574:C575"/>
    <mergeCell ref="B576:B579"/>
    <mergeCell ref="C576:C577"/>
    <mergeCell ref="E576:E579"/>
    <mergeCell ref="F576:F579"/>
    <mergeCell ref="G576:G579"/>
    <mergeCell ref="H576:H579"/>
    <mergeCell ref="I576:I579"/>
    <mergeCell ref="O572:O575"/>
    <mergeCell ref="P572:P575"/>
    <mergeCell ref="Q572:Q575"/>
    <mergeCell ref="R572:R575"/>
    <mergeCell ref="S572:S575"/>
    <mergeCell ref="T572:T575"/>
    <mergeCell ref="I572:I575"/>
    <mergeCell ref="J572:J575"/>
    <mergeCell ref="K572:K575"/>
    <mergeCell ref="L572:L575"/>
    <mergeCell ref="M572:M575"/>
    <mergeCell ref="N572:N575"/>
    <mergeCell ref="B572:B575"/>
    <mergeCell ref="C572:C573"/>
    <mergeCell ref="E572:E575"/>
    <mergeCell ref="F572:F575"/>
    <mergeCell ref="G572:G575"/>
    <mergeCell ref="H572:H575"/>
    <mergeCell ref="T568:T571"/>
    <mergeCell ref="U568:U571"/>
    <mergeCell ref="V568:V571"/>
    <mergeCell ref="C570:C571"/>
    <mergeCell ref="B564:B567"/>
    <mergeCell ref="C564:C565"/>
    <mergeCell ref="E564:E567"/>
    <mergeCell ref="F564:F567"/>
    <mergeCell ref="G564:G567"/>
    <mergeCell ref="H564:H567"/>
    <mergeCell ref="I564:I567"/>
    <mergeCell ref="J564:J567"/>
    <mergeCell ref="N568:N571"/>
    <mergeCell ref="O568:O571"/>
    <mergeCell ref="P568:P571"/>
    <mergeCell ref="Q568:Q571"/>
    <mergeCell ref="R568:R571"/>
    <mergeCell ref="S568:S571"/>
    <mergeCell ref="H568:H571"/>
    <mergeCell ref="I568:I571"/>
    <mergeCell ref="J568:J571"/>
    <mergeCell ref="K568:K571"/>
    <mergeCell ref="L568:L571"/>
    <mergeCell ref="M568:M571"/>
    <mergeCell ref="B568:B571"/>
    <mergeCell ref="C568:C569"/>
    <mergeCell ref="E568:E571"/>
    <mergeCell ref="F568:F571"/>
    <mergeCell ref="G568:G571"/>
    <mergeCell ref="C566:C567"/>
    <mergeCell ref="Q564:Q567"/>
    <mergeCell ref="R564:R567"/>
    <mergeCell ref="U556:U559"/>
    <mergeCell ref="V556:V559"/>
    <mergeCell ref="C558:C559"/>
    <mergeCell ref="B560:B563"/>
    <mergeCell ref="C560:C561"/>
    <mergeCell ref="E560:E563"/>
    <mergeCell ref="F560:F563"/>
    <mergeCell ref="G560:G563"/>
    <mergeCell ref="H560:H563"/>
    <mergeCell ref="I560:I563"/>
    <mergeCell ref="O556:O559"/>
    <mergeCell ref="P556:P559"/>
    <mergeCell ref="Q556:Q559"/>
    <mergeCell ref="R556:R559"/>
    <mergeCell ref="S556:S559"/>
    <mergeCell ref="T556:T559"/>
    <mergeCell ref="I556:I559"/>
    <mergeCell ref="J556:J559"/>
    <mergeCell ref="K556:K559"/>
    <mergeCell ref="S564:S567"/>
    <mergeCell ref="T564:T567"/>
    <mergeCell ref="U564:U567"/>
    <mergeCell ref="V564:V567"/>
    <mergeCell ref="K564:K567"/>
    <mergeCell ref="L564:L567"/>
    <mergeCell ref="M564:M567"/>
    <mergeCell ref="N564:N567"/>
    <mergeCell ref="O564:O567"/>
    <mergeCell ref="P564:P567"/>
    <mergeCell ref="K552:K555"/>
    <mergeCell ref="L552:L555"/>
    <mergeCell ref="M552:M555"/>
    <mergeCell ref="B552:B555"/>
    <mergeCell ref="C552:C553"/>
    <mergeCell ref="E552:E555"/>
    <mergeCell ref="F552:F555"/>
    <mergeCell ref="G552:G555"/>
    <mergeCell ref="P560:P563"/>
    <mergeCell ref="Q560:Q563"/>
    <mergeCell ref="R560:R563"/>
    <mergeCell ref="S560:S563"/>
    <mergeCell ref="T560:T563"/>
    <mergeCell ref="U560:U563"/>
    <mergeCell ref="J560:J563"/>
    <mergeCell ref="K560:K563"/>
    <mergeCell ref="L560:L563"/>
    <mergeCell ref="M560:M563"/>
    <mergeCell ref="N560:N563"/>
    <mergeCell ref="O560:O563"/>
    <mergeCell ref="T552:T555"/>
    <mergeCell ref="U552:U555"/>
    <mergeCell ref="V552:V555"/>
    <mergeCell ref="C554:C555"/>
    <mergeCell ref="B548:B551"/>
    <mergeCell ref="C548:C549"/>
    <mergeCell ref="E548:E551"/>
    <mergeCell ref="F548:F551"/>
    <mergeCell ref="G548:G551"/>
    <mergeCell ref="H548:H551"/>
    <mergeCell ref="I548:I551"/>
    <mergeCell ref="J548:J551"/>
    <mergeCell ref="L556:L559"/>
    <mergeCell ref="M556:M559"/>
    <mergeCell ref="N556:N559"/>
    <mergeCell ref="V560:V563"/>
    <mergeCell ref="C562:C563"/>
    <mergeCell ref="B556:B559"/>
    <mergeCell ref="C556:C557"/>
    <mergeCell ref="E556:E559"/>
    <mergeCell ref="F556:F559"/>
    <mergeCell ref="G556:G559"/>
    <mergeCell ref="H556:H559"/>
    <mergeCell ref="N552:N555"/>
    <mergeCell ref="O552:O555"/>
    <mergeCell ref="P552:P555"/>
    <mergeCell ref="Q552:Q555"/>
    <mergeCell ref="R552:R555"/>
    <mergeCell ref="S552:S555"/>
    <mergeCell ref="H552:H555"/>
    <mergeCell ref="I552:I555"/>
    <mergeCell ref="J552:J555"/>
    <mergeCell ref="C550:C551"/>
    <mergeCell ref="Q548:Q551"/>
    <mergeCell ref="T548:T551"/>
    <mergeCell ref="U548:U551"/>
    <mergeCell ref="V548:V551"/>
    <mergeCell ref="K548:K551"/>
    <mergeCell ref="L548:L551"/>
    <mergeCell ref="M548:M551"/>
    <mergeCell ref="N548:N551"/>
    <mergeCell ref="O548:O551"/>
    <mergeCell ref="P548:P551"/>
    <mergeCell ref="B540:B543"/>
    <mergeCell ref="C540:C541"/>
    <mergeCell ref="E540:E543"/>
    <mergeCell ref="F540:F543"/>
    <mergeCell ref="G540:G543"/>
    <mergeCell ref="H540:H543"/>
    <mergeCell ref="U540:U543"/>
    <mergeCell ref="V540:V543"/>
    <mergeCell ref="C542:C543"/>
    <mergeCell ref="B544:B547"/>
    <mergeCell ref="C544:C545"/>
    <mergeCell ref="E544:E547"/>
    <mergeCell ref="F544:F547"/>
    <mergeCell ref="G544:G547"/>
    <mergeCell ref="H544:H547"/>
    <mergeCell ref="I544:I547"/>
    <mergeCell ref="O540:O543"/>
    <mergeCell ref="P540:P543"/>
    <mergeCell ref="Q540:Q543"/>
    <mergeCell ref="R540:R543"/>
    <mergeCell ref="S540:S543"/>
    <mergeCell ref="T540:T543"/>
    <mergeCell ref="I540:I543"/>
    <mergeCell ref="P536:P539"/>
    <mergeCell ref="Q536:Q539"/>
    <mergeCell ref="R536:R539"/>
    <mergeCell ref="S536:S539"/>
    <mergeCell ref="H536:H539"/>
    <mergeCell ref="I536:I539"/>
    <mergeCell ref="J536:J539"/>
    <mergeCell ref="K536:K539"/>
    <mergeCell ref="L536:L539"/>
    <mergeCell ref="M536:M539"/>
    <mergeCell ref="B536:B539"/>
    <mergeCell ref="C536:C537"/>
    <mergeCell ref="E536:E539"/>
    <mergeCell ref="F536:F539"/>
    <mergeCell ref="G536:G539"/>
    <mergeCell ref="R548:R551"/>
    <mergeCell ref="S548:S551"/>
    <mergeCell ref="J540:J543"/>
    <mergeCell ref="K540:K543"/>
    <mergeCell ref="V532:V535"/>
    <mergeCell ref="K532:K535"/>
    <mergeCell ref="L532:L535"/>
    <mergeCell ref="M532:M535"/>
    <mergeCell ref="N532:N535"/>
    <mergeCell ref="O532:O535"/>
    <mergeCell ref="P532:P535"/>
    <mergeCell ref="T536:T539"/>
    <mergeCell ref="U536:U539"/>
    <mergeCell ref="V536:V539"/>
    <mergeCell ref="C538:C539"/>
    <mergeCell ref="V528:V531"/>
    <mergeCell ref="C530:C531"/>
    <mergeCell ref="L540:L543"/>
    <mergeCell ref="M540:M543"/>
    <mergeCell ref="N540:N543"/>
    <mergeCell ref="V544:V547"/>
    <mergeCell ref="C546:C547"/>
    <mergeCell ref="P544:P547"/>
    <mergeCell ref="Q544:Q547"/>
    <mergeCell ref="R544:R547"/>
    <mergeCell ref="S544:S547"/>
    <mergeCell ref="T544:T547"/>
    <mergeCell ref="U544:U547"/>
    <mergeCell ref="J544:J547"/>
    <mergeCell ref="K544:K547"/>
    <mergeCell ref="L544:L547"/>
    <mergeCell ref="M544:M547"/>
    <mergeCell ref="N544:N547"/>
    <mergeCell ref="O544:O547"/>
    <mergeCell ref="N536:N539"/>
    <mergeCell ref="O536:O539"/>
    <mergeCell ref="B532:B535"/>
    <mergeCell ref="C532:C533"/>
    <mergeCell ref="E532:E535"/>
    <mergeCell ref="F532:F535"/>
    <mergeCell ref="G532:G535"/>
    <mergeCell ref="H532:H535"/>
    <mergeCell ref="I532:I535"/>
    <mergeCell ref="J532:J535"/>
    <mergeCell ref="P528:P531"/>
    <mergeCell ref="Q528:Q531"/>
    <mergeCell ref="R528:R531"/>
    <mergeCell ref="S528:S531"/>
    <mergeCell ref="T528:T531"/>
    <mergeCell ref="U528:U531"/>
    <mergeCell ref="J528:J531"/>
    <mergeCell ref="K528:K531"/>
    <mergeCell ref="L528:L531"/>
    <mergeCell ref="M528:M531"/>
    <mergeCell ref="N528:N531"/>
    <mergeCell ref="O528:O531"/>
    <mergeCell ref="C534:C535"/>
    <mergeCell ref="E528:E531"/>
    <mergeCell ref="F528:F531"/>
    <mergeCell ref="G528:G531"/>
    <mergeCell ref="H528:H531"/>
    <mergeCell ref="I528:I531"/>
    <mergeCell ref="Q532:Q535"/>
    <mergeCell ref="R532:R535"/>
    <mergeCell ref="S532:S535"/>
    <mergeCell ref="T532:T535"/>
    <mergeCell ref="U532:U535"/>
    <mergeCell ref="O524:O527"/>
    <mergeCell ref="P524:P527"/>
    <mergeCell ref="Q524:Q527"/>
    <mergeCell ref="R524:R527"/>
    <mergeCell ref="S524:S527"/>
    <mergeCell ref="T524:T527"/>
    <mergeCell ref="I524:I527"/>
    <mergeCell ref="J524:J527"/>
    <mergeCell ref="K524:K527"/>
    <mergeCell ref="L524:L527"/>
    <mergeCell ref="M524:M527"/>
    <mergeCell ref="N524:N527"/>
    <mergeCell ref="V520:V523"/>
    <mergeCell ref="C522:C523"/>
    <mergeCell ref="B524:B527"/>
    <mergeCell ref="C524:C525"/>
    <mergeCell ref="E524:E527"/>
    <mergeCell ref="F524:F527"/>
    <mergeCell ref="G524:G527"/>
    <mergeCell ref="H524:H527"/>
    <mergeCell ref="N520:N523"/>
    <mergeCell ref="O520:O523"/>
    <mergeCell ref="P520:P523"/>
    <mergeCell ref="Q520:Q523"/>
    <mergeCell ref="R520:R523"/>
    <mergeCell ref="S520:S523"/>
    <mergeCell ref="H520:H523"/>
    <mergeCell ref="I520:I523"/>
    <mergeCell ref="J520:J523"/>
    <mergeCell ref="K520:K523"/>
    <mergeCell ref="L520:L523"/>
    <mergeCell ref="M520:M523"/>
    <mergeCell ref="U524:U527"/>
    <mergeCell ref="V524:V527"/>
    <mergeCell ref="C526:C527"/>
    <mergeCell ref="V512:V515"/>
    <mergeCell ref="C514:C515"/>
    <mergeCell ref="B516:B519"/>
    <mergeCell ref="C516:C517"/>
    <mergeCell ref="E516:E519"/>
    <mergeCell ref="F516:F519"/>
    <mergeCell ref="G516:G519"/>
    <mergeCell ref="H516:H519"/>
    <mergeCell ref="I516:I519"/>
    <mergeCell ref="J516:J519"/>
    <mergeCell ref="P512:P515"/>
    <mergeCell ref="Q512:Q515"/>
    <mergeCell ref="R512:R515"/>
    <mergeCell ref="S512:S515"/>
    <mergeCell ref="T512:T515"/>
    <mergeCell ref="U512:U515"/>
    <mergeCell ref="J512:J515"/>
    <mergeCell ref="K512:K515"/>
    <mergeCell ref="L512:L515"/>
    <mergeCell ref="M512:M515"/>
    <mergeCell ref="N512:N515"/>
    <mergeCell ref="O512:O515"/>
    <mergeCell ref="C518:C519"/>
    <mergeCell ref="Q516:Q519"/>
    <mergeCell ref="R516:R519"/>
    <mergeCell ref="S516:S519"/>
    <mergeCell ref="T516:T519"/>
    <mergeCell ref="U516:U519"/>
    <mergeCell ref="V516:V519"/>
    <mergeCell ref="K516:K519"/>
    <mergeCell ref="L516:L519"/>
    <mergeCell ref="M516:M519"/>
    <mergeCell ref="A512:A583"/>
    <mergeCell ref="B512:B515"/>
    <mergeCell ref="C512:C513"/>
    <mergeCell ref="E512:E515"/>
    <mergeCell ref="F512:F515"/>
    <mergeCell ref="G512:G515"/>
    <mergeCell ref="H512:H515"/>
    <mergeCell ref="I512:I515"/>
    <mergeCell ref="P508:P511"/>
    <mergeCell ref="Q508:Q511"/>
    <mergeCell ref="R508:R511"/>
    <mergeCell ref="S508:S511"/>
    <mergeCell ref="T508:T511"/>
    <mergeCell ref="U508:U511"/>
    <mergeCell ref="J508:J511"/>
    <mergeCell ref="K508:K511"/>
    <mergeCell ref="L508:L511"/>
    <mergeCell ref="M508:M511"/>
    <mergeCell ref="N508:N511"/>
    <mergeCell ref="O508:O511"/>
    <mergeCell ref="B520:B523"/>
    <mergeCell ref="C520:C521"/>
    <mergeCell ref="E520:E523"/>
    <mergeCell ref="F520:F523"/>
    <mergeCell ref="G520:G523"/>
    <mergeCell ref="N516:N519"/>
    <mergeCell ref="O516:O519"/>
    <mergeCell ref="P516:P519"/>
    <mergeCell ref="T520:T523"/>
    <mergeCell ref="U520:U523"/>
    <mergeCell ref="B528:B531"/>
    <mergeCell ref="C528:C529"/>
    <mergeCell ref="U504:U507"/>
    <mergeCell ref="V504:V507"/>
    <mergeCell ref="C506:C507"/>
    <mergeCell ref="B508:B511"/>
    <mergeCell ref="C508:C509"/>
    <mergeCell ref="E508:E511"/>
    <mergeCell ref="F508:F511"/>
    <mergeCell ref="G508:G511"/>
    <mergeCell ref="H508:H511"/>
    <mergeCell ref="I508:I511"/>
    <mergeCell ref="O504:O507"/>
    <mergeCell ref="P504:P507"/>
    <mergeCell ref="Q504:Q507"/>
    <mergeCell ref="R504:R507"/>
    <mergeCell ref="S504:S507"/>
    <mergeCell ref="T504:T507"/>
    <mergeCell ref="I504:I507"/>
    <mergeCell ref="J504:J507"/>
    <mergeCell ref="K504:K507"/>
    <mergeCell ref="L504:L507"/>
    <mergeCell ref="M504:M507"/>
    <mergeCell ref="N504:N507"/>
    <mergeCell ref="V508:V511"/>
    <mergeCell ref="C510:C511"/>
    <mergeCell ref="B504:B507"/>
    <mergeCell ref="C504:C505"/>
    <mergeCell ref="E504:E507"/>
    <mergeCell ref="F504:F507"/>
    <mergeCell ref="G504:G507"/>
    <mergeCell ref="H504:H507"/>
    <mergeCell ref="N500:N503"/>
    <mergeCell ref="O500:O503"/>
    <mergeCell ref="P500:P503"/>
    <mergeCell ref="Q500:Q503"/>
    <mergeCell ref="R500:R503"/>
    <mergeCell ref="S500:S503"/>
    <mergeCell ref="H500:H503"/>
    <mergeCell ref="I500:I503"/>
    <mergeCell ref="J500:J503"/>
    <mergeCell ref="K500:K503"/>
    <mergeCell ref="L500:L503"/>
    <mergeCell ref="M500:M503"/>
    <mergeCell ref="B500:B503"/>
    <mergeCell ref="C500:C501"/>
    <mergeCell ref="E500:E503"/>
    <mergeCell ref="F500:F503"/>
    <mergeCell ref="G500:G503"/>
    <mergeCell ref="U496:U499"/>
    <mergeCell ref="V496:V499"/>
    <mergeCell ref="K496:K499"/>
    <mergeCell ref="L496:L499"/>
    <mergeCell ref="M496:M499"/>
    <mergeCell ref="N496:N499"/>
    <mergeCell ref="O496:O499"/>
    <mergeCell ref="P496:P499"/>
    <mergeCell ref="T500:T503"/>
    <mergeCell ref="U500:U503"/>
    <mergeCell ref="V500:V503"/>
    <mergeCell ref="C502:C503"/>
    <mergeCell ref="B496:B499"/>
    <mergeCell ref="C496:C497"/>
    <mergeCell ref="E496:E499"/>
    <mergeCell ref="F496:F499"/>
    <mergeCell ref="G496:G499"/>
    <mergeCell ref="H496:H499"/>
    <mergeCell ref="I496:I499"/>
    <mergeCell ref="J496:J499"/>
    <mergeCell ref="T492:T495"/>
    <mergeCell ref="U492:U495"/>
    <mergeCell ref="J492:J495"/>
    <mergeCell ref="K492:K495"/>
    <mergeCell ref="L492:L495"/>
    <mergeCell ref="M492:M495"/>
    <mergeCell ref="N492:N495"/>
    <mergeCell ref="O492:O495"/>
    <mergeCell ref="C498:C499"/>
    <mergeCell ref="U488:U491"/>
    <mergeCell ref="V488:V491"/>
    <mergeCell ref="C490:C491"/>
    <mergeCell ref="B492:B495"/>
    <mergeCell ref="C492:C493"/>
    <mergeCell ref="E492:E495"/>
    <mergeCell ref="F492:F495"/>
    <mergeCell ref="G492:G495"/>
    <mergeCell ref="H492:H495"/>
    <mergeCell ref="I492:I495"/>
    <mergeCell ref="O488:O491"/>
    <mergeCell ref="P488:P491"/>
    <mergeCell ref="Q488:Q491"/>
    <mergeCell ref="R488:R491"/>
    <mergeCell ref="S488:S491"/>
    <mergeCell ref="T488:T491"/>
    <mergeCell ref="I488:I491"/>
    <mergeCell ref="J488:J491"/>
    <mergeCell ref="K488:K491"/>
    <mergeCell ref="Q496:Q499"/>
    <mergeCell ref="R496:R499"/>
    <mergeCell ref="S496:S499"/>
    <mergeCell ref="T496:T499"/>
    <mergeCell ref="L488:L491"/>
    <mergeCell ref="M488:M491"/>
    <mergeCell ref="N488:N491"/>
    <mergeCell ref="V492:V495"/>
    <mergeCell ref="C494:C495"/>
    <mergeCell ref="B488:B491"/>
    <mergeCell ref="C488:C489"/>
    <mergeCell ref="E488:E491"/>
    <mergeCell ref="F488:F491"/>
    <mergeCell ref="G488:G491"/>
    <mergeCell ref="H488:H491"/>
    <mergeCell ref="N484:N487"/>
    <mergeCell ref="O484:O487"/>
    <mergeCell ref="P484:P487"/>
    <mergeCell ref="Q484:Q487"/>
    <mergeCell ref="R484:R487"/>
    <mergeCell ref="S484:S487"/>
    <mergeCell ref="H484:H487"/>
    <mergeCell ref="I484:I487"/>
    <mergeCell ref="J484:J487"/>
    <mergeCell ref="K484:K487"/>
    <mergeCell ref="L484:L487"/>
    <mergeCell ref="M484:M487"/>
    <mergeCell ref="B484:B487"/>
    <mergeCell ref="C484:C485"/>
    <mergeCell ref="E484:E487"/>
    <mergeCell ref="F484:F487"/>
    <mergeCell ref="G484:G487"/>
    <mergeCell ref="P492:P495"/>
    <mergeCell ref="Q492:Q495"/>
    <mergeCell ref="R492:R495"/>
    <mergeCell ref="S492:S495"/>
    <mergeCell ref="L480:L483"/>
    <mergeCell ref="M480:M483"/>
    <mergeCell ref="N480:N483"/>
    <mergeCell ref="O480:O483"/>
    <mergeCell ref="P480:P483"/>
    <mergeCell ref="T484:T487"/>
    <mergeCell ref="U484:U487"/>
    <mergeCell ref="V484:V487"/>
    <mergeCell ref="C486:C487"/>
    <mergeCell ref="B480:B483"/>
    <mergeCell ref="C480:C481"/>
    <mergeCell ref="E480:E483"/>
    <mergeCell ref="F480:F483"/>
    <mergeCell ref="G480:G483"/>
    <mergeCell ref="H480:H483"/>
    <mergeCell ref="I480:I483"/>
    <mergeCell ref="J480:J483"/>
    <mergeCell ref="K476:K479"/>
    <mergeCell ref="L476:L479"/>
    <mergeCell ref="M476:M479"/>
    <mergeCell ref="N476:N479"/>
    <mergeCell ref="O476:O479"/>
    <mergeCell ref="C482:C483"/>
    <mergeCell ref="U472:U475"/>
    <mergeCell ref="V472:V475"/>
    <mergeCell ref="C474:C475"/>
    <mergeCell ref="B476:B479"/>
    <mergeCell ref="C476:C477"/>
    <mergeCell ref="E476:E479"/>
    <mergeCell ref="F476:F479"/>
    <mergeCell ref="G476:G479"/>
    <mergeCell ref="H476:H479"/>
    <mergeCell ref="I476:I479"/>
    <mergeCell ref="O472:O475"/>
    <mergeCell ref="P472:P475"/>
    <mergeCell ref="Q472:Q475"/>
    <mergeCell ref="R472:R475"/>
    <mergeCell ref="S472:S475"/>
    <mergeCell ref="T472:T475"/>
    <mergeCell ref="I472:I475"/>
    <mergeCell ref="J472:J475"/>
    <mergeCell ref="K472:K475"/>
    <mergeCell ref="Q480:Q483"/>
    <mergeCell ref="R480:R483"/>
    <mergeCell ref="S480:S483"/>
    <mergeCell ref="T480:T483"/>
    <mergeCell ref="U480:U483"/>
    <mergeCell ref="V480:V483"/>
    <mergeCell ref="K480:K483"/>
    <mergeCell ref="V476:V479"/>
    <mergeCell ref="C478:C479"/>
    <mergeCell ref="B472:B475"/>
    <mergeCell ref="C472:C473"/>
    <mergeCell ref="E472:E475"/>
    <mergeCell ref="F472:F475"/>
    <mergeCell ref="G472:G475"/>
    <mergeCell ref="H472:H475"/>
    <mergeCell ref="N468:N471"/>
    <mergeCell ref="O468:O471"/>
    <mergeCell ref="P468:P471"/>
    <mergeCell ref="Q468:Q471"/>
    <mergeCell ref="R468:R471"/>
    <mergeCell ref="S468:S471"/>
    <mergeCell ref="H468:H471"/>
    <mergeCell ref="I468:I471"/>
    <mergeCell ref="J468:J471"/>
    <mergeCell ref="K468:K471"/>
    <mergeCell ref="L468:L471"/>
    <mergeCell ref="M468:M471"/>
    <mergeCell ref="B468:B471"/>
    <mergeCell ref="C468:C469"/>
    <mergeCell ref="E468:E471"/>
    <mergeCell ref="F468:F471"/>
    <mergeCell ref="G468:G471"/>
    <mergeCell ref="P476:P479"/>
    <mergeCell ref="Q476:Q479"/>
    <mergeCell ref="R476:R479"/>
    <mergeCell ref="S476:S479"/>
    <mergeCell ref="T476:T479"/>
    <mergeCell ref="U476:U479"/>
    <mergeCell ref="J476:J479"/>
    <mergeCell ref="N464:N467"/>
    <mergeCell ref="O464:O467"/>
    <mergeCell ref="P464:P467"/>
    <mergeCell ref="T468:T471"/>
    <mergeCell ref="U468:U471"/>
    <mergeCell ref="V468:V471"/>
    <mergeCell ref="C470:C471"/>
    <mergeCell ref="B464:B467"/>
    <mergeCell ref="C464:C465"/>
    <mergeCell ref="E464:E467"/>
    <mergeCell ref="F464:F467"/>
    <mergeCell ref="G464:G467"/>
    <mergeCell ref="H464:H467"/>
    <mergeCell ref="I464:I467"/>
    <mergeCell ref="J464:J467"/>
    <mergeCell ref="L472:L475"/>
    <mergeCell ref="M472:M475"/>
    <mergeCell ref="N472:N475"/>
    <mergeCell ref="M460:M463"/>
    <mergeCell ref="N460:N463"/>
    <mergeCell ref="O460:O463"/>
    <mergeCell ref="C466:C467"/>
    <mergeCell ref="U456:U459"/>
    <mergeCell ref="V456:V459"/>
    <mergeCell ref="C458:C459"/>
    <mergeCell ref="B460:B463"/>
    <mergeCell ref="C460:C461"/>
    <mergeCell ref="E460:E463"/>
    <mergeCell ref="F460:F463"/>
    <mergeCell ref="G460:G463"/>
    <mergeCell ref="H460:H463"/>
    <mergeCell ref="I460:I463"/>
    <mergeCell ref="O456:O459"/>
    <mergeCell ref="P456:P459"/>
    <mergeCell ref="Q456:Q459"/>
    <mergeCell ref="R456:R459"/>
    <mergeCell ref="S456:S459"/>
    <mergeCell ref="T456:T459"/>
    <mergeCell ref="I456:I459"/>
    <mergeCell ref="J456:J459"/>
    <mergeCell ref="K456:K459"/>
    <mergeCell ref="Q464:Q467"/>
    <mergeCell ref="R464:R467"/>
    <mergeCell ref="S464:S467"/>
    <mergeCell ref="T464:T467"/>
    <mergeCell ref="U464:U467"/>
    <mergeCell ref="V464:V467"/>
    <mergeCell ref="K464:K467"/>
    <mergeCell ref="L464:L467"/>
    <mergeCell ref="M464:M467"/>
    <mergeCell ref="L456:L459"/>
    <mergeCell ref="M456:M459"/>
    <mergeCell ref="N456:N459"/>
    <mergeCell ref="V460:V463"/>
    <mergeCell ref="C462:C463"/>
    <mergeCell ref="B456:B459"/>
    <mergeCell ref="C456:C457"/>
    <mergeCell ref="E456:E459"/>
    <mergeCell ref="F456:F459"/>
    <mergeCell ref="G456:G459"/>
    <mergeCell ref="H456:H459"/>
    <mergeCell ref="N452:N455"/>
    <mergeCell ref="O452:O455"/>
    <mergeCell ref="P452:P455"/>
    <mergeCell ref="Q452:Q455"/>
    <mergeCell ref="R452:R455"/>
    <mergeCell ref="S452:S455"/>
    <mergeCell ref="H452:H455"/>
    <mergeCell ref="I452:I455"/>
    <mergeCell ref="J452:J455"/>
    <mergeCell ref="K452:K455"/>
    <mergeCell ref="L452:L455"/>
    <mergeCell ref="M452:M455"/>
    <mergeCell ref="P460:P463"/>
    <mergeCell ref="Q460:Q463"/>
    <mergeCell ref="R460:R463"/>
    <mergeCell ref="S460:S463"/>
    <mergeCell ref="T460:T463"/>
    <mergeCell ref="U460:U463"/>
    <mergeCell ref="J460:J463"/>
    <mergeCell ref="K460:K463"/>
    <mergeCell ref="L460:L463"/>
    <mergeCell ref="B452:B455"/>
    <mergeCell ref="C452:C453"/>
    <mergeCell ref="E452:E455"/>
    <mergeCell ref="F452:F455"/>
    <mergeCell ref="G452:G455"/>
    <mergeCell ref="Q448:Q451"/>
    <mergeCell ref="R448:R451"/>
    <mergeCell ref="S448:S451"/>
    <mergeCell ref="T448:T451"/>
    <mergeCell ref="U448:U451"/>
    <mergeCell ref="V448:V451"/>
    <mergeCell ref="K448:K451"/>
    <mergeCell ref="L448:L451"/>
    <mergeCell ref="M448:M451"/>
    <mergeCell ref="N448:N451"/>
    <mergeCell ref="O448:O451"/>
    <mergeCell ref="P448:P451"/>
    <mergeCell ref="T452:T455"/>
    <mergeCell ref="U452:U455"/>
    <mergeCell ref="V452:V455"/>
    <mergeCell ref="C454:C455"/>
    <mergeCell ref="B448:B451"/>
    <mergeCell ref="C448:C449"/>
    <mergeCell ref="E448:E451"/>
    <mergeCell ref="F448:F451"/>
    <mergeCell ref="G448:G451"/>
    <mergeCell ref="H448:H451"/>
    <mergeCell ref="I448:I451"/>
    <mergeCell ref="J448:J451"/>
    <mergeCell ref="P444:P447"/>
    <mergeCell ref="Q444:Q447"/>
    <mergeCell ref="R444:R447"/>
    <mergeCell ref="S444:S447"/>
    <mergeCell ref="T444:T447"/>
    <mergeCell ref="U444:U447"/>
    <mergeCell ref="J444:J447"/>
    <mergeCell ref="K444:K447"/>
    <mergeCell ref="L444:L447"/>
    <mergeCell ref="M444:M447"/>
    <mergeCell ref="N444:N447"/>
    <mergeCell ref="O444:O447"/>
    <mergeCell ref="C450:C451"/>
    <mergeCell ref="G444:G447"/>
    <mergeCell ref="H444:H447"/>
    <mergeCell ref="I444:I447"/>
    <mergeCell ref="O440:O443"/>
    <mergeCell ref="P440:P443"/>
    <mergeCell ref="Q440:Q443"/>
    <mergeCell ref="R440:R443"/>
    <mergeCell ref="S440:S443"/>
    <mergeCell ref="T440:T443"/>
    <mergeCell ref="I440:I443"/>
    <mergeCell ref="J440:J443"/>
    <mergeCell ref="K440:K443"/>
    <mergeCell ref="L440:L443"/>
    <mergeCell ref="M440:M443"/>
    <mergeCell ref="N440:N443"/>
    <mergeCell ref="E444:E447"/>
    <mergeCell ref="F444:F447"/>
    <mergeCell ref="V444:V447"/>
    <mergeCell ref="C446:C447"/>
    <mergeCell ref="E432:E435"/>
    <mergeCell ref="F432:F435"/>
    <mergeCell ref="G432:G435"/>
    <mergeCell ref="U436:U439"/>
    <mergeCell ref="V436:V439"/>
    <mergeCell ref="C438:C439"/>
    <mergeCell ref="A440:A511"/>
    <mergeCell ref="B440:B443"/>
    <mergeCell ref="C440:C441"/>
    <mergeCell ref="E440:E443"/>
    <mergeCell ref="F440:F443"/>
    <mergeCell ref="G440:G443"/>
    <mergeCell ref="H440:H443"/>
    <mergeCell ref="O436:O439"/>
    <mergeCell ref="P436:P439"/>
    <mergeCell ref="Q436:Q439"/>
    <mergeCell ref="R436:R439"/>
    <mergeCell ref="S436:S439"/>
    <mergeCell ref="T436:T439"/>
    <mergeCell ref="I436:I439"/>
    <mergeCell ref="J436:J439"/>
    <mergeCell ref="K436:K439"/>
    <mergeCell ref="L436:L439"/>
    <mergeCell ref="M436:M439"/>
    <mergeCell ref="N436:N439"/>
    <mergeCell ref="U440:U443"/>
    <mergeCell ref="V440:V443"/>
    <mergeCell ref="C442:C443"/>
    <mergeCell ref="B444:B447"/>
    <mergeCell ref="C444:C445"/>
    <mergeCell ref="T432:T435"/>
    <mergeCell ref="U432:U435"/>
    <mergeCell ref="V432:V435"/>
    <mergeCell ref="C434:C435"/>
    <mergeCell ref="B428:B431"/>
    <mergeCell ref="C428:C429"/>
    <mergeCell ref="E428:E431"/>
    <mergeCell ref="F428:F431"/>
    <mergeCell ref="G428:G431"/>
    <mergeCell ref="H428:H431"/>
    <mergeCell ref="I428:I431"/>
    <mergeCell ref="J428:J431"/>
    <mergeCell ref="B436:B439"/>
    <mergeCell ref="C436:C437"/>
    <mergeCell ref="E436:E439"/>
    <mergeCell ref="F436:F439"/>
    <mergeCell ref="G436:G439"/>
    <mergeCell ref="H436:H439"/>
    <mergeCell ref="N432:N435"/>
    <mergeCell ref="O432:O435"/>
    <mergeCell ref="P432:P435"/>
    <mergeCell ref="Q432:Q435"/>
    <mergeCell ref="R432:R435"/>
    <mergeCell ref="S432:S435"/>
    <mergeCell ref="H432:H435"/>
    <mergeCell ref="I432:I435"/>
    <mergeCell ref="J432:J435"/>
    <mergeCell ref="K432:K435"/>
    <mergeCell ref="L432:L435"/>
    <mergeCell ref="M432:M435"/>
    <mergeCell ref="B432:B435"/>
    <mergeCell ref="C432:C433"/>
    <mergeCell ref="C430:C431"/>
    <mergeCell ref="U420:U423"/>
    <mergeCell ref="V420:V423"/>
    <mergeCell ref="C422:C423"/>
    <mergeCell ref="B424:B427"/>
    <mergeCell ref="C424:C425"/>
    <mergeCell ref="E424:E427"/>
    <mergeCell ref="F424:F427"/>
    <mergeCell ref="G424:G427"/>
    <mergeCell ref="H424:H427"/>
    <mergeCell ref="I424:I427"/>
    <mergeCell ref="O420:O423"/>
    <mergeCell ref="P420:P423"/>
    <mergeCell ref="Q420:Q423"/>
    <mergeCell ref="R420:R423"/>
    <mergeCell ref="S420:S423"/>
    <mergeCell ref="T420:T423"/>
    <mergeCell ref="I420:I423"/>
    <mergeCell ref="J420:J423"/>
    <mergeCell ref="K420:K423"/>
    <mergeCell ref="Q428:Q431"/>
    <mergeCell ref="R428:R431"/>
    <mergeCell ref="S428:S431"/>
    <mergeCell ref="T428:T431"/>
    <mergeCell ref="U428:U431"/>
    <mergeCell ref="V428:V431"/>
    <mergeCell ref="K428:K431"/>
    <mergeCell ref="L428:L431"/>
    <mergeCell ref="M428:M431"/>
    <mergeCell ref="N428:N431"/>
    <mergeCell ref="O428:O431"/>
    <mergeCell ref="P428:P431"/>
    <mergeCell ref="K416:K419"/>
    <mergeCell ref="L416:L419"/>
    <mergeCell ref="M416:M419"/>
    <mergeCell ref="B416:B419"/>
    <mergeCell ref="C416:C417"/>
    <mergeCell ref="E416:E419"/>
    <mergeCell ref="F416:F419"/>
    <mergeCell ref="G416:G419"/>
    <mergeCell ref="P424:P427"/>
    <mergeCell ref="Q424:Q427"/>
    <mergeCell ref="R424:R427"/>
    <mergeCell ref="S424:S427"/>
    <mergeCell ref="T424:T427"/>
    <mergeCell ref="U424:U427"/>
    <mergeCell ref="J424:J427"/>
    <mergeCell ref="K424:K427"/>
    <mergeCell ref="L424:L427"/>
    <mergeCell ref="M424:M427"/>
    <mergeCell ref="N424:N427"/>
    <mergeCell ref="O424:O427"/>
    <mergeCell ref="T416:T419"/>
    <mergeCell ref="U416:U419"/>
    <mergeCell ref="V416:V419"/>
    <mergeCell ref="C418:C419"/>
    <mergeCell ref="B412:B415"/>
    <mergeCell ref="C412:C413"/>
    <mergeCell ref="E412:E415"/>
    <mergeCell ref="F412:F415"/>
    <mergeCell ref="G412:G415"/>
    <mergeCell ref="H412:H415"/>
    <mergeCell ref="I412:I415"/>
    <mergeCell ref="J412:J415"/>
    <mergeCell ref="L420:L423"/>
    <mergeCell ref="M420:M423"/>
    <mergeCell ref="N420:N423"/>
    <mergeCell ref="V424:V427"/>
    <mergeCell ref="C426:C427"/>
    <mergeCell ref="B420:B423"/>
    <mergeCell ref="C420:C421"/>
    <mergeCell ref="E420:E423"/>
    <mergeCell ref="F420:F423"/>
    <mergeCell ref="G420:G423"/>
    <mergeCell ref="H420:H423"/>
    <mergeCell ref="N416:N419"/>
    <mergeCell ref="O416:O419"/>
    <mergeCell ref="P416:P419"/>
    <mergeCell ref="Q416:Q419"/>
    <mergeCell ref="R416:R419"/>
    <mergeCell ref="S416:S419"/>
    <mergeCell ref="H416:H419"/>
    <mergeCell ref="I416:I419"/>
    <mergeCell ref="J416:J419"/>
    <mergeCell ref="C414:C415"/>
    <mergeCell ref="Q412:Q415"/>
    <mergeCell ref="U404:U407"/>
    <mergeCell ref="V404:V407"/>
    <mergeCell ref="C406:C407"/>
    <mergeCell ref="B408:B411"/>
    <mergeCell ref="C408:C409"/>
    <mergeCell ref="E408:E411"/>
    <mergeCell ref="F408:F411"/>
    <mergeCell ref="G408:G411"/>
    <mergeCell ref="H408:H411"/>
    <mergeCell ref="I408:I411"/>
    <mergeCell ref="O404:O407"/>
    <mergeCell ref="P404:P407"/>
    <mergeCell ref="Q404:Q407"/>
    <mergeCell ref="R404:R407"/>
    <mergeCell ref="S404:S407"/>
    <mergeCell ref="T404:T407"/>
    <mergeCell ref="I404:I407"/>
    <mergeCell ref="J404:J407"/>
    <mergeCell ref="K404:K407"/>
    <mergeCell ref="R412:R415"/>
    <mergeCell ref="S412:S415"/>
    <mergeCell ref="T412:T415"/>
    <mergeCell ref="U412:U415"/>
    <mergeCell ref="V412:V415"/>
    <mergeCell ref="K412:K415"/>
    <mergeCell ref="L412:L415"/>
    <mergeCell ref="M412:M415"/>
    <mergeCell ref="N412:N415"/>
    <mergeCell ref="O412:O415"/>
    <mergeCell ref="P412:P415"/>
    <mergeCell ref="K400:K403"/>
    <mergeCell ref="L400:L403"/>
    <mergeCell ref="M400:M403"/>
    <mergeCell ref="B400:B403"/>
    <mergeCell ref="C400:C401"/>
    <mergeCell ref="E400:E403"/>
    <mergeCell ref="F400:F403"/>
    <mergeCell ref="G400:G403"/>
    <mergeCell ref="P408:P411"/>
    <mergeCell ref="Q408:Q411"/>
    <mergeCell ref="R408:R411"/>
    <mergeCell ref="S408:S411"/>
    <mergeCell ref="T408:T411"/>
    <mergeCell ref="U408:U411"/>
    <mergeCell ref="J408:J411"/>
    <mergeCell ref="K408:K411"/>
    <mergeCell ref="L408:L411"/>
    <mergeCell ref="M408:M411"/>
    <mergeCell ref="N408:N411"/>
    <mergeCell ref="O408:O411"/>
    <mergeCell ref="T400:T403"/>
    <mergeCell ref="U400:U403"/>
    <mergeCell ref="V400:V403"/>
    <mergeCell ref="C402:C403"/>
    <mergeCell ref="B396:B399"/>
    <mergeCell ref="C396:C397"/>
    <mergeCell ref="E396:E399"/>
    <mergeCell ref="F396:F399"/>
    <mergeCell ref="G396:G399"/>
    <mergeCell ref="H396:H399"/>
    <mergeCell ref="I396:I399"/>
    <mergeCell ref="J396:J399"/>
    <mergeCell ref="L404:L407"/>
    <mergeCell ref="M404:M407"/>
    <mergeCell ref="N404:N407"/>
    <mergeCell ref="V408:V411"/>
    <mergeCell ref="C410:C411"/>
    <mergeCell ref="B404:B407"/>
    <mergeCell ref="C404:C405"/>
    <mergeCell ref="E404:E407"/>
    <mergeCell ref="F404:F407"/>
    <mergeCell ref="G404:G407"/>
    <mergeCell ref="H404:H407"/>
    <mergeCell ref="N400:N403"/>
    <mergeCell ref="O400:O403"/>
    <mergeCell ref="P400:P403"/>
    <mergeCell ref="Q400:Q403"/>
    <mergeCell ref="R400:R403"/>
    <mergeCell ref="S400:S403"/>
    <mergeCell ref="H400:H403"/>
    <mergeCell ref="I400:I403"/>
    <mergeCell ref="J400:J403"/>
    <mergeCell ref="C398:C399"/>
    <mergeCell ref="B388:B391"/>
    <mergeCell ref="C388:C389"/>
    <mergeCell ref="E388:E391"/>
    <mergeCell ref="F388:F391"/>
    <mergeCell ref="G388:G391"/>
    <mergeCell ref="H388:H391"/>
    <mergeCell ref="U388:U391"/>
    <mergeCell ref="V388:V391"/>
    <mergeCell ref="C390:C391"/>
    <mergeCell ref="B392:B395"/>
    <mergeCell ref="C392:C393"/>
    <mergeCell ref="E392:E395"/>
    <mergeCell ref="F392:F395"/>
    <mergeCell ref="G392:G395"/>
    <mergeCell ref="H392:H395"/>
    <mergeCell ref="I392:I395"/>
    <mergeCell ref="O388:O391"/>
    <mergeCell ref="P388:P391"/>
    <mergeCell ref="Q388:Q391"/>
    <mergeCell ref="R388:R391"/>
    <mergeCell ref="S388:S391"/>
    <mergeCell ref="T388:T391"/>
    <mergeCell ref="I388:I391"/>
    <mergeCell ref="J388:J391"/>
    <mergeCell ref="K388:K391"/>
    <mergeCell ref="E384:E387"/>
    <mergeCell ref="F384:F387"/>
    <mergeCell ref="G384:G387"/>
    <mergeCell ref="V380:V383"/>
    <mergeCell ref="K380:K383"/>
    <mergeCell ref="L380:L383"/>
    <mergeCell ref="M380:M383"/>
    <mergeCell ref="N380:N383"/>
    <mergeCell ref="O380:O383"/>
    <mergeCell ref="P380:P383"/>
    <mergeCell ref="T384:T387"/>
    <mergeCell ref="U384:U387"/>
    <mergeCell ref="V384:V387"/>
    <mergeCell ref="Q396:Q399"/>
    <mergeCell ref="R396:R399"/>
    <mergeCell ref="S396:S399"/>
    <mergeCell ref="T396:T399"/>
    <mergeCell ref="U396:U399"/>
    <mergeCell ref="V396:V399"/>
    <mergeCell ref="K396:K399"/>
    <mergeCell ref="L396:L399"/>
    <mergeCell ref="M396:M399"/>
    <mergeCell ref="N396:N399"/>
    <mergeCell ref="O396:O399"/>
    <mergeCell ref="P396:P399"/>
    <mergeCell ref="V376:V379"/>
    <mergeCell ref="C378:C379"/>
    <mergeCell ref="L388:L391"/>
    <mergeCell ref="M388:M391"/>
    <mergeCell ref="N388:N391"/>
    <mergeCell ref="V392:V395"/>
    <mergeCell ref="C394:C395"/>
    <mergeCell ref="C386:C387"/>
    <mergeCell ref="P392:P395"/>
    <mergeCell ref="Q392:Q395"/>
    <mergeCell ref="R392:R395"/>
    <mergeCell ref="S392:S395"/>
    <mergeCell ref="T392:T395"/>
    <mergeCell ref="U392:U395"/>
    <mergeCell ref="J392:J395"/>
    <mergeCell ref="K392:K395"/>
    <mergeCell ref="L392:L395"/>
    <mergeCell ref="M392:M395"/>
    <mergeCell ref="N392:N395"/>
    <mergeCell ref="O392:O395"/>
    <mergeCell ref="N384:N387"/>
    <mergeCell ref="O384:O387"/>
    <mergeCell ref="P384:P387"/>
    <mergeCell ref="Q384:Q387"/>
    <mergeCell ref="R384:R387"/>
    <mergeCell ref="S384:S387"/>
    <mergeCell ref="H384:H387"/>
    <mergeCell ref="I384:I387"/>
    <mergeCell ref="J384:J387"/>
    <mergeCell ref="K384:K387"/>
    <mergeCell ref="L384:L387"/>
    <mergeCell ref="M384:M387"/>
    <mergeCell ref="B380:B383"/>
    <mergeCell ref="C380:C381"/>
    <mergeCell ref="E380:E383"/>
    <mergeCell ref="F380:F383"/>
    <mergeCell ref="G380:G383"/>
    <mergeCell ref="H380:H383"/>
    <mergeCell ref="I380:I383"/>
    <mergeCell ref="J380:J383"/>
    <mergeCell ref="P376:P379"/>
    <mergeCell ref="Q376:Q379"/>
    <mergeCell ref="R376:R379"/>
    <mergeCell ref="S376:S379"/>
    <mergeCell ref="T376:T379"/>
    <mergeCell ref="U376:U379"/>
    <mergeCell ref="J376:J379"/>
    <mergeCell ref="K376:K379"/>
    <mergeCell ref="L376:L379"/>
    <mergeCell ref="M376:M379"/>
    <mergeCell ref="N376:N379"/>
    <mergeCell ref="O376:O379"/>
    <mergeCell ref="C382:C383"/>
    <mergeCell ref="Q380:Q383"/>
    <mergeCell ref="R380:R383"/>
    <mergeCell ref="S380:S383"/>
    <mergeCell ref="T380:T383"/>
    <mergeCell ref="U380:U383"/>
    <mergeCell ref="T368:T371"/>
    <mergeCell ref="U368:U371"/>
    <mergeCell ref="V368:V371"/>
    <mergeCell ref="C370:C371"/>
    <mergeCell ref="B372:B375"/>
    <mergeCell ref="C372:C373"/>
    <mergeCell ref="E372:E375"/>
    <mergeCell ref="F372:F375"/>
    <mergeCell ref="G372:G375"/>
    <mergeCell ref="H372:H375"/>
    <mergeCell ref="N368:N371"/>
    <mergeCell ref="O368:O371"/>
    <mergeCell ref="P368:P371"/>
    <mergeCell ref="Q368:Q371"/>
    <mergeCell ref="R368:R371"/>
    <mergeCell ref="S368:S371"/>
    <mergeCell ref="H368:H371"/>
    <mergeCell ref="I368:I371"/>
    <mergeCell ref="J368:J371"/>
    <mergeCell ref="K368:K371"/>
    <mergeCell ref="L368:L371"/>
    <mergeCell ref="M368:M371"/>
    <mergeCell ref="U372:U375"/>
    <mergeCell ref="V372:V375"/>
    <mergeCell ref="C374:C375"/>
    <mergeCell ref="O372:O375"/>
    <mergeCell ref="P372:P375"/>
    <mergeCell ref="Q372:Q375"/>
    <mergeCell ref="R372:R375"/>
    <mergeCell ref="S372:S375"/>
    <mergeCell ref="T372:T375"/>
    <mergeCell ref="I372:I375"/>
    <mergeCell ref="A368:A439"/>
    <mergeCell ref="B368:B371"/>
    <mergeCell ref="C368:C369"/>
    <mergeCell ref="E368:E371"/>
    <mergeCell ref="F368:F371"/>
    <mergeCell ref="G368:G371"/>
    <mergeCell ref="N364:N367"/>
    <mergeCell ref="O364:O367"/>
    <mergeCell ref="P364:P367"/>
    <mergeCell ref="Q364:Q367"/>
    <mergeCell ref="R364:R367"/>
    <mergeCell ref="S364:S367"/>
    <mergeCell ref="H364:H367"/>
    <mergeCell ref="I364:I367"/>
    <mergeCell ref="J364:J367"/>
    <mergeCell ref="K364:K367"/>
    <mergeCell ref="L364:L367"/>
    <mergeCell ref="M364:M367"/>
    <mergeCell ref="B376:B379"/>
    <mergeCell ref="C376:C377"/>
    <mergeCell ref="E376:E379"/>
    <mergeCell ref="F376:F379"/>
    <mergeCell ref="G376:G379"/>
    <mergeCell ref="H376:H379"/>
    <mergeCell ref="I376:I379"/>
    <mergeCell ref="J372:J375"/>
    <mergeCell ref="K372:K375"/>
    <mergeCell ref="L372:L375"/>
    <mergeCell ref="M372:M375"/>
    <mergeCell ref="N372:N375"/>
    <mergeCell ref="B384:B387"/>
    <mergeCell ref="C384:C385"/>
    <mergeCell ref="B364:B367"/>
    <mergeCell ref="C364:C365"/>
    <mergeCell ref="E364:E367"/>
    <mergeCell ref="F364:F367"/>
    <mergeCell ref="G364:G367"/>
    <mergeCell ref="Q360:Q363"/>
    <mergeCell ref="R360:R363"/>
    <mergeCell ref="S360:S363"/>
    <mergeCell ref="T360:T363"/>
    <mergeCell ref="U360:U363"/>
    <mergeCell ref="V360:V363"/>
    <mergeCell ref="K360:K363"/>
    <mergeCell ref="L360:L363"/>
    <mergeCell ref="M360:M363"/>
    <mergeCell ref="N360:N363"/>
    <mergeCell ref="O360:O363"/>
    <mergeCell ref="P360:P363"/>
    <mergeCell ref="T364:T367"/>
    <mergeCell ref="U364:U367"/>
    <mergeCell ref="V364:V367"/>
    <mergeCell ref="C366:C367"/>
    <mergeCell ref="B360:B363"/>
    <mergeCell ref="C360:C361"/>
    <mergeCell ref="E360:E363"/>
    <mergeCell ref="F360:F363"/>
    <mergeCell ref="G360:G363"/>
    <mergeCell ref="H360:H363"/>
    <mergeCell ref="I360:I363"/>
    <mergeCell ref="J360:J363"/>
    <mergeCell ref="T356:T359"/>
    <mergeCell ref="U356:U359"/>
    <mergeCell ref="J356:J359"/>
    <mergeCell ref="K356:K359"/>
    <mergeCell ref="L356:L359"/>
    <mergeCell ref="M356:M359"/>
    <mergeCell ref="N356:N359"/>
    <mergeCell ref="O356:O359"/>
    <mergeCell ref="C362:C363"/>
    <mergeCell ref="U352:U355"/>
    <mergeCell ref="V352:V355"/>
    <mergeCell ref="C354:C355"/>
    <mergeCell ref="B356:B359"/>
    <mergeCell ref="C356:C357"/>
    <mergeCell ref="E356:E359"/>
    <mergeCell ref="F356:F359"/>
    <mergeCell ref="G356:G359"/>
    <mergeCell ref="H356:H359"/>
    <mergeCell ref="I356:I359"/>
    <mergeCell ref="O352:O355"/>
    <mergeCell ref="P352:P355"/>
    <mergeCell ref="Q352:Q355"/>
    <mergeCell ref="R352:R355"/>
    <mergeCell ref="S352:S355"/>
    <mergeCell ref="T352:T355"/>
    <mergeCell ref="I352:I355"/>
    <mergeCell ref="J352:J355"/>
    <mergeCell ref="K352:K355"/>
    <mergeCell ref="L352:L355"/>
    <mergeCell ref="M352:M355"/>
    <mergeCell ref="N352:N355"/>
    <mergeCell ref="V356:V359"/>
    <mergeCell ref="C358:C359"/>
    <mergeCell ref="B352:B355"/>
    <mergeCell ref="C352:C353"/>
    <mergeCell ref="E352:E355"/>
    <mergeCell ref="F352:F355"/>
    <mergeCell ref="G352:G355"/>
    <mergeCell ref="H352:H355"/>
    <mergeCell ref="N348:N351"/>
    <mergeCell ref="O348:O351"/>
    <mergeCell ref="P348:P351"/>
    <mergeCell ref="Q348:Q351"/>
    <mergeCell ref="R348:R351"/>
    <mergeCell ref="S348:S351"/>
    <mergeCell ref="H348:H351"/>
    <mergeCell ref="I348:I351"/>
    <mergeCell ref="J348:J351"/>
    <mergeCell ref="K348:K351"/>
    <mergeCell ref="L348:L351"/>
    <mergeCell ref="M348:M351"/>
    <mergeCell ref="B348:B351"/>
    <mergeCell ref="C348:C349"/>
    <mergeCell ref="E348:E351"/>
    <mergeCell ref="F348:F351"/>
    <mergeCell ref="G348:G351"/>
    <mergeCell ref="P356:P359"/>
    <mergeCell ref="Q356:Q359"/>
    <mergeCell ref="R356:R359"/>
    <mergeCell ref="S356:S359"/>
    <mergeCell ref="U344:U347"/>
    <mergeCell ref="V344:V347"/>
    <mergeCell ref="K344:K347"/>
    <mergeCell ref="L344:L347"/>
    <mergeCell ref="M344:M347"/>
    <mergeCell ref="N344:N347"/>
    <mergeCell ref="O344:O347"/>
    <mergeCell ref="P344:P347"/>
    <mergeCell ref="T348:T351"/>
    <mergeCell ref="U348:U351"/>
    <mergeCell ref="V348:V351"/>
    <mergeCell ref="C350:C351"/>
    <mergeCell ref="B344:B347"/>
    <mergeCell ref="C344:C345"/>
    <mergeCell ref="E344:E347"/>
    <mergeCell ref="F344:F347"/>
    <mergeCell ref="G344:G347"/>
    <mergeCell ref="H344:H347"/>
    <mergeCell ref="I344:I347"/>
    <mergeCell ref="J344:J347"/>
    <mergeCell ref="T340:T343"/>
    <mergeCell ref="U340:U343"/>
    <mergeCell ref="J340:J343"/>
    <mergeCell ref="K340:K343"/>
    <mergeCell ref="L340:L343"/>
    <mergeCell ref="M340:M343"/>
    <mergeCell ref="N340:N343"/>
    <mergeCell ref="O340:O343"/>
    <mergeCell ref="C346:C347"/>
    <mergeCell ref="U336:U339"/>
    <mergeCell ref="V336:V339"/>
    <mergeCell ref="C338:C339"/>
    <mergeCell ref="B340:B343"/>
    <mergeCell ref="C340:C341"/>
    <mergeCell ref="E340:E343"/>
    <mergeCell ref="F340:F343"/>
    <mergeCell ref="G340:G343"/>
    <mergeCell ref="H340:H343"/>
    <mergeCell ref="I340:I343"/>
    <mergeCell ref="O336:O339"/>
    <mergeCell ref="P336:P339"/>
    <mergeCell ref="Q336:Q339"/>
    <mergeCell ref="R336:R339"/>
    <mergeCell ref="S336:S339"/>
    <mergeCell ref="T336:T339"/>
    <mergeCell ref="I336:I339"/>
    <mergeCell ref="J336:J339"/>
    <mergeCell ref="K336:K339"/>
    <mergeCell ref="Q344:Q347"/>
    <mergeCell ref="R344:R347"/>
    <mergeCell ref="S344:S347"/>
    <mergeCell ref="T344:T347"/>
    <mergeCell ref="L336:L339"/>
    <mergeCell ref="M336:M339"/>
    <mergeCell ref="N336:N339"/>
    <mergeCell ref="V340:V343"/>
    <mergeCell ref="C342:C343"/>
    <mergeCell ref="B336:B339"/>
    <mergeCell ref="C336:C337"/>
    <mergeCell ref="E336:E339"/>
    <mergeCell ref="F336:F339"/>
    <mergeCell ref="G336:G339"/>
    <mergeCell ref="H336:H339"/>
    <mergeCell ref="N332:N335"/>
    <mergeCell ref="O332:O335"/>
    <mergeCell ref="P332:P335"/>
    <mergeCell ref="Q332:Q335"/>
    <mergeCell ref="R332:R335"/>
    <mergeCell ref="S332:S335"/>
    <mergeCell ref="H332:H335"/>
    <mergeCell ref="I332:I335"/>
    <mergeCell ref="J332:J335"/>
    <mergeCell ref="K332:K335"/>
    <mergeCell ref="L332:L335"/>
    <mergeCell ref="M332:M335"/>
    <mergeCell ref="B332:B335"/>
    <mergeCell ref="C332:C333"/>
    <mergeCell ref="E332:E335"/>
    <mergeCell ref="F332:F335"/>
    <mergeCell ref="G332:G335"/>
    <mergeCell ref="P340:P343"/>
    <mergeCell ref="Q340:Q343"/>
    <mergeCell ref="R340:R343"/>
    <mergeCell ref="S340:S343"/>
    <mergeCell ref="T328:T331"/>
    <mergeCell ref="U328:U331"/>
    <mergeCell ref="V328:V331"/>
    <mergeCell ref="K328:K331"/>
    <mergeCell ref="L328:L331"/>
    <mergeCell ref="M328:M331"/>
    <mergeCell ref="N328:N331"/>
    <mergeCell ref="O328:O331"/>
    <mergeCell ref="P328:P331"/>
    <mergeCell ref="T332:T335"/>
    <mergeCell ref="U332:U335"/>
    <mergeCell ref="V332:V335"/>
    <mergeCell ref="C334:C335"/>
    <mergeCell ref="B328:B331"/>
    <mergeCell ref="C328:C329"/>
    <mergeCell ref="E328:E331"/>
    <mergeCell ref="F328:F331"/>
    <mergeCell ref="G328:G331"/>
    <mergeCell ref="H328:H331"/>
    <mergeCell ref="I328:I331"/>
    <mergeCell ref="J328:J331"/>
    <mergeCell ref="S324:S327"/>
    <mergeCell ref="T324:T327"/>
    <mergeCell ref="U324:U327"/>
    <mergeCell ref="J324:J327"/>
    <mergeCell ref="K324:K327"/>
    <mergeCell ref="L324:L327"/>
    <mergeCell ref="M324:M327"/>
    <mergeCell ref="N324:N327"/>
    <mergeCell ref="O324:O327"/>
    <mergeCell ref="C330:C331"/>
    <mergeCell ref="U320:U323"/>
    <mergeCell ref="V320:V323"/>
    <mergeCell ref="C322:C323"/>
    <mergeCell ref="B324:B327"/>
    <mergeCell ref="C324:C325"/>
    <mergeCell ref="E324:E327"/>
    <mergeCell ref="F324:F327"/>
    <mergeCell ref="G324:G327"/>
    <mergeCell ref="H324:H327"/>
    <mergeCell ref="I324:I327"/>
    <mergeCell ref="O320:O323"/>
    <mergeCell ref="P320:P323"/>
    <mergeCell ref="Q320:Q323"/>
    <mergeCell ref="R320:R323"/>
    <mergeCell ref="S320:S323"/>
    <mergeCell ref="T320:T323"/>
    <mergeCell ref="I320:I323"/>
    <mergeCell ref="J320:J323"/>
    <mergeCell ref="K320:K323"/>
    <mergeCell ref="Q328:Q331"/>
    <mergeCell ref="R328:R331"/>
    <mergeCell ref="S328:S331"/>
    <mergeCell ref="L320:L323"/>
    <mergeCell ref="M320:M323"/>
    <mergeCell ref="N320:N323"/>
    <mergeCell ref="B320:B323"/>
    <mergeCell ref="C320:C321"/>
    <mergeCell ref="E320:E323"/>
    <mergeCell ref="F320:F323"/>
    <mergeCell ref="G320:G323"/>
    <mergeCell ref="H320:H323"/>
    <mergeCell ref="V324:V327"/>
    <mergeCell ref="C326:C327"/>
    <mergeCell ref="R316:R319"/>
    <mergeCell ref="S316:S319"/>
    <mergeCell ref="T316:T319"/>
    <mergeCell ref="U316:U319"/>
    <mergeCell ref="V316:V319"/>
    <mergeCell ref="C318:C319"/>
    <mergeCell ref="L316:L319"/>
    <mergeCell ref="M316:M319"/>
    <mergeCell ref="N316:N319"/>
    <mergeCell ref="O316:O319"/>
    <mergeCell ref="P316:P319"/>
    <mergeCell ref="Q316:Q319"/>
    <mergeCell ref="F316:F319"/>
    <mergeCell ref="G316:G319"/>
    <mergeCell ref="H316:H319"/>
    <mergeCell ref="I316:I319"/>
    <mergeCell ref="J316:J319"/>
    <mergeCell ref="K316:K319"/>
    <mergeCell ref="P324:P327"/>
    <mergeCell ref="Q324:Q327"/>
    <mergeCell ref="R324:R327"/>
    <mergeCell ref="Q312:Q315"/>
    <mergeCell ref="R312:R315"/>
    <mergeCell ref="S312:S315"/>
    <mergeCell ref="T312:T315"/>
    <mergeCell ref="U312:U315"/>
    <mergeCell ref="V312:V315"/>
    <mergeCell ref="K312:K315"/>
    <mergeCell ref="L312:L315"/>
    <mergeCell ref="M312:M315"/>
    <mergeCell ref="N312:N315"/>
    <mergeCell ref="O312:O315"/>
    <mergeCell ref="P312:P315"/>
    <mergeCell ref="V308:V311"/>
    <mergeCell ref="C310:C311"/>
    <mergeCell ref="B312:B315"/>
    <mergeCell ref="C312:C313"/>
    <mergeCell ref="E312:E315"/>
    <mergeCell ref="F312:F315"/>
    <mergeCell ref="G312:G315"/>
    <mergeCell ref="H312:H315"/>
    <mergeCell ref="I312:I315"/>
    <mergeCell ref="J312:J315"/>
    <mergeCell ref="P308:P311"/>
    <mergeCell ref="Q308:Q311"/>
    <mergeCell ref="R308:R311"/>
    <mergeCell ref="S308:S311"/>
    <mergeCell ref="T308:T311"/>
    <mergeCell ref="U308:U311"/>
    <mergeCell ref="J308:J311"/>
    <mergeCell ref="K308:K311"/>
    <mergeCell ref="L308:L311"/>
    <mergeCell ref="M308:M311"/>
    <mergeCell ref="M300:M303"/>
    <mergeCell ref="N308:N311"/>
    <mergeCell ref="O308:O311"/>
    <mergeCell ref="U304:U307"/>
    <mergeCell ref="V304:V307"/>
    <mergeCell ref="C306:C307"/>
    <mergeCell ref="B308:B311"/>
    <mergeCell ref="C308:C309"/>
    <mergeCell ref="E308:E311"/>
    <mergeCell ref="F308:F311"/>
    <mergeCell ref="G308:G311"/>
    <mergeCell ref="H308:H311"/>
    <mergeCell ref="I308:I311"/>
    <mergeCell ref="O304:O307"/>
    <mergeCell ref="P304:P307"/>
    <mergeCell ref="Q304:Q307"/>
    <mergeCell ref="R304:R307"/>
    <mergeCell ref="S304:S307"/>
    <mergeCell ref="T304:T307"/>
    <mergeCell ref="I304:I307"/>
    <mergeCell ref="J304:J307"/>
    <mergeCell ref="K304:K307"/>
    <mergeCell ref="L304:L307"/>
    <mergeCell ref="M304:M307"/>
    <mergeCell ref="N304:N307"/>
    <mergeCell ref="N296:N299"/>
    <mergeCell ref="O296:O299"/>
    <mergeCell ref="P296:P299"/>
    <mergeCell ref="Q296:Q299"/>
    <mergeCell ref="R296:R299"/>
    <mergeCell ref="G296:G299"/>
    <mergeCell ref="H296:H299"/>
    <mergeCell ref="I296:I299"/>
    <mergeCell ref="J296:J299"/>
    <mergeCell ref="K296:K299"/>
    <mergeCell ref="L296:L299"/>
    <mergeCell ref="T300:T303"/>
    <mergeCell ref="U300:U303"/>
    <mergeCell ref="V300:V303"/>
    <mergeCell ref="C302:C303"/>
    <mergeCell ref="B304:B307"/>
    <mergeCell ref="C304:C305"/>
    <mergeCell ref="E304:E307"/>
    <mergeCell ref="F304:F307"/>
    <mergeCell ref="G304:G307"/>
    <mergeCell ref="H304:H307"/>
    <mergeCell ref="N300:N303"/>
    <mergeCell ref="O300:O303"/>
    <mergeCell ref="P300:P303"/>
    <mergeCell ref="Q300:Q303"/>
    <mergeCell ref="R300:R303"/>
    <mergeCell ref="S300:S303"/>
    <mergeCell ref="H300:H303"/>
    <mergeCell ref="I300:I303"/>
    <mergeCell ref="J300:J303"/>
    <mergeCell ref="K300:K303"/>
    <mergeCell ref="L300:L303"/>
    <mergeCell ref="A296:A367"/>
    <mergeCell ref="B296:B299"/>
    <mergeCell ref="C296:C297"/>
    <mergeCell ref="E296:E299"/>
    <mergeCell ref="F296:F299"/>
    <mergeCell ref="C314:C315"/>
    <mergeCell ref="B316:B319"/>
    <mergeCell ref="C316:C317"/>
    <mergeCell ref="E316:E319"/>
    <mergeCell ref="Q292:Q295"/>
    <mergeCell ref="R292:R295"/>
    <mergeCell ref="S292:S295"/>
    <mergeCell ref="T292:T295"/>
    <mergeCell ref="U292:U295"/>
    <mergeCell ref="V292:V295"/>
    <mergeCell ref="K292:K295"/>
    <mergeCell ref="L292:L295"/>
    <mergeCell ref="M292:M295"/>
    <mergeCell ref="N292:N295"/>
    <mergeCell ref="O292:O295"/>
    <mergeCell ref="P292:P295"/>
    <mergeCell ref="S296:S299"/>
    <mergeCell ref="T296:T299"/>
    <mergeCell ref="U296:U299"/>
    <mergeCell ref="V296:V299"/>
    <mergeCell ref="C298:C299"/>
    <mergeCell ref="B300:B303"/>
    <mergeCell ref="C300:C301"/>
    <mergeCell ref="E300:E303"/>
    <mergeCell ref="F300:F303"/>
    <mergeCell ref="G300:G303"/>
    <mergeCell ref="M296:M299"/>
    <mergeCell ref="B292:B295"/>
    <mergeCell ref="C292:C293"/>
    <mergeCell ref="E292:E295"/>
    <mergeCell ref="F292:F295"/>
    <mergeCell ref="G292:G295"/>
    <mergeCell ref="H292:H295"/>
    <mergeCell ref="I292:I295"/>
    <mergeCell ref="J292:J295"/>
    <mergeCell ref="P288:P291"/>
    <mergeCell ref="Q288:Q291"/>
    <mergeCell ref="R288:R291"/>
    <mergeCell ref="S288:S291"/>
    <mergeCell ref="T288:T291"/>
    <mergeCell ref="U288:U291"/>
    <mergeCell ref="J288:J291"/>
    <mergeCell ref="K288:K291"/>
    <mergeCell ref="L288:L291"/>
    <mergeCell ref="M288:M291"/>
    <mergeCell ref="N288:N291"/>
    <mergeCell ref="O288:O291"/>
    <mergeCell ref="C294:C295"/>
    <mergeCell ref="U284:U287"/>
    <mergeCell ref="V284:V287"/>
    <mergeCell ref="C286:C287"/>
    <mergeCell ref="B288:B291"/>
    <mergeCell ref="C288:C289"/>
    <mergeCell ref="E288:E291"/>
    <mergeCell ref="F288:F291"/>
    <mergeCell ref="G288:G291"/>
    <mergeCell ref="H288:H291"/>
    <mergeCell ref="I288:I291"/>
    <mergeCell ref="O284:O287"/>
    <mergeCell ref="P284:P287"/>
    <mergeCell ref="Q284:Q287"/>
    <mergeCell ref="R284:R287"/>
    <mergeCell ref="S284:S287"/>
    <mergeCell ref="T284:T287"/>
    <mergeCell ref="I284:I287"/>
    <mergeCell ref="J284:J287"/>
    <mergeCell ref="K284:K287"/>
    <mergeCell ref="L284:L287"/>
    <mergeCell ref="M284:M287"/>
    <mergeCell ref="N284:N287"/>
    <mergeCell ref="V288:V291"/>
    <mergeCell ref="C290:C291"/>
    <mergeCell ref="B284:B287"/>
    <mergeCell ref="C284:C285"/>
    <mergeCell ref="E284:E287"/>
    <mergeCell ref="F284:F287"/>
    <mergeCell ref="G284:G287"/>
    <mergeCell ref="H284:H287"/>
    <mergeCell ref="T280:T283"/>
    <mergeCell ref="U280:U283"/>
    <mergeCell ref="V280:V283"/>
    <mergeCell ref="C282:C283"/>
    <mergeCell ref="B276:B279"/>
    <mergeCell ref="C276:C277"/>
    <mergeCell ref="E276:E279"/>
    <mergeCell ref="F276:F279"/>
    <mergeCell ref="G276:G279"/>
    <mergeCell ref="H276:H279"/>
    <mergeCell ref="I276:I279"/>
    <mergeCell ref="J276:J279"/>
    <mergeCell ref="N280:N283"/>
    <mergeCell ref="O280:O283"/>
    <mergeCell ref="P280:P283"/>
    <mergeCell ref="Q280:Q283"/>
    <mergeCell ref="R280:R283"/>
    <mergeCell ref="S280:S283"/>
    <mergeCell ref="H280:H283"/>
    <mergeCell ref="I280:I283"/>
    <mergeCell ref="J280:J283"/>
    <mergeCell ref="K280:K283"/>
    <mergeCell ref="L280:L283"/>
    <mergeCell ref="M280:M283"/>
    <mergeCell ref="B280:B283"/>
    <mergeCell ref="C280:C281"/>
    <mergeCell ref="E280:E283"/>
    <mergeCell ref="F280:F283"/>
    <mergeCell ref="G280:G283"/>
    <mergeCell ref="C278:C279"/>
    <mergeCell ref="Q276:Q279"/>
    <mergeCell ref="R276:R279"/>
    <mergeCell ref="U268:U271"/>
    <mergeCell ref="V268:V271"/>
    <mergeCell ref="C270:C271"/>
    <mergeCell ref="B272:B275"/>
    <mergeCell ref="C272:C273"/>
    <mergeCell ref="E272:E275"/>
    <mergeCell ref="F272:F275"/>
    <mergeCell ref="G272:G275"/>
    <mergeCell ref="H272:H275"/>
    <mergeCell ref="I272:I275"/>
    <mergeCell ref="O268:O271"/>
    <mergeCell ref="P268:P271"/>
    <mergeCell ref="Q268:Q271"/>
    <mergeCell ref="R268:R271"/>
    <mergeCell ref="S268:S271"/>
    <mergeCell ref="T268:T271"/>
    <mergeCell ref="I268:I271"/>
    <mergeCell ref="J268:J271"/>
    <mergeCell ref="K268:K271"/>
    <mergeCell ref="S276:S279"/>
    <mergeCell ref="T276:T279"/>
    <mergeCell ref="U276:U279"/>
    <mergeCell ref="V276:V279"/>
    <mergeCell ref="K276:K279"/>
    <mergeCell ref="L276:L279"/>
    <mergeCell ref="M276:M279"/>
    <mergeCell ref="N276:N279"/>
    <mergeCell ref="O276:O279"/>
    <mergeCell ref="P276:P279"/>
    <mergeCell ref="K264:K267"/>
    <mergeCell ref="L264:L267"/>
    <mergeCell ref="M264:M267"/>
    <mergeCell ref="B264:B267"/>
    <mergeCell ref="C264:C265"/>
    <mergeCell ref="E264:E267"/>
    <mergeCell ref="F264:F267"/>
    <mergeCell ref="G264:G267"/>
    <mergeCell ref="P272:P275"/>
    <mergeCell ref="Q272:Q275"/>
    <mergeCell ref="R272:R275"/>
    <mergeCell ref="S272:S275"/>
    <mergeCell ref="T272:T275"/>
    <mergeCell ref="U272:U275"/>
    <mergeCell ref="J272:J275"/>
    <mergeCell ref="K272:K275"/>
    <mergeCell ref="L272:L275"/>
    <mergeCell ref="M272:M275"/>
    <mergeCell ref="N272:N275"/>
    <mergeCell ref="O272:O275"/>
    <mergeCell ref="T264:T267"/>
    <mergeCell ref="U264:U267"/>
    <mergeCell ref="V264:V267"/>
    <mergeCell ref="C266:C267"/>
    <mergeCell ref="B260:B263"/>
    <mergeCell ref="C260:C261"/>
    <mergeCell ref="E260:E263"/>
    <mergeCell ref="F260:F263"/>
    <mergeCell ref="G260:G263"/>
    <mergeCell ref="H260:H263"/>
    <mergeCell ref="I260:I263"/>
    <mergeCell ref="J260:J263"/>
    <mergeCell ref="L268:L271"/>
    <mergeCell ref="M268:M271"/>
    <mergeCell ref="N268:N271"/>
    <mergeCell ref="V272:V275"/>
    <mergeCell ref="C274:C275"/>
    <mergeCell ref="B268:B271"/>
    <mergeCell ref="C268:C269"/>
    <mergeCell ref="E268:E271"/>
    <mergeCell ref="F268:F271"/>
    <mergeCell ref="G268:G271"/>
    <mergeCell ref="H268:H271"/>
    <mergeCell ref="N264:N267"/>
    <mergeCell ref="O264:O267"/>
    <mergeCell ref="P264:P267"/>
    <mergeCell ref="Q264:Q267"/>
    <mergeCell ref="R264:R267"/>
    <mergeCell ref="S264:S267"/>
    <mergeCell ref="H264:H267"/>
    <mergeCell ref="I264:I267"/>
    <mergeCell ref="J264:J267"/>
    <mergeCell ref="C262:C263"/>
    <mergeCell ref="Q260:Q263"/>
    <mergeCell ref="T260:T263"/>
    <mergeCell ref="U260:U263"/>
    <mergeCell ref="V260:V263"/>
    <mergeCell ref="K260:K263"/>
    <mergeCell ref="L260:L263"/>
    <mergeCell ref="M260:M263"/>
    <mergeCell ref="N260:N263"/>
    <mergeCell ref="O260:O263"/>
    <mergeCell ref="P260:P263"/>
    <mergeCell ref="B252:B255"/>
    <mergeCell ref="C252:C253"/>
    <mergeCell ref="E252:E255"/>
    <mergeCell ref="F252:F255"/>
    <mergeCell ref="G252:G255"/>
    <mergeCell ref="H252:H255"/>
    <mergeCell ref="U252:U255"/>
    <mergeCell ref="V252:V255"/>
    <mergeCell ref="C254:C255"/>
    <mergeCell ref="B256:B259"/>
    <mergeCell ref="C256:C257"/>
    <mergeCell ref="E256:E259"/>
    <mergeCell ref="F256:F259"/>
    <mergeCell ref="G256:G259"/>
    <mergeCell ref="H256:H259"/>
    <mergeCell ref="I256:I259"/>
    <mergeCell ref="O252:O255"/>
    <mergeCell ref="P252:P255"/>
    <mergeCell ref="Q252:Q255"/>
    <mergeCell ref="R252:R255"/>
    <mergeCell ref="S252:S255"/>
    <mergeCell ref="T252:T255"/>
    <mergeCell ref="I252:I255"/>
    <mergeCell ref="P248:P251"/>
    <mergeCell ref="Q248:Q251"/>
    <mergeCell ref="R248:R251"/>
    <mergeCell ref="S248:S251"/>
    <mergeCell ref="H248:H251"/>
    <mergeCell ref="I248:I251"/>
    <mergeCell ref="J248:J251"/>
    <mergeCell ref="K248:K251"/>
    <mergeCell ref="L248:L251"/>
    <mergeCell ref="M248:M251"/>
    <mergeCell ref="B248:B251"/>
    <mergeCell ref="C248:C249"/>
    <mergeCell ref="E248:E251"/>
    <mergeCell ref="F248:F251"/>
    <mergeCell ref="G248:G251"/>
    <mergeCell ref="R260:R263"/>
    <mergeCell ref="S260:S263"/>
    <mergeCell ref="J252:J255"/>
    <mergeCell ref="K252:K255"/>
    <mergeCell ref="V244:V247"/>
    <mergeCell ref="K244:K247"/>
    <mergeCell ref="L244:L247"/>
    <mergeCell ref="M244:M247"/>
    <mergeCell ref="N244:N247"/>
    <mergeCell ref="O244:O247"/>
    <mergeCell ref="P244:P247"/>
    <mergeCell ref="T248:T251"/>
    <mergeCell ref="U248:U251"/>
    <mergeCell ref="V248:V251"/>
    <mergeCell ref="C250:C251"/>
    <mergeCell ref="V240:V243"/>
    <mergeCell ref="C242:C243"/>
    <mergeCell ref="L252:L255"/>
    <mergeCell ref="M252:M255"/>
    <mergeCell ref="N252:N255"/>
    <mergeCell ref="V256:V259"/>
    <mergeCell ref="C258:C259"/>
    <mergeCell ref="P256:P259"/>
    <mergeCell ref="Q256:Q259"/>
    <mergeCell ref="R256:R259"/>
    <mergeCell ref="S256:S259"/>
    <mergeCell ref="T256:T259"/>
    <mergeCell ref="U256:U259"/>
    <mergeCell ref="J256:J259"/>
    <mergeCell ref="K256:K259"/>
    <mergeCell ref="L256:L259"/>
    <mergeCell ref="M256:M259"/>
    <mergeCell ref="N256:N259"/>
    <mergeCell ref="O256:O259"/>
    <mergeCell ref="N248:N251"/>
    <mergeCell ref="O248:O251"/>
    <mergeCell ref="B244:B247"/>
    <mergeCell ref="C244:C245"/>
    <mergeCell ref="E244:E247"/>
    <mergeCell ref="F244:F247"/>
    <mergeCell ref="G244:G247"/>
    <mergeCell ref="H244:H247"/>
    <mergeCell ref="I244:I247"/>
    <mergeCell ref="J244:J247"/>
    <mergeCell ref="P240:P243"/>
    <mergeCell ref="Q240:Q243"/>
    <mergeCell ref="R240:R243"/>
    <mergeCell ref="S240:S243"/>
    <mergeCell ref="T240:T243"/>
    <mergeCell ref="U240:U243"/>
    <mergeCell ref="J240:J243"/>
    <mergeCell ref="K240:K243"/>
    <mergeCell ref="L240:L243"/>
    <mergeCell ref="M240:M243"/>
    <mergeCell ref="N240:N243"/>
    <mergeCell ref="O240:O243"/>
    <mergeCell ref="C246:C247"/>
    <mergeCell ref="E240:E243"/>
    <mergeCell ref="F240:F243"/>
    <mergeCell ref="G240:G243"/>
    <mergeCell ref="H240:H243"/>
    <mergeCell ref="I240:I243"/>
    <mergeCell ref="Q244:Q247"/>
    <mergeCell ref="R244:R247"/>
    <mergeCell ref="S244:S247"/>
    <mergeCell ref="T244:T247"/>
    <mergeCell ref="U244:U247"/>
    <mergeCell ref="O236:O239"/>
    <mergeCell ref="P236:P239"/>
    <mergeCell ref="Q236:Q239"/>
    <mergeCell ref="R236:R239"/>
    <mergeCell ref="S236:S239"/>
    <mergeCell ref="T236:T239"/>
    <mergeCell ref="I236:I239"/>
    <mergeCell ref="J236:J239"/>
    <mergeCell ref="K236:K239"/>
    <mergeCell ref="L236:L239"/>
    <mergeCell ref="M236:M239"/>
    <mergeCell ref="N236:N239"/>
    <mergeCell ref="V232:V235"/>
    <mergeCell ref="C234:C235"/>
    <mergeCell ref="B236:B239"/>
    <mergeCell ref="C236:C237"/>
    <mergeCell ref="E236:E239"/>
    <mergeCell ref="F236:F239"/>
    <mergeCell ref="G236:G239"/>
    <mergeCell ref="H236:H239"/>
    <mergeCell ref="N232:N235"/>
    <mergeCell ref="O232:O235"/>
    <mergeCell ref="P232:P235"/>
    <mergeCell ref="Q232:Q235"/>
    <mergeCell ref="R232:R235"/>
    <mergeCell ref="S232:S235"/>
    <mergeCell ref="H232:H235"/>
    <mergeCell ref="I232:I235"/>
    <mergeCell ref="J232:J235"/>
    <mergeCell ref="K232:K235"/>
    <mergeCell ref="L232:L235"/>
    <mergeCell ref="M232:M235"/>
    <mergeCell ref="U236:U239"/>
    <mergeCell ref="V236:V239"/>
    <mergeCell ref="C238:C239"/>
    <mergeCell ref="V224:V227"/>
    <mergeCell ref="C226:C227"/>
    <mergeCell ref="B228:B231"/>
    <mergeCell ref="C228:C229"/>
    <mergeCell ref="E228:E231"/>
    <mergeCell ref="F228:F231"/>
    <mergeCell ref="G228:G231"/>
    <mergeCell ref="H228:H231"/>
    <mergeCell ref="I228:I231"/>
    <mergeCell ref="J228:J231"/>
    <mergeCell ref="P224:P227"/>
    <mergeCell ref="Q224:Q227"/>
    <mergeCell ref="R224:R227"/>
    <mergeCell ref="S224:S227"/>
    <mergeCell ref="T224:T227"/>
    <mergeCell ref="U224:U227"/>
    <mergeCell ref="J224:J227"/>
    <mergeCell ref="K224:K227"/>
    <mergeCell ref="L224:L227"/>
    <mergeCell ref="M224:M227"/>
    <mergeCell ref="N224:N227"/>
    <mergeCell ref="O224:O227"/>
    <mergeCell ref="C230:C231"/>
    <mergeCell ref="Q228:Q231"/>
    <mergeCell ref="R228:R231"/>
    <mergeCell ref="S228:S231"/>
    <mergeCell ref="T228:T231"/>
    <mergeCell ref="U228:U231"/>
    <mergeCell ref="V228:V231"/>
    <mergeCell ref="K228:K231"/>
    <mergeCell ref="L228:L231"/>
    <mergeCell ref="M228:M231"/>
    <mergeCell ref="A224:A295"/>
    <mergeCell ref="B224:B227"/>
    <mergeCell ref="C224:C225"/>
    <mergeCell ref="E224:E227"/>
    <mergeCell ref="F224:F227"/>
    <mergeCell ref="G224:G227"/>
    <mergeCell ref="H224:H227"/>
    <mergeCell ref="I224:I227"/>
    <mergeCell ref="P220:P223"/>
    <mergeCell ref="Q220:Q223"/>
    <mergeCell ref="R220:R223"/>
    <mergeCell ref="S220:S223"/>
    <mergeCell ref="T220:T223"/>
    <mergeCell ref="U220:U223"/>
    <mergeCell ref="J220:J223"/>
    <mergeCell ref="K220:K223"/>
    <mergeCell ref="L220:L223"/>
    <mergeCell ref="M220:M223"/>
    <mergeCell ref="N220:N223"/>
    <mergeCell ref="O220:O223"/>
    <mergeCell ref="B232:B235"/>
    <mergeCell ref="C232:C233"/>
    <mergeCell ref="E232:E235"/>
    <mergeCell ref="F232:F235"/>
    <mergeCell ref="G232:G235"/>
    <mergeCell ref="N228:N231"/>
    <mergeCell ref="O228:O231"/>
    <mergeCell ref="P228:P231"/>
    <mergeCell ref="T232:T235"/>
    <mergeCell ref="U232:U235"/>
    <mergeCell ref="B240:B243"/>
    <mergeCell ref="C240:C241"/>
    <mergeCell ref="U216:U219"/>
    <mergeCell ref="V216:V219"/>
    <mergeCell ref="C218:C219"/>
    <mergeCell ref="B220:B223"/>
    <mergeCell ref="C220:C221"/>
    <mergeCell ref="E220:E223"/>
    <mergeCell ref="F220:F223"/>
    <mergeCell ref="G220:G223"/>
    <mergeCell ref="H220:H223"/>
    <mergeCell ref="I220:I223"/>
    <mergeCell ref="O216:O219"/>
    <mergeCell ref="P216:P219"/>
    <mergeCell ref="Q216:Q219"/>
    <mergeCell ref="R216:R219"/>
    <mergeCell ref="S216:S219"/>
    <mergeCell ref="T216:T219"/>
    <mergeCell ref="I216:I219"/>
    <mergeCell ref="J216:J219"/>
    <mergeCell ref="K216:K219"/>
    <mergeCell ref="L216:L219"/>
    <mergeCell ref="M216:M219"/>
    <mergeCell ref="N216:N219"/>
    <mergeCell ref="V220:V223"/>
    <mergeCell ref="C222:C223"/>
    <mergeCell ref="B216:B219"/>
    <mergeCell ref="C216:C217"/>
    <mergeCell ref="E216:E219"/>
    <mergeCell ref="F216:F219"/>
    <mergeCell ref="G216:G219"/>
    <mergeCell ref="H216:H219"/>
    <mergeCell ref="N212:N215"/>
    <mergeCell ref="O212:O215"/>
    <mergeCell ref="P212:P215"/>
    <mergeCell ref="Q212:Q215"/>
    <mergeCell ref="R212:R215"/>
    <mergeCell ref="S212:S215"/>
    <mergeCell ref="H212:H215"/>
    <mergeCell ref="I212:I215"/>
    <mergeCell ref="J212:J215"/>
    <mergeCell ref="K212:K215"/>
    <mergeCell ref="L212:L215"/>
    <mergeCell ref="M212:M215"/>
    <mergeCell ref="B212:B215"/>
    <mergeCell ref="C212:C213"/>
    <mergeCell ref="E212:E215"/>
    <mergeCell ref="F212:F215"/>
    <mergeCell ref="G212:G215"/>
    <mergeCell ref="U208:U211"/>
    <mergeCell ref="V208:V211"/>
    <mergeCell ref="K208:K211"/>
    <mergeCell ref="L208:L211"/>
    <mergeCell ref="M208:M211"/>
    <mergeCell ref="N208:N211"/>
    <mergeCell ref="O208:O211"/>
    <mergeCell ref="P208:P211"/>
    <mergeCell ref="T212:T215"/>
    <mergeCell ref="U212:U215"/>
    <mergeCell ref="V212:V215"/>
    <mergeCell ref="C214:C215"/>
    <mergeCell ref="B208:B211"/>
    <mergeCell ref="C208:C209"/>
    <mergeCell ref="E208:E211"/>
    <mergeCell ref="F208:F211"/>
    <mergeCell ref="G208:G211"/>
    <mergeCell ref="H208:H211"/>
    <mergeCell ref="I208:I211"/>
    <mergeCell ref="J208:J211"/>
    <mergeCell ref="T204:T207"/>
    <mergeCell ref="U204:U207"/>
    <mergeCell ref="J204:J207"/>
    <mergeCell ref="K204:K207"/>
    <mergeCell ref="L204:L207"/>
    <mergeCell ref="M204:M207"/>
    <mergeCell ref="N204:N207"/>
    <mergeCell ref="O204:O207"/>
    <mergeCell ref="C210:C211"/>
    <mergeCell ref="U200:U203"/>
    <mergeCell ref="V200:V203"/>
    <mergeCell ref="C202:C203"/>
    <mergeCell ref="B204:B207"/>
    <mergeCell ref="C204:C205"/>
    <mergeCell ref="E204:E207"/>
    <mergeCell ref="F204:F207"/>
    <mergeCell ref="G204:G207"/>
    <mergeCell ref="H204:H207"/>
    <mergeCell ref="I204:I207"/>
    <mergeCell ref="O200:O203"/>
    <mergeCell ref="P200:P203"/>
    <mergeCell ref="Q200:Q203"/>
    <mergeCell ref="R200:R203"/>
    <mergeCell ref="S200:S203"/>
    <mergeCell ref="T200:T203"/>
    <mergeCell ref="I200:I203"/>
    <mergeCell ref="J200:J203"/>
    <mergeCell ref="K200:K203"/>
    <mergeCell ref="Q208:Q211"/>
    <mergeCell ref="R208:R211"/>
    <mergeCell ref="S208:S211"/>
    <mergeCell ref="T208:T211"/>
    <mergeCell ref="L200:L203"/>
    <mergeCell ref="M200:M203"/>
    <mergeCell ref="N200:N203"/>
    <mergeCell ref="V204:V207"/>
    <mergeCell ref="C206:C207"/>
    <mergeCell ref="B200:B203"/>
    <mergeCell ref="C200:C201"/>
    <mergeCell ref="E200:E203"/>
    <mergeCell ref="F200:F203"/>
    <mergeCell ref="G200:G203"/>
    <mergeCell ref="H200:H203"/>
    <mergeCell ref="N196:N199"/>
    <mergeCell ref="O196:O199"/>
    <mergeCell ref="P196:P199"/>
    <mergeCell ref="Q196:Q199"/>
    <mergeCell ref="R196:R199"/>
    <mergeCell ref="S196:S199"/>
    <mergeCell ref="H196:H199"/>
    <mergeCell ref="I196:I199"/>
    <mergeCell ref="J196:J199"/>
    <mergeCell ref="K196:K199"/>
    <mergeCell ref="L196:L199"/>
    <mergeCell ref="M196:M199"/>
    <mergeCell ref="B196:B199"/>
    <mergeCell ref="C196:C197"/>
    <mergeCell ref="E196:E199"/>
    <mergeCell ref="F196:F199"/>
    <mergeCell ref="G196:G199"/>
    <mergeCell ref="P204:P207"/>
    <mergeCell ref="Q204:Q207"/>
    <mergeCell ref="R204:R207"/>
    <mergeCell ref="S204:S207"/>
    <mergeCell ref="L192:L195"/>
    <mergeCell ref="M192:M195"/>
    <mergeCell ref="N192:N195"/>
    <mergeCell ref="O192:O195"/>
    <mergeCell ref="P192:P195"/>
    <mergeCell ref="T196:T199"/>
    <mergeCell ref="U196:U199"/>
    <mergeCell ref="V196:V199"/>
    <mergeCell ref="C198:C199"/>
    <mergeCell ref="B192:B195"/>
    <mergeCell ref="C192:C193"/>
    <mergeCell ref="E192:E195"/>
    <mergeCell ref="F192:F195"/>
    <mergeCell ref="G192:G195"/>
    <mergeCell ref="H192:H195"/>
    <mergeCell ref="I192:I195"/>
    <mergeCell ref="J192:J195"/>
    <mergeCell ref="K188:K191"/>
    <mergeCell ref="L188:L191"/>
    <mergeCell ref="M188:M191"/>
    <mergeCell ref="N188:N191"/>
    <mergeCell ref="O188:O191"/>
    <mergeCell ref="C194:C195"/>
    <mergeCell ref="U184:U187"/>
    <mergeCell ref="V184:V187"/>
    <mergeCell ref="C186:C187"/>
    <mergeCell ref="B188:B191"/>
    <mergeCell ref="C188:C189"/>
    <mergeCell ref="E188:E191"/>
    <mergeCell ref="F188:F191"/>
    <mergeCell ref="G188:G191"/>
    <mergeCell ref="H188:H191"/>
    <mergeCell ref="I188:I191"/>
    <mergeCell ref="O184:O187"/>
    <mergeCell ref="P184:P187"/>
    <mergeCell ref="Q184:Q187"/>
    <mergeCell ref="R184:R187"/>
    <mergeCell ref="S184:S187"/>
    <mergeCell ref="T184:T187"/>
    <mergeCell ref="I184:I187"/>
    <mergeCell ref="J184:J187"/>
    <mergeCell ref="K184:K187"/>
    <mergeCell ref="Q192:Q195"/>
    <mergeCell ref="R192:R195"/>
    <mergeCell ref="S192:S195"/>
    <mergeCell ref="T192:T195"/>
    <mergeCell ref="U192:U195"/>
    <mergeCell ref="V192:V195"/>
    <mergeCell ref="K192:K195"/>
    <mergeCell ref="V188:V191"/>
    <mergeCell ref="C190:C191"/>
    <mergeCell ref="B184:B187"/>
    <mergeCell ref="C184:C185"/>
    <mergeCell ref="E184:E187"/>
    <mergeCell ref="F184:F187"/>
    <mergeCell ref="G184:G187"/>
    <mergeCell ref="H184:H187"/>
    <mergeCell ref="N180:N183"/>
    <mergeCell ref="O180:O183"/>
    <mergeCell ref="P180:P183"/>
    <mergeCell ref="Q180:Q183"/>
    <mergeCell ref="R180:R183"/>
    <mergeCell ref="S180:S183"/>
    <mergeCell ref="H180:H183"/>
    <mergeCell ref="I180:I183"/>
    <mergeCell ref="J180:J183"/>
    <mergeCell ref="K180:K183"/>
    <mergeCell ref="L180:L183"/>
    <mergeCell ref="M180:M183"/>
    <mergeCell ref="B180:B183"/>
    <mergeCell ref="C180:C181"/>
    <mergeCell ref="E180:E183"/>
    <mergeCell ref="F180:F183"/>
    <mergeCell ref="G180:G183"/>
    <mergeCell ref="P188:P191"/>
    <mergeCell ref="Q188:Q191"/>
    <mergeCell ref="R188:R191"/>
    <mergeCell ref="S188:S191"/>
    <mergeCell ref="T188:T191"/>
    <mergeCell ref="U188:U191"/>
    <mergeCell ref="J188:J191"/>
    <mergeCell ref="N176:N179"/>
    <mergeCell ref="O176:O179"/>
    <mergeCell ref="P176:P179"/>
    <mergeCell ref="T180:T183"/>
    <mergeCell ref="U180:U183"/>
    <mergeCell ref="V180:V183"/>
    <mergeCell ref="C182:C183"/>
    <mergeCell ref="B176:B179"/>
    <mergeCell ref="C176:C177"/>
    <mergeCell ref="E176:E179"/>
    <mergeCell ref="F176:F179"/>
    <mergeCell ref="G176:G179"/>
    <mergeCell ref="H176:H179"/>
    <mergeCell ref="I176:I179"/>
    <mergeCell ref="J176:J179"/>
    <mergeCell ref="L184:L187"/>
    <mergeCell ref="M184:M187"/>
    <mergeCell ref="N184:N187"/>
    <mergeCell ref="M172:M175"/>
    <mergeCell ref="N172:N175"/>
    <mergeCell ref="O172:O175"/>
    <mergeCell ref="C178:C179"/>
    <mergeCell ref="U168:U171"/>
    <mergeCell ref="V168:V171"/>
    <mergeCell ref="C170:C171"/>
    <mergeCell ref="B172:B175"/>
    <mergeCell ref="C172:C173"/>
    <mergeCell ref="E172:E175"/>
    <mergeCell ref="F172:F175"/>
    <mergeCell ref="G172:G175"/>
    <mergeCell ref="H172:H175"/>
    <mergeCell ref="I172:I175"/>
    <mergeCell ref="O168:O171"/>
    <mergeCell ref="P168:P171"/>
    <mergeCell ref="Q168:Q171"/>
    <mergeCell ref="R168:R171"/>
    <mergeCell ref="S168:S171"/>
    <mergeCell ref="T168:T171"/>
    <mergeCell ref="I168:I171"/>
    <mergeCell ref="J168:J171"/>
    <mergeCell ref="K168:K171"/>
    <mergeCell ref="Q176:Q179"/>
    <mergeCell ref="R176:R179"/>
    <mergeCell ref="S176:S179"/>
    <mergeCell ref="T176:T179"/>
    <mergeCell ref="U176:U179"/>
    <mergeCell ref="V176:V179"/>
    <mergeCell ref="K176:K179"/>
    <mergeCell ref="L176:L179"/>
    <mergeCell ref="M176:M179"/>
    <mergeCell ref="L168:L171"/>
    <mergeCell ref="M168:M171"/>
    <mergeCell ref="N168:N171"/>
    <mergeCell ref="V172:V175"/>
    <mergeCell ref="C174:C175"/>
    <mergeCell ref="B168:B171"/>
    <mergeCell ref="C168:C169"/>
    <mergeCell ref="E168:E171"/>
    <mergeCell ref="F168:F171"/>
    <mergeCell ref="G168:G171"/>
    <mergeCell ref="H168:H171"/>
    <mergeCell ref="N164:N167"/>
    <mergeCell ref="O164:O167"/>
    <mergeCell ref="P164:P167"/>
    <mergeCell ref="Q164:Q167"/>
    <mergeCell ref="R164:R167"/>
    <mergeCell ref="S164:S167"/>
    <mergeCell ref="H164:H167"/>
    <mergeCell ref="I164:I167"/>
    <mergeCell ref="J164:J167"/>
    <mergeCell ref="K164:K167"/>
    <mergeCell ref="L164:L167"/>
    <mergeCell ref="M164:M167"/>
    <mergeCell ref="P172:P175"/>
    <mergeCell ref="Q172:Q175"/>
    <mergeCell ref="R172:R175"/>
    <mergeCell ref="S172:S175"/>
    <mergeCell ref="T172:T175"/>
    <mergeCell ref="U172:U175"/>
    <mergeCell ref="J172:J175"/>
    <mergeCell ref="K172:K175"/>
    <mergeCell ref="L172:L175"/>
    <mergeCell ref="B164:B167"/>
    <mergeCell ref="C164:C165"/>
    <mergeCell ref="E164:E167"/>
    <mergeCell ref="F164:F167"/>
    <mergeCell ref="G164:G167"/>
    <mergeCell ref="Q160:Q163"/>
    <mergeCell ref="R160:R163"/>
    <mergeCell ref="S160:S163"/>
    <mergeCell ref="T160:T163"/>
    <mergeCell ref="U160:U163"/>
    <mergeCell ref="V160:V163"/>
    <mergeCell ref="K160:K163"/>
    <mergeCell ref="L160:L163"/>
    <mergeCell ref="M160:M163"/>
    <mergeCell ref="N160:N163"/>
    <mergeCell ref="O160:O163"/>
    <mergeCell ref="P160:P163"/>
    <mergeCell ref="T164:T167"/>
    <mergeCell ref="U164:U167"/>
    <mergeCell ref="V164:V167"/>
    <mergeCell ref="C166:C167"/>
    <mergeCell ref="B160:B163"/>
    <mergeCell ref="C160:C161"/>
    <mergeCell ref="E160:E163"/>
    <mergeCell ref="F160:F163"/>
    <mergeCell ref="G160:G163"/>
    <mergeCell ref="H160:H163"/>
    <mergeCell ref="I160:I163"/>
    <mergeCell ref="J160:J163"/>
    <mergeCell ref="P156:P159"/>
    <mergeCell ref="Q156:Q159"/>
    <mergeCell ref="R156:R159"/>
    <mergeCell ref="S156:S159"/>
    <mergeCell ref="T156:T159"/>
    <mergeCell ref="U156:U159"/>
    <mergeCell ref="J156:J159"/>
    <mergeCell ref="K156:K159"/>
    <mergeCell ref="L156:L159"/>
    <mergeCell ref="M156:M159"/>
    <mergeCell ref="N156:N159"/>
    <mergeCell ref="O156:O159"/>
    <mergeCell ref="C162:C163"/>
    <mergeCell ref="G156:G159"/>
    <mergeCell ref="H156:H159"/>
    <mergeCell ref="I156:I159"/>
    <mergeCell ref="O152:O155"/>
    <mergeCell ref="P152:P155"/>
    <mergeCell ref="Q152:Q155"/>
    <mergeCell ref="R152:R155"/>
    <mergeCell ref="S152:S155"/>
    <mergeCell ref="T152:T155"/>
    <mergeCell ref="I152:I155"/>
    <mergeCell ref="J152:J155"/>
    <mergeCell ref="K152:K155"/>
    <mergeCell ref="L152:L155"/>
    <mergeCell ref="M152:M155"/>
    <mergeCell ref="N152:N155"/>
    <mergeCell ref="E156:E159"/>
    <mergeCell ref="F156:F159"/>
    <mergeCell ref="V156:V159"/>
    <mergeCell ref="C158:C159"/>
    <mergeCell ref="E144:E147"/>
    <mergeCell ref="F144:F147"/>
    <mergeCell ref="G144:G147"/>
    <mergeCell ref="U148:U151"/>
    <mergeCell ref="V148:V151"/>
    <mergeCell ref="C150:C151"/>
    <mergeCell ref="A152:A223"/>
    <mergeCell ref="B152:B155"/>
    <mergeCell ref="C152:C153"/>
    <mergeCell ref="E152:E155"/>
    <mergeCell ref="F152:F155"/>
    <mergeCell ref="G152:G155"/>
    <mergeCell ref="H152:H155"/>
    <mergeCell ref="O148:O151"/>
    <mergeCell ref="P148:P151"/>
    <mergeCell ref="Q148:Q151"/>
    <mergeCell ref="R148:R151"/>
    <mergeCell ref="S148:S151"/>
    <mergeCell ref="T148:T151"/>
    <mergeCell ref="I148:I151"/>
    <mergeCell ref="J148:J151"/>
    <mergeCell ref="K148:K151"/>
    <mergeCell ref="L148:L151"/>
    <mergeCell ref="M148:M151"/>
    <mergeCell ref="N148:N151"/>
    <mergeCell ref="U152:U155"/>
    <mergeCell ref="V152:V155"/>
    <mergeCell ref="C154:C155"/>
    <mergeCell ref="B156:B159"/>
    <mergeCell ref="C156:C157"/>
    <mergeCell ref="T144:T147"/>
    <mergeCell ref="U144:U147"/>
    <mergeCell ref="V144:V147"/>
    <mergeCell ref="C146:C147"/>
    <mergeCell ref="B140:B143"/>
    <mergeCell ref="C140:C141"/>
    <mergeCell ref="E140:E143"/>
    <mergeCell ref="F140:F143"/>
    <mergeCell ref="G140:G143"/>
    <mergeCell ref="H140:H143"/>
    <mergeCell ref="I140:I143"/>
    <mergeCell ref="J140:J143"/>
    <mergeCell ref="B148:B151"/>
    <mergeCell ref="C148:C149"/>
    <mergeCell ref="E148:E151"/>
    <mergeCell ref="F148:F151"/>
    <mergeCell ref="G148:G151"/>
    <mergeCell ref="H148:H151"/>
    <mergeCell ref="N144:N147"/>
    <mergeCell ref="O144:O147"/>
    <mergeCell ref="P144:P147"/>
    <mergeCell ref="Q144:Q147"/>
    <mergeCell ref="R144:R147"/>
    <mergeCell ref="S144:S147"/>
    <mergeCell ref="H144:H147"/>
    <mergeCell ref="I144:I147"/>
    <mergeCell ref="J144:J147"/>
    <mergeCell ref="K144:K147"/>
    <mergeCell ref="L144:L147"/>
    <mergeCell ref="M144:M147"/>
    <mergeCell ref="B144:B147"/>
    <mergeCell ref="C144:C145"/>
    <mergeCell ref="C142:C143"/>
    <mergeCell ref="U132:U135"/>
    <mergeCell ref="V132:V135"/>
    <mergeCell ref="C134:C135"/>
    <mergeCell ref="B136:B139"/>
    <mergeCell ref="C136:C137"/>
    <mergeCell ref="E136:E139"/>
    <mergeCell ref="F136:F139"/>
    <mergeCell ref="G136:G139"/>
    <mergeCell ref="H136:H139"/>
    <mergeCell ref="I136:I139"/>
    <mergeCell ref="O132:O135"/>
    <mergeCell ref="P132:P135"/>
    <mergeCell ref="Q132:Q135"/>
    <mergeCell ref="R132:R135"/>
    <mergeCell ref="S132:S135"/>
    <mergeCell ref="T132:T135"/>
    <mergeCell ref="I132:I135"/>
    <mergeCell ref="J132:J135"/>
    <mergeCell ref="K132:K135"/>
    <mergeCell ref="Q140:Q143"/>
    <mergeCell ref="R140:R143"/>
    <mergeCell ref="S140:S143"/>
    <mergeCell ref="T140:T143"/>
    <mergeCell ref="U140:U143"/>
    <mergeCell ref="V140:V143"/>
    <mergeCell ref="K140:K143"/>
    <mergeCell ref="L140:L143"/>
    <mergeCell ref="M140:M143"/>
    <mergeCell ref="N140:N143"/>
    <mergeCell ref="O140:O143"/>
    <mergeCell ref="P140:P143"/>
    <mergeCell ref="K128:K131"/>
    <mergeCell ref="L128:L131"/>
    <mergeCell ref="M128:M131"/>
    <mergeCell ref="B128:B131"/>
    <mergeCell ref="C128:C129"/>
    <mergeCell ref="E128:E131"/>
    <mergeCell ref="F128:F131"/>
    <mergeCell ref="G128:G131"/>
    <mergeCell ref="P136:P139"/>
    <mergeCell ref="Q136:Q139"/>
    <mergeCell ref="R136:R139"/>
    <mergeCell ref="S136:S139"/>
    <mergeCell ref="T136:T139"/>
    <mergeCell ref="U136:U139"/>
    <mergeCell ref="J136:J139"/>
    <mergeCell ref="K136:K139"/>
    <mergeCell ref="L136:L139"/>
    <mergeCell ref="M136:M139"/>
    <mergeCell ref="N136:N139"/>
    <mergeCell ref="O136:O139"/>
    <mergeCell ref="T128:T131"/>
    <mergeCell ref="U128:U131"/>
    <mergeCell ref="V128:V131"/>
    <mergeCell ref="C130:C131"/>
    <mergeCell ref="B124:B127"/>
    <mergeCell ref="C124:C125"/>
    <mergeCell ref="E124:E127"/>
    <mergeCell ref="F124:F127"/>
    <mergeCell ref="G124:G127"/>
    <mergeCell ref="H124:H127"/>
    <mergeCell ref="I124:I127"/>
    <mergeCell ref="J124:J127"/>
    <mergeCell ref="L132:L135"/>
    <mergeCell ref="M132:M135"/>
    <mergeCell ref="N132:N135"/>
    <mergeCell ref="V136:V139"/>
    <mergeCell ref="C138:C139"/>
    <mergeCell ref="B132:B135"/>
    <mergeCell ref="C132:C133"/>
    <mergeCell ref="E132:E135"/>
    <mergeCell ref="F132:F135"/>
    <mergeCell ref="G132:G135"/>
    <mergeCell ref="H132:H135"/>
    <mergeCell ref="N128:N131"/>
    <mergeCell ref="O128:O131"/>
    <mergeCell ref="P128:P131"/>
    <mergeCell ref="Q128:Q131"/>
    <mergeCell ref="R128:R131"/>
    <mergeCell ref="S128:S131"/>
    <mergeCell ref="H128:H131"/>
    <mergeCell ref="I128:I131"/>
    <mergeCell ref="J128:J131"/>
    <mergeCell ref="C126:C127"/>
    <mergeCell ref="Q124:Q127"/>
    <mergeCell ref="U116:U119"/>
    <mergeCell ref="V116:V119"/>
    <mergeCell ref="C118:C119"/>
    <mergeCell ref="B120:B123"/>
    <mergeCell ref="C120:C121"/>
    <mergeCell ref="E120:E123"/>
    <mergeCell ref="F120:F123"/>
    <mergeCell ref="G120:G123"/>
    <mergeCell ref="H120:H123"/>
    <mergeCell ref="I120:I123"/>
    <mergeCell ref="O116:O119"/>
    <mergeCell ref="P116:P119"/>
    <mergeCell ref="Q116:Q119"/>
    <mergeCell ref="R116:R119"/>
    <mergeCell ref="S116:S119"/>
    <mergeCell ref="T116:T119"/>
    <mergeCell ref="I116:I119"/>
    <mergeCell ref="J116:J119"/>
    <mergeCell ref="K116:K119"/>
    <mergeCell ref="R124:R127"/>
    <mergeCell ref="S124:S127"/>
    <mergeCell ref="T124:T127"/>
    <mergeCell ref="U124:U127"/>
    <mergeCell ref="V124:V127"/>
    <mergeCell ref="K124:K127"/>
    <mergeCell ref="L124:L127"/>
    <mergeCell ref="M124:M127"/>
    <mergeCell ref="N124:N127"/>
    <mergeCell ref="O124:O127"/>
    <mergeCell ref="P124:P127"/>
    <mergeCell ref="K112:K115"/>
    <mergeCell ref="L112:L115"/>
    <mergeCell ref="M112:M115"/>
    <mergeCell ref="B112:B115"/>
    <mergeCell ref="C112:C113"/>
    <mergeCell ref="E112:E115"/>
    <mergeCell ref="F112:F115"/>
    <mergeCell ref="G112:G115"/>
    <mergeCell ref="P120:P123"/>
    <mergeCell ref="Q120:Q123"/>
    <mergeCell ref="R120:R123"/>
    <mergeCell ref="S120:S123"/>
    <mergeCell ref="T120:T123"/>
    <mergeCell ref="U120:U123"/>
    <mergeCell ref="J120:J123"/>
    <mergeCell ref="K120:K123"/>
    <mergeCell ref="L120:L123"/>
    <mergeCell ref="M120:M123"/>
    <mergeCell ref="N120:N123"/>
    <mergeCell ref="O120:O123"/>
    <mergeCell ref="T112:T115"/>
    <mergeCell ref="U112:U115"/>
    <mergeCell ref="V112:V115"/>
    <mergeCell ref="C114:C115"/>
    <mergeCell ref="B108:B111"/>
    <mergeCell ref="C108:C109"/>
    <mergeCell ref="E108:E111"/>
    <mergeCell ref="F108:F111"/>
    <mergeCell ref="G108:G111"/>
    <mergeCell ref="H108:H111"/>
    <mergeCell ref="I108:I111"/>
    <mergeCell ref="J108:J111"/>
    <mergeCell ref="L116:L119"/>
    <mergeCell ref="M116:M119"/>
    <mergeCell ref="N116:N119"/>
    <mergeCell ref="V120:V123"/>
    <mergeCell ref="C122:C123"/>
    <mergeCell ref="B116:B119"/>
    <mergeCell ref="C116:C117"/>
    <mergeCell ref="E116:E119"/>
    <mergeCell ref="F116:F119"/>
    <mergeCell ref="G116:G119"/>
    <mergeCell ref="H116:H119"/>
    <mergeCell ref="N112:N115"/>
    <mergeCell ref="O112:O115"/>
    <mergeCell ref="P112:P115"/>
    <mergeCell ref="Q112:Q115"/>
    <mergeCell ref="R112:R115"/>
    <mergeCell ref="S112:S115"/>
    <mergeCell ref="H112:H115"/>
    <mergeCell ref="I112:I115"/>
    <mergeCell ref="J112:J115"/>
    <mergeCell ref="C110:C111"/>
    <mergeCell ref="B100:B103"/>
    <mergeCell ref="C100:C101"/>
    <mergeCell ref="E100:E103"/>
    <mergeCell ref="F100:F103"/>
    <mergeCell ref="G100:G103"/>
    <mergeCell ref="H100:H103"/>
    <mergeCell ref="U100:U103"/>
    <mergeCell ref="V100:V103"/>
    <mergeCell ref="C102:C103"/>
    <mergeCell ref="B104:B107"/>
    <mergeCell ref="C104:C105"/>
    <mergeCell ref="E104:E107"/>
    <mergeCell ref="F104:F107"/>
    <mergeCell ref="G104:G107"/>
    <mergeCell ref="H104:H107"/>
    <mergeCell ref="I104:I107"/>
    <mergeCell ref="O100:O103"/>
    <mergeCell ref="P100:P103"/>
    <mergeCell ref="Q100:Q103"/>
    <mergeCell ref="R100:R103"/>
    <mergeCell ref="S100:S103"/>
    <mergeCell ref="T100:T103"/>
    <mergeCell ref="I100:I103"/>
    <mergeCell ref="J100:J103"/>
    <mergeCell ref="K100:K103"/>
    <mergeCell ref="E96:E99"/>
    <mergeCell ref="F96:F99"/>
    <mergeCell ref="G96:G99"/>
    <mergeCell ref="V92:V95"/>
    <mergeCell ref="K92:K95"/>
    <mergeCell ref="L92:L95"/>
    <mergeCell ref="M92:M95"/>
    <mergeCell ref="N92:N95"/>
    <mergeCell ref="O92:O95"/>
    <mergeCell ref="P92:P95"/>
    <mergeCell ref="T96:T99"/>
    <mergeCell ref="U96:U99"/>
    <mergeCell ref="V96:V99"/>
    <mergeCell ref="Q108:Q111"/>
    <mergeCell ref="R108:R111"/>
    <mergeCell ref="S108:S111"/>
    <mergeCell ref="T108:T111"/>
    <mergeCell ref="U108:U111"/>
    <mergeCell ref="V108:V111"/>
    <mergeCell ref="K108:K111"/>
    <mergeCell ref="L108:L111"/>
    <mergeCell ref="M108:M111"/>
    <mergeCell ref="N108:N111"/>
    <mergeCell ref="O108:O111"/>
    <mergeCell ref="P108:P111"/>
    <mergeCell ref="V88:V91"/>
    <mergeCell ref="C90:C91"/>
    <mergeCell ref="L100:L103"/>
    <mergeCell ref="M100:M103"/>
    <mergeCell ref="N100:N103"/>
    <mergeCell ref="V104:V107"/>
    <mergeCell ref="C106:C107"/>
    <mergeCell ref="C98:C99"/>
    <mergeCell ref="P104:P107"/>
    <mergeCell ref="Q104:Q107"/>
    <mergeCell ref="R104:R107"/>
    <mergeCell ref="S104:S107"/>
    <mergeCell ref="T104:T107"/>
    <mergeCell ref="U104:U107"/>
    <mergeCell ref="J104:J107"/>
    <mergeCell ref="K104:K107"/>
    <mergeCell ref="L104:L107"/>
    <mergeCell ref="M104:M107"/>
    <mergeCell ref="N104:N107"/>
    <mergeCell ref="O104:O107"/>
    <mergeCell ref="N96:N99"/>
    <mergeCell ref="O96:O99"/>
    <mergeCell ref="P96:P99"/>
    <mergeCell ref="Q96:Q99"/>
    <mergeCell ref="R96:R99"/>
    <mergeCell ref="S96:S99"/>
    <mergeCell ref="H96:H99"/>
    <mergeCell ref="I96:I99"/>
    <mergeCell ref="J96:J99"/>
    <mergeCell ref="K96:K99"/>
    <mergeCell ref="L96:L99"/>
    <mergeCell ref="M96:M99"/>
    <mergeCell ref="B92:B95"/>
    <mergeCell ref="C92:C93"/>
    <mergeCell ref="E92:E95"/>
    <mergeCell ref="F92:F95"/>
    <mergeCell ref="G92:G95"/>
    <mergeCell ref="H92:H95"/>
    <mergeCell ref="I92:I95"/>
    <mergeCell ref="J92:J95"/>
    <mergeCell ref="P88:P91"/>
    <mergeCell ref="Q88:Q91"/>
    <mergeCell ref="R88:R91"/>
    <mergeCell ref="S88:S91"/>
    <mergeCell ref="T88:T91"/>
    <mergeCell ref="U88:U91"/>
    <mergeCell ref="J88:J91"/>
    <mergeCell ref="K88:K91"/>
    <mergeCell ref="L88:L91"/>
    <mergeCell ref="M88:M91"/>
    <mergeCell ref="N88:N91"/>
    <mergeCell ref="O88:O91"/>
    <mergeCell ref="C94:C95"/>
    <mergeCell ref="Q92:Q95"/>
    <mergeCell ref="R92:R95"/>
    <mergeCell ref="S92:S95"/>
    <mergeCell ref="T92:T95"/>
    <mergeCell ref="U92:U95"/>
    <mergeCell ref="T80:T83"/>
    <mergeCell ref="U80:U83"/>
    <mergeCell ref="V80:V83"/>
    <mergeCell ref="C82:C83"/>
    <mergeCell ref="B84:B87"/>
    <mergeCell ref="C84:C85"/>
    <mergeCell ref="E84:E87"/>
    <mergeCell ref="F84:F87"/>
    <mergeCell ref="G84:G87"/>
    <mergeCell ref="H84:H87"/>
    <mergeCell ref="N80:N83"/>
    <mergeCell ref="O80:O83"/>
    <mergeCell ref="P80:P83"/>
    <mergeCell ref="Q80:Q83"/>
    <mergeCell ref="R80:R83"/>
    <mergeCell ref="S80:S83"/>
    <mergeCell ref="H80:H83"/>
    <mergeCell ref="I80:I83"/>
    <mergeCell ref="J80:J83"/>
    <mergeCell ref="K80:K83"/>
    <mergeCell ref="L80:L83"/>
    <mergeCell ref="M80:M83"/>
    <mergeCell ref="U84:U87"/>
    <mergeCell ref="V84:V87"/>
    <mergeCell ref="C86:C87"/>
    <mergeCell ref="O84:O87"/>
    <mergeCell ref="P84:P87"/>
    <mergeCell ref="Q84:Q87"/>
    <mergeCell ref="R84:R87"/>
    <mergeCell ref="S84:S87"/>
    <mergeCell ref="T84:T87"/>
    <mergeCell ref="I84:I87"/>
    <mergeCell ref="A80:A151"/>
    <mergeCell ref="B80:B83"/>
    <mergeCell ref="C80:C81"/>
    <mergeCell ref="E80:E83"/>
    <mergeCell ref="F80:F83"/>
    <mergeCell ref="G80:G83"/>
    <mergeCell ref="N76:N79"/>
    <mergeCell ref="O76:O79"/>
    <mergeCell ref="P76:P79"/>
    <mergeCell ref="Q76:Q79"/>
    <mergeCell ref="R76:R79"/>
    <mergeCell ref="S76:S79"/>
    <mergeCell ref="H76:H79"/>
    <mergeCell ref="I76:I79"/>
    <mergeCell ref="J76:J79"/>
    <mergeCell ref="K76:K79"/>
    <mergeCell ref="L76:L79"/>
    <mergeCell ref="M76:M79"/>
    <mergeCell ref="B88:B91"/>
    <mergeCell ref="C88:C89"/>
    <mergeCell ref="E88:E91"/>
    <mergeCell ref="F88:F91"/>
    <mergeCell ref="G88:G91"/>
    <mergeCell ref="H88:H91"/>
    <mergeCell ref="I88:I91"/>
    <mergeCell ref="J84:J87"/>
    <mergeCell ref="K84:K87"/>
    <mergeCell ref="L84:L87"/>
    <mergeCell ref="M84:M87"/>
    <mergeCell ref="N84:N87"/>
    <mergeCell ref="B96:B99"/>
    <mergeCell ref="C96:C97"/>
    <mergeCell ref="B76:B79"/>
    <mergeCell ref="C76:C77"/>
    <mergeCell ref="E76:E79"/>
    <mergeCell ref="F76:F79"/>
    <mergeCell ref="G76:G79"/>
    <mergeCell ref="Q72:Q75"/>
    <mergeCell ref="R72:R75"/>
    <mergeCell ref="S72:S75"/>
    <mergeCell ref="T72:T75"/>
    <mergeCell ref="U72:U75"/>
    <mergeCell ref="V72:V75"/>
    <mergeCell ref="K72:K75"/>
    <mergeCell ref="L72:L75"/>
    <mergeCell ref="M72:M75"/>
    <mergeCell ref="N72:N75"/>
    <mergeCell ref="O72:O75"/>
    <mergeCell ref="P72:P75"/>
    <mergeCell ref="T76:T79"/>
    <mergeCell ref="U76:U79"/>
    <mergeCell ref="V76:V79"/>
    <mergeCell ref="C78:C79"/>
    <mergeCell ref="B72:B75"/>
    <mergeCell ref="C72:C73"/>
    <mergeCell ref="E72:E75"/>
    <mergeCell ref="F72:F75"/>
    <mergeCell ref="G72:G75"/>
    <mergeCell ref="H72:H75"/>
    <mergeCell ref="I72:I75"/>
    <mergeCell ref="J72:J75"/>
    <mergeCell ref="T68:T71"/>
    <mergeCell ref="U68:U71"/>
    <mergeCell ref="J68:J71"/>
    <mergeCell ref="K68:K71"/>
    <mergeCell ref="L68:L71"/>
    <mergeCell ref="M68:M71"/>
    <mergeCell ref="N68:N71"/>
    <mergeCell ref="O68:O71"/>
    <mergeCell ref="C74:C75"/>
    <mergeCell ref="U64:U67"/>
    <mergeCell ref="V64:V67"/>
    <mergeCell ref="C66:C67"/>
    <mergeCell ref="B68:B71"/>
    <mergeCell ref="C68:C69"/>
    <mergeCell ref="E68:E71"/>
    <mergeCell ref="F68:F71"/>
    <mergeCell ref="G68:G71"/>
    <mergeCell ref="H68:H71"/>
    <mergeCell ref="I68:I71"/>
    <mergeCell ref="O64:O67"/>
    <mergeCell ref="P64:P67"/>
    <mergeCell ref="Q64:Q67"/>
    <mergeCell ref="R64:R67"/>
    <mergeCell ref="S64:S67"/>
    <mergeCell ref="T64:T67"/>
    <mergeCell ref="I64:I67"/>
    <mergeCell ref="J64:J67"/>
    <mergeCell ref="K64:K67"/>
    <mergeCell ref="L64:L67"/>
    <mergeCell ref="M64:M67"/>
    <mergeCell ref="N64:N67"/>
    <mergeCell ref="V68:V71"/>
    <mergeCell ref="C70:C71"/>
    <mergeCell ref="B64:B67"/>
    <mergeCell ref="C64:C65"/>
    <mergeCell ref="E64:E67"/>
    <mergeCell ref="F64:F67"/>
    <mergeCell ref="G64:G67"/>
    <mergeCell ref="H64:H67"/>
    <mergeCell ref="N60:N63"/>
    <mergeCell ref="O60:O63"/>
    <mergeCell ref="P60:P63"/>
    <mergeCell ref="Q60:Q63"/>
    <mergeCell ref="R60:R63"/>
    <mergeCell ref="S60:S63"/>
    <mergeCell ref="H60:H63"/>
    <mergeCell ref="I60:I63"/>
    <mergeCell ref="J60:J63"/>
    <mergeCell ref="K60:K63"/>
    <mergeCell ref="L60:L63"/>
    <mergeCell ref="M60:M63"/>
    <mergeCell ref="B60:B63"/>
    <mergeCell ref="C60:C61"/>
    <mergeCell ref="E60:E63"/>
    <mergeCell ref="F60:F63"/>
    <mergeCell ref="G60:G63"/>
    <mergeCell ref="P68:P71"/>
    <mergeCell ref="Q68:Q71"/>
    <mergeCell ref="R68:R71"/>
    <mergeCell ref="S68:S71"/>
    <mergeCell ref="U56:U59"/>
    <mergeCell ref="V56:V59"/>
    <mergeCell ref="K56:K59"/>
    <mergeCell ref="L56:L59"/>
    <mergeCell ref="M56:M59"/>
    <mergeCell ref="N56:N59"/>
    <mergeCell ref="O56:O59"/>
    <mergeCell ref="P56:P59"/>
    <mergeCell ref="T60:T63"/>
    <mergeCell ref="U60:U63"/>
    <mergeCell ref="V60:V63"/>
    <mergeCell ref="C62:C63"/>
    <mergeCell ref="B56:B59"/>
    <mergeCell ref="C56:C57"/>
    <mergeCell ref="E56:E59"/>
    <mergeCell ref="F56:F59"/>
    <mergeCell ref="G56:G59"/>
    <mergeCell ref="H56:H59"/>
    <mergeCell ref="I56:I59"/>
    <mergeCell ref="J56:J59"/>
    <mergeCell ref="T52:T55"/>
    <mergeCell ref="U52:U55"/>
    <mergeCell ref="J52:J55"/>
    <mergeCell ref="K52:K55"/>
    <mergeCell ref="L52:L55"/>
    <mergeCell ref="M52:M55"/>
    <mergeCell ref="N52:N55"/>
    <mergeCell ref="O52:O55"/>
    <mergeCell ref="C58:C59"/>
    <mergeCell ref="U48:U51"/>
    <mergeCell ref="V48:V51"/>
    <mergeCell ref="C50:C51"/>
    <mergeCell ref="B52:B55"/>
    <mergeCell ref="C52:C53"/>
    <mergeCell ref="E52:E55"/>
    <mergeCell ref="F52:F55"/>
    <mergeCell ref="G52:G55"/>
    <mergeCell ref="H52:H55"/>
    <mergeCell ref="I52:I55"/>
    <mergeCell ref="O48:O51"/>
    <mergeCell ref="P48:P51"/>
    <mergeCell ref="Q48:Q51"/>
    <mergeCell ref="R48:R51"/>
    <mergeCell ref="S48:S51"/>
    <mergeCell ref="T48:T51"/>
    <mergeCell ref="I48:I51"/>
    <mergeCell ref="J48:J51"/>
    <mergeCell ref="K48:K51"/>
    <mergeCell ref="Q56:Q59"/>
    <mergeCell ref="R56:R59"/>
    <mergeCell ref="S56:S59"/>
    <mergeCell ref="T56:T59"/>
    <mergeCell ref="L48:L51"/>
    <mergeCell ref="M48:M51"/>
    <mergeCell ref="N48:N51"/>
    <mergeCell ref="V52:V55"/>
    <mergeCell ref="C54:C55"/>
    <mergeCell ref="B48:B51"/>
    <mergeCell ref="C48:C49"/>
    <mergeCell ref="E48:E51"/>
    <mergeCell ref="F48:F51"/>
    <mergeCell ref="G48:G51"/>
    <mergeCell ref="H48:H51"/>
    <mergeCell ref="N44:N47"/>
    <mergeCell ref="O44:O47"/>
    <mergeCell ref="P44:P47"/>
    <mergeCell ref="Q44:Q47"/>
    <mergeCell ref="R44:R47"/>
    <mergeCell ref="S44:S47"/>
    <mergeCell ref="H44:H47"/>
    <mergeCell ref="I44:I47"/>
    <mergeCell ref="J44:J47"/>
    <mergeCell ref="K44:K47"/>
    <mergeCell ref="L44:L47"/>
    <mergeCell ref="M44:M47"/>
    <mergeCell ref="B44:B47"/>
    <mergeCell ref="C44:C45"/>
    <mergeCell ref="E44:E47"/>
    <mergeCell ref="F44:F47"/>
    <mergeCell ref="G44:G47"/>
    <mergeCell ref="P52:P55"/>
    <mergeCell ref="Q52:Q55"/>
    <mergeCell ref="R52:R55"/>
    <mergeCell ref="S52:S55"/>
    <mergeCell ref="L40:L43"/>
    <mergeCell ref="M40:M43"/>
    <mergeCell ref="N40:N43"/>
    <mergeCell ref="O40:O43"/>
    <mergeCell ref="P40:P43"/>
    <mergeCell ref="T44:T47"/>
    <mergeCell ref="U44:U47"/>
    <mergeCell ref="V44:V47"/>
    <mergeCell ref="C46:C47"/>
    <mergeCell ref="B40:B43"/>
    <mergeCell ref="C40:C41"/>
    <mergeCell ref="E40:E43"/>
    <mergeCell ref="F40:F43"/>
    <mergeCell ref="G40:G43"/>
    <mergeCell ref="H40:H43"/>
    <mergeCell ref="I40:I43"/>
    <mergeCell ref="J40:J43"/>
    <mergeCell ref="K36:K39"/>
    <mergeCell ref="L36:L39"/>
    <mergeCell ref="M36:M39"/>
    <mergeCell ref="N36:N39"/>
    <mergeCell ref="O36:O39"/>
    <mergeCell ref="C42:C43"/>
    <mergeCell ref="U32:U35"/>
    <mergeCell ref="V32:V35"/>
    <mergeCell ref="C34:C35"/>
    <mergeCell ref="B36:B39"/>
    <mergeCell ref="C36:C37"/>
    <mergeCell ref="E36:E39"/>
    <mergeCell ref="F36:F39"/>
    <mergeCell ref="G36:G39"/>
    <mergeCell ref="H36:H39"/>
    <mergeCell ref="I36:I39"/>
    <mergeCell ref="O32:O35"/>
    <mergeCell ref="P32:P35"/>
    <mergeCell ref="Q32:Q35"/>
    <mergeCell ref="R32:R35"/>
    <mergeCell ref="S32:S35"/>
    <mergeCell ref="T32:T35"/>
    <mergeCell ref="I32:I35"/>
    <mergeCell ref="J32:J35"/>
    <mergeCell ref="K32:K35"/>
    <mergeCell ref="Q40:Q43"/>
    <mergeCell ref="R40:R43"/>
    <mergeCell ref="S40:S43"/>
    <mergeCell ref="T40:T43"/>
    <mergeCell ref="U40:U43"/>
    <mergeCell ref="V40:V43"/>
    <mergeCell ref="K40:K43"/>
    <mergeCell ref="V36:V39"/>
    <mergeCell ref="C38:C39"/>
    <mergeCell ref="B32:B35"/>
    <mergeCell ref="C32:C33"/>
    <mergeCell ref="E32:E35"/>
    <mergeCell ref="F32:F35"/>
    <mergeCell ref="G32:G35"/>
    <mergeCell ref="H32:H35"/>
    <mergeCell ref="N28:N31"/>
    <mergeCell ref="O28:O31"/>
    <mergeCell ref="P28:P31"/>
    <mergeCell ref="Q28:Q31"/>
    <mergeCell ref="R28:R31"/>
    <mergeCell ref="S28:S31"/>
    <mergeCell ref="H28:H31"/>
    <mergeCell ref="I28:I31"/>
    <mergeCell ref="J28:J31"/>
    <mergeCell ref="K28:K31"/>
    <mergeCell ref="L28:L31"/>
    <mergeCell ref="M28:M31"/>
    <mergeCell ref="B28:B31"/>
    <mergeCell ref="C28:C29"/>
    <mergeCell ref="E28:E31"/>
    <mergeCell ref="F28:F31"/>
    <mergeCell ref="G28:G31"/>
    <mergeCell ref="P36:P39"/>
    <mergeCell ref="Q36:Q39"/>
    <mergeCell ref="R36:R39"/>
    <mergeCell ref="S36:S39"/>
    <mergeCell ref="T36:T39"/>
    <mergeCell ref="U36:U39"/>
    <mergeCell ref="J36:J39"/>
    <mergeCell ref="N24:N27"/>
    <mergeCell ref="O24:O27"/>
    <mergeCell ref="P24:P27"/>
    <mergeCell ref="T28:T31"/>
    <mergeCell ref="U28:U31"/>
    <mergeCell ref="V28:V31"/>
    <mergeCell ref="C30:C31"/>
    <mergeCell ref="B24:B27"/>
    <mergeCell ref="C24:C25"/>
    <mergeCell ref="E24:E27"/>
    <mergeCell ref="F24:F27"/>
    <mergeCell ref="G24:G27"/>
    <mergeCell ref="H24:H27"/>
    <mergeCell ref="I24:I27"/>
    <mergeCell ref="J24:J27"/>
    <mergeCell ref="L32:L35"/>
    <mergeCell ref="M32:M35"/>
    <mergeCell ref="N32:N35"/>
    <mergeCell ref="M20:M23"/>
    <mergeCell ref="N20:N23"/>
    <mergeCell ref="O20:O23"/>
    <mergeCell ref="C26:C27"/>
    <mergeCell ref="U16:U19"/>
    <mergeCell ref="V16:V19"/>
    <mergeCell ref="C18:C19"/>
    <mergeCell ref="B20:B23"/>
    <mergeCell ref="C20:C21"/>
    <mergeCell ref="E20:E23"/>
    <mergeCell ref="F20:F23"/>
    <mergeCell ref="G20:G23"/>
    <mergeCell ref="H20:H23"/>
    <mergeCell ref="I20:I23"/>
    <mergeCell ref="O16:O19"/>
    <mergeCell ref="P16:P19"/>
    <mergeCell ref="Q16:Q19"/>
    <mergeCell ref="R16:R19"/>
    <mergeCell ref="S16:S19"/>
    <mergeCell ref="T16:T19"/>
    <mergeCell ref="I16:I19"/>
    <mergeCell ref="J16:J19"/>
    <mergeCell ref="K16:K19"/>
    <mergeCell ref="Q24:Q27"/>
    <mergeCell ref="R24:R27"/>
    <mergeCell ref="S24:S27"/>
    <mergeCell ref="T24:T27"/>
    <mergeCell ref="U24:U27"/>
    <mergeCell ref="V24:V27"/>
    <mergeCell ref="K24:K27"/>
    <mergeCell ref="L24:L27"/>
    <mergeCell ref="M24:M27"/>
    <mergeCell ref="L16:L19"/>
    <mergeCell ref="M16:M19"/>
    <mergeCell ref="N16:N19"/>
    <mergeCell ref="V20:V23"/>
    <mergeCell ref="C22:C23"/>
    <mergeCell ref="B16:B19"/>
    <mergeCell ref="C16:C17"/>
    <mergeCell ref="E16:E19"/>
    <mergeCell ref="F16:F19"/>
    <mergeCell ref="G16:G19"/>
    <mergeCell ref="H16:H19"/>
    <mergeCell ref="N12:N15"/>
    <mergeCell ref="O12:O15"/>
    <mergeCell ref="P12:P15"/>
    <mergeCell ref="Q12:Q15"/>
    <mergeCell ref="R12:R15"/>
    <mergeCell ref="S12:S15"/>
    <mergeCell ref="H12:H15"/>
    <mergeCell ref="I12:I15"/>
    <mergeCell ref="J12:J15"/>
    <mergeCell ref="K12:K15"/>
    <mergeCell ref="L12:L15"/>
    <mergeCell ref="M12:M15"/>
    <mergeCell ref="P20:P23"/>
    <mergeCell ref="Q20:Q23"/>
    <mergeCell ref="R20:R23"/>
    <mergeCell ref="S20:S23"/>
    <mergeCell ref="T20:T23"/>
    <mergeCell ref="U20:U23"/>
    <mergeCell ref="J20:J23"/>
    <mergeCell ref="K20:K23"/>
    <mergeCell ref="L20:L23"/>
    <mergeCell ref="C10:C11"/>
    <mergeCell ref="B12:B15"/>
    <mergeCell ref="C12:C13"/>
    <mergeCell ref="E12:E15"/>
    <mergeCell ref="F12:F15"/>
    <mergeCell ref="G12:G15"/>
    <mergeCell ref="Q8:Q11"/>
    <mergeCell ref="R8:R11"/>
    <mergeCell ref="S8:S11"/>
    <mergeCell ref="T8:T11"/>
    <mergeCell ref="U8:U11"/>
    <mergeCell ref="V8:V11"/>
    <mergeCell ref="K8:K11"/>
    <mergeCell ref="L8:L11"/>
    <mergeCell ref="M8:M11"/>
    <mergeCell ref="N8:N11"/>
    <mergeCell ref="O8:O11"/>
    <mergeCell ref="P8:P11"/>
    <mergeCell ref="T12:T15"/>
    <mergeCell ref="U12:U15"/>
    <mergeCell ref="V12:V15"/>
    <mergeCell ref="C14:C15"/>
    <mergeCell ref="V4:V6"/>
    <mergeCell ref="A8:A79"/>
    <mergeCell ref="B8:B11"/>
    <mergeCell ref="C8:C9"/>
    <mergeCell ref="E8:E11"/>
    <mergeCell ref="F8:F11"/>
    <mergeCell ref="G8:G11"/>
    <mergeCell ref="H8:H11"/>
    <mergeCell ref="I8:I11"/>
    <mergeCell ref="J8:J11"/>
    <mergeCell ref="P4:P6"/>
    <mergeCell ref="Q4:Q6"/>
    <mergeCell ref="R4:R6"/>
    <mergeCell ref="S4:S6"/>
    <mergeCell ref="T4:T6"/>
    <mergeCell ref="U4:U6"/>
    <mergeCell ref="J4:J6"/>
    <mergeCell ref="K4:K6"/>
    <mergeCell ref="L4:L6"/>
    <mergeCell ref="M4:M6"/>
    <mergeCell ref="N4:N6"/>
    <mergeCell ref="O4:O6"/>
    <mergeCell ref="A3:A6"/>
    <mergeCell ref="B3:B6"/>
    <mergeCell ref="C3:C6"/>
    <mergeCell ref="D3:D6"/>
    <mergeCell ref="E3:V3"/>
    <mergeCell ref="E4:E6"/>
    <mergeCell ref="F4:F6"/>
    <mergeCell ref="G4:G6"/>
    <mergeCell ref="H4:H6"/>
    <mergeCell ref="I4:I6"/>
  </mergeCells>
  <phoneticPr fontId="60"/>
  <pageMargins left="0.70866141732283472" right="0.70866141732283472" top="0.74803149606299213" bottom="0.74803149606299213" header="0.31496062992125984" footer="0.31496062992125984"/>
  <pageSetup paperSize="9" scale="47" orientation="portrait" r:id="rId1"/>
  <rowBreaks count="7" manualBreakCount="7">
    <brk id="79" max="21" man="1"/>
    <brk id="151" max="21" man="1"/>
    <brk id="223" max="21" man="1"/>
    <brk id="295" max="21" man="1"/>
    <brk id="367" max="21" man="1"/>
    <brk id="439" max="21" man="1"/>
    <brk id="511" max="2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FFFF00"/>
  </sheetPr>
  <dimension ref="A1:BF52"/>
  <sheetViews>
    <sheetView view="pageBreakPreview" topLeftCell="Z1" zoomScale="115" zoomScaleNormal="100" zoomScaleSheetLayoutView="115" workbookViewId="0">
      <selection activeCell="AA52" sqref="Y6:AB78"/>
    </sheetView>
  </sheetViews>
  <sheetFormatPr defaultRowHeight="13.5"/>
  <cols>
    <col min="1" max="1" width="5.625" style="209" customWidth="1"/>
    <col min="2" max="2" width="5.375" style="209" customWidth="1"/>
    <col min="3" max="3" width="8.25" style="209" bestFit="1" customWidth="1"/>
    <col min="4" max="4" width="7.5" style="209" customWidth="1"/>
    <col min="5" max="5" width="2.25" style="209" customWidth="1"/>
    <col min="6" max="6" width="6.875" style="109" customWidth="1"/>
    <col min="7" max="7" width="8.125" style="119" customWidth="1"/>
    <col min="8" max="8" width="6.875" style="65" customWidth="1"/>
    <col min="9" max="9" width="8.125" style="119" customWidth="1"/>
    <col min="10" max="10" width="2.25" style="205" customWidth="1"/>
    <col min="11" max="11" width="6.25" style="109" customWidth="1"/>
    <col min="12" max="12" width="6.25" style="119" customWidth="1"/>
    <col min="13" max="13" width="6.625" style="205" customWidth="1"/>
    <col min="14" max="14" width="6.25" style="65" customWidth="1"/>
    <col min="15" max="15" width="6.25" style="119" customWidth="1"/>
    <col min="16" max="16" width="6.625" style="205" customWidth="1"/>
    <col min="17" max="17" width="2.25" style="205" customWidth="1"/>
    <col min="18" max="18" width="8" style="109" customWidth="1"/>
    <col min="19" max="19" width="6.875" style="109" customWidth="1"/>
    <col min="20" max="20" width="8" style="120" customWidth="1"/>
    <col min="21" max="21" width="4.625" style="120" customWidth="1"/>
    <col min="22" max="22" width="8.125" style="120" customWidth="1"/>
    <col min="23" max="23" width="2.25" style="205" customWidth="1"/>
    <col min="24" max="24" width="1.125" style="205" customWidth="1"/>
    <col min="25" max="25" width="12.75" style="65" customWidth="1"/>
    <col min="26" max="26" width="9.875" style="65" customWidth="1"/>
    <col min="27" max="27" width="2.25" style="205" customWidth="1"/>
    <col min="28" max="28" width="11.25" style="120" customWidth="1"/>
    <col min="29" max="29" width="1.125" style="120" customWidth="1"/>
    <col min="30" max="30" width="2.25" style="205" customWidth="1"/>
    <col min="31" max="31" width="10.25" style="120" customWidth="1"/>
    <col min="32" max="32" width="2.25" style="205" customWidth="1"/>
    <col min="33" max="33" width="5.625" style="65" customWidth="1"/>
    <col min="34" max="34" width="2.25" style="205" customWidth="1"/>
    <col min="35" max="35" width="9.5" style="118" customWidth="1"/>
    <col min="36" max="36" width="2.25" style="109" customWidth="1"/>
    <col min="37" max="38" width="5.25" style="109" customWidth="1"/>
    <col min="39" max="39" width="2.25" style="109" customWidth="1"/>
    <col min="40" max="40" width="6" style="121" bestFit="1" customWidth="1"/>
    <col min="41" max="42" width="5.25" style="109" customWidth="1"/>
    <col min="43" max="43" width="2.25" style="205" customWidth="1"/>
    <col min="44" max="44" width="6.625" style="65" customWidth="1"/>
    <col min="45" max="45" width="2.25" style="205" customWidth="1"/>
    <col min="46" max="46" width="11.75" style="65" customWidth="1"/>
    <col min="47" max="47" width="2.25" style="205" customWidth="1"/>
    <col min="48" max="48" width="6" style="205" bestFit="1" customWidth="1"/>
    <col min="49" max="49" width="3" style="205" bestFit="1" customWidth="1"/>
    <col min="50" max="50" width="9.75" style="205" bestFit="1" customWidth="1"/>
    <col min="51" max="51" width="3" style="205" bestFit="1" customWidth="1"/>
    <col min="52" max="55" width="8.875" style="65" customWidth="1"/>
    <col min="56" max="56" width="2.125" style="205" customWidth="1"/>
    <col min="57" max="57" width="14.5" style="65" customWidth="1"/>
    <col min="58" max="58" width="6.25" style="109" customWidth="1"/>
    <col min="59" max="16384" width="9" style="122"/>
  </cols>
  <sheetData>
    <row r="1" spans="1:58" s="110" customFormat="1" ht="13.5" customHeight="1">
      <c r="A1" s="2020" t="s">
        <v>364</v>
      </c>
      <c r="B1" s="2020" t="s">
        <v>397</v>
      </c>
      <c r="C1" s="2020" t="s">
        <v>22</v>
      </c>
      <c r="D1" s="2020" t="s">
        <v>325</v>
      </c>
      <c r="E1" s="202"/>
      <c r="F1" s="2022" t="s">
        <v>398</v>
      </c>
      <c r="G1" s="2022"/>
      <c r="H1" s="2022"/>
      <c r="I1" s="2022"/>
      <c r="J1" s="204"/>
      <c r="K1" s="2022" t="s">
        <v>399</v>
      </c>
      <c r="L1" s="2022"/>
      <c r="M1" s="2022"/>
      <c r="N1" s="2022"/>
      <c r="O1" s="2022"/>
      <c r="P1" s="2022"/>
      <c r="Q1" s="204"/>
      <c r="R1" s="2008" t="s">
        <v>400</v>
      </c>
      <c r="S1" s="2030"/>
      <c r="T1" s="2030"/>
      <c r="U1" s="2030"/>
      <c r="V1" s="2026"/>
      <c r="W1" s="204"/>
      <c r="X1" s="204"/>
      <c r="Y1" s="2025" t="s">
        <v>328</v>
      </c>
      <c r="Z1" s="2030"/>
      <c r="AA1" s="2030"/>
      <c r="AB1" s="2030"/>
      <c r="AC1" s="2030"/>
      <c r="AD1" s="2030"/>
      <c r="AE1" s="2026"/>
      <c r="AF1" s="204"/>
      <c r="AG1" s="2025" t="s">
        <v>329</v>
      </c>
      <c r="AH1" s="2030"/>
      <c r="AI1" s="2026"/>
      <c r="AJ1" s="204"/>
      <c r="AK1" s="2025" t="s">
        <v>401</v>
      </c>
      <c r="AL1" s="2026"/>
      <c r="AM1" s="204"/>
      <c r="AN1" s="2022" t="s">
        <v>330</v>
      </c>
      <c r="AO1" s="2022"/>
      <c r="AP1" s="2022"/>
      <c r="AQ1" s="204"/>
      <c r="AR1" s="2021" t="s">
        <v>402</v>
      </c>
      <c r="AS1" s="204"/>
      <c r="AT1" s="2021" t="s">
        <v>403</v>
      </c>
      <c r="AU1" s="204"/>
      <c r="AV1" s="2025" t="s">
        <v>404</v>
      </c>
      <c r="AW1" s="2030"/>
      <c r="AX1" s="2026"/>
      <c r="AY1" s="204"/>
      <c r="AZ1" s="2008" t="s">
        <v>257</v>
      </c>
      <c r="BA1" s="2009"/>
      <c r="BB1" s="2009"/>
      <c r="BC1" s="2010"/>
      <c r="BD1" s="204"/>
      <c r="BE1" s="2021" t="s">
        <v>336</v>
      </c>
      <c r="BF1" s="204"/>
    </row>
    <row r="2" spans="1:58" s="110" customFormat="1" ht="13.5" customHeight="1">
      <c r="A2" s="2020"/>
      <c r="B2" s="2020"/>
      <c r="C2" s="2020"/>
      <c r="D2" s="2020"/>
      <c r="E2" s="202"/>
      <c r="F2" s="2022" t="s">
        <v>337</v>
      </c>
      <c r="G2" s="2022"/>
      <c r="H2" s="2023" t="s">
        <v>338</v>
      </c>
      <c r="I2" s="2023"/>
      <c r="J2" s="205"/>
      <c r="K2" s="2022" t="s">
        <v>337</v>
      </c>
      <c r="L2" s="2022"/>
      <c r="M2" s="2024"/>
      <c r="N2" s="2023" t="s">
        <v>338</v>
      </c>
      <c r="O2" s="2023"/>
      <c r="P2" s="2023"/>
      <c r="Q2" s="205"/>
      <c r="R2" s="2027"/>
      <c r="S2" s="2031"/>
      <c r="T2" s="2031"/>
      <c r="U2" s="2031"/>
      <c r="V2" s="2028"/>
      <c r="W2" s="205"/>
      <c r="X2" s="205"/>
      <c r="Y2" s="2027"/>
      <c r="Z2" s="2031"/>
      <c r="AA2" s="2031"/>
      <c r="AB2" s="2031"/>
      <c r="AC2" s="2031"/>
      <c r="AD2" s="2031"/>
      <c r="AE2" s="2028"/>
      <c r="AF2" s="205"/>
      <c r="AG2" s="2027"/>
      <c r="AH2" s="2031"/>
      <c r="AI2" s="2028"/>
      <c r="AJ2" s="204"/>
      <c r="AK2" s="2463"/>
      <c r="AL2" s="2464"/>
      <c r="AM2" s="204"/>
      <c r="AN2" s="2029"/>
      <c r="AO2" s="2029"/>
      <c r="AP2" s="2029"/>
      <c r="AQ2" s="205"/>
      <c r="AR2" s="2038"/>
      <c r="AS2" s="205"/>
      <c r="AT2" s="2038"/>
      <c r="AU2" s="205"/>
      <c r="AV2" s="2027"/>
      <c r="AW2" s="2031"/>
      <c r="AX2" s="2028"/>
      <c r="AY2" s="205"/>
      <c r="AZ2" s="1987" t="s">
        <v>258</v>
      </c>
      <c r="BA2" s="1989" t="s">
        <v>259</v>
      </c>
      <c r="BB2" s="2427" t="s">
        <v>260</v>
      </c>
      <c r="BC2" s="1991" t="s">
        <v>261</v>
      </c>
      <c r="BD2" s="205"/>
      <c r="BE2" s="2038"/>
      <c r="BF2" s="204"/>
    </row>
    <row r="3" spans="1:58" s="91" customFormat="1" ht="13.5" customHeight="1">
      <c r="A3" s="2020"/>
      <c r="B3" s="2020"/>
      <c r="C3" s="2020"/>
      <c r="D3" s="2020"/>
      <c r="E3" s="198"/>
      <c r="F3" s="2008" t="s">
        <v>339</v>
      </c>
      <c r="G3" s="2010"/>
      <c r="H3" s="2008" t="s">
        <v>339</v>
      </c>
      <c r="I3" s="2010"/>
      <c r="J3" s="199"/>
      <c r="K3" s="210"/>
      <c r="L3" s="94"/>
      <c r="M3" s="95"/>
      <c r="N3" s="210"/>
      <c r="O3" s="94"/>
      <c r="P3" s="96"/>
      <c r="Q3" s="199"/>
      <c r="R3" s="210"/>
      <c r="S3" s="97"/>
      <c r="T3" s="2465" t="s">
        <v>405</v>
      </c>
      <c r="U3" s="2466"/>
      <c r="V3" s="2467"/>
      <c r="W3" s="95"/>
      <c r="X3" s="95"/>
      <c r="Y3" s="88"/>
      <c r="Z3" s="98"/>
      <c r="AA3" s="200"/>
      <c r="AB3" s="2040" t="s">
        <v>406</v>
      </c>
      <c r="AC3" s="99"/>
      <c r="AD3" s="199"/>
      <c r="AE3" s="2039"/>
      <c r="AF3" s="95"/>
      <c r="AG3" s="88"/>
      <c r="AH3" s="200"/>
      <c r="AI3" s="2040" t="s">
        <v>407</v>
      </c>
      <c r="AJ3" s="199"/>
      <c r="AK3" s="2392" t="s">
        <v>27</v>
      </c>
      <c r="AL3" s="2043"/>
      <c r="AM3" s="199"/>
      <c r="AN3" s="88"/>
      <c r="AO3" s="2042" t="s">
        <v>27</v>
      </c>
      <c r="AP3" s="2043"/>
      <c r="AQ3" s="95"/>
      <c r="AR3" s="2038"/>
      <c r="AS3" s="95"/>
      <c r="AT3" s="2038"/>
      <c r="AU3" s="95"/>
      <c r="AV3" s="88"/>
      <c r="AW3" s="200"/>
      <c r="AX3" s="2021" t="s">
        <v>313</v>
      </c>
      <c r="AY3" s="95"/>
      <c r="AZ3" s="1988"/>
      <c r="BA3" s="1990"/>
      <c r="BB3" s="2428"/>
      <c r="BC3" s="1992"/>
      <c r="BD3" s="95"/>
      <c r="BE3" s="2038"/>
      <c r="BF3" s="39"/>
    </row>
    <row r="4" spans="1:58" s="91" customFormat="1" ht="13.5" customHeight="1">
      <c r="A4" s="2021"/>
      <c r="B4" s="2021"/>
      <c r="C4" s="2021"/>
      <c r="D4" s="2021"/>
      <c r="E4" s="198"/>
      <c r="F4" s="210"/>
      <c r="G4" s="100" t="s">
        <v>408</v>
      </c>
      <c r="H4" s="210"/>
      <c r="I4" s="100" t="s">
        <v>409</v>
      </c>
      <c r="J4" s="206"/>
      <c r="K4" s="88"/>
      <c r="L4" s="101" t="s">
        <v>374</v>
      </c>
      <c r="M4" s="95"/>
      <c r="N4" s="85"/>
      <c r="O4" s="101" t="s">
        <v>374</v>
      </c>
      <c r="P4" s="96"/>
      <c r="Q4" s="205"/>
      <c r="R4" s="88"/>
      <c r="S4" s="101" t="s">
        <v>374</v>
      </c>
      <c r="T4" s="102"/>
      <c r="U4" s="103" t="s">
        <v>410</v>
      </c>
      <c r="V4" s="211"/>
      <c r="W4" s="95"/>
      <c r="X4" s="95"/>
      <c r="Y4" s="210"/>
      <c r="Z4" s="39"/>
      <c r="AA4" s="206"/>
      <c r="AB4" s="2041"/>
      <c r="AC4" s="99"/>
      <c r="AD4" s="205"/>
      <c r="AE4" s="2039"/>
      <c r="AF4" s="95"/>
      <c r="AG4" s="210"/>
      <c r="AH4" s="206"/>
      <c r="AI4" s="2041"/>
      <c r="AJ4" s="199"/>
      <c r="AK4" s="212" t="s">
        <v>29</v>
      </c>
      <c r="AL4" s="105" t="s">
        <v>30</v>
      </c>
      <c r="AM4" s="199"/>
      <c r="AN4" s="88"/>
      <c r="AO4" s="104" t="s">
        <v>29</v>
      </c>
      <c r="AP4" s="105" t="s">
        <v>30</v>
      </c>
      <c r="AQ4" s="95"/>
      <c r="AR4" s="2038"/>
      <c r="AS4" s="95"/>
      <c r="AT4" s="2038"/>
      <c r="AU4" s="95"/>
      <c r="AV4" s="210"/>
      <c r="AW4" s="206"/>
      <c r="AX4" s="2038"/>
      <c r="AY4" s="95"/>
      <c r="AZ4" s="1988"/>
      <c r="BA4" s="1990"/>
      <c r="BB4" s="2428"/>
      <c r="BC4" s="1992"/>
      <c r="BD4" s="95"/>
      <c r="BE4" s="2038"/>
      <c r="BF4" s="98"/>
    </row>
    <row r="5" spans="1:58" s="91" customFormat="1" ht="13.5" customHeight="1">
      <c r="A5" s="203" t="s">
        <v>411</v>
      </c>
      <c r="B5" s="203" t="s">
        <v>412</v>
      </c>
      <c r="C5" s="203" t="s">
        <v>413</v>
      </c>
      <c r="D5" s="203" t="s">
        <v>414</v>
      </c>
      <c r="E5" s="199"/>
      <c r="F5" s="2016" t="s">
        <v>378</v>
      </c>
      <c r="G5" s="2016"/>
      <c r="H5" s="2016" t="s">
        <v>415</v>
      </c>
      <c r="I5" s="2016"/>
      <c r="J5" s="205"/>
      <c r="K5" s="1993" t="s">
        <v>348</v>
      </c>
      <c r="L5" s="1994"/>
      <c r="M5" s="1995"/>
      <c r="N5" s="2468" t="s">
        <v>416</v>
      </c>
      <c r="O5" s="2469"/>
      <c r="P5" s="2470"/>
      <c r="Q5" s="205"/>
      <c r="R5" s="2016" t="s">
        <v>417</v>
      </c>
      <c r="S5" s="2016"/>
      <c r="T5" s="2016"/>
      <c r="U5" s="2016"/>
      <c r="V5" s="2016"/>
      <c r="W5" s="95"/>
      <c r="X5" s="95"/>
      <c r="Y5" s="1993" t="s">
        <v>418</v>
      </c>
      <c r="Z5" s="1994"/>
      <c r="AA5" s="1994"/>
      <c r="AB5" s="1994"/>
      <c r="AC5" s="1994"/>
      <c r="AD5" s="1994"/>
      <c r="AE5" s="1995"/>
      <c r="AF5" s="95"/>
      <c r="AG5" s="1993" t="s">
        <v>419</v>
      </c>
      <c r="AH5" s="1994"/>
      <c r="AI5" s="1995"/>
      <c r="AJ5" s="199"/>
      <c r="AK5" s="1993" t="s">
        <v>265</v>
      </c>
      <c r="AL5" s="1995"/>
      <c r="AM5" s="199"/>
      <c r="AN5" s="1993" t="s">
        <v>420</v>
      </c>
      <c r="AO5" s="1994"/>
      <c r="AP5" s="1995"/>
      <c r="AQ5" s="95"/>
      <c r="AR5" s="201" t="s">
        <v>421</v>
      </c>
      <c r="AS5" s="95"/>
      <c r="AT5" s="201" t="s">
        <v>422</v>
      </c>
      <c r="AU5" s="95"/>
      <c r="AV5" s="2016" t="s">
        <v>423</v>
      </c>
      <c r="AW5" s="2016"/>
      <c r="AX5" s="2016"/>
      <c r="AY5" s="95"/>
      <c r="AZ5" s="1993" t="s">
        <v>424</v>
      </c>
      <c r="BA5" s="1994"/>
      <c r="BB5" s="1994"/>
      <c r="BC5" s="1995"/>
      <c r="BD5" s="95"/>
      <c r="BE5" s="201" t="s">
        <v>425</v>
      </c>
      <c r="BF5" s="98"/>
    </row>
    <row r="6" spans="1:58" s="91" customFormat="1" ht="3.75" customHeight="1">
      <c r="A6" s="111"/>
      <c r="B6" s="209"/>
      <c r="C6" s="209"/>
      <c r="D6" s="209"/>
      <c r="E6" s="209"/>
      <c r="F6" s="112"/>
      <c r="G6" s="113"/>
      <c r="H6" s="65"/>
      <c r="I6" s="113"/>
      <c r="J6" s="205"/>
      <c r="K6" s="114"/>
      <c r="L6" s="115"/>
      <c r="M6" s="95"/>
      <c r="N6" s="65"/>
      <c r="O6" s="115"/>
      <c r="P6" s="95"/>
      <c r="Q6" s="95"/>
      <c r="R6" s="114"/>
      <c r="S6" s="114"/>
      <c r="T6" s="116"/>
      <c r="U6" s="116"/>
      <c r="V6" s="116"/>
      <c r="W6" s="95"/>
      <c r="X6" s="95"/>
      <c r="Y6" s="65"/>
      <c r="Z6" s="65"/>
      <c r="AA6" s="205"/>
      <c r="AB6" s="117"/>
      <c r="AC6" s="117"/>
      <c r="AD6" s="205"/>
      <c r="AE6" s="117"/>
      <c r="AF6" s="95"/>
      <c r="AG6" s="65"/>
      <c r="AH6" s="205"/>
      <c r="AI6" s="118"/>
      <c r="AJ6" s="39"/>
      <c r="AK6" s="114"/>
      <c r="AL6" s="114"/>
      <c r="AM6" s="39"/>
      <c r="AN6" s="98"/>
      <c r="AO6" s="114"/>
      <c r="AP6" s="114"/>
      <c r="AQ6" s="95"/>
      <c r="AR6" s="65"/>
      <c r="AS6" s="95"/>
      <c r="AT6" s="65"/>
      <c r="AU6" s="95"/>
      <c r="AV6" s="95"/>
      <c r="AW6" s="95"/>
      <c r="AX6" s="95"/>
      <c r="AY6" s="95"/>
      <c r="AZ6" s="65"/>
      <c r="BA6" s="65"/>
      <c r="BB6" s="65"/>
      <c r="BC6" s="65"/>
      <c r="BD6" s="95"/>
      <c r="BE6" s="65"/>
      <c r="BF6" s="114"/>
    </row>
    <row r="7" spans="1:58" s="91" customFormat="1" ht="15" customHeight="1">
      <c r="A7" s="2212" t="s">
        <v>1014</v>
      </c>
      <c r="B7" s="2434" t="s">
        <v>1135</v>
      </c>
      <c r="C7" s="2437" t="s">
        <v>1021</v>
      </c>
      <c r="D7" s="2440" t="s">
        <v>1136</v>
      </c>
      <c r="E7" s="1123"/>
      <c r="F7" s="2443">
        <v>191550</v>
      </c>
      <c r="G7" s="2460">
        <v>260660</v>
      </c>
      <c r="H7" s="2443">
        <v>186920</v>
      </c>
      <c r="I7" s="2460">
        <v>256030</v>
      </c>
      <c r="J7" s="1972" t="s">
        <v>255</v>
      </c>
      <c r="K7" s="2476">
        <v>1800</v>
      </c>
      <c r="L7" s="2431">
        <v>2490</v>
      </c>
      <c r="M7" s="2471" t="s">
        <v>1017</v>
      </c>
      <c r="N7" s="2476">
        <v>1760</v>
      </c>
      <c r="O7" s="2431">
        <v>2450</v>
      </c>
      <c r="P7" s="2471" t="s">
        <v>1017</v>
      </c>
      <c r="Q7" s="1972" t="s">
        <v>255</v>
      </c>
      <c r="R7" s="2487">
        <v>138230</v>
      </c>
      <c r="S7" s="2471">
        <v>69110</v>
      </c>
      <c r="T7" s="2481">
        <v>1380</v>
      </c>
      <c r="U7" s="2431">
        <v>690</v>
      </c>
      <c r="V7" s="2471" t="s">
        <v>1017</v>
      </c>
      <c r="W7" s="2058" t="s">
        <v>31</v>
      </c>
      <c r="X7" s="32"/>
      <c r="Y7" s="2494" t="s">
        <v>1028</v>
      </c>
      <c r="Z7" s="2495"/>
      <c r="AA7" s="1972" t="s">
        <v>255</v>
      </c>
      <c r="AB7" s="1151"/>
      <c r="AC7" s="1152"/>
      <c r="AD7" s="2060" t="s">
        <v>1018</v>
      </c>
      <c r="AE7" s="1151"/>
      <c r="AF7" s="1972" t="s">
        <v>255</v>
      </c>
      <c r="AG7" s="1969">
        <v>44780</v>
      </c>
      <c r="AH7" s="1972" t="s">
        <v>255</v>
      </c>
      <c r="AI7" s="2479">
        <v>390</v>
      </c>
      <c r="AJ7" s="1959" t="s">
        <v>255</v>
      </c>
      <c r="AK7" s="2476">
        <v>3000</v>
      </c>
      <c r="AL7" s="2498">
        <v>3300</v>
      </c>
      <c r="AM7" s="1959" t="s">
        <v>255</v>
      </c>
      <c r="AN7" s="2429" t="s">
        <v>1137</v>
      </c>
      <c r="AO7" s="2508">
        <v>20300</v>
      </c>
      <c r="AP7" s="2498">
        <v>22600</v>
      </c>
      <c r="AQ7" s="1972" t="s">
        <v>78</v>
      </c>
      <c r="AR7" s="1969">
        <v>2050</v>
      </c>
      <c r="AS7" s="1972" t="s">
        <v>78</v>
      </c>
      <c r="AT7" s="2506" t="s">
        <v>394</v>
      </c>
      <c r="AU7" s="1972" t="s">
        <v>78</v>
      </c>
      <c r="AV7" s="1969">
        <v>33470</v>
      </c>
      <c r="AW7" s="1972" t="s">
        <v>31</v>
      </c>
      <c r="AX7" s="1973">
        <v>330</v>
      </c>
      <c r="AY7" s="1972" t="s">
        <v>78</v>
      </c>
      <c r="AZ7" s="1998" t="s">
        <v>395</v>
      </c>
      <c r="BA7" s="1966" t="s">
        <v>395</v>
      </c>
      <c r="BB7" s="1966" t="s">
        <v>395</v>
      </c>
      <c r="BC7" s="2421" t="s">
        <v>395</v>
      </c>
      <c r="BD7" s="1972"/>
      <c r="BE7" s="2506" t="s">
        <v>396</v>
      </c>
      <c r="BF7" s="114"/>
    </row>
    <row r="8" spans="1:58" s="91" customFormat="1" ht="15" customHeight="1">
      <c r="A8" s="2335"/>
      <c r="B8" s="2435"/>
      <c r="C8" s="2438"/>
      <c r="D8" s="2441"/>
      <c r="E8" s="1123"/>
      <c r="F8" s="2444"/>
      <c r="G8" s="2461"/>
      <c r="H8" s="2444"/>
      <c r="I8" s="2461"/>
      <c r="J8" s="1972"/>
      <c r="K8" s="2477"/>
      <c r="L8" s="2432"/>
      <c r="M8" s="2472"/>
      <c r="N8" s="2477"/>
      <c r="O8" s="2432"/>
      <c r="P8" s="2472"/>
      <c r="Q8" s="1972"/>
      <c r="R8" s="2488"/>
      <c r="S8" s="2472"/>
      <c r="T8" s="2482"/>
      <c r="U8" s="2432"/>
      <c r="V8" s="2472"/>
      <c r="W8" s="2058"/>
      <c r="X8" s="32"/>
      <c r="Y8" s="2458"/>
      <c r="Z8" s="2496"/>
      <c r="AA8" s="1972"/>
      <c r="AB8" s="1166"/>
      <c r="AC8" s="1152"/>
      <c r="AD8" s="2060"/>
      <c r="AE8" s="1166"/>
      <c r="AF8" s="1972"/>
      <c r="AG8" s="1970"/>
      <c r="AH8" s="1972"/>
      <c r="AI8" s="2480"/>
      <c r="AJ8" s="1959"/>
      <c r="AK8" s="2477"/>
      <c r="AL8" s="2499"/>
      <c r="AM8" s="1959"/>
      <c r="AN8" s="2430"/>
      <c r="AO8" s="2504"/>
      <c r="AP8" s="2499"/>
      <c r="AQ8" s="1972"/>
      <c r="AR8" s="1970"/>
      <c r="AS8" s="1972"/>
      <c r="AT8" s="2507"/>
      <c r="AU8" s="1972"/>
      <c r="AV8" s="1970"/>
      <c r="AW8" s="1972"/>
      <c r="AX8" s="1974"/>
      <c r="AY8" s="1972"/>
      <c r="AZ8" s="2511"/>
      <c r="BA8" s="2420"/>
      <c r="BB8" s="2420"/>
      <c r="BC8" s="2422"/>
      <c r="BD8" s="1972"/>
      <c r="BE8" s="2507"/>
      <c r="BF8" s="114"/>
    </row>
    <row r="9" spans="1:58" s="91" customFormat="1" ht="15" customHeight="1">
      <c r="A9" s="2335"/>
      <c r="B9" s="2435"/>
      <c r="C9" s="2438"/>
      <c r="D9" s="2441"/>
      <c r="E9" s="1123"/>
      <c r="F9" s="2444"/>
      <c r="G9" s="2461"/>
      <c r="H9" s="2444"/>
      <c r="I9" s="2461"/>
      <c r="J9" s="1972"/>
      <c r="K9" s="2477"/>
      <c r="L9" s="2432"/>
      <c r="M9" s="2472"/>
      <c r="N9" s="2477"/>
      <c r="O9" s="2432"/>
      <c r="P9" s="2472"/>
      <c r="Q9" s="1972"/>
      <c r="R9" s="2488"/>
      <c r="S9" s="2472"/>
      <c r="T9" s="2482"/>
      <c r="U9" s="2432"/>
      <c r="V9" s="2472"/>
      <c r="W9" s="2058"/>
      <c r="X9" s="32"/>
      <c r="Y9" s="1189" t="s">
        <v>1029</v>
      </c>
      <c r="Z9" s="1314">
        <v>240500</v>
      </c>
      <c r="AA9" s="1972"/>
      <c r="AB9" s="1166">
        <v>2400</v>
      </c>
      <c r="AC9" s="1152"/>
      <c r="AD9" s="2060"/>
      <c r="AE9" s="1166"/>
      <c r="AF9" s="1972"/>
      <c r="AG9" s="1970"/>
      <c r="AH9" s="1972"/>
      <c r="AI9" s="2480"/>
      <c r="AJ9" s="1959"/>
      <c r="AK9" s="2477"/>
      <c r="AL9" s="2499"/>
      <c r="AM9" s="1959"/>
      <c r="AN9" s="2430" t="s">
        <v>1138</v>
      </c>
      <c r="AO9" s="2504">
        <v>11200</v>
      </c>
      <c r="AP9" s="2499">
        <v>12400</v>
      </c>
      <c r="AQ9" s="1972"/>
      <c r="AR9" s="1970"/>
      <c r="AS9" s="1972"/>
      <c r="AT9" s="2507"/>
      <c r="AU9" s="1972"/>
      <c r="AV9" s="1970"/>
      <c r="AW9" s="1972"/>
      <c r="AX9" s="1974"/>
      <c r="AY9" s="1972"/>
      <c r="AZ9" s="2511"/>
      <c r="BA9" s="2420"/>
      <c r="BB9" s="2420"/>
      <c r="BC9" s="2422"/>
      <c r="BD9" s="1972"/>
      <c r="BE9" s="2507"/>
      <c r="BF9" s="114"/>
    </row>
    <row r="10" spans="1:58" s="91" customFormat="1" ht="15" customHeight="1">
      <c r="A10" s="2335"/>
      <c r="B10" s="2435"/>
      <c r="C10" s="2438"/>
      <c r="D10" s="2442"/>
      <c r="E10" s="1123"/>
      <c r="F10" s="2445"/>
      <c r="G10" s="2462"/>
      <c r="H10" s="2445"/>
      <c r="I10" s="2462"/>
      <c r="J10" s="1972"/>
      <c r="K10" s="2478"/>
      <c r="L10" s="2433"/>
      <c r="M10" s="2473"/>
      <c r="N10" s="2478"/>
      <c r="O10" s="2433"/>
      <c r="P10" s="2473"/>
      <c r="Q10" s="1972"/>
      <c r="R10" s="2489"/>
      <c r="S10" s="2473"/>
      <c r="T10" s="2483"/>
      <c r="U10" s="2433"/>
      <c r="V10" s="2473"/>
      <c r="W10" s="2058"/>
      <c r="X10" s="32"/>
      <c r="Y10" s="1189" t="s">
        <v>1139</v>
      </c>
      <c r="Z10" s="1314">
        <v>257400</v>
      </c>
      <c r="AA10" s="1972"/>
      <c r="AB10" s="1166">
        <v>2570</v>
      </c>
      <c r="AC10" s="1152"/>
      <c r="AD10" s="2060"/>
      <c r="AE10" s="1166"/>
      <c r="AF10" s="1972"/>
      <c r="AG10" s="1970"/>
      <c r="AH10" s="1972"/>
      <c r="AI10" s="2480"/>
      <c r="AJ10" s="1959"/>
      <c r="AK10" s="2477"/>
      <c r="AL10" s="2499"/>
      <c r="AM10" s="1959"/>
      <c r="AN10" s="2430"/>
      <c r="AO10" s="2504"/>
      <c r="AP10" s="2499"/>
      <c r="AQ10" s="1972"/>
      <c r="AR10" s="1970"/>
      <c r="AS10" s="1972"/>
      <c r="AT10" s="2507"/>
      <c r="AU10" s="1972"/>
      <c r="AV10" s="1970"/>
      <c r="AW10" s="1972"/>
      <c r="AX10" s="1974"/>
      <c r="AY10" s="1972"/>
      <c r="AZ10" s="2511"/>
      <c r="BA10" s="2420"/>
      <c r="BB10" s="2420"/>
      <c r="BC10" s="2422"/>
      <c r="BD10" s="1972"/>
      <c r="BE10" s="2507"/>
      <c r="BF10" s="114"/>
    </row>
    <row r="11" spans="1:58">
      <c r="A11" s="2335"/>
      <c r="B11" s="2435"/>
      <c r="C11" s="2438"/>
      <c r="D11" s="2446" t="s">
        <v>133</v>
      </c>
      <c r="E11" s="1123"/>
      <c r="F11" s="2054">
        <v>260660</v>
      </c>
      <c r="G11" s="2484"/>
      <c r="H11" s="2054">
        <v>256030</v>
      </c>
      <c r="I11" s="2484"/>
      <c r="J11" s="1972" t="s">
        <v>255</v>
      </c>
      <c r="K11" s="2457">
        <v>2490</v>
      </c>
      <c r="L11" s="2451"/>
      <c r="M11" s="2454" t="s">
        <v>1017</v>
      </c>
      <c r="N11" s="2457">
        <v>2450</v>
      </c>
      <c r="O11" s="2451"/>
      <c r="P11" s="2454" t="s">
        <v>1017</v>
      </c>
      <c r="Q11" s="1972" t="s">
        <v>255</v>
      </c>
      <c r="R11" s="2490">
        <v>69110</v>
      </c>
      <c r="S11" s="2454"/>
      <c r="T11" s="2491">
        <v>690</v>
      </c>
      <c r="U11" s="2451"/>
      <c r="V11" s="2454" t="s">
        <v>1017</v>
      </c>
      <c r="W11" s="2058"/>
      <c r="X11" s="32"/>
      <c r="Y11" s="1189" t="s">
        <v>1033</v>
      </c>
      <c r="Z11" s="1314">
        <v>291200</v>
      </c>
      <c r="AA11" s="1972"/>
      <c r="AB11" s="1166">
        <v>2910</v>
      </c>
      <c r="AC11" s="1152"/>
      <c r="AD11" s="2060"/>
      <c r="AE11" s="1166"/>
      <c r="AF11" s="1972"/>
      <c r="AG11" s="1970"/>
      <c r="AH11" s="1972"/>
      <c r="AI11" s="2474" t="s">
        <v>1073</v>
      </c>
      <c r="AJ11" s="1959"/>
      <c r="AK11" s="2477"/>
      <c r="AL11" s="2499"/>
      <c r="AM11" s="1959"/>
      <c r="AN11" s="2430" t="s">
        <v>1140</v>
      </c>
      <c r="AO11" s="2504">
        <v>9700</v>
      </c>
      <c r="AP11" s="2499">
        <v>10800</v>
      </c>
      <c r="AQ11" s="1972"/>
      <c r="AR11" s="1970"/>
      <c r="AS11" s="1972"/>
      <c r="AT11" s="2501">
        <v>0.1</v>
      </c>
      <c r="AU11" s="1972"/>
      <c r="AV11" s="1970"/>
      <c r="AW11" s="1972"/>
      <c r="AX11" s="1974"/>
      <c r="AY11" s="1972"/>
      <c r="AZ11" s="2509">
        <v>0.02</v>
      </c>
      <c r="BA11" s="2423">
        <v>0.03</v>
      </c>
      <c r="BB11" s="2423">
        <v>0.05</v>
      </c>
      <c r="BC11" s="2425">
        <v>7.0000000000000007E-2</v>
      </c>
      <c r="BD11" s="1972"/>
      <c r="BE11" s="2501">
        <v>0.82</v>
      </c>
    </row>
    <row r="12" spans="1:58">
      <c r="A12" s="2335"/>
      <c r="B12" s="2435"/>
      <c r="C12" s="2438"/>
      <c r="D12" s="2441"/>
      <c r="E12" s="1123"/>
      <c r="F12" s="2019"/>
      <c r="G12" s="2485"/>
      <c r="H12" s="2019"/>
      <c r="I12" s="2485"/>
      <c r="J12" s="1972"/>
      <c r="K12" s="2458"/>
      <c r="L12" s="2452"/>
      <c r="M12" s="2455"/>
      <c r="N12" s="2458"/>
      <c r="O12" s="2452"/>
      <c r="P12" s="2455"/>
      <c r="Q12" s="1972"/>
      <c r="R12" s="2178"/>
      <c r="S12" s="2455"/>
      <c r="T12" s="2492"/>
      <c r="U12" s="2452"/>
      <c r="V12" s="2455"/>
      <c r="W12" s="2058"/>
      <c r="X12" s="32"/>
      <c r="Y12" s="1189" t="s">
        <v>1035</v>
      </c>
      <c r="Z12" s="1314">
        <v>325000</v>
      </c>
      <c r="AA12" s="1972"/>
      <c r="AB12" s="1166">
        <v>3250</v>
      </c>
      <c r="AC12" s="1152"/>
      <c r="AD12" s="2060"/>
      <c r="AE12" s="1166"/>
      <c r="AF12" s="1331"/>
      <c r="AG12" s="1970"/>
      <c r="AH12" s="1972"/>
      <c r="AI12" s="2474"/>
      <c r="AJ12" s="1959"/>
      <c r="AK12" s="2477"/>
      <c r="AL12" s="2499"/>
      <c r="AM12" s="1959"/>
      <c r="AN12" s="2430"/>
      <c r="AO12" s="2504"/>
      <c r="AP12" s="2499"/>
      <c r="AQ12" s="1972"/>
      <c r="AR12" s="1970"/>
      <c r="AS12" s="1972"/>
      <c r="AT12" s="2501"/>
      <c r="AU12" s="1972"/>
      <c r="AV12" s="1970"/>
      <c r="AW12" s="1972"/>
      <c r="AX12" s="1974"/>
      <c r="AY12" s="1972"/>
      <c r="AZ12" s="2509"/>
      <c r="BA12" s="2423"/>
      <c r="BB12" s="2423"/>
      <c r="BC12" s="2425"/>
      <c r="BD12" s="1972"/>
      <c r="BE12" s="2501"/>
    </row>
    <row r="13" spans="1:58">
      <c r="A13" s="2335"/>
      <c r="B13" s="2435"/>
      <c r="C13" s="2438"/>
      <c r="D13" s="2441"/>
      <c r="E13" s="1123"/>
      <c r="F13" s="2019"/>
      <c r="G13" s="2485"/>
      <c r="H13" s="2019"/>
      <c r="I13" s="2485"/>
      <c r="J13" s="1972"/>
      <c r="K13" s="2458"/>
      <c r="L13" s="2452"/>
      <c r="M13" s="2455"/>
      <c r="N13" s="2458"/>
      <c r="O13" s="2452"/>
      <c r="P13" s="2455"/>
      <c r="Q13" s="1972"/>
      <c r="R13" s="2178"/>
      <c r="S13" s="2455"/>
      <c r="T13" s="2492"/>
      <c r="U13" s="2452"/>
      <c r="V13" s="2455"/>
      <c r="W13" s="2058"/>
      <c r="X13" s="32"/>
      <c r="Y13" s="1189" t="s">
        <v>1036</v>
      </c>
      <c r="Z13" s="1314">
        <v>358900</v>
      </c>
      <c r="AA13" s="1972"/>
      <c r="AB13" s="1166">
        <v>3580</v>
      </c>
      <c r="AC13" s="1152"/>
      <c r="AD13" s="2060"/>
      <c r="AE13" s="1166"/>
      <c r="AF13" s="1331"/>
      <c r="AG13" s="1970"/>
      <c r="AH13" s="1972"/>
      <c r="AI13" s="2474"/>
      <c r="AJ13" s="1959"/>
      <c r="AK13" s="2477"/>
      <c r="AL13" s="2499"/>
      <c r="AM13" s="1959"/>
      <c r="AN13" s="2430" t="s">
        <v>1141</v>
      </c>
      <c r="AO13" s="2504">
        <v>8700</v>
      </c>
      <c r="AP13" s="2499">
        <v>9700</v>
      </c>
      <c r="AQ13" s="1972"/>
      <c r="AR13" s="1970"/>
      <c r="AS13" s="1972"/>
      <c r="AT13" s="2501"/>
      <c r="AU13" s="1972"/>
      <c r="AV13" s="1970"/>
      <c r="AW13" s="1972"/>
      <c r="AX13" s="1974"/>
      <c r="AY13" s="1972"/>
      <c r="AZ13" s="2509"/>
      <c r="BA13" s="2423"/>
      <c r="BB13" s="2423"/>
      <c r="BC13" s="2425"/>
      <c r="BD13" s="1972"/>
      <c r="BE13" s="2501"/>
    </row>
    <row r="14" spans="1:58">
      <c r="A14" s="2335"/>
      <c r="B14" s="2436"/>
      <c r="C14" s="2439"/>
      <c r="D14" s="2447"/>
      <c r="E14" s="1123"/>
      <c r="F14" s="2055"/>
      <c r="G14" s="2486"/>
      <c r="H14" s="2055"/>
      <c r="I14" s="2486"/>
      <c r="J14" s="1972"/>
      <c r="K14" s="2459"/>
      <c r="L14" s="2453"/>
      <c r="M14" s="2456"/>
      <c r="N14" s="2459"/>
      <c r="O14" s="2453"/>
      <c r="P14" s="2456"/>
      <c r="Q14" s="1972"/>
      <c r="R14" s="2175"/>
      <c r="S14" s="2456"/>
      <c r="T14" s="2493"/>
      <c r="U14" s="2453"/>
      <c r="V14" s="2456"/>
      <c r="W14" s="2058"/>
      <c r="X14" s="32"/>
      <c r="Y14" s="1189" t="s">
        <v>1038</v>
      </c>
      <c r="Z14" s="1314">
        <v>392700</v>
      </c>
      <c r="AA14" s="1972"/>
      <c r="AB14" s="1166">
        <v>3920</v>
      </c>
      <c r="AC14" s="1152"/>
      <c r="AD14" s="2060"/>
      <c r="AE14" s="1166" t="s">
        <v>1041</v>
      </c>
      <c r="AF14" s="1331"/>
      <c r="AG14" s="1971"/>
      <c r="AH14" s="1972"/>
      <c r="AI14" s="2475"/>
      <c r="AJ14" s="1959"/>
      <c r="AK14" s="2497"/>
      <c r="AL14" s="2500"/>
      <c r="AM14" s="1959"/>
      <c r="AN14" s="2503"/>
      <c r="AO14" s="2505"/>
      <c r="AP14" s="2500"/>
      <c r="AQ14" s="1972"/>
      <c r="AR14" s="1971"/>
      <c r="AS14" s="1972"/>
      <c r="AT14" s="2502"/>
      <c r="AU14" s="1972"/>
      <c r="AV14" s="1971"/>
      <c r="AW14" s="1972"/>
      <c r="AX14" s="1975"/>
      <c r="AY14" s="1972"/>
      <c r="AZ14" s="2510"/>
      <c r="BA14" s="2424"/>
      <c r="BB14" s="2424"/>
      <c r="BC14" s="2426"/>
      <c r="BD14" s="1972"/>
      <c r="BE14" s="2502"/>
    </row>
    <row r="15" spans="1:58" ht="13.5" customHeight="1">
      <c r="A15" s="2335"/>
      <c r="B15" s="2448" t="s">
        <v>1142</v>
      </c>
      <c r="C15" s="2437" t="s">
        <v>1021</v>
      </c>
      <c r="D15" s="2440" t="s">
        <v>1136</v>
      </c>
      <c r="E15" s="1123"/>
      <c r="F15" s="2443">
        <v>150510</v>
      </c>
      <c r="G15" s="2460">
        <v>219620</v>
      </c>
      <c r="H15" s="2443">
        <v>147590</v>
      </c>
      <c r="I15" s="2460">
        <v>216700</v>
      </c>
      <c r="J15" s="1972" t="s">
        <v>255</v>
      </c>
      <c r="K15" s="2476">
        <v>1390</v>
      </c>
      <c r="L15" s="2431">
        <v>2080</v>
      </c>
      <c r="M15" s="2471" t="s">
        <v>1017</v>
      </c>
      <c r="N15" s="2476">
        <v>1360</v>
      </c>
      <c r="O15" s="2431">
        <v>2050</v>
      </c>
      <c r="P15" s="2471" t="s">
        <v>1017</v>
      </c>
      <c r="Q15" s="1972" t="s">
        <v>255</v>
      </c>
      <c r="R15" s="2487">
        <v>138230</v>
      </c>
      <c r="S15" s="2471">
        <v>69110</v>
      </c>
      <c r="T15" s="2481">
        <v>1380</v>
      </c>
      <c r="U15" s="2431">
        <v>690</v>
      </c>
      <c r="V15" s="2471" t="s">
        <v>1017</v>
      </c>
      <c r="W15" s="2058"/>
      <c r="X15" s="32"/>
      <c r="Y15" s="1189" t="s">
        <v>1040</v>
      </c>
      <c r="Z15" s="1314">
        <v>426500</v>
      </c>
      <c r="AA15" s="1972"/>
      <c r="AB15" s="1166">
        <v>4260</v>
      </c>
      <c r="AC15" s="1152"/>
      <c r="AD15" s="2060"/>
      <c r="AE15" s="1197" t="s">
        <v>1042</v>
      </c>
      <c r="AF15" s="1972" t="s">
        <v>255</v>
      </c>
      <c r="AG15" s="1969">
        <v>30230</v>
      </c>
      <c r="AH15" s="1972" t="s">
        <v>255</v>
      </c>
      <c r="AI15" s="2479">
        <v>240</v>
      </c>
      <c r="AJ15" s="1959" t="s">
        <v>255</v>
      </c>
      <c r="AK15" s="2476">
        <v>1900</v>
      </c>
      <c r="AL15" s="2498">
        <v>2100</v>
      </c>
      <c r="AM15" s="1959" t="s">
        <v>255</v>
      </c>
      <c r="AN15" s="2429" t="s">
        <v>1137</v>
      </c>
      <c r="AO15" s="2508">
        <v>25700</v>
      </c>
      <c r="AP15" s="2498">
        <v>28600</v>
      </c>
      <c r="AQ15" s="1972" t="s">
        <v>78</v>
      </c>
      <c r="AR15" s="1969">
        <v>1290</v>
      </c>
      <c r="AS15" s="1972" t="s">
        <v>78</v>
      </c>
      <c r="AT15" s="2506" t="s">
        <v>394</v>
      </c>
      <c r="AU15" s="1972" t="s">
        <v>78</v>
      </c>
      <c r="AV15" s="1969">
        <v>21140</v>
      </c>
      <c r="AW15" s="1972" t="s">
        <v>31</v>
      </c>
      <c r="AX15" s="1973">
        <v>210</v>
      </c>
      <c r="AY15" s="1972" t="s">
        <v>78</v>
      </c>
      <c r="AZ15" s="1998" t="s">
        <v>395</v>
      </c>
      <c r="BA15" s="1966" t="s">
        <v>395</v>
      </c>
      <c r="BB15" s="1966" t="s">
        <v>395</v>
      </c>
      <c r="BC15" s="2421" t="s">
        <v>395</v>
      </c>
      <c r="BD15" s="1239"/>
      <c r="BE15" s="2512" t="s">
        <v>1143</v>
      </c>
    </row>
    <row r="16" spans="1:58">
      <c r="A16" s="2335"/>
      <c r="B16" s="2449"/>
      <c r="C16" s="2438"/>
      <c r="D16" s="2441"/>
      <c r="E16" s="1123"/>
      <c r="F16" s="2444"/>
      <c r="G16" s="2461"/>
      <c r="H16" s="2444"/>
      <c r="I16" s="2461"/>
      <c r="J16" s="1972"/>
      <c r="K16" s="2477"/>
      <c r="L16" s="2432"/>
      <c r="M16" s="2472"/>
      <c r="N16" s="2477"/>
      <c r="O16" s="2432"/>
      <c r="P16" s="2472"/>
      <c r="Q16" s="1972"/>
      <c r="R16" s="2488"/>
      <c r="S16" s="2472"/>
      <c r="T16" s="2482"/>
      <c r="U16" s="2432"/>
      <c r="V16" s="2472"/>
      <c r="W16" s="2058"/>
      <c r="X16" s="32"/>
      <c r="Y16" s="1189" t="s">
        <v>1044</v>
      </c>
      <c r="Z16" s="1314">
        <v>460400</v>
      </c>
      <c r="AA16" s="1972"/>
      <c r="AB16" s="1166">
        <v>4600</v>
      </c>
      <c r="AC16" s="1152"/>
      <c r="AD16" s="2060"/>
      <c r="AE16" s="1166"/>
      <c r="AF16" s="1972"/>
      <c r="AG16" s="1970"/>
      <c r="AH16" s="1972"/>
      <c r="AI16" s="2480"/>
      <c r="AJ16" s="1959"/>
      <c r="AK16" s="2477"/>
      <c r="AL16" s="2499"/>
      <c r="AM16" s="1959"/>
      <c r="AN16" s="2430"/>
      <c r="AO16" s="2504"/>
      <c r="AP16" s="2499"/>
      <c r="AQ16" s="1972"/>
      <c r="AR16" s="1970"/>
      <c r="AS16" s="1972"/>
      <c r="AT16" s="2507"/>
      <c r="AU16" s="1972"/>
      <c r="AV16" s="1970"/>
      <c r="AW16" s="1972"/>
      <c r="AX16" s="1974"/>
      <c r="AY16" s="1972"/>
      <c r="AZ16" s="2511"/>
      <c r="BA16" s="2420"/>
      <c r="BB16" s="2420"/>
      <c r="BC16" s="2422"/>
      <c r="BD16" s="1239"/>
      <c r="BE16" s="2513"/>
    </row>
    <row r="17" spans="1:57">
      <c r="A17" s="2335"/>
      <c r="B17" s="2449"/>
      <c r="C17" s="2438"/>
      <c r="D17" s="2441"/>
      <c r="E17" s="1123"/>
      <c r="F17" s="2444"/>
      <c r="G17" s="2461"/>
      <c r="H17" s="2444"/>
      <c r="I17" s="2461"/>
      <c r="J17" s="1972"/>
      <c r="K17" s="2477"/>
      <c r="L17" s="2432"/>
      <c r="M17" s="2472"/>
      <c r="N17" s="2477"/>
      <c r="O17" s="2432"/>
      <c r="P17" s="2472"/>
      <c r="Q17" s="1972"/>
      <c r="R17" s="2488"/>
      <c r="S17" s="2472"/>
      <c r="T17" s="2482"/>
      <c r="U17" s="2432"/>
      <c r="V17" s="2472"/>
      <c r="W17" s="2058"/>
      <c r="X17" s="32"/>
      <c r="Y17" s="1189" t="s">
        <v>1045</v>
      </c>
      <c r="Z17" s="1314">
        <v>494200</v>
      </c>
      <c r="AA17" s="1972"/>
      <c r="AB17" s="1166">
        <v>4940</v>
      </c>
      <c r="AC17" s="1152"/>
      <c r="AD17" s="2060"/>
      <c r="AE17" s="1166"/>
      <c r="AF17" s="1972"/>
      <c r="AG17" s="1970"/>
      <c r="AH17" s="1972"/>
      <c r="AI17" s="2480"/>
      <c r="AJ17" s="1959"/>
      <c r="AK17" s="2477"/>
      <c r="AL17" s="2499"/>
      <c r="AM17" s="1959"/>
      <c r="AN17" s="2430" t="s">
        <v>1138</v>
      </c>
      <c r="AO17" s="2504">
        <v>14200</v>
      </c>
      <c r="AP17" s="2499">
        <v>15700</v>
      </c>
      <c r="AQ17" s="1972"/>
      <c r="AR17" s="1970"/>
      <c r="AS17" s="1972"/>
      <c r="AT17" s="2507"/>
      <c r="AU17" s="1972"/>
      <c r="AV17" s="1970"/>
      <c r="AW17" s="1972"/>
      <c r="AX17" s="1974"/>
      <c r="AY17" s="1972"/>
      <c r="AZ17" s="2511"/>
      <c r="BA17" s="2420"/>
      <c r="BB17" s="2420"/>
      <c r="BC17" s="2422"/>
      <c r="BD17" s="1239"/>
      <c r="BE17" s="1300" t="s">
        <v>1144</v>
      </c>
    </row>
    <row r="18" spans="1:57">
      <c r="A18" s="2335"/>
      <c r="B18" s="2449"/>
      <c r="C18" s="2438"/>
      <c r="D18" s="2442"/>
      <c r="E18" s="1123"/>
      <c r="F18" s="2445"/>
      <c r="G18" s="2462"/>
      <c r="H18" s="2445"/>
      <c r="I18" s="2462"/>
      <c r="J18" s="1972"/>
      <c r="K18" s="2478"/>
      <c r="L18" s="2433"/>
      <c r="M18" s="2473"/>
      <c r="N18" s="2478"/>
      <c r="O18" s="2433"/>
      <c r="P18" s="2473"/>
      <c r="Q18" s="1972"/>
      <c r="R18" s="2489"/>
      <c r="S18" s="2473"/>
      <c r="T18" s="2483"/>
      <c r="U18" s="2433"/>
      <c r="V18" s="2473"/>
      <c r="W18" s="2058"/>
      <c r="X18" s="32"/>
      <c r="Y18" s="1189" t="s">
        <v>1047</v>
      </c>
      <c r="Z18" s="1314">
        <v>528000</v>
      </c>
      <c r="AA18" s="1972"/>
      <c r="AB18" s="1166">
        <v>5280</v>
      </c>
      <c r="AC18" s="1152"/>
      <c r="AD18" s="2060"/>
      <c r="AE18" s="1166"/>
      <c r="AF18" s="1972"/>
      <c r="AG18" s="1970"/>
      <c r="AH18" s="1972"/>
      <c r="AI18" s="2480"/>
      <c r="AJ18" s="1959"/>
      <c r="AK18" s="2477"/>
      <c r="AL18" s="2499"/>
      <c r="AM18" s="1959"/>
      <c r="AN18" s="2430"/>
      <c r="AO18" s="2504"/>
      <c r="AP18" s="2499"/>
      <c r="AQ18" s="1972"/>
      <c r="AR18" s="1970"/>
      <c r="AS18" s="1972"/>
      <c r="AT18" s="2507"/>
      <c r="AU18" s="1972"/>
      <c r="AV18" s="1970"/>
      <c r="AW18" s="1972"/>
      <c r="AX18" s="1974"/>
      <c r="AY18" s="1972"/>
      <c r="AZ18" s="2511"/>
      <c r="BA18" s="2420"/>
      <c r="BB18" s="2420"/>
      <c r="BC18" s="2422"/>
      <c r="BD18" s="1239"/>
      <c r="BE18" s="1332">
        <v>0.8</v>
      </c>
    </row>
    <row r="19" spans="1:57">
      <c r="A19" s="2335"/>
      <c r="B19" s="2449"/>
      <c r="C19" s="2438"/>
      <c r="D19" s="2446" t="s">
        <v>133</v>
      </c>
      <c r="E19" s="1123"/>
      <c r="F19" s="2054">
        <v>219620</v>
      </c>
      <c r="G19" s="2484"/>
      <c r="H19" s="2054">
        <v>216700</v>
      </c>
      <c r="I19" s="2484"/>
      <c r="J19" s="1972" t="s">
        <v>255</v>
      </c>
      <c r="K19" s="2457">
        <v>2080</v>
      </c>
      <c r="L19" s="2451"/>
      <c r="M19" s="2454" t="s">
        <v>1017</v>
      </c>
      <c r="N19" s="2457">
        <v>2050</v>
      </c>
      <c r="O19" s="2451"/>
      <c r="P19" s="2454" t="s">
        <v>1017</v>
      </c>
      <c r="Q19" s="1972" t="s">
        <v>255</v>
      </c>
      <c r="R19" s="2490">
        <v>69110</v>
      </c>
      <c r="S19" s="2454"/>
      <c r="T19" s="2491">
        <v>690</v>
      </c>
      <c r="U19" s="2451"/>
      <c r="V19" s="2454" t="s">
        <v>1017</v>
      </c>
      <c r="W19" s="2058"/>
      <c r="X19" s="32"/>
      <c r="Y19" s="1189" t="s">
        <v>48</v>
      </c>
      <c r="Z19" s="1314">
        <v>561900</v>
      </c>
      <c r="AA19" s="1972"/>
      <c r="AB19" s="1166">
        <v>5610</v>
      </c>
      <c r="AC19" s="1152"/>
      <c r="AD19" s="2060"/>
      <c r="AE19" s="1166"/>
      <c r="AF19" s="1972"/>
      <c r="AG19" s="1970"/>
      <c r="AH19" s="1972"/>
      <c r="AI19" s="2474" t="s">
        <v>1073</v>
      </c>
      <c r="AJ19" s="1959"/>
      <c r="AK19" s="2477"/>
      <c r="AL19" s="2499"/>
      <c r="AM19" s="1959"/>
      <c r="AN19" s="2430" t="s">
        <v>1140</v>
      </c>
      <c r="AO19" s="2504">
        <v>12300</v>
      </c>
      <c r="AP19" s="2499">
        <v>13700</v>
      </c>
      <c r="AQ19" s="1972"/>
      <c r="AR19" s="1970"/>
      <c r="AS19" s="1972"/>
      <c r="AT19" s="2501">
        <v>0.09</v>
      </c>
      <c r="AU19" s="1972"/>
      <c r="AV19" s="1970"/>
      <c r="AW19" s="1972"/>
      <c r="AX19" s="1974"/>
      <c r="AY19" s="1972"/>
      <c r="AZ19" s="2509">
        <v>0.02</v>
      </c>
      <c r="BA19" s="2423">
        <v>0.03</v>
      </c>
      <c r="BB19" s="2423">
        <v>0.05</v>
      </c>
      <c r="BC19" s="2425">
        <v>7.0000000000000007E-2</v>
      </c>
      <c r="BD19" s="1239"/>
      <c r="BE19" s="1300" t="s">
        <v>1145</v>
      </c>
    </row>
    <row r="20" spans="1:57">
      <c r="A20" s="2335"/>
      <c r="B20" s="2449"/>
      <c r="C20" s="2438"/>
      <c r="D20" s="2441"/>
      <c r="E20" s="1123"/>
      <c r="F20" s="2019"/>
      <c r="G20" s="2485"/>
      <c r="H20" s="2019"/>
      <c r="I20" s="2485"/>
      <c r="J20" s="1972"/>
      <c r="K20" s="2458"/>
      <c r="L20" s="2452"/>
      <c r="M20" s="2455"/>
      <c r="N20" s="2458"/>
      <c r="O20" s="2452"/>
      <c r="P20" s="2455"/>
      <c r="Q20" s="1972"/>
      <c r="R20" s="2178"/>
      <c r="S20" s="2455"/>
      <c r="T20" s="2492"/>
      <c r="U20" s="2452"/>
      <c r="V20" s="2455"/>
      <c r="W20" s="32"/>
      <c r="X20" s="32"/>
      <c r="Y20" s="1189" t="s">
        <v>1051</v>
      </c>
      <c r="Z20" s="1314">
        <v>595700</v>
      </c>
      <c r="AA20" s="1972"/>
      <c r="AB20" s="1166">
        <v>5950</v>
      </c>
      <c r="AC20" s="1152"/>
      <c r="AD20" s="2060"/>
      <c r="AE20" s="1166"/>
      <c r="AF20" s="32"/>
      <c r="AG20" s="1970"/>
      <c r="AH20" s="1972"/>
      <c r="AI20" s="2474"/>
      <c r="AJ20" s="1959"/>
      <c r="AK20" s="2477"/>
      <c r="AL20" s="2499"/>
      <c r="AM20" s="1959"/>
      <c r="AN20" s="2430"/>
      <c r="AO20" s="2504"/>
      <c r="AP20" s="2499"/>
      <c r="AQ20" s="1972"/>
      <c r="AR20" s="1970"/>
      <c r="AS20" s="1972"/>
      <c r="AT20" s="2501"/>
      <c r="AU20" s="1972"/>
      <c r="AV20" s="1970"/>
      <c r="AW20" s="1972"/>
      <c r="AX20" s="1974"/>
      <c r="AY20" s="1972"/>
      <c r="AZ20" s="2509"/>
      <c r="BA20" s="2423"/>
      <c r="BB20" s="2423"/>
      <c r="BC20" s="2425"/>
      <c r="BD20" s="1239"/>
      <c r="BE20" s="1332">
        <v>0.75</v>
      </c>
    </row>
    <row r="21" spans="1:57">
      <c r="A21" s="2335"/>
      <c r="B21" s="2449"/>
      <c r="C21" s="2438"/>
      <c r="D21" s="2441"/>
      <c r="E21" s="1123"/>
      <c r="F21" s="2019"/>
      <c r="G21" s="2485"/>
      <c r="H21" s="2019"/>
      <c r="I21" s="2485"/>
      <c r="J21" s="1972"/>
      <c r="K21" s="2458"/>
      <c r="L21" s="2452"/>
      <c r="M21" s="2455"/>
      <c r="N21" s="2458"/>
      <c r="O21" s="2452"/>
      <c r="P21" s="2455"/>
      <c r="Q21" s="1972"/>
      <c r="R21" s="2178"/>
      <c r="S21" s="2455"/>
      <c r="T21" s="2492"/>
      <c r="U21" s="2452"/>
      <c r="V21" s="2455"/>
      <c r="W21" s="32"/>
      <c r="X21" s="32"/>
      <c r="Y21" s="1189" t="s">
        <v>1052</v>
      </c>
      <c r="Z21" s="1314">
        <v>629500</v>
      </c>
      <c r="AA21" s="1972"/>
      <c r="AB21" s="1166">
        <v>6290</v>
      </c>
      <c r="AC21" s="1152"/>
      <c r="AD21" s="2060"/>
      <c r="AE21" s="1166"/>
      <c r="AF21" s="32"/>
      <c r="AG21" s="1970"/>
      <c r="AH21" s="1972"/>
      <c r="AI21" s="2474"/>
      <c r="AJ21" s="1959"/>
      <c r="AK21" s="2477"/>
      <c r="AL21" s="2499"/>
      <c r="AM21" s="1959"/>
      <c r="AN21" s="2430" t="s">
        <v>1141</v>
      </c>
      <c r="AO21" s="2504">
        <v>11000</v>
      </c>
      <c r="AP21" s="2499">
        <v>12300</v>
      </c>
      <c r="AQ21" s="1972"/>
      <c r="AR21" s="1970"/>
      <c r="AS21" s="1972"/>
      <c r="AT21" s="2501"/>
      <c r="AU21" s="1972"/>
      <c r="AV21" s="1970"/>
      <c r="AW21" s="1972"/>
      <c r="AX21" s="1974"/>
      <c r="AY21" s="1972"/>
      <c r="AZ21" s="2509"/>
      <c r="BA21" s="2423"/>
      <c r="BB21" s="2423"/>
      <c r="BC21" s="2425"/>
      <c r="BD21" s="1239"/>
      <c r="BE21" s="1300" t="s">
        <v>1146</v>
      </c>
    </row>
    <row r="22" spans="1:57">
      <c r="A22" s="2213"/>
      <c r="B22" s="2450"/>
      <c r="C22" s="2439"/>
      <c r="D22" s="2447"/>
      <c r="E22" s="1123"/>
      <c r="F22" s="2055"/>
      <c r="G22" s="2486"/>
      <c r="H22" s="2055"/>
      <c r="I22" s="2486"/>
      <c r="J22" s="1972"/>
      <c r="K22" s="2459"/>
      <c r="L22" s="2453"/>
      <c r="M22" s="2456"/>
      <c r="N22" s="2459"/>
      <c r="O22" s="2453"/>
      <c r="P22" s="2456"/>
      <c r="Q22" s="1972"/>
      <c r="R22" s="2175"/>
      <c r="S22" s="2456"/>
      <c r="T22" s="2493"/>
      <c r="U22" s="2453"/>
      <c r="V22" s="2456"/>
      <c r="W22" s="32"/>
      <c r="X22" s="32"/>
      <c r="Y22" s="1333" t="s">
        <v>1054</v>
      </c>
      <c r="Z22" s="1182">
        <v>663400</v>
      </c>
      <c r="AA22" s="1972"/>
      <c r="AB22" s="1200">
        <v>6630</v>
      </c>
      <c r="AC22" s="1152"/>
      <c r="AD22" s="2060"/>
      <c r="AE22" s="1200"/>
      <c r="AF22" s="32"/>
      <c r="AG22" s="1971"/>
      <c r="AH22" s="1972"/>
      <c r="AI22" s="2475"/>
      <c r="AJ22" s="1959"/>
      <c r="AK22" s="2497"/>
      <c r="AL22" s="2500"/>
      <c r="AM22" s="1959"/>
      <c r="AN22" s="2503"/>
      <c r="AO22" s="2505"/>
      <c r="AP22" s="2500"/>
      <c r="AQ22" s="1972"/>
      <c r="AR22" s="1971"/>
      <c r="AS22" s="1972"/>
      <c r="AT22" s="2502"/>
      <c r="AU22" s="1972"/>
      <c r="AV22" s="1971"/>
      <c r="AW22" s="1972"/>
      <c r="AX22" s="1975"/>
      <c r="AY22" s="1972"/>
      <c r="AZ22" s="2510"/>
      <c r="BA22" s="2424"/>
      <c r="BB22" s="2424"/>
      <c r="BC22" s="2426"/>
      <c r="BD22" s="1239"/>
      <c r="BE22" s="1334">
        <v>0.7</v>
      </c>
    </row>
    <row r="23" spans="1:57">
      <c r="Y23" s="109"/>
      <c r="Z23" s="109"/>
      <c r="AK23" s="39"/>
      <c r="AL23" s="39"/>
      <c r="AN23" s="39"/>
      <c r="AO23" s="39"/>
      <c r="AP23" s="39"/>
    </row>
    <row r="24" spans="1:57">
      <c r="Y24" s="109"/>
      <c r="Z24" s="109"/>
      <c r="AK24" s="39"/>
      <c r="AL24" s="39"/>
      <c r="AN24" s="39"/>
      <c r="AO24" s="39"/>
      <c r="AP24" s="39"/>
    </row>
    <row r="25" spans="1:57">
      <c r="A25" s="28"/>
      <c r="B25" s="28">
        <v>1</v>
      </c>
      <c r="C25" s="28">
        <v>2</v>
      </c>
      <c r="D25" s="28">
        <v>3</v>
      </c>
      <c r="E25" s="28">
        <v>4</v>
      </c>
      <c r="F25" s="28">
        <v>5</v>
      </c>
      <c r="G25" s="28">
        <v>6</v>
      </c>
      <c r="H25" s="28">
        <v>7</v>
      </c>
      <c r="I25" s="28">
        <v>8</v>
      </c>
      <c r="J25" s="28">
        <v>9</v>
      </c>
      <c r="K25" s="28">
        <v>10</v>
      </c>
      <c r="L25" s="28">
        <v>11</v>
      </c>
      <c r="M25" s="28">
        <v>12</v>
      </c>
      <c r="N25" s="28">
        <v>13</v>
      </c>
      <c r="O25" s="28">
        <v>14</v>
      </c>
      <c r="P25" s="28">
        <v>15</v>
      </c>
      <c r="Q25" s="28">
        <v>16</v>
      </c>
      <c r="R25" s="28">
        <v>17</v>
      </c>
      <c r="S25" s="28">
        <v>18</v>
      </c>
      <c r="T25" s="28">
        <v>19</v>
      </c>
      <c r="U25" s="28">
        <v>20</v>
      </c>
      <c r="V25" s="28">
        <v>21</v>
      </c>
      <c r="W25" s="28">
        <v>22</v>
      </c>
      <c r="X25" s="28">
        <v>23</v>
      </c>
      <c r="Y25" s="28">
        <v>24</v>
      </c>
      <c r="Z25" s="28">
        <v>25</v>
      </c>
      <c r="AA25" s="28">
        <v>26</v>
      </c>
      <c r="AB25" s="28">
        <v>27</v>
      </c>
      <c r="AC25" s="28">
        <v>28</v>
      </c>
      <c r="AD25" s="28">
        <v>29</v>
      </c>
      <c r="AE25" s="28">
        <v>30</v>
      </c>
      <c r="AF25" s="28">
        <v>31</v>
      </c>
      <c r="AG25" s="28">
        <v>32</v>
      </c>
      <c r="AH25" s="28">
        <v>33</v>
      </c>
      <c r="AI25" s="28">
        <v>34</v>
      </c>
      <c r="AJ25" s="28">
        <v>35</v>
      </c>
      <c r="AK25" s="28">
        <v>36</v>
      </c>
      <c r="AL25" s="28">
        <v>37</v>
      </c>
      <c r="AM25" s="28">
        <v>38</v>
      </c>
      <c r="AN25" s="28">
        <v>39</v>
      </c>
      <c r="AO25" s="28">
        <v>40</v>
      </c>
      <c r="AP25" s="28">
        <v>41</v>
      </c>
      <c r="AQ25" s="28">
        <v>42</v>
      </c>
      <c r="AR25" s="28">
        <v>43</v>
      </c>
      <c r="AS25" s="28">
        <v>44</v>
      </c>
      <c r="AT25" s="28">
        <v>45</v>
      </c>
      <c r="AU25" s="28">
        <v>46</v>
      </c>
      <c r="AV25" s="28">
        <v>47</v>
      </c>
      <c r="AW25" s="28">
        <v>48</v>
      </c>
      <c r="AX25" s="28">
        <v>49</v>
      </c>
      <c r="AY25" s="28">
        <v>50</v>
      </c>
      <c r="AZ25" s="28">
        <v>51</v>
      </c>
      <c r="BA25" s="28">
        <v>52</v>
      </c>
      <c r="BB25" s="28">
        <v>53</v>
      </c>
      <c r="BC25" s="28">
        <v>54</v>
      </c>
      <c r="BD25" s="28">
        <v>55</v>
      </c>
      <c r="BE25" s="28">
        <v>56</v>
      </c>
    </row>
    <row r="26" spans="1:57">
      <c r="A26" s="2211" t="s">
        <v>153</v>
      </c>
      <c r="B26" s="28">
        <v>6</v>
      </c>
      <c r="D26" s="209" t="str">
        <f>D7</f>
        <v>１､２歳児</v>
      </c>
      <c r="E26" s="209">
        <f t="shared" ref="E26:BD26" si="0">E7</f>
        <v>0</v>
      </c>
      <c r="F26" s="209">
        <f t="shared" si="0"/>
        <v>191550</v>
      </c>
      <c r="G26" s="209">
        <f t="shared" si="0"/>
        <v>260660</v>
      </c>
      <c r="H26" s="209">
        <f t="shared" si="0"/>
        <v>186920</v>
      </c>
      <c r="I26" s="209">
        <f t="shared" si="0"/>
        <v>256030</v>
      </c>
      <c r="J26" s="209" t="str">
        <f t="shared" si="0"/>
        <v>＋</v>
      </c>
      <c r="K26" s="209">
        <f t="shared" si="0"/>
        <v>1800</v>
      </c>
      <c r="L26" s="209">
        <f t="shared" si="0"/>
        <v>2490</v>
      </c>
      <c r="M26" s="209" t="str">
        <f t="shared" si="0"/>
        <v>×加算率</v>
      </c>
      <c r="N26" s="209">
        <f t="shared" si="0"/>
        <v>1760</v>
      </c>
      <c r="O26" s="209">
        <f t="shared" si="0"/>
        <v>2450</v>
      </c>
      <c r="P26" s="209" t="str">
        <f t="shared" si="0"/>
        <v>×加算率</v>
      </c>
      <c r="Q26" s="209" t="str">
        <f t="shared" si="0"/>
        <v>＋</v>
      </c>
      <c r="R26" s="209">
        <f t="shared" si="0"/>
        <v>138230</v>
      </c>
      <c r="S26" s="209">
        <f t="shared" si="0"/>
        <v>69110</v>
      </c>
      <c r="T26" s="209">
        <f t="shared" si="0"/>
        <v>1380</v>
      </c>
      <c r="U26" s="209">
        <f t="shared" si="0"/>
        <v>690</v>
      </c>
      <c r="V26" s="209" t="str">
        <f t="shared" si="0"/>
        <v>×加算率</v>
      </c>
      <c r="W26" s="209" t="str">
        <f t="shared" si="0"/>
        <v>＋</v>
      </c>
      <c r="X26" s="209">
        <f t="shared" si="0"/>
        <v>0</v>
      </c>
      <c r="Y26" s="209" t="str">
        <f t="shared" si="0"/>
        <v>休日保育の年間延べ利用子ども数</v>
      </c>
      <c r="Z26" s="209">
        <f t="shared" si="0"/>
        <v>0</v>
      </c>
      <c r="AA26" s="209" t="str">
        <f t="shared" si="0"/>
        <v>＋</v>
      </c>
      <c r="AB26" s="209">
        <f t="shared" si="0"/>
        <v>0</v>
      </c>
      <c r="AC26" s="209">
        <f t="shared" si="0"/>
        <v>0</v>
      </c>
      <c r="AD26" s="209" t="str">
        <f t="shared" si="0"/>
        <v>÷</v>
      </c>
      <c r="AE26" s="209">
        <f t="shared" si="0"/>
        <v>0</v>
      </c>
      <c r="AF26" s="209" t="str">
        <f t="shared" si="0"/>
        <v>＋</v>
      </c>
      <c r="AG26" s="209">
        <f t="shared" si="0"/>
        <v>44780</v>
      </c>
      <c r="AH26" s="209" t="str">
        <f t="shared" si="0"/>
        <v>＋</v>
      </c>
      <c r="AI26" s="209">
        <f>AI7</f>
        <v>390</v>
      </c>
      <c r="AJ26" s="209" t="str">
        <f t="shared" si="0"/>
        <v>＋</v>
      </c>
      <c r="AK26" s="209">
        <f t="shared" si="0"/>
        <v>3000</v>
      </c>
      <c r="AL26" s="209">
        <f t="shared" si="0"/>
        <v>3300</v>
      </c>
      <c r="AM26" s="209" t="str">
        <f t="shared" si="0"/>
        <v>＋</v>
      </c>
      <c r="AN26" s="209" t="str">
        <f t="shared" si="0"/>
        <v>ａ地域</v>
      </c>
      <c r="AO26" s="209">
        <f t="shared" si="0"/>
        <v>20300</v>
      </c>
      <c r="AP26" s="209">
        <f t="shared" si="0"/>
        <v>22600</v>
      </c>
      <c r="AQ26" s="209" t="str">
        <f t="shared" si="0"/>
        <v>－</v>
      </c>
      <c r="AR26" s="209">
        <f t="shared" si="0"/>
        <v>2050</v>
      </c>
      <c r="AS26" s="209" t="str">
        <f t="shared" si="0"/>
        <v>－</v>
      </c>
      <c r="AT26" s="228">
        <f>AT11</f>
        <v>0.1</v>
      </c>
      <c r="AU26" s="209" t="str">
        <f t="shared" si="0"/>
        <v>－</v>
      </c>
      <c r="AV26" s="209"/>
      <c r="AW26" s="209"/>
      <c r="AX26" s="209">
        <f>AX7</f>
        <v>330</v>
      </c>
      <c r="AY26" s="209"/>
      <c r="AZ26" s="228">
        <f>AZ11</f>
        <v>0.02</v>
      </c>
      <c r="BA26" s="228">
        <f>BA11</f>
        <v>0.03</v>
      </c>
      <c r="BB26" s="228">
        <f>BB11</f>
        <v>0.05</v>
      </c>
      <c r="BC26" s="228">
        <f>BC11</f>
        <v>7.0000000000000007E-2</v>
      </c>
      <c r="BD26" s="209">
        <f t="shared" si="0"/>
        <v>0</v>
      </c>
      <c r="BE26" s="228">
        <f>BE11</f>
        <v>0.82</v>
      </c>
    </row>
    <row r="27" spans="1:57">
      <c r="A27" s="2211"/>
      <c r="B27" s="28">
        <v>13</v>
      </c>
      <c r="D27" s="209" t="str">
        <f>D15</f>
        <v>１､２歳児</v>
      </c>
      <c r="E27" s="209">
        <f t="shared" ref="E27:BD27" si="1">E15</f>
        <v>0</v>
      </c>
      <c r="F27" s="209">
        <f t="shared" si="1"/>
        <v>150510</v>
      </c>
      <c r="G27" s="209">
        <f t="shared" si="1"/>
        <v>219620</v>
      </c>
      <c r="H27" s="209">
        <f t="shared" si="1"/>
        <v>147590</v>
      </c>
      <c r="I27" s="209">
        <f t="shared" si="1"/>
        <v>216700</v>
      </c>
      <c r="J27" s="209" t="str">
        <f t="shared" si="1"/>
        <v>＋</v>
      </c>
      <c r="K27" s="209">
        <f t="shared" si="1"/>
        <v>1390</v>
      </c>
      <c r="L27" s="209">
        <f t="shared" si="1"/>
        <v>2080</v>
      </c>
      <c r="M27" s="209" t="str">
        <f t="shared" si="1"/>
        <v>×加算率</v>
      </c>
      <c r="N27" s="209">
        <f t="shared" si="1"/>
        <v>1360</v>
      </c>
      <c r="O27" s="209">
        <f t="shared" si="1"/>
        <v>2050</v>
      </c>
      <c r="P27" s="209" t="str">
        <f t="shared" si="1"/>
        <v>×加算率</v>
      </c>
      <c r="Q27" s="209" t="str">
        <f t="shared" si="1"/>
        <v>＋</v>
      </c>
      <c r="R27" s="209">
        <f t="shared" si="1"/>
        <v>138230</v>
      </c>
      <c r="S27" s="209">
        <f t="shared" si="1"/>
        <v>69110</v>
      </c>
      <c r="T27" s="209">
        <f t="shared" si="1"/>
        <v>1380</v>
      </c>
      <c r="U27" s="209">
        <f t="shared" si="1"/>
        <v>690</v>
      </c>
      <c r="V27" s="209" t="str">
        <f t="shared" si="1"/>
        <v>×加算率</v>
      </c>
      <c r="W27" s="209">
        <f t="shared" si="1"/>
        <v>0</v>
      </c>
      <c r="X27" s="209">
        <f t="shared" si="1"/>
        <v>0</v>
      </c>
      <c r="Y27" s="209" t="str">
        <f t="shared" si="1"/>
        <v>　 560人～　629人</v>
      </c>
      <c r="Z27" s="209">
        <f t="shared" si="1"/>
        <v>426500</v>
      </c>
      <c r="AA27" s="209">
        <f t="shared" si="1"/>
        <v>0</v>
      </c>
      <c r="AB27" s="209">
        <f t="shared" si="1"/>
        <v>4260</v>
      </c>
      <c r="AC27" s="209">
        <f t="shared" si="1"/>
        <v>0</v>
      </c>
      <c r="AD27" s="209">
        <f t="shared" si="1"/>
        <v>0</v>
      </c>
      <c r="AE27" s="209" t="str">
        <f t="shared" si="1"/>
        <v>利用子ども数</v>
      </c>
      <c r="AF27" s="209" t="str">
        <f t="shared" si="1"/>
        <v>＋</v>
      </c>
      <c r="AG27" s="209">
        <f t="shared" si="1"/>
        <v>30230</v>
      </c>
      <c r="AH27" s="209" t="str">
        <f t="shared" si="1"/>
        <v>＋</v>
      </c>
      <c r="AI27" s="209">
        <f t="shared" si="1"/>
        <v>240</v>
      </c>
      <c r="AJ27" s="209" t="str">
        <f t="shared" si="1"/>
        <v>＋</v>
      </c>
      <c r="AK27" s="209">
        <f t="shared" si="1"/>
        <v>1900</v>
      </c>
      <c r="AL27" s="209">
        <f t="shared" si="1"/>
        <v>2100</v>
      </c>
      <c r="AM27" s="209" t="str">
        <f t="shared" si="1"/>
        <v>＋</v>
      </c>
      <c r="AN27" s="209" t="str">
        <f t="shared" si="1"/>
        <v>ａ地域</v>
      </c>
      <c r="AO27" s="209">
        <f t="shared" si="1"/>
        <v>25700</v>
      </c>
      <c r="AP27" s="209">
        <f t="shared" si="1"/>
        <v>28600</v>
      </c>
      <c r="AQ27" s="209" t="str">
        <f t="shared" si="1"/>
        <v>－</v>
      </c>
      <c r="AR27" s="209">
        <f t="shared" si="1"/>
        <v>1290</v>
      </c>
      <c r="AS27" s="209" t="str">
        <f t="shared" si="1"/>
        <v>－</v>
      </c>
      <c r="AT27" s="228">
        <f>AT19</f>
        <v>0.09</v>
      </c>
      <c r="AU27" s="209" t="str">
        <f t="shared" si="1"/>
        <v>－</v>
      </c>
      <c r="AV27" s="209"/>
      <c r="AW27" s="209"/>
      <c r="AX27" s="209">
        <f>AX15</f>
        <v>210</v>
      </c>
      <c r="AY27" s="209"/>
      <c r="AZ27" s="228">
        <f>AZ19</f>
        <v>0.02</v>
      </c>
      <c r="BA27" s="228">
        <f>BA19</f>
        <v>0.03</v>
      </c>
      <c r="BB27" s="228">
        <f>BB19</f>
        <v>0.05</v>
      </c>
      <c r="BC27" s="228">
        <f>BC19</f>
        <v>7.0000000000000007E-2</v>
      </c>
      <c r="BD27" s="209">
        <f t="shared" si="1"/>
        <v>0</v>
      </c>
      <c r="BE27" s="228">
        <f>BE11</f>
        <v>0.82</v>
      </c>
    </row>
    <row r="28" spans="1:57">
      <c r="A28" s="28"/>
      <c r="B28" s="28"/>
      <c r="AT28" s="228"/>
    </row>
    <row r="29" spans="1:57">
      <c r="A29" s="2211" t="s">
        <v>154</v>
      </c>
      <c r="B29" s="28">
        <f>B26</f>
        <v>6</v>
      </c>
      <c r="D29" s="209" t="str">
        <f>D11</f>
        <v>乳児</v>
      </c>
      <c r="E29" s="209">
        <f t="shared" ref="E29:BD29" si="2">E11</f>
        <v>0</v>
      </c>
      <c r="F29" s="209">
        <f t="shared" si="2"/>
        <v>260660</v>
      </c>
      <c r="G29" s="209">
        <f t="shared" si="2"/>
        <v>0</v>
      </c>
      <c r="H29" s="209">
        <f t="shared" si="2"/>
        <v>256030</v>
      </c>
      <c r="I29" s="209">
        <f t="shared" si="2"/>
        <v>0</v>
      </c>
      <c r="J29" s="209" t="str">
        <f t="shared" si="2"/>
        <v>＋</v>
      </c>
      <c r="K29" s="209">
        <f t="shared" si="2"/>
        <v>2490</v>
      </c>
      <c r="L29" s="209">
        <f t="shared" si="2"/>
        <v>0</v>
      </c>
      <c r="M29" s="209" t="str">
        <f t="shared" si="2"/>
        <v>×加算率</v>
      </c>
      <c r="N29" s="209">
        <f t="shared" si="2"/>
        <v>2450</v>
      </c>
      <c r="O29" s="209">
        <f t="shared" si="2"/>
        <v>0</v>
      </c>
      <c r="P29" s="209" t="str">
        <f t="shared" si="2"/>
        <v>×加算率</v>
      </c>
      <c r="Q29" s="209" t="str">
        <f t="shared" si="2"/>
        <v>＋</v>
      </c>
      <c r="R29" s="209">
        <f t="shared" si="2"/>
        <v>69110</v>
      </c>
      <c r="S29" s="209">
        <f t="shared" si="2"/>
        <v>0</v>
      </c>
      <c r="T29" s="209">
        <f t="shared" si="2"/>
        <v>690</v>
      </c>
      <c r="U29" s="209">
        <f t="shared" si="2"/>
        <v>0</v>
      </c>
      <c r="V29" s="209" t="str">
        <f t="shared" si="2"/>
        <v>×加算率</v>
      </c>
      <c r="W29" s="209">
        <f t="shared" si="2"/>
        <v>0</v>
      </c>
      <c r="X29" s="209">
        <f t="shared" si="2"/>
        <v>0</v>
      </c>
      <c r="Y29" s="209" t="str">
        <f t="shared" si="2"/>
        <v>　 280人～　349人</v>
      </c>
      <c r="Z29" s="209">
        <f t="shared" si="2"/>
        <v>291200</v>
      </c>
      <c r="AA29" s="209">
        <f t="shared" si="2"/>
        <v>0</v>
      </c>
      <c r="AB29" s="209">
        <f t="shared" si="2"/>
        <v>2910</v>
      </c>
      <c r="AC29" s="209">
        <f t="shared" si="2"/>
        <v>0</v>
      </c>
      <c r="AD29" s="209">
        <f t="shared" si="2"/>
        <v>0</v>
      </c>
      <c r="AE29" s="209">
        <f t="shared" si="2"/>
        <v>0</v>
      </c>
      <c r="AF29" s="209">
        <f t="shared" si="2"/>
        <v>0</v>
      </c>
      <c r="AG29" s="209">
        <f t="shared" si="2"/>
        <v>0</v>
      </c>
      <c r="AH29" s="209">
        <f t="shared" si="2"/>
        <v>0</v>
      </c>
      <c r="AI29" s="209"/>
      <c r="AJ29" s="209">
        <f t="shared" si="2"/>
        <v>0</v>
      </c>
      <c r="AK29" s="209">
        <f t="shared" si="2"/>
        <v>0</v>
      </c>
      <c r="AL29" s="209">
        <f t="shared" si="2"/>
        <v>0</v>
      </c>
      <c r="AM29" s="209">
        <f t="shared" si="2"/>
        <v>0</v>
      </c>
      <c r="AN29" s="209" t="str">
        <f t="shared" si="2"/>
        <v>ｃ地域</v>
      </c>
      <c r="AO29" s="209">
        <f t="shared" si="2"/>
        <v>9700</v>
      </c>
      <c r="AP29" s="209">
        <f t="shared" si="2"/>
        <v>10800</v>
      </c>
      <c r="AQ29" s="209">
        <f t="shared" si="2"/>
        <v>0</v>
      </c>
      <c r="AR29" s="209">
        <f t="shared" si="2"/>
        <v>0</v>
      </c>
      <c r="AS29" s="209">
        <f t="shared" si="2"/>
        <v>0</v>
      </c>
      <c r="AT29" s="228"/>
      <c r="AU29" s="209">
        <f t="shared" si="2"/>
        <v>0</v>
      </c>
      <c r="AV29" s="209"/>
      <c r="AW29" s="209"/>
      <c r="AX29" s="209"/>
      <c r="AY29" s="209"/>
      <c r="AZ29" s="209"/>
      <c r="BA29" s="209"/>
      <c r="BB29" s="209"/>
      <c r="BC29" s="209"/>
      <c r="BD29" s="209">
        <f t="shared" si="2"/>
        <v>0</v>
      </c>
      <c r="BE29" s="209"/>
    </row>
    <row r="30" spans="1:57">
      <c r="A30" s="2211"/>
      <c r="B30" s="28">
        <f>B27</f>
        <v>13</v>
      </c>
      <c r="D30" s="209" t="str">
        <f>D19</f>
        <v>乳児</v>
      </c>
      <c r="E30" s="209">
        <f t="shared" ref="E30:BD30" si="3">E19</f>
        <v>0</v>
      </c>
      <c r="F30" s="209">
        <f t="shared" si="3"/>
        <v>219620</v>
      </c>
      <c r="G30" s="209">
        <f t="shared" si="3"/>
        <v>0</v>
      </c>
      <c r="H30" s="209">
        <f t="shared" si="3"/>
        <v>216700</v>
      </c>
      <c r="I30" s="209">
        <f t="shared" si="3"/>
        <v>0</v>
      </c>
      <c r="J30" s="209" t="str">
        <f t="shared" si="3"/>
        <v>＋</v>
      </c>
      <c r="K30" s="209">
        <f t="shared" si="3"/>
        <v>2080</v>
      </c>
      <c r="L30" s="209">
        <f t="shared" si="3"/>
        <v>0</v>
      </c>
      <c r="M30" s="209" t="str">
        <f t="shared" si="3"/>
        <v>×加算率</v>
      </c>
      <c r="N30" s="209">
        <f t="shared" si="3"/>
        <v>2050</v>
      </c>
      <c r="O30" s="209">
        <f t="shared" si="3"/>
        <v>0</v>
      </c>
      <c r="P30" s="209" t="str">
        <f t="shared" si="3"/>
        <v>×加算率</v>
      </c>
      <c r="Q30" s="209" t="str">
        <f t="shared" si="3"/>
        <v>＋</v>
      </c>
      <c r="R30" s="209">
        <f t="shared" si="3"/>
        <v>69110</v>
      </c>
      <c r="S30" s="209">
        <f t="shared" si="3"/>
        <v>0</v>
      </c>
      <c r="T30" s="209">
        <f t="shared" si="3"/>
        <v>690</v>
      </c>
      <c r="U30" s="209">
        <f t="shared" si="3"/>
        <v>0</v>
      </c>
      <c r="V30" s="209" t="str">
        <f t="shared" si="3"/>
        <v>×加算率</v>
      </c>
      <c r="W30" s="209">
        <f t="shared" si="3"/>
        <v>0</v>
      </c>
      <c r="X30" s="209">
        <f t="shared" si="3"/>
        <v>0</v>
      </c>
      <c r="Y30" s="209" t="str">
        <f t="shared" si="3"/>
        <v>　 840人～　909人</v>
      </c>
      <c r="Z30" s="209">
        <f t="shared" si="3"/>
        <v>561900</v>
      </c>
      <c r="AA30" s="209">
        <f t="shared" si="3"/>
        <v>0</v>
      </c>
      <c r="AB30" s="209">
        <f t="shared" si="3"/>
        <v>5610</v>
      </c>
      <c r="AC30" s="209">
        <f t="shared" si="3"/>
        <v>0</v>
      </c>
      <c r="AD30" s="209">
        <f t="shared" si="3"/>
        <v>0</v>
      </c>
      <c r="AE30" s="209">
        <f t="shared" si="3"/>
        <v>0</v>
      </c>
      <c r="AF30" s="209">
        <f t="shared" si="3"/>
        <v>0</v>
      </c>
      <c r="AG30" s="209">
        <f t="shared" si="3"/>
        <v>0</v>
      </c>
      <c r="AH30" s="209">
        <f t="shared" si="3"/>
        <v>0</v>
      </c>
      <c r="AI30" s="209"/>
      <c r="AJ30" s="209">
        <f t="shared" si="3"/>
        <v>0</v>
      </c>
      <c r="AK30" s="209">
        <f t="shared" si="3"/>
        <v>0</v>
      </c>
      <c r="AL30" s="209">
        <f t="shared" si="3"/>
        <v>0</v>
      </c>
      <c r="AM30" s="209">
        <f t="shared" si="3"/>
        <v>0</v>
      </c>
      <c r="AN30" s="209" t="str">
        <f t="shared" si="3"/>
        <v>ｃ地域</v>
      </c>
      <c r="AO30" s="209">
        <f t="shared" si="3"/>
        <v>12300</v>
      </c>
      <c r="AP30" s="209">
        <f t="shared" si="3"/>
        <v>13700</v>
      </c>
      <c r="AQ30" s="209">
        <f t="shared" si="3"/>
        <v>0</v>
      </c>
      <c r="AR30" s="209">
        <f t="shared" si="3"/>
        <v>0</v>
      </c>
      <c r="AS30" s="209">
        <f t="shared" si="3"/>
        <v>0</v>
      </c>
      <c r="AT30" s="228"/>
      <c r="AU30" s="209">
        <f t="shared" si="3"/>
        <v>0</v>
      </c>
      <c r="AV30" s="209"/>
      <c r="AW30" s="209"/>
      <c r="AX30" s="209"/>
      <c r="AY30" s="209"/>
      <c r="AZ30" s="209"/>
      <c r="BA30" s="209"/>
      <c r="BB30" s="209"/>
      <c r="BC30" s="209"/>
      <c r="BD30" s="209">
        <f t="shared" si="3"/>
        <v>0</v>
      </c>
      <c r="BE30" s="209"/>
    </row>
    <row r="31" spans="1:57">
      <c r="A31" s="28"/>
      <c r="B31" s="28"/>
    </row>
    <row r="32" spans="1:57">
      <c r="A32" s="232" t="s">
        <v>155</v>
      </c>
      <c r="B32" s="28">
        <v>1</v>
      </c>
      <c r="C32" s="209">
        <f>AB9</f>
        <v>2400</v>
      </c>
    </row>
    <row r="33" spans="1:3">
      <c r="A33" s="28" t="e">
        <f>IF(ROUNDDOWN(VLOOKUP('入力（加算）A'!$F$18,$B$32:$C$45,2,TRUE)/'入力（加算）A'!$I$62,-1)&lt;10,ROUNDDOWN(VLOOKUP('入力（加算）A'!$F$18,$B$32:$C$45,2,TRUE)/'入力（加算）A'!$I$62,0),ROUNDDOWN(VLOOKUP('入力（加算）A'!$F$18,$B$32:$C$45,2,TRUE)/'入力（加算）A'!$I$62,-1))</f>
        <v>#N/A</v>
      </c>
      <c r="B33" s="28">
        <v>211</v>
      </c>
      <c r="C33" s="209">
        <f t="shared" ref="C33:C45" si="4">AB10</f>
        <v>2570</v>
      </c>
    </row>
    <row r="34" spans="1:3">
      <c r="A34" s="232"/>
      <c r="B34" s="28">
        <v>280</v>
      </c>
      <c r="C34" s="209">
        <f t="shared" si="4"/>
        <v>2910</v>
      </c>
    </row>
    <row r="35" spans="1:3">
      <c r="A35" s="232"/>
      <c r="B35" s="28">
        <v>350</v>
      </c>
      <c r="C35" s="209">
        <f t="shared" si="4"/>
        <v>3250</v>
      </c>
    </row>
    <row r="36" spans="1:3">
      <c r="A36" s="232"/>
      <c r="B36" s="28">
        <v>420</v>
      </c>
      <c r="C36" s="209">
        <f t="shared" si="4"/>
        <v>3580</v>
      </c>
    </row>
    <row r="37" spans="1:3">
      <c r="A37" s="232"/>
      <c r="B37" s="28">
        <v>490</v>
      </c>
      <c r="C37" s="209">
        <f t="shared" si="4"/>
        <v>3920</v>
      </c>
    </row>
    <row r="38" spans="1:3">
      <c r="A38" s="232"/>
      <c r="B38" s="28">
        <v>560</v>
      </c>
      <c r="C38" s="209">
        <f t="shared" si="4"/>
        <v>4260</v>
      </c>
    </row>
    <row r="39" spans="1:3">
      <c r="A39" s="232"/>
      <c r="B39" s="28">
        <v>630</v>
      </c>
      <c r="C39" s="209">
        <f t="shared" si="4"/>
        <v>4600</v>
      </c>
    </row>
    <row r="40" spans="1:3">
      <c r="A40" s="232"/>
      <c r="B40" s="28">
        <v>700</v>
      </c>
      <c r="C40" s="209">
        <f t="shared" si="4"/>
        <v>4940</v>
      </c>
    </row>
    <row r="41" spans="1:3">
      <c r="A41" s="232"/>
      <c r="B41" s="28">
        <v>770</v>
      </c>
      <c r="C41" s="209">
        <f t="shared" si="4"/>
        <v>5280</v>
      </c>
    </row>
    <row r="42" spans="1:3">
      <c r="A42" s="232"/>
      <c r="B42" s="28">
        <v>840</v>
      </c>
      <c r="C42" s="209">
        <f t="shared" si="4"/>
        <v>5610</v>
      </c>
    </row>
    <row r="43" spans="1:3">
      <c r="A43" s="232"/>
      <c r="B43" s="28">
        <v>910</v>
      </c>
      <c r="C43" s="209">
        <f t="shared" si="4"/>
        <v>5950</v>
      </c>
    </row>
    <row r="44" spans="1:3">
      <c r="A44" s="232"/>
      <c r="B44" s="28">
        <v>980</v>
      </c>
      <c r="C44" s="209">
        <f t="shared" si="4"/>
        <v>6290</v>
      </c>
    </row>
    <row r="45" spans="1:3">
      <c r="A45" s="232"/>
      <c r="B45" s="28">
        <v>1050</v>
      </c>
      <c r="C45" s="209">
        <f t="shared" si="4"/>
        <v>6630</v>
      </c>
    </row>
    <row r="47" spans="1:3" ht="21">
      <c r="A47" s="231" t="s">
        <v>505</v>
      </c>
      <c r="B47" s="28" t="s">
        <v>514</v>
      </c>
      <c r="C47" s="222" t="e">
        <f>VLOOKUP($B$52,$B$26:$BF$27,51,TRUE)</f>
        <v>#N/A</v>
      </c>
    </row>
    <row r="48" spans="1:3">
      <c r="A48" s="231"/>
      <c r="B48" s="28" t="s">
        <v>515</v>
      </c>
      <c r="C48" s="222" t="e">
        <f>VLOOKUP($B$52,$B$26:$BF$27,52,TRUE)</f>
        <v>#N/A</v>
      </c>
    </row>
    <row r="49" spans="1:56">
      <c r="A49" s="28"/>
      <c r="B49" s="28" t="s">
        <v>516</v>
      </c>
      <c r="C49" s="222" t="e">
        <f>VLOOKUP($B$52,$B$26:$BF$27,53,TRUE)</f>
        <v>#N/A</v>
      </c>
    </row>
    <row r="50" spans="1:56">
      <c r="A50" s="28"/>
      <c r="B50" s="222" t="s">
        <v>517</v>
      </c>
      <c r="C50" s="222" t="e">
        <f>VLOOKUP($B$52,$B$26:$BF$27,54,TRUE)</f>
        <v>#N/A</v>
      </c>
      <c r="J50" s="226"/>
      <c r="M50" s="226"/>
      <c r="P50" s="226"/>
      <c r="Q50" s="226"/>
      <c r="W50" s="226"/>
      <c r="X50" s="226"/>
      <c r="AA50" s="226"/>
      <c r="AD50" s="226"/>
      <c r="AF50" s="226"/>
      <c r="AH50" s="226"/>
      <c r="AQ50" s="226"/>
      <c r="AS50" s="226"/>
      <c r="AU50" s="226"/>
      <c r="AV50" s="226"/>
      <c r="AW50" s="226"/>
      <c r="AX50" s="226"/>
      <c r="AY50" s="226"/>
      <c r="BD50" s="226"/>
    </row>
    <row r="51" spans="1:56">
      <c r="A51" s="28"/>
      <c r="B51" s="222" t="s">
        <v>537</v>
      </c>
      <c r="C51" s="222">
        <v>0</v>
      </c>
    </row>
    <row r="52" spans="1:56">
      <c r="A52" s="223" t="s">
        <v>513</v>
      </c>
      <c r="B52" s="224">
        <f>'入力（加算）A'!$D$7</f>
        <v>0</v>
      </c>
      <c r="C52" s="27"/>
    </row>
  </sheetData>
  <sheetProtection algorithmName="SHA-512" hashValue="0C5AwBc2dRHAU03SP39xtrDzOXs5f97kR0TNpjpfR3xyl+kMbT2bdavQyPiSCnPocwbc7kifc47KpfB4szNcnw==" saltValue="lwj2HqwqXGq7k/yUAPXb/A==" spinCount="100000" sheet="1" objects="1" scenarios="1" selectLockedCells="1"/>
  <customSheetViews>
    <customSheetView guid="{2E52E5FF-9846-4DC5-A671-268FE925398C}" scale="115" showPageBreaks="1" printArea="1" state="hidden" view="pageBreakPreview">
      <selection activeCell="F7" sqref="F7:F10"/>
      <colBreaks count="1" manualBreakCount="1">
        <brk id="31" max="21" man="1"/>
      </colBreaks>
      <pageMargins left="0.39370078740157483" right="0.39370078740157483" top="0.78740157480314965" bottom="0.39370078740157483" header="0.39370078740157483" footer="0.15748031496062992"/>
      <pageSetup paperSize="9" scale="79" pageOrder="overThenDown" orientation="portrait" horizontalDpi="300" verticalDpi="300" r:id="rId1"/>
      <headerFooter differentFirst="1">
        <firstHeader>&amp;L&amp;"ＤＦ特太ゴシック体,標準"&amp;18小規模保育事業（Ａ型）（保育認定）</firstHeader>
      </headerFooter>
    </customSheetView>
    <customSheetView guid="{BADA99B3-B36A-4925-87A7-F72FC97D3DBA}" scale="115" showPageBreaks="1" printArea="1" state="hidden" view="pageBreakPreview">
      <selection activeCell="F7" sqref="F7:F10"/>
      <colBreaks count="1" manualBreakCount="1">
        <brk id="31" max="21" man="1"/>
      </colBreaks>
      <pageMargins left="0.39370078740157483" right="0.39370078740157483" top="0.78740157480314965" bottom="0.39370078740157483" header="0.39370078740157483" footer="0.15748031496062992"/>
      <pageSetup paperSize="9" scale="79" pageOrder="overThenDown" orientation="portrait" horizontalDpi="300" verticalDpi="300" r:id="rId2"/>
      <headerFooter differentFirst="1">
        <firstHeader>&amp;L&amp;"ＤＦ特太ゴシック体,標準"&amp;18小規模保育事業（Ａ型）（保育認定）</firstHeader>
      </headerFooter>
    </customSheetView>
  </customSheetViews>
  <mergeCells count="209">
    <mergeCell ref="A29:A30"/>
    <mergeCell ref="AZ19:AZ22"/>
    <mergeCell ref="AN21:AN22"/>
    <mergeCell ref="AO21:AO22"/>
    <mergeCell ref="AP21:AP22"/>
    <mergeCell ref="R19:R22"/>
    <mergeCell ref="AJ15:AJ22"/>
    <mergeCell ref="G19:G22"/>
    <mergeCell ref="H19:H22"/>
    <mergeCell ref="I19:I22"/>
    <mergeCell ref="J19:J22"/>
    <mergeCell ref="AI19:AI22"/>
    <mergeCell ref="L15:L18"/>
    <mergeCell ref="M15:M18"/>
    <mergeCell ref="AS15:AS22"/>
    <mergeCell ref="AT15:AT18"/>
    <mergeCell ref="AM15:AM22"/>
    <mergeCell ref="A26:A27"/>
    <mergeCell ref="S19:S22"/>
    <mergeCell ref="T19:T22"/>
    <mergeCell ref="U19:U22"/>
    <mergeCell ref="V19:V22"/>
    <mergeCell ref="AP17:AP18"/>
    <mergeCell ref="AU15:AU22"/>
    <mergeCell ref="BE15:BE16"/>
    <mergeCell ref="AN17:AN18"/>
    <mergeCell ref="AO17:AO18"/>
    <mergeCell ref="AN19:AN20"/>
    <mergeCell ref="AO19:AO20"/>
    <mergeCell ref="AP19:AP20"/>
    <mergeCell ref="AT19:AT22"/>
    <mergeCell ref="AR15:AR22"/>
    <mergeCell ref="AQ15:AQ22"/>
    <mergeCell ref="AN15:AN16"/>
    <mergeCell ref="AO15:AO16"/>
    <mergeCell ref="AP15:AP16"/>
    <mergeCell ref="BA15:BA18"/>
    <mergeCell ref="BB15:BB18"/>
    <mergeCell ref="BC15:BC18"/>
    <mergeCell ref="BA19:BA22"/>
    <mergeCell ref="BB19:BB22"/>
    <mergeCell ref="BC19:BC22"/>
    <mergeCell ref="AZ15:AZ18"/>
    <mergeCell ref="BE11:BE14"/>
    <mergeCell ref="AN13:AN14"/>
    <mergeCell ref="AO13:AO14"/>
    <mergeCell ref="AP13:AP14"/>
    <mergeCell ref="BD7:BD14"/>
    <mergeCell ref="BE7:BE10"/>
    <mergeCell ref="AU7:AU14"/>
    <mergeCell ref="AO9:AO10"/>
    <mergeCell ref="AP9:AP10"/>
    <mergeCell ref="AO7:AO8"/>
    <mergeCell ref="AO11:AO12"/>
    <mergeCell ref="AP11:AP12"/>
    <mergeCell ref="AP7:AP8"/>
    <mergeCell ref="AQ7:AQ14"/>
    <mergeCell ref="AZ11:AZ14"/>
    <mergeCell ref="AZ7:AZ10"/>
    <mergeCell ref="AT7:AT10"/>
    <mergeCell ref="AT11:AT14"/>
    <mergeCell ref="AN11:AN12"/>
    <mergeCell ref="AN9:AN10"/>
    <mergeCell ref="AS7:AS14"/>
    <mergeCell ref="AV7:AV14"/>
    <mergeCell ref="AW7:AW14"/>
    <mergeCell ref="AX7:AX14"/>
    <mergeCell ref="P7:P10"/>
    <mergeCell ref="AG15:AG22"/>
    <mergeCell ref="AH15:AH22"/>
    <mergeCell ref="Y7:Z8"/>
    <mergeCell ref="AK7:AK14"/>
    <mergeCell ref="AL7:AL14"/>
    <mergeCell ref="AK15:AK22"/>
    <mergeCell ref="AL15:AL22"/>
    <mergeCell ref="AI15:AI18"/>
    <mergeCell ref="P15:P18"/>
    <mergeCell ref="R15:R18"/>
    <mergeCell ref="Q19:Q22"/>
    <mergeCell ref="J7:J10"/>
    <mergeCell ref="K7:K10"/>
    <mergeCell ref="G11:G14"/>
    <mergeCell ref="H11:H14"/>
    <mergeCell ref="W7:W19"/>
    <mergeCell ref="R7:R10"/>
    <mergeCell ref="R11:R14"/>
    <mergeCell ref="S11:S14"/>
    <mergeCell ref="T11:T14"/>
    <mergeCell ref="U11:U14"/>
    <mergeCell ref="N7:N10"/>
    <mergeCell ref="O7:O10"/>
    <mergeCell ref="G15:G18"/>
    <mergeCell ref="H15:H18"/>
    <mergeCell ref="I15:I18"/>
    <mergeCell ref="J15:J18"/>
    <mergeCell ref="K15:K18"/>
    <mergeCell ref="I11:I14"/>
    <mergeCell ref="J11:J14"/>
    <mergeCell ref="K11:K14"/>
    <mergeCell ref="L7:L10"/>
    <mergeCell ref="O15:O18"/>
    <mergeCell ref="S15:S18"/>
    <mergeCell ref="T15:T18"/>
    <mergeCell ref="K5:M5"/>
    <mergeCell ref="N5:P5"/>
    <mergeCell ref="R5:V5"/>
    <mergeCell ref="V7:V10"/>
    <mergeCell ref="AA7:AA22"/>
    <mergeCell ref="AD7:AD22"/>
    <mergeCell ref="AF7:AF11"/>
    <mergeCell ref="AF15:AF19"/>
    <mergeCell ref="AI11:AI14"/>
    <mergeCell ref="M7:M10"/>
    <mergeCell ref="K19:K22"/>
    <mergeCell ref="L19:L22"/>
    <mergeCell ref="M19:M22"/>
    <mergeCell ref="N19:N22"/>
    <mergeCell ref="O19:O22"/>
    <mergeCell ref="N15:N18"/>
    <mergeCell ref="U15:U18"/>
    <mergeCell ref="V15:V18"/>
    <mergeCell ref="P19:P22"/>
    <mergeCell ref="AG7:AG14"/>
    <mergeCell ref="AH7:AH14"/>
    <mergeCell ref="AI7:AI10"/>
    <mergeCell ref="S7:S10"/>
    <mergeCell ref="T7:T10"/>
    <mergeCell ref="A1:A4"/>
    <mergeCell ref="B1:B4"/>
    <mergeCell ref="C1:C4"/>
    <mergeCell ref="D1:D4"/>
    <mergeCell ref="F1:I1"/>
    <mergeCell ref="F2:G2"/>
    <mergeCell ref="F3:G3"/>
    <mergeCell ref="H3:I3"/>
    <mergeCell ref="AE3:AE4"/>
    <mergeCell ref="R1:V2"/>
    <mergeCell ref="Y1:AE2"/>
    <mergeCell ref="H2:I2"/>
    <mergeCell ref="K2:M2"/>
    <mergeCell ref="N2:P2"/>
    <mergeCell ref="T3:V3"/>
    <mergeCell ref="AB3:AB4"/>
    <mergeCell ref="L11:L14"/>
    <mergeCell ref="M11:M14"/>
    <mergeCell ref="N11:N14"/>
    <mergeCell ref="O11:O14"/>
    <mergeCell ref="P11:P14"/>
    <mergeCell ref="G7:G10"/>
    <mergeCell ref="H7:H10"/>
    <mergeCell ref="I7:I10"/>
    <mergeCell ref="BE1:BE4"/>
    <mergeCell ref="AN1:AP2"/>
    <mergeCell ref="AN5:AP5"/>
    <mergeCell ref="AO3:AP3"/>
    <mergeCell ref="AR1:AR4"/>
    <mergeCell ref="AT1:AT4"/>
    <mergeCell ref="K1:P1"/>
    <mergeCell ref="AK1:AL2"/>
    <mergeCell ref="AK3:AL3"/>
    <mergeCell ref="F5:G5"/>
    <mergeCell ref="H5:I5"/>
    <mergeCell ref="AK5:AL5"/>
    <mergeCell ref="AG1:AI2"/>
    <mergeCell ref="Y5:AE5"/>
    <mergeCell ref="AG5:AI5"/>
    <mergeCell ref="V11:V14"/>
    <mergeCell ref="A7:A22"/>
    <mergeCell ref="B7:B14"/>
    <mergeCell ref="C7:C14"/>
    <mergeCell ref="D7:D10"/>
    <mergeCell ref="F7:F10"/>
    <mergeCell ref="D11:D14"/>
    <mergeCell ref="F11:F14"/>
    <mergeCell ref="B15:B22"/>
    <mergeCell ref="C15:C22"/>
    <mergeCell ref="D15:D18"/>
    <mergeCell ref="F15:F18"/>
    <mergeCell ref="D19:D22"/>
    <mergeCell ref="F19:F22"/>
    <mergeCell ref="AI3:AI4"/>
    <mergeCell ref="AM7:AM14"/>
    <mergeCell ref="AN7:AN8"/>
    <mergeCell ref="AR7:AR14"/>
    <mergeCell ref="AJ7:AJ14"/>
    <mergeCell ref="U7:U10"/>
    <mergeCell ref="Q7:Q10"/>
    <mergeCell ref="Q11:Q14"/>
    <mergeCell ref="Q15:Q18"/>
    <mergeCell ref="AV1:AX2"/>
    <mergeCell ref="AZ1:BC1"/>
    <mergeCell ref="AZ2:AZ4"/>
    <mergeCell ref="BA2:BA4"/>
    <mergeCell ref="BB2:BB4"/>
    <mergeCell ref="BC2:BC4"/>
    <mergeCell ref="AX3:AX4"/>
    <mergeCell ref="AV5:AX5"/>
    <mergeCell ref="AZ5:BC5"/>
    <mergeCell ref="AY7:AY14"/>
    <mergeCell ref="AV15:AV22"/>
    <mergeCell ref="AW15:AW22"/>
    <mergeCell ref="AX15:AX22"/>
    <mergeCell ref="AY15:AY22"/>
    <mergeCell ref="BA7:BA10"/>
    <mergeCell ref="BB7:BB10"/>
    <mergeCell ref="BC7:BC10"/>
    <mergeCell ref="BA11:BA14"/>
    <mergeCell ref="BB11:BB14"/>
    <mergeCell ref="BC11:BC14"/>
  </mergeCells>
  <phoneticPr fontId="4"/>
  <pageMargins left="0.39370078740157483" right="0.39370078740157483" top="0.78740157480314965" bottom="0.39370078740157483" header="0.39370078740157483" footer="0.15748031496062992"/>
  <pageSetup paperSize="9" scale="79" pageOrder="overThenDown" orientation="portrait" horizontalDpi="300" verticalDpi="300" r:id="rId3"/>
  <headerFooter differentFirst="1">
    <firstHeader>&amp;L&amp;"ＤＦ特太ゴシック体,標準"&amp;18小規模保育事業（Ａ型）（保育認定）</firstHeader>
  </headerFooter>
  <colBreaks count="1" manualBreakCount="1">
    <brk id="31" max="21" man="1"/>
  </colBreaks>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FFFF00"/>
  </sheetPr>
  <dimension ref="A1:AA34"/>
  <sheetViews>
    <sheetView view="pageBreakPreview" zoomScale="90" zoomScaleNormal="100" zoomScaleSheetLayoutView="90" workbookViewId="0">
      <selection activeCell="AA52" sqref="Y6:AB78"/>
    </sheetView>
  </sheetViews>
  <sheetFormatPr defaultColWidth="2.5" defaultRowHeight="25.5" customHeight="1"/>
  <cols>
    <col min="1" max="1" width="23" style="219" customWidth="1"/>
    <col min="2" max="2" width="2.5" style="219" customWidth="1"/>
    <col min="3" max="21" width="2.625" style="219" customWidth="1"/>
    <col min="22" max="22" width="2.75" style="219" customWidth="1"/>
    <col min="23" max="23" width="57.375" style="221" customWidth="1"/>
    <col min="24" max="16384" width="2.5" style="219"/>
  </cols>
  <sheetData>
    <row r="1" spans="1:23" ht="25.5" customHeight="1">
      <c r="A1" s="217" t="s">
        <v>32</v>
      </c>
      <c r="B1" s="218"/>
      <c r="C1" s="218"/>
      <c r="D1" s="218"/>
      <c r="E1" s="218"/>
      <c r="F1" s="218"/>
      <c r="G1" s="218"/>
      <c r="H1" s="218"/>
      <c r="I1" s="218"/>
      <c r="J1" s="218"/>
      <c r="K1" s="218"/>
      <c r="L1" s="218"/>
      <c r="M1" s="218"/>
      <c r="N1" s="218"/>
      <c r="O1" s="218"/>
      <c r="P1" s="218"/>
      <c r="Q1" s="218"/>
      <c r="R1" s="218"/>
      <c r="S1" s="218"/>
      <c r="T1" s="218"/>
      <c r="U1" s="218"/>
      <c r="V1" s="218"/>
      <c r="W1" s="218"/>
    </row>
    <row r="3" spans="1:23" ht="30" customHeight="1">
      <c r="A3" s="2080" t="s">
        <v>462</v>
      </c>
      <c r="B3" s="2083" t="s">
        <v>305</v>
      </c>
      <c r="C3" s="2116" t="s">
        <v>463</v>
      </c>
      <c r="D3" s="2117"/>
      <c r="E3" s="2117"/>
      <c r="F3" s="2117"/>
      <c r="G3" s="2117"/>
      <c r="H3" s="2117"/>
      <c r="I3" s="2117"/>
      <c r="J3" s="2117"/>
      <c r="K3" s="2117"/>
      <c r="L3" s="2117"/>
      <c r="M3" s="2117"/>
      <c r="N3" s="2117"/>
      <c r="O3" s="2117"/>
      <c r="P3" s="2117"/>
      <c r="Q3" s="2117"/>
      <c r="R3" s="2117"/>
      <c r="S3" s="2117"/>
      <c r="T3" s="2117"/>
      <c r="U3" s="2117"/>
      <c r="V3" s="2118"/>
      <c r="W3" s="2359" t="s">
        <v>1114</v>
      </c>
    </row>
    <row r="4" spans="1:23" ht="15" customHeight="1">
      <c r="A4" s="2127"/>
      <c r="B4" s="2104"/>
      <c r="C4" s="2119" t="s">
        <v>465</v>
      </c>
      <c r="D4" s="2120"/>
      <c r="E4" s="2120"/>
      <c r="F4" s="2120"/>
      <c r="G4" s="2120"/>
      <c r="H4" s="2120"/>
      <c r="I4" s="2120"/>
      <c r="J4" s="2120"/>
      <c r="K4" s="2120"/>
      <c r="L4" s="2121">
        <v>48900</v>
      </c>
      <c r="M4" s="2122"/>
      <c r="N4" s="2122"/>
      <c r="O4" s="2120" t="s">
        <v>466</v>
      </c>
      <c r="P4" s="2120"/>
      <c r="Q4" s="2120"/>
      <c r="R4" s="2120"/>
      <c r="S4" s="2120"/>
      <c r="T4" s="2120"/>
      <c r="U4" s="2120"/>
      <c r="V4" s="2123"/>
      <c r="W4" s="2408"/>
    </row>
    <row r="5" spans="1:23" ht="15" customHeight="1">
      <c r="A5" s="2128"/>
      <c r="B5" s="2105"/>
      <c r="C5" s="2111" t="s">
        <v>467</v>
      </c>
      <c r="D5" s="2112"/>
      <c r="E5" s="2112"/>
      <c r="F5" s="2112"/>
      <c r="G5" s="2112"/>
      <c r="H5" s="2112"/>
      <c r="I5" s="2112"/>
      <c r="J5" s="2112"/>
      <c r="K5" s="2112"/>
      <c r="L5" s="2113">
        <v>6110</v>
      </c>
      <c r="M5" s="2114"/>
      <c r="N5" s="2114"/>
      <c r="O5" s="2112" t="s">
        <v>468</v>
      </c>
      <c r="P5" s="2112"/>
      <c r="Q5" s="2112"/>
      <c r="R5" s="2112"/>
      <c r="S5" s="2112"/>
      <c r="T5" s="2112"/>
      <c r="U5" s="2112"/>
      <c r="V5" s="2115"/>
      <c r="W5" s="2409"/>
    </row>
    <row r="6" spans="1:23" ht="25.5" customHeight="1">
      <c r="A6" s="1134"/>
      <c r="B6" s="1134"/>
      <c r="C6" s="1211"/>
      <c r="D6" s="1212"/>
      <c r="E6" s="1212"/>
      <c r="F6" s="1212"/>
      <c r="G6" s="1212"/>
      <c r="H6" s="1213"/>
      <c r="I6" s="1213"/>
      <c r="J6" s="1213"/>
      <c r="K6" s="1213"/>
      <c r="L6" s="1211"/>
      <c r="M6" s="1213"/>
      <c r="N6" s="1213"/>
      <c r="O6" s="1213"/>
      <c r="P6" s="1213"/>
      <c r="Q6" s="1208"/>
      <c r="R6" s="1208"/>
      <c r="S6" s="1208"/>
      <c r="T6" s="1208"/>
      <c r="U6" s="1208"/>
      <c r="V6" s="1208"/>
      <c r="W6" s="1274"/>
    </row>
    <row r="7" spans="1:23" ht="25.5" customHeight="1">
      <c r="A7" s="2116" t="s">
        <v>1183</v>
      </c>
      <c r="B7" s="2135" t="s">
        <v>306</v>
      </c>
      <c r="C7" s="2106"/>
      <c r="D7" s="2137">
        <v>11000</v>
      </c>
      <c r="E7" s="2138"/>
      <c r="F7" s="2138"/>
      <c r="G7" s="2138"/>
      <c r="H7" s="2138"/>
      <c r="I7" s="2138"/>
      <c r="J7" s="1202" t="s">
        <v>1184</v>
      </c>
      <c r="K7" s="2139" t="s">
        <v>1185</v>
      </c>
      <c r="L7" s="2139"/>
      <c r="M7" s="2139"/>
      <c r="N7" s="2139"/>
      <c r="O7" s="2139"/>
      <c r="P7" s="2139"/>
      <c r="Q7" s="2139"/>
      <c r="R7" s="2139"/>
      <c r="S7" s="2139"/>
      <c r="T7" s="2139"/>
      <c r="U7" s="2139"/>
      <c r="V7" s="2140"/>
      <c r="W7" s="2133" t="s">
        <v>1186</v>
      </c>
    </row>
    <row r="8" spans="1:23" ht="25.5" customHeight="1">
      <c r="A8" s="2134"/>
      <c r="B8" s="2136"/>
      <c r="C8" s="2108"/>
      <c r="D8" s="1203"/>
      <c r="E8" s="1203"/>
      <c r="F8" s="1203"/>
      <c r="G8" s="1204"/>
      <c r="H8" s="1204"/>
      <c r="I8" s="1204"/>
      <c r="J8" s="1204"/>
      <c r="K8" s="1204"/>
      <c r="L8" s="1204"/>
      <c r="M8" s="2112" t="s">
        <v>274</v>
      </c>
      <c r="N8" s="2112"/>
      <c r="O8" s="2112"/>
      <c r="P8" s="2112"/>
      <c r="Q8" s="2112"/>
      <c r="R8" s="2112"/>
      <c r="S8" s="2112"/>
      <c r="T8" s="2112"/>
      <c r="U8" s="2112"/>
      <c r="V8" s="2115"/>
      <c r="W8" s="2133"/>
    </row>
    <row r="9" spans="1:23" ht="25.5" customHeight="1">
      <c r="A9" s="1134"/>
      <c r="B9" s="1134"/>
      <c r="C9" s="1340"/>
      <c r="D9" s="1340"/>
      <c r="E9" s="1340"/>
      <c r="F9" s="1340"/>
      <c r="G9" s="1340"/>
      <c r="H9" s="1340"/>
      <c r="I9" s="1340"/>
      <c r="J9" s="1340"/>
      <c r="K9" s="1340"/>
      <c r="L9" s="1340"/>
      <c r="M9" s="1340"/>
      <c r="N9" s="1340"/>
      <c r="O9" s="1340"/>
      <c r="P9" s="1340"/>
      <c r="Q9" s="1340"/>
      <c r="R9" s="1340"/>
      <c r="S9" s="1340"/>
      <c r="T9" s="1340"/>
      <c r="U9" s="1340"/>
      <c r="V9" s="1340"/>
      <c r="W9" s="1341"/>
    </row>
    <row r="10" spans="1:23" ht="30" customHeight="1">
      <c r="A10" s="2080" t="s">
        <v>469</v>
      </c>
      <c r="B10" s="2083" t="s">
        <v>306</v>
      </c>
      <c r="C10" s="2086" t="s">
        <v>471</v>
      </c>
      <c r="D10" s="2087"/>
      <c r="E10" s="2087"/>
      <c r="F10" s="2087"/>
      <c r="G10" s="2087"/>
      <c r="H10" s="2088">
        <v>1840</v>
      </c>
      <c r="I10" s="2088"/>
      <c r="J10" s="2088"/>
      <c r="K10" s="2088"/>
      <c r="L10" s="2089"/>
      <c r="M10" s="2086" t="s">
        <v>472</v>
      </c>
      <c r="N10" s="2087"/>
      <c r="O10" s="2087"/>
      <c r="P10" s="2087"/>
      <c r="Q10" s="2087"/>
      <c r="R10" s="2088">
        <v>1270</v>
      </c>
      <c r="S10" s="2088"/>
      <c r="T10" s="2088"/>
      <c r="U10" s="2088"/>
      <c r="V10" s="2089"/>
      <c r="W10" s="2133" t="s">
        <v>473</v>
      </c>
    </row>
    <row r="11" spans="1:23" ht="30" customHeight="1">
      <c r="A11" s="2081"/>
      <c r="B11" s="2084"/>
      <c r="C11" s="2086" t="s">
        <v>474</v>
      </c>
      <c r="D11" s="2087"/>
      <c r="E11" s="2087"/>
      <c r="F11" s="2087"/>
      <c r="G11" s="2087"/>
      <c r="H11" s="2088">
        <v>1630</v>
      </c>
      <c r="I11" s="2088"/>
      <c r="J11" s="2088"/>
      <c r="K11" s="2088"/>
      <c r="L11" s="2089"/>
      <c r="M11" s="2086" t="s">
        <v>475</v>
      </c>
      <c r="N11" s="2087"/>
      <c r="O11" s="2087"/>
      <c r="P11" s="2087"/>
      <c r="Q11" s="2087"/>
      <c r="R11" s="2088">
        <v>110</v>
      </c>
      <c r="S11" s="2088"/>
      <c r="T11" s="2088"/>
      <c r="U11" s="2088"/>
      <c r="V11" s="2089"/>
      <c r="W11" s="2133"/>
    </row>
    <row r="12" spans="1:23" ht="30" customHeight="1">
      <c r="A12" s="2082"/>
      <c r="B12" s="2085"/>
      <c r="C12" s="2086" t="s">
        <v>476</v>
      </c>
      <c r="D12" s="2087"/>
      <c r="E12" s="2087"/>
      <c r="F12" s="2087"/>
      <c r="G12" s="2087"/>
      <c r="H12" s="2088">
        <v>1610</v>
      </c>
      <c r="I12" s="2088"/>
      <c r="J12" s="2088"/>
      <c r="K12" s="2088"/>
      <c r="L12" s="2089"/>
      <c r="M12" s="2101"/>
      <c r="N12" s="2102"/>
      <c r="O12" s="2102"/>
      <c r="P12" s="2102"/>
      <c r="Q12" s="2102"/>
      <c r="R12" s="2102"/>
      <c r="S12" s="2102"/>
      <c r="T12" s="2102"/>
      <c r="U12" s="2102"/>
      <c r="V12" s="2103"/>
      <c r="W12" s="2133"/>
    </row>
    <row r="13" spans="1:23" ht="25.5" customHeight="1">
      <c r="A13" s="1117"/>
      <c r="B13" s="1117"/>
      <c r="C13" s="1211"/>
      <c r="D13" s="1212"/>
      <c r="E13" s="1212"/>
      <c r="F13" s="1212"/>
      <c r="G13" s="1212"/>
      <c r="H13" s="1213"/>
      <c r="I13" s="1213"/>
      <c r="J13" s="1213"/>
      <c r="K13" s="1213"/>
      <c r="L13" s="1211"/>
      <c r="M13" s="1213"/>
      <c r="N13" s="1213"/>
      <c r="O13" s="1213"/>
      <c r="P13" s="1213"/>
      <c r="Q13" s="1208"/>
      <c r="R13" s="1208"/>
      <c r="S13" s="1208"/>
      <c r="T13" s="1208"/>
      <c r="U13" s="1208"/>
      <c r="V13" s="1208"/>
      <c r="W13" s="1274"/>
    </row>
    <row r="14" spans="1:23" ht="30" customHeight="1">
      <c r="A14" s="1119" t="s">
        <v>477</v>
      </c>
      <c r="B14" s="1120" t="s">
        <v>359</v>
      </c>
      <c r="C14" s="2090">
        <v>6180</v>
      </c>
      <c r="D14" s="2090"/>
      <c r="E14" s="2090"/>
      <c r="F14" s="2090"/>
      <c r="G14" s="2090"/>
      <c r="H14" s="2090"/>
      <c r="I14" s="2090"/>
      <c r="J14" s="2090"/>
      <c r="K14" s="2090"/>
      <c r="L14" s="2090"/>
      <c r="M14" s="2090"/>
      <c r="N14" s="2090"/>
      <c r="O14" s="2090"/>
      <c r="P14" s="2090"/>
      <c r="Q14" s="2090"/>
      <c r="R14" s="2090"/>
      <c r="S14" s="2090"/>
      <c r="T14" s="2090"/>
      <c r="U14" s="2090"/>
      <c r="V14" s="2091"/>
      <c r="W14" s="1329" t="s">
        <v>479</v>
      </c>
    </row>
    <row r="15" spans="1:23" ht="25.5" customHeight="1">
      <c r="A15" s="1117"/>
      <c r="B15" s="1117"/>
      <c r="C15" s="1211"/>
      <c r="D15" s="1212"/>
      <c r="E15" s="1212"/>
      <c r="F15" s="1212"/>
      <c r="G15" s="1212"/>
      <c r="H15" s="1213"/>
      <c r="I15" s="1213"/>
      <c r="J15" s="1213"/>
      <c r="K15" s="1213"/>
      <c r="L15" s="1211"/>
      <c r="M15" s="1213"/>
      <c r="N15" s="1213"/>
      <c r="O15" s="1213"/>
      <c r="P15" s="1213"/>
      <c r="Q15" s="1208"/>
      <c r="R15" s="1208"/>
      <c r="S15" s="1208"/>
      <c r="T15" s="1208"/>
      <c r="U15" s="1208"/>
      <c r="V15" s="1208"/>
      <c r="W15" s="1330"/>
    </row>
    <row r="16" spans="1:23" ht="30" customHeight="1">
      <c r="A16" s="1119" t="s">
        <v>480</v>
      </c>
      <c r="B16" s="1120" t="s">
        <v>360</v>
      </c>
      <c r="C16" s="2092">
        <v>155870</v>
      </c>
      <c r="D16" s="2092"/>
      <c r="E16" s="2092"/>
      <c r="F16" s="2092"/>
      <c r="G16" s="2092"/>
      <c r="H16" s="2092"/>
      <c r="I16" s="2092"/>
      <c r="J16" s="2092"/>
      <c r="K16" s="2092"/>
      <c r="L16" s="2092"/>
      <c r="M16" s="2092"/>
      <c r="N16" s="2092"/>
      <c r="O16" s="2092"/>
      <c r="P16" s="2092"/>
      <c r="Q16" s="2092"/>
      <c r="R16" s="2092"/>
      <c r="S16" s="2092"/>
      <c r="T16" s="2092"/>
      <c r="U16" s="2092"/>
      <c r="V16" s="2093"/>
      <c r="W16" s="1329" t="s">
        <v>479</v>
      </c>
    </row>
    <row r="17" spans="1:23" ht="25.5" customHeight="1">
      <c r="A17" s="1117"/>
      <c r="B17" s="1117"/>
      <c r="C17" s="1211"/>
      <c r="D17" s="1212"/>
      <c r="E17" s="1212"/>
      <c r="F17" s="1212"/>
      <c r="G17" s="1212"/>
      <c r="H17" s="1213"/>
      <c r="I17" s="1213"/>
      <c r="J17" s="1213"/>
      <c r="K17" s="1213"/>
      <c r="L17" s="1211"/>
      <c r="M17" s="1208"/>
      <c r="N17" s="1213"/>
      <c r="O17" s="1213"/>
      <c r="P17" s="1213"/>
      <c r="Q17" s="1208"/>
      <c r="R17" s="1208"/>
      <c r="S17" s="1208"/>
      <c r="T17" s="1208"/>
      <c r="U17" s="1208"/>
      <c r="V17" s="1208"/>
      <c r="W17" s="1330"/>
    </row>
    <row r="18" spans="1:23" ht="30" customHeight="1">
      <c r="A18" s="1119" t="s">
        <v>482</v>
      </c>
      <c r="B18" s="1120" t="s">
        <v>494</v>
      </c>
      <c r="C18" s="2148">
        <v>160000</v>
      </c>
      <c r="D18" s="2148"/>
      <c r="E18" s="2148"/>
      <c r="F18" s="2148"/>
      <c r="G18" s="2148"/>
      <c r="H18" s="2148"/>
      <c r="I18" s="2148"/>
      <c r="J18" s="2148"/>
      <c r="K18" s="2148"/>
      <c r="L18" s="2148"/>
      <c r="M18" s="2148"/>
      <c r="N18" s="2148"/>
      <c r="O18" s="2148"/>
      <c r="P18" s="2148"/>
      <c r="Q18" s="2148"/>
      <c r="R18" s="2148"/>
      <c r="S18" s="2148"/>
      <c r="T18" s="2148"/>
      <c r="U18" s="2148"/>
      <c r="V18" s="2149"/>
      <c r="W18" s="1329" t="s">
        <v>479</v>
      </c>
    </row>
    <row r="19" spans="1:23" s="220" customFormat="1" ht="30" customHeight="1">
      <c r="A19" s="1121"/>
      <c r="B19" s="1118"/>
      <c r="C19" s="1219"/>
      <c r="D19" s="1219"/>
      <c r="E19" s="1219"/>
      <c r="F19" s="1219"/>
      <c r="G19" s="1219"/>
      <c r="H19" s="1219"/>
      <c r="I19" s="1219"/>
      <c r="J19" s="1219"/>
      <c r="K19" s="1219"/>
      <c r="L19" s="1219"/>
      <c r="M19" s="1219"/>
      <c r="N19" s="1219"/>
      <c r="O19" s="1219"/>
      <c r="P19" s="1219"/>
      <c r="Q19" s="1219"/>
      <c r="R19" s="1219"/>
      <c r="S19" s="1219"/>
      <c r="T19" s="1219"/>
      <c r="U19" s="1219"/>
      <c r="V19" s="1219"/>
      <c r="W19" s="1265"/>
    </row>
    <row r="20" spans="1:23" s="220" customFormat="1" ht="20.25" customHeight="1">
      <c r="A20" s="2080" t="s">
        <v>266</v>
      </c>
      <c r="B20" s="2142" t="s">
        <v>495</v>
      </c>
      <c r="C20" s="2066" t="s">
        <v>795</v>
      </c>
      <c r="D20" s="1220"/>
      <c r="E20" s="2069" t="s">
        <v>268</v>
      </c>
      <c r="F20" s="2069"/>
      <c r="G20" s="2069"/>
      <c r="H20" s="2069"/>
      <c r="I20" s="2069"/>
      <c r="J20" s="1221"/>
      <c r="K20" s="2079" t="s">
        <v>269</v>
      </c>
      <c r="L20" s="2079"/>
      <c r="M20" s="2079"/>
      <c r="N20" s="2079"/>
      <c r="O20" s="2079"/>
      <c r="P20" s="2079"/>
      <c r="Q20" s="2079"/>
      <c r="R20" s="2079"/>
      <c r="S20" s="1220"/>
      <c r="T20" s="1221"/>
      <c r="U20" s="1221"/>
      <c r="V20" s="1222"/>
      <c r="W20" s="2266" t="s">
        <v>270</v>
      </c>
    </row>
    <row r="21" spans="1:23" s="220" customFormat="1" ht="30" customHeight="1">
      <c r="A21" s="2127"/>
      <c r="B21" s="2143"/>
      <c r="C21" s="2078"/>
      <c r="D21" s="1223" t="s">
        <v>271</v>
      </c>
      <c r="E21" s="2074">
        <v>76960</v>
      </c>
      <c r="F21" s="2074"/>
      <c r="G21" s="2074"/>
      <c r="H21" s="2074"/>
      <c r="I21" s="2074"/>
      <c r="J21" s="1223" t="s">
        <v>272</v>
      </c>
      <c r="K21" s="2075">
        <v>760</v>
      </c>
      <c r="L21" s="2075"/>
      <c r="M21" s="2075"/>
      <c r="N21" s="2075"/>
      <c r="O21" s="2075"/>
      <c r="P21" s="2075"/>
      <c r="Q21" s="2075"/>
      <c r="R21" s="2075"/>
      <c r="S21" s="1224" t="s">
        <v>273</v>
      </c>
      <c r="T21" s="1223"/>
      <c r="U21" s="1223"/>
      <c r="V21" s="1225"/>
      <c r="W21" s="2407"/>
    </row>
    <row r="22" spans="1:23" s="220" customFormat="1" ht="30" customHeight="1">
      <c r="A22" s="2127"/>
      <c r="B22" s="2143"/>
      <c r="C22" s="2067"/>
      <c r="D22" s="1226"/>
      <c r="E22" s="1227"/>
      <c r="F22" s="1227"/>
      <c r="G22" s="1227"/>
      <c r="H22" s="1227"/>
      <c r="I22" s="2076" t="s">
        <v>274</v>
      </c>
      <c r="J22" s="2076"/>
      <c r="K22" s="2076"/>
      <c r="L22" s="2076"/>
      <c r="M22" s="2076"/>
      <c r="N22" s="2076"/>
      <c r="O22" s="2076"/>
      <c r="P22" s="2076"/>
      <c r="Q22" s="2076"/>
      <c r="R22" s="2076"/>
      <c r="S22" s="2076"/>
      <c r="T22" s="2076"/>
      <c r="U22" s="2076"/>
      <c r="V22" s="2077"/>
      <c r="W22" s="2407"/>
    </row>
    <row r="23" spans="1:23" s="220" customFormat="1" ht="20.25" customHeight="1">
      <c r="A23" s="2127"/>
      <c r="B23" s="2143"/>
      <c r="C23" s="2066" t="s">
        <v>1070</v>
      </c>
      <c r="D23" s="1220"/>
      <c r="E23" s="2069" t="s">
        <v>268</v>
      </c>
      <c r="F23" s="2069"/>
      <c r="G23" s="2069"/>
      <c r="H23" s="2069"/>
      <c r="I23" s="2069"/>
      <c r="J23" s="1221"/>
      <c r="K23" s="2079" t="s">
        <v>269</v>
      </c>
      <c r="L23" s="2079"/>
      <c r="M23" s="2079"/>
      <c r="N23" s="2079"/>
      <c r="O23" s="2079"/>
      <c r="P23" s="2079"/>
      <c r="Q23" s="2079"/>
      <c r="R23" s="2079"/>
      <c r="S23" s="1220"/>
      <c r="T23" s="1221"/>
      <c r="U23" s="1221"/>
      <c r="V23" s="1222"/>
      <c r="W23" s="2407"/>
    </row>
    <row r="24" spans="1:23" s="220" customFormat="1" ht="30" customHeight="1">
      <c r="A24" s="2127"/>
      <c r="B24" s="2143"/>
      <c r="C24" s="2078"/>
      <c r="D24" s="1223" t="s">
        <v>271</v>
      </c>
      <c r="E24" s="2074">
        <v>50000</v>
      </c>
      <c r="F24" s="2074"/>
      <c r="G24" s="2074"/>
      <c r="H24" s="2074"/>
      <c r="I24" s="2074"/>
      <c r="J24" s="1223" t="s">
        <v>272</v>
      </c>
      <c r="K24" s="2075">
        <v>500</v>
      </c>
      <c r="L24" s="2075"/>
      <c r="M24" s="2075"/>
      <c r="N24" s="2075"/>
      <c r="O24" s="2075"/>
      <c r="P24" s="2075"/>
      <c r="Q24" s="2075"/>
      <c r="R24" s="2075"/>
      <c r="S24" s="1224" t="s">
        <v>273</v>
      </c>
      <c r="T24" s="1223"/>
      <c r="U24" s="1223"/>
      <c r="V24" s="1225"/>
      <c r="W24" s="2407"/>
    </row>
    <row r="25" spans="1:23" s="220" customFormat="1" ht="30" customHeight="1">
      <c r="A25" s="2127"/>
      <c r="B25" s="2143"/>
      <c r="C25" s="2067"/>
      <c r="D25" s="1226"/>
      <c r="E25" s="1227"/>
      <c r="F25" s="1227"/>
      <c r="G25" s="1227"/>
      <c r="H25" s="1227"/>
      <c r="I25" s="2076" t="s">
        <v>274</v>
      </c>
      <c r="J25" s="2076"/>
      <c r="K25" s="2076"/>
      <c r="L25" s="2076"/>
      <c r="M25" s="2076"/>
      <c r="N25" s="2076"/>
      <c r="O25" s="2076"/>
      <c r="P25" s="2076"/>
      <c r="Q25" s="2076"/>
      <c r="R25" s="2076"/>
      <c r="S25" s="2076"/>
      <c r="T25" s="2076"/>
      <c r="U25" s="2076"/>
      <c r="V25" s="2077"/>
      <c r="W25" s="2407"/>
    </row>
    <row r="26" spans="1:23" s="220" customFormat="1" ht="20.25" customHeight="1">
      <c r="A26" s="2127"/>
      <c r="B26" s="2143"/>
      <c r="C26" s="2066" t="s">
        <v>1071</v>
      </c>
      <c r="D26" s="2068" t="s">
        <v>268</v>
      </c>
      <c r="E26" s="2069"/>
      <c r="F26" s="2069"/>
      <c r="G26" s="2069"/>
      <c r="H26" s="2069"/>
      <c r="I26" s="2069"/>
      <c r="J26" s="2069"/>
      <c r="K26" s="2069"/>
      <c r="L26" s="2069"/>
      <c r="M26" s="1228"/>
      <c r="N26" s="1228"/>
      <c r="O26" s="1228"/>
      <c r="P26" s="1228"/>
      <c r="Q26" s="1228"/>
      <c r="R26" s="1228"/>
      <c r="S26" s="1228"/>
      <c r="T26" s="1228"/>
      <c r="U26" s="1228"/>
      <c r="V26" s="1229"/>
      <c r="W26" s="2407"/>
    </row>
    <row r="27" spans="1:23" s="220" customFormat="1" ht="30" customHeight="1">
      <c r="A27" s="2128"/>
      <c r="B27" s="2144"/>
      <c r="C27" s="2067"/>
      <c r="D27" s="2070">
        <v>10000</v>
      </c>
      <c r="E27" s="2071"/>
      <c r="F27" s="2071"/>
      <c r="G27" s="2071"/>
      <c r="H27" s="2071"/>
      <c r="I27" s="2071"/>
      <c r="J27" s="2072" t="s">
        <v>275</v>
      </c>
      <c r="K27" s="2072"/>
      <c r="L27" s="2072"/>
      <c r="M27" s="2072"/>
      <c r="N27" s="2072"/>
      <c r="O27" s="2072"/>
      <c r="P27" s="2072"/>
      <c r="Q27" s="2072"/>
      <c r="R27" s="2072"/>
      <c r="S27" s="2072"/>
      <c r="T27" s="2072"/>
      <c r="U27" s="2072"/>
      <c r="V27" s="2073"/>
      <c r="W27" s="2136"/>
    </row>
    <row r="28" spans="1:23" ht="25.5" customHeight="1">
      <c r="A28" s="1117"/>
      <c r="B28" s="1117"/>
      <c r="C28" s="1211"/>
      <c r="D28" s="1212"/>
      <c r="E28" s="1212"/>
      <c r="F28" s="1212"/>
      <c r="G28" s="1212"/>
      <c r="H28" s="1213"/>
      <c r="I28" s="1213"/>
      <c r="J28" s="1213"/>
      <c r="K28" s="1213"/>
      <c r="L28" s="1211"/>
      <c r="M28" s="1208"/>
      <c r="N28" s="1213"/>
      <c r="O28" s="1213"/>
      <c r="P28" s="1213"/>
      <c r="Q28" s="1208"/>
      <c r="R28" s="1208"/>
      <c r="S28" s="1208"/>
      <c r="T28" s="1208"/>
      <c r="U28" s="1208"/>
      <c r="V28" s="1208"/>
      <c r="W28" s="1274" t="s">
        <v>484</v>
      </c>
    </row>
    <row r="29" spans="1:23" ht="30" customHeight="1">
      <c r="A29" s="1119" t="s">
        <v>486</v>
      </c>
      <c r="B29" s="1120" t="s">
        <v>485</v>
      </c>
      <c r="C29" s="2092">
        <v>150000</v>
      </c>
      <c r="D29" s="2092"/>
      <c r="E29" s="2092"/>
      <c r="F29" s="2092"/>
      <c r="G29" s="2092"/>
      <c r="H29" s="2092"/>
      <c r="I29" s="2092"/>
      <c r="J29" s="2092"/>
      <c r="K29" s="2092"/>
      <c r="L29" s="2092"/>
      <c r="M29" s="2092"/>
      <c r="N29" s="2092"/>
      <c r="O29" s="2092"/>
      <c r="P29" s="2092"/>
      <c r="Q29" s="2092"/>
      <c r="R29" s="2092"/>
      <c r="S29" s="2092"/>
      <c r="T29" s="2092"/>
      <c r="U29" s="2092"/>
      <c r="V29" s="2093"/>
      <c r="W29" s="1329" t="s">
        <v>479</v>
      </c>
    </row>
    <row r="30" spans="1:23" ht="25.5" customHeight="1">
      <c r="A30" s="2514"/>
      <c r="B30" s="2514"/>
      <c r="C30" s="2514"/>
      <c r="D30" s="2514"/>
      <c r="E30" s="2514"/>
      <c r="F30" s="2514"/>
      <c r="G30" s="2514"/>
      <c r="H30" s="2514"/>
      <c r="I30" s="2514"/>
      <c r="J30" s="2514"/>
      <c r="K30" s="2514"/>
      <c r="L30" s="2514"/>
      <c r="M30" s="2514"/>
      <c r="N30" s="2514"/>
      <c r="O30" s="2514"/>
      <c r="P30" s="2514"/>
      <c r="Q30" s="2514"/>
      <c r="R30" s="2514"/>
      <c r="S30" s="2514"/>
      <c r="T30" s="2514"/>
      <c r="U30" s="2514"/>
      <c r="V30" s="2514"/>
      <c r="W30" s="2514"/>
    </row>
    <row r="31" spans="1:23" ht="25.5" customHeight="1">
      <c r="A31" s="2514" t="s">
        <v>487</v>
      </c>
      <c r="B31" s="2514"/>
      <c r="C31" s="2514"/>
      <c r="D31" s="2514"/>
      <c r="E31" s="2514"/>
      <c r="F31" s="2514"/>
      <c r="G31" s="2514"/>
      <c r="H31" s="2514"/>
      <c r="I31" s="2514"/>
      <c r="J31" s="2514"/>
      <c r="K31" s="2514"/>
      <c r="L31" s="2514"/>
      <c r="M31" s="2514"/>
      <c r="N31" s="2514"/>
      <c r="O31" s="2514"/>
      <c r="P31" s="2514"/>
      <c r="Q31" s="2514"/>
      <c r="R31" s="2514"/>
      <c r="S31" s="2514"/>
      <c r="T31" s="2514"/>
      <c r="U31" s="2514"/>
      <c r="V31" s="2514"/>
      <c r="W31" s="2514"/>
    </row>
    <row r="34" spans="23:27" ht="25.5" customHeight="1">
      <c r="W34" s="225"/>
      <c r="X34" s="227"/>
      <c r="Y34" s="227"/>
      <c r="Z34" s="227"/>
      <c r="AA34" s="227"/>
    </row>
  </sheetData>
  <sheetProtection algorithmName="SHA-512" hashValue="FfRBaiMuTs7RkxQfkXtJQaQzKZa0EUFjdwltSInRE0/vpo5HsAzs4uRfNviuRU0dV4j25x0kldQAZYhhcOubMA==" saltValue="TE4cxDnmhf8glEaS3JZKsw==" spinCount="100000" sheet="1" objects="1" scenarios="1"/>
  <customSheetViews>
    <customSheetView guid="{2E52E5FF-9846-4DC5-A671-268FE925398C}" scale="90" showPageBreaks="1" printArea="1" state="hidden" view="pageBreakPreview" topLeftCell="A13">
      <selection activeCell="K18" sqref="K18"/>
      <pageMargins left="0.39370078740157483" right="0.39370078740157483" top="0.39370078740157483" bottom="0.39370078740157483" header="0.31496062992125984" footer="0.15748031496062992"/>
      <printOptions horizontalCentered="1"/>
      <pageSetup paperSize="9" scale="71" orientation="portrait" r:id="rId1"/>
      <headerFooter alignWithMargins="0"/>
    </customSheetView>
    <customSheetView guid="{BADA99B3-B36A-4925-87A7-F72FC97D3DBA}" scale="90" showPageBreaks="1" printArea="1" state="hidden" view="pageBreakPreview" topLeftCell="A13">
      <selection activeCell="K18" sqref="K18"/>
      <pageMargins left="0.39370078740157483" right="0.39370078740157483" top="0.39370078740157483" bottom="0.39370078740157483" header="0.31496062992125984" footer="0.15748031496062992"/>
      <printOptions horizontalCentered="1"/>
      <pageSetup paperSize="9" scale="71" orientation="portrait" r:id="rId2"/>
      <headerFooter alignWithMargins="0"/>
    </customSheetView>
  </customSheetViews>
  <mergeCells count="56">
    <mergeCell ref="W7:W8"/>
    <mergeCell ref="M8:V8"/>
    <mergeCell ref="A7:A8"/>
    <mergeCell ref="B7:B8"/>
    <mergeCell ref="C7:C8"/>
    <mergeCell ref="D7:I7"/>
    <mergeCell ref="K7:V7"/>
    <mergeCell ref="A3:A5"/>
    <mergeCell ref="B3:B5"/>
    <mergeCell ref="C3:V3"/>
    <mergeCell ref="W3:W5"/>
    <mergeCell ref="C4:K4"/>
    <mergeCell ref="L4:N4"/>
    <mergeCell ref="O4:V4"/>
    <mergeCell ref="C5:K5"/>
    <mergeCell ref="L5:N5"/>
    <mergeCell ref="O5:V5"/>
    <mergeCell ref="A10:A12"/>
    <mergeCell ref="B10:B12"/>
    <mergeCell ref="C10:G10"/>
    <mergeCell ref="H10:L10"/>
    <mergeCell ref="M10:Q10"/>
    <mergeCell ref="W10:W12"/>
    <mergeCell ref="C11:G11"/>
    <mergeCell ref="H11:L11"/>
    <mergeCell ref="M11:Q11"/>
    <mergeCell ref="R11:V11"/>
    <mergeCell ref="C12:G12"/>
    <mergeCell ref="H12:L12"/>
    <mergeCell ref="M12:V12"/>
    <mergeCell ref="R10:V10"/>
    <mergeCell ref="C29:V29"/>
    <mergeCell ref="A30:W30"/>
    <mergeCell ref="A31:W31"/>
    <mergeCell ref="W20:W27"/>
    <mergeCell ref="C14:V14"/>
    <mergeCell ref="C16:V16"/>
    <mergeCell ref="C18:V18"/>
    <mergeCell ref="A20:A27"/>
    <mergeCell ref="B20:B27"/>
    <mergeCell ref="C20:C22"/>
    <mergeCell ref="E20:I20"/>
    <mergeCell ref="K20:R20"/>
    <mergeCell ref="E21:I21"/>
    <mergeCell ref="K21:R21"/>
    <mergeCell ref="I22:V22"/>
    <mergeCell ref="C23:C25"/>
    <mergeCell ref="C26:C27"/>
    <mergeCell ref="D26:L26"/>
    <mergeCell ref="D27:I27"/>
    <mergeCell ref="J27:V27"/>
    <mergeCell ref="E23:I23"/>
    <mergeCell ref="K23:R23"/>
    <mergeCell ref="E24:I24"/>
    <mergeCell ref="K24:R24"/>
    <mergeCell ref="I25:V25"/>
  </mergeCells>
  <phoneticPr fontId="60"/>
  <printOptions horizontalCentered="1"/>
  <pageMargins left="0.39370078740157483" right="0.39370078740157483" top="0.39370078740157483" bottom="0.39370078740157483" header="0.31496062992125984" footer="0.15748031496062992"/>
  <pageSetup paperSize="9" scale="71" orientation="portrait" r:id="rId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FFF00"/>
  </sheetPr>
  <dimension ref="A1:AL10"/>
  <sheetViews>
    <sheetView view="pageBreakPreview" zoomScaleNormal="100" zoomScaleSheetLayoutView="100" workbookViewId="0">
      <pane xSplit="3" ySplit="5" topLeftCell="E6" activePane="bottomRight" state="frozen"/>
      <selection activeCell="AA52" sqref="Y6:AB78"/>
      <selection pane="topRight" activeCell="AA52" sqref="Y6:AB78"/>
      <selection pane="bottomLeft" activeCell="AA52" sqref="Y6:AB78"/>
      <selection pane="bottomRight" activeCell="AA52" sqref="Y6:AB78"/>
    </sheetView>
  </sheetViews>
  <sheetFormatPr defaultRowHeight="13.5"/>
  <cols>
    <col min="1" max="1" width="5.625" style="28" customWidth="1"/>
    <col min="2" max="2" width="4.5" style="28" bestFit="1" customWidth="1"/>
    <col min="3" max="3" width="7.5" style="28" customWidth="1"/>
    <col min="4" max="4" width="2.25" style="47" customWidth="1"/>
    <col min="5" max="5" width="7.25" style="29" customWidth="1"/>
    <col min="6" max="6" width="2.25" style="23" customWidth="1"/>
    <col min="7" max="7" width="5.25" style="29" bestFit="1" customWidth="1"/>
    <col min="8" max="8" width="6.75" style="32" customWidth="1"/>
    <col min="9" max="9" width="2.25" style="32" customWidth="1"/>
    <col min="10" max="10" width="5.5" style="31" customWidth="1"/>
    <col min="11" max="11" width="2.25" style="23" customWidth="1"/>
    <col min="12" max="12" width="8.5" style="29" customWidth="1"/>
    <col min="13" max="13" width="2.25" style="32" customWidth="1"/>
    <col min="14" max="14" width="11.625" style="31" customWidth="1"/>
    <col min="15" max="15" width="2.25" style="23" customWidth="1"/>
    <col min="16" max="16" width="9.25" style="29" customWidth="1"/>
    <col min="17" max="17" width="2.25" style="23" customWidth="1"/>
    <col min="18" max="18" width="9.125" style="29" customWidth="1"/>
    <col min="19" max="19" width="2.25" style="23" customWidth="1"/>
    <col min="20" max="20" width="8" style="29" customWidth="1"/>
    <col min="21" max="21" width="6.625" style="33" customWidth="1"/>
    <col min="22" max="22" width="8.125" style="33" customWidth="1"/>
    <col min="23" max="23" width="2.25" style="29" customWidth="1"/>
    <col min="24" max="25" width="6.125" style="29" customWidth="1"/>
    <col min="26" max="26" width="2.25" style="29" customWidth="1"/>
    <col min="27" max="27" width="6" style="35" bestFit="1" customWidth="1"/>
    <col min="28" max="29" width="6.125" style="29" customWidth="1"/>
    <col min="30" max="30" width="2.25" style="47" customWidth="1"/>
    <col min="31" max="31" width="11.25" style="29" customWidth="1"/>
    <col min="32" max="32" width="2.25" style="47" customWidth="1"/>
    <col min="33" max="33" width="11.25" style="29" customWidth="1"/>
    <col min="34" max="34" width="2.25" style="47" customWidth="1"/>
    <col min="35" max="35" width="11.25" style="29" customWidth="1"/>
    <col min="36" max="36" width="9" style="59"/>
    <col min="37" max="16384" width="9" style="27"/>
  </cols>
  <sheetData>
    <row r="1" spans="1:38" s="1" customFormat="1" ht="25.5" customHeight="1">
      <c r="A1" s="2020" t="s">
        <v>364</v>
      </c>
      <c r="B1" s="2021" t="s">
        <v>22</v>
      </c>
      <c r="C1" s="2021" t="s">
        <v>426</v>
      </c>
      <c r="D1" s="198"/>
      <c r="E1" s="2021" t="s">
        <v>427</v>
      </c>
      <c r="F1" s="204"/>
      <c r="G1" s="2530" t="s">
        <v>428</v>
      </c>
      <c r="H1" s="2531"/>
      <c r="I1" s="204"/>
      <c r="J1" s="2525" t="s">
        <v>50</v>
      </c>
      <c r="K1" s="2526"/>
      <c r="L1" s="2527"/>
      <c r="M1" s="204"/>
      <c r="N1" s="2525" t="s">
        <v>51</v>
      </c>
      <c r="O1" s="2526"/>
      <c r="P1" s="2527"/>
      <c r="Q1" s="204"/>
      <c r="R1" s="2021" t="s">
        <v>429</v>
      </c>
      <c r="S1" s="204"/>
      <c r="T1" s="2519" t="s">
        <v>52</v>
      </c>
      <c r="U1" s="2520"/>
      <c r="V1" s="2521"/>
      <c r="W1" s="204"/>
      <c r="X1" s="2025" t="s">
        <v>401</v>
      </c>
      <c r="Y1" s="2026"/>
      <c r="Z1" s="204"/>
      <c r="AA1" s="2525" t="s">
        <v>53</v>
      </c>
      <c r="AB1" s="2526"/>
      <c r="AC1" s="2527"/>
      <c r="AD1" s="198"/>
      <c r="AE1" s="2021" t="s">
        <v>431</v>
      </c>
      <c r="AF1" s="198"/>
      <c r="AG1" s="2021" t="s">
        <v>432</v>
      </c>
      <c r="AH1" s="198"/>
      <c r="AI1" s="2008" t="s">
        <v>433</v>
      </c>
      <c r="AJ1" s="2009"/>
      <c r="AK1" s="2009"/>
      <c r="AL1" s="2010"/>
    </row>
    <row r="2" spans="1:38" s="5" customFormat="1" ht="15" customHeight="1">
      <c r="A2" s="2020"/>
      <c r="B2" s="2038"/>
      <c r="C2" s="2038"/>
      <c r="D2" s="198"/>
      <c r="E2" s="2038"/>
      <c r="F2" s="199"/>
      <c r="G2" s="2532"/>
      <c r="H2" s="2533"/>
      <c r="I2" s="95"/>
      <c r="J2" s="88"/>
      <c r="K2" s="200"/>
      <c r="L2" s="2021" t="s">
        <v>428</v>
      </c>
      <c r="M2" s="95"/>
      <c r="N2" s="88"/>
      <c r="O2" s="200"/>
      <c r="P2" s="2021" t="s">
        <v>434</v>
      </c>
      <c r="Q2" s="199"/>
      <c r="R2" s="2038"/>
      <c r="S2" s="199"/>
      <c r="T2" s="2522"/>
      <c r="U2" s="2523"/>
      <c r="V2" s="2524"/>
      <c r="W2" s="199"/>
      <c r="X2" s="2516" t="s">
        <v>27</v>
      </c>
      <c r="Y2" s="2517"/>
      <c r="Z2" s="199"/>
      <c r="AA2" s="88"/>
      <c r="AB2" s="2518" t="s">
        <v>27</v>
      </c>
      <c r="AC2" s="2517"/>
      <c r="AD2" s="198"/>
      <c r="AE2" s="2038"/>
      <c r="AF2" s="198"/>
      <c r="AG2" s="2038"/>
      <c r="AH2" s="198"/>
      <c r="AI2" s="2528" t="s">
        <v>435</v>
      </c>
      <c r="AJ2" s="1989" t="s">
        <v>436</v>
      </c>
      <c r="AK2" s="1989" t="s">
        <v>437</v>
      </c>
      <c r="AL2" s="2529" t="s">
        <v>438</v>
      </c>
    </row>
    <row r="3" spans="1:38" s="5" customFormat="1" ht="15" customHeight="1">
      <c r="A3" s="2021"/>
      <c r="B3" s="2038"/>
      <c r="C3" s="2038"/>
      <c r="D3" s="198"/>
      <c r="E3" s="2038"/>
      <c r="F3" s="205"/>
      <c r="G3" s="2532"/>
      <c r="H3" s="2533"/>
      <c r="I3" s="95"/>
      <c r="J3" s="210"/>
      <c r="K3" s="206"/>
      <c r="L3" s="2038"/>
      <c r="M3" s="95"/>
      <c r="N3" s="210"/>
      <c r="O3" s="206"/>
      <c r="P3" s="2038"/>
      <c r="Q3" s="205"/>
      <c r="R3" s="2038"/>
      <c r="S3" s="205"/>
      <c r="T3" s="207"/>
      <c r="U3" s="2465" t="s">
        <v>405</v>
      </c>
      <c r="V3" s="2467"/>
      <c r="W3" s="199"/>
      <c r="X3" s="212" t="s">
        <v>29</v>
      </c>
      <c r="Y3" s="105" t="s">
        <v>30</v>
      </c>
      <c r="Z3" s="199"/>
      <c r="AA3" s="88"/>
      <c r="AB3" s="104" t="s">
        <v>29</v>
      </c>
      <c r="AC3" s="105" t="s">
        <v>30</v>
      </c>
      <c r="AD3" s="198"/>
      <c r="AE3" s="2038"/>
      <c r="AF3" s="198"/>
      <c r="AG3" s="2038"/>
      <c r="AH3" s="198"/>
      <c r="AI3" s="2011"/>
      <c r="AJ3" s="1990"/>
      <c r="AK3" s="1990"/>
      <c r="AL3" s="2013"/>
    </row>
    <row r="4" spans="1:38" s="5" customFormat="1" ht="15" customHeight="1">
      <c r="A4" s="203" t="s">
        <v>54</v>
      </c>
      <c r="B4" s="203" t="s">
        <v>439</v>
      </c>
      <c r="C4" s="203" t="s">
        <v>413</v>
      </c>
      <c r="D4" s="199"/>
      <c r="E4" s="201" t="s">
        <v>440</v>
      </c>
      <c r="F4" s="205"/>
      <c r="G4" s="1993" t="s">
        <v>441</v>
      </c>
      <c r="H4" s="1995"/>
      <c r="I4" s="95"/>
      <c r="J4" s="1993" t="s">
        <v>442</v>
      </c>
      <c r="K4" s="1994"/>
      <c r="L4" s="1995"/>
      <c r="M4" s="95"/>
      <c r="N4" s="1993" t="s">
        <v>443</v>
      </c>
      <c r="O4" s="1994"/>
      <c r="P4" s="1995"/>
      <c r="Q4" s="205"/>
      <c r="R4" s="201" t="s">
        <v>444</v>
      </c>
      <c r="S4" s="205"/>
      <c r="T4" s="1993" t="s">
        <v>445</v>
      </c>
      <c r="U4" s="1994"/>
      <c r="V4" s="1995"/>
      <c r="W4" s="199"/>
      <c r="X4" s="1993" t="s">
        <v>446</v>
      </c>
      <c r="Y4" s="1995"/>
      <c r="Z4" s="199"/>
      <c r="AA4" s="1993" t="s">
        <v>447</v>
      </c>
      <c r="AB4" s="1994"/>
      <c r="AC4" s="1995"/>
      <c r="AD4" s="199"/>
      <c r="AE4" s="201" t="s">
        <v>448</v>
      </c>
      <c r="AF4" s="199"/>
      <c r="AG4" s="201" t="s">
        <v>60</v>
      </c>
      <c r="AH4" s="199"/>
      <c r="AI4" s="1993" t="s">
        <v>449</v>
      </c>
      <c r="AJ4" s="1994"/>
      <c r="AK4" s="1994"/>
      <c r="AL4" s="1995"/>
    </row>
    <row r="5" spans="1:38" s="4" customFormat="1" ht="3.75" customHeight="1">
      <c r="A5" s="6"/>
      <c r="B5" s="7"/>
      <c r="C5" s="7"/>
      <c r="D5" s="47"/>
      <c r="E5" s="8"/>
      <c r="F5" s="23"/>
      <c r="G5" s="11"/>
      <c r="H5" s="13"/>
      <c r="I5" s="3"/>
      <c r="J5" s="14"/>
      <c r="K5" s="23"/>
      <c r="L5" s="15"/>
      <c r="M5" s="3"/>
      <c r="N5" s="14"/>
      <c r="O5" s="23"/>
      <c r="P5" s="15"/>
      <c r="Q5" s="23"/>
      <c r="R5" s="8"/>
      <c r="S5" s="23"/>
      <c r="T5" s="11"/>
      <c r="U5" s="16"/>
      <c r="V5" s="16"/>
      <c r="W5" s="20"/>
      <c r="X5" s="22"/>
      <c r="Y5" s="22"/>
      <c r="Z5" s="20"/>
      <c r="AA5" s="21"/>
      <c r="AB5" s="22"/>
      <c r="AC5" s="22"/>
      <c r="AD5" s="47"/>
      <c r="AE5" s="8"/>
      <c r="AF5" s="47"/>
      <c r="AG5" s="8"/>
      <c r="AH5" s="47"/>
      <c r="AI5" s="8"/>
      <c r="AJ5" s="60"/>
    </row>
    <row r="6" spans="1:38" s="5" customFormat="1" ht="25.5" customHeight="1">
      <c r="A6" s="2212" t="s">
        <v>1014</v>
      </c>
      <c r="B6" s="2437" t="s">
        <v>1021</v>
      </c>
      <c r="C6" s="2534" t="s">
        <v>1147</v>
      </c>
      <c r="D6" s="1123"/>
      <c r="E6" s="1969">
        <v>162160</v>
      </c>
      <c r="F6" s="1972" t="s">
        <v>255</v>
      </c>
      <c r="G6" s="2494">
        <v>1530</v>
      </c>
      <c r="H6" s="2542" t="s">
        <v>1017</v>
      </c>
      <c r="I6" s="1972" t="s">
        <v>255</v>
      </c>
      <c r="J6" s="1969">
        <v>4860</v>
      </c>
      <c r="K6" s="1972" t="s">
        <v>255</v>
      </c>
      <c r="L6" s="1973">
        <v>40</v>
      </c>
      <c r="M6" s="1972" t="s">
        <v>255</v>
      </c>
      <c r="N6" s="1360" t="s">
        <v>1148</v>
      </c>
      <c r="O6" s="1972" t="s">
        <v>255</v>
      </c>
      <c r="P6" s="1151"/>
      <c r="Q6" s="1972" t="s">
        <v>255</v>
      </c>
      <c r="R6" s="1969">
        <v>47650</v>
      </c>
      <c r="S6" s="1972" t="s">
        <v>255</v>
      </c>
      <c r="T6" s="1996">
        <v>35390</v>
      </c>
      <c r="U6" s="2535">
        <v>350</v>
      </c>
      <c r="V6" s="2538" t="s">
        <v>1017</v>
      </c>
      <c r="W6" s="1968" t="s">
        <v>255</v>
      </c>
      <c r="X6" s="2544">
        <v>9000</v>
      </c>
      <c r="Y6" s="2547">
        <v>9900</v>
      </c>
      <c r="Z6" s="2053" t="s">
        <v>255</v>
      </c>
      <c r="AA6" s="1154" t="s">
        <v>49</v>
      </c>
      <c r="AB6" s="1155">
        <v>46400</v>
      </c>
      <c r="AC6" s="1156">
        <v>51600</v>
      </c>
      <c r="AD6" s="2543" t="s">
        <v>78</v>
      </c>
      <c r="AE6" s="1969">
        <v>6170</v>
      </c>
      <c r="AF6" s="2543" t="s">
        <v>78</v>
      </c>
      <c r="AG6" s="1292" t="s">
        <v>905</v>
      </c>
      <c r="AH6" s="2543" t="s">
        <v>78</v>
      </c>
      <c r="AI6" s="1969">
        <v>1290</v>
      </c>
      <c r="AJ6" s="1969">
        <v>2580</v>
      </c>
      <c r="AK6" s="1969">
        <v>3860</v>
      </c>
      <c r="AL6" s="1969">
        <v>5150</v>
      </c>
    </row>
    <row r="7" spans="1:38" s="5" customFormat="1" ht="25.5" customHeight="1">
      <c r="A7" s="2335"/>
      <c r="B7" s="2438"/>
      <c r="C7" s="2442"/>
      <c r="D7" s="1123"/>
      <c r="E7" s="1970"/>
      <c r="F7" s="1972"/>
      <c r="G7" s="2458"/>
      <c r="H7" s="2455"/>
      <c r="I7" s="1972"/>
      <c r="J7" s="1970"/>
      <c r="K7" s="1972"/>
      <c r="L7" s="1974"/>
      <c r="M7" s="1972"/>
      <c r="N7" s="1165">
        <v>28310</v>
      </c>
      <c r="O7" s="1972"/>
      <c r="P7" s="1166">
        <v>280</v>
      </c>
      <c r="Q7" s="1972"/>
      <c r="R7" s="2550"/>
      <c r="S7" s="1972"/>
      <c r="T7" s="2061"/>
      <c r="U7" s="2536"/>
      <c r="V7" s="2539"/>
      <c r="W7" s="1968"/>
      <c r="X7" s="2545"/>
      <c r="Y7" s="2548"/>
      <c r="Z7" s="2053"/>
      <c r="AA7" s="1168" t="s">
        <v>1149</v>
      </c>
      <c r="AB7" s="1169">
        <v>25600</v>
      </c>
      <c r="AC7" s="1170">
        <v>28400</v>
      </c>
      <c r="AD7" s="2543"/>
      <c r="AE7" s="1970"/>
      <c r="AF7" s="2543"/>
      <c r="AG7" s="1361">
        <v>0.2</v>
      </c>
      <c r="AH7" s="2543"/>
      <c r="AI7" s="1970"/>
      <c r="AJ7" s="1970"/>
      <c r="AK7" s="1970"/>
      <c r="AL7" s="1970"/>
    </row>
    <row r="8" spans="1:38" s="5" customFormat="1" ht="25.5" customHeight="1">
      <c r="A8" s="2335"/>
      <c r="B8" s="2438"/>
      <c r="C8" s="2541" t="s">
        <v>1150</v>
      </c>
      <c r="D8" s="1123"/>
      <c r="E8" s="1970"/>
      <c r="F8" s="1972"/>
      <c r="G8" s="2458"/>
      <c r="H8" s="2455"/>
      <c r="I8" s="1972"/>
      <c r="J8" s="1970"/>
      <c r="K8" s="1972"/>
      <c r="L8" s="1974"/>
      <c r="M8" s="1972"/>
      <c r="N8" s="1188" t="s">
        <v>1151</v>
      </c>
      <c r="O8" s="1972"/>
      <c r="P8" s="1166"/>
      <c r="Q8" s="1972" t="s">
        <v>255</v>
      </c>
      <c r="R8" s="2515">
        <v>42100</v>
      </c>
      <c r="S8" s="1972"/>
      <c r="T8" s="2061"/>
      <c r="U8" s="2536"/>
      <c r="V8" s="2539"/>
      <c r="W8" s="1968"/>
      <c r="X8" s="2545"/>
      <c r="Y8" s="2548"/>
      <c r="Z8" s="2053"/>
      <c r="AA8" s="1168" t="s">
        <v>1152</v>
      </c>
      <c r="AB8" s="1169">
        <v>22300</v>
      </c>
      <c r="AC8" s="1170">
        <v>24800</v>
      </c>
      <c r="AD8" s="2543"/>
      <c r="AE8" s="1970"/>
      <c r="AF8" s="2543" t="s">
        <v>78</v>
      </c>
      <c r="AG8" s="1362" t="s">
        <v>905</v>
      </c>
      <c r="AH8" s="2543" t="s">
        <v>78</v>
      </c>
      <c r="AI8" s="2515">
        <v>1060</v>
      </c>
      <c r="AJ8" s="2515">
        <v>2110</v>
      </c>
      <c r="AK8" s="2515">
        <v>3170</v>
      </c>
      <c r="AL8" s="2515">
        <v>4230</v>
      </c>
    </row>
    <row r="9" spans="1:38" s="5" customFormat="1" ht="25.5" customHeight="1">
      <c r="A9" s="2335"/>
      <c r="B9" s="2439"/>
      <c r="C9" s="2447"/>
      <c r="D9" s="1123"/>
      <c r="E9" s="1971"/>
      <c r="F9" s="1972"/>
      <c r="G9" s="2459"/>
      <c r="H9" s="2456"/>
      <c r="I9" s="1972"/>
      <c r="J9" s="1971"/>
      <c r="K9" s="1972"/>
      <c r="L9" s="1975"/>
      <c r="M9" s="1972"/>
      <c r="N9" s="1199">
        <v>24140</v>
      </c>
      <c r="O9" s="1972"/>
      <c r="P9" s="1200">
        <v>240</v>
      </c>
      <c r="Q9" s="1972"/>
      <c r="R9" s="1971"/>
      <c r="S9" s="1972"/>
      <c r="T9" s="1997"/>
      <c r="U9" s="2537"/>
      <c r="V9" s="2540"/>
      <c r="W9" s="1968"/>
      <c r="X9" s="2546"/>
      <c r="Y9" s="2549"/>
      <c r="Z9" s="2053"/>
      <c r="AA9" s="1183" t="s">
        <v>1153</v>
      </c>
      <c r="AB9" s="1184">
        <v>20000</v>
      </c>
      <c r="AC9" s="1185">
        <v>22200</v>
      </c>
      <c r="AD9" s="2543"/>
      <c r="AE9" s="1971"/>
      <c r="AF9" s="2543"/>
      <c r="AG9" s="1363">
        <v>0.2</v>
      </c>
      <c r="AH9" s="2543"/>
      <c r="AI9" s="1971"/>
      <c r="AJ9" s="1971"/>
      <c r="AK9" s="1971"/>
      <c r="AL9" s="1971"/>
    </row>
    <row r="10" spans="1:38">
      <c r="U10" s="26"/>
      <c r="V10" s="26"/>
    </row>
  </sheetData>
  <sheetProtection algorithmName="SHA-512" hashValue="KDc4hY5N+puAR1OSm5YkuvUprmZoW16WZtkDsy1JXJO1YkghypOTLg98B0fO4s/t1oHi/0SnsDsuL2rCWzI/hA==" saltValue="/oKcuOVtFAo6Mp4E/rqnFg==" spinCount="100000" sheet="1" objects="1" scenarios="1" selectLockedCells="1"/>
  <customSheetViews>
    <customSheetView guid="{2E52E5FF-9846-4DC5-A671-268FE925398C}" showPageBreaks="1" printArea="1" state="hidden" view="pageBreakPreview">
      <pane xSplit="3" ySplit="5" topLeftCell="D6" activePane="bottomRight" state="frozen"/>
      <selection pane="bottomRight" activeCell="AG7" sqref="AG7"/>
      <colBreaks count="1" manualBreakCount="1">
        <brk id="29" max="8" man="1"/>
      </colBreaks>
      <pageMargins left="0.39370078740157483" right="0.39370078740157483" top="0.98425196850393704" bottom="0.39370078740157483" header="0.59055118110236227" footer="0"/>
      <pageSetup paperSize="9" pageOrder="overThenDown" orientation="portrait" horizontalDpi="300" verticalDpi="300" r:id="rId1"/>
      <headerFooter differentFirst="1">
        <firstHeader>&amp;L&amp;"ＤＦ特太ゴシック体,標準"&amp;18家庭的保育事業（保育認定）</firstHeader>
      </headerFooter>
    </customSheetView>
    <customSheetView guid="{BADA99B3-B36A-4925-87A7-F72FC97D3DBA}" showPageBreaks="1" printArea="1" state="hidden" view="pageBreakPreview">
      <pane xSplit="3" ySplit="5" topLeftCell="D6" activePane="bottomRight" state="frozen"/>
      <selection pane="bottomRight" activeCell="AG7" sqref="AG7"/>
      <colBreaks count="1" manualBreakCount="1">
        <brk id="29" max="8" man="1"/>
      </colBreaks>
      <pageMargins left="0.39370078740157483" right="0.39370078740157483" top="0.98425196850393704" bottom="0.39370078740157483" header="0.59055118110236227" footer="0"/>
      <pageSetup paperSize="9" pageOrder="overThenDown" orientation="portrait" horizontalDpi="300" verticalDpi="300" r:id="rId2"/>
      <headerFooter differentFirst="1">
        <firstHeader>&amp;L&amp;"ＤＦ特太ゴシック体,標準"&amp;18家庭的保育事業（保育認定）</firstHeader>
      </headerFooter>
    </customSheetView>
  </customSheetViews>
  <mergeCells count="70">
    <mergeCell ref="Q6:Q7"/>
    <mergeCell ref="Q8:Q9"/>
    <mergeCell ref="AH6:AH7"/>
    <mergeCell ref="X6:X9"/>
    <mergeCell ref="Y6:Y9"/>
    <mergeCell ref="R6:R7"/>
    <mergeCell ref="AF8:AF9"/>
    <mergeCell ref="AH8:AH9"/>
    <mergeCell ref="Z6:Z9"/>
    <mergeCell ref="AD6:AD9"/>
    <mergeCell ref="AE6:AE9"/>
    <mergeCell ref="AF6:AF7"/>
    <mergeCell ref="R8:R9"/>
    <mergeCell ref="S6:S9"/>
    <mergeCell ref="T4:V4"/>
    <mergeCell ref="X4:Y4"/>
    <mergeCell ref="AA4:AC4"/>
    <mergeCell ref="A6:A9"/>
    <mergeCell ref="B6:B9"/>
    <mergeCell ref="C6:C7"/>
    <mergeCell ref="E6:E9"/>
    <mergeCell ref="F6:F9"/>
    <mergeCell ref="T6:T9"/>
    <mergeCell ref="U6:U9"/>
    <mergeCell ref="V6:V9"/>
    <mergeCell ref="W6:W9"/>
    <mergeCell ref="C8:C9"/>
    <mergeCell ref="H6:H9"/>
    <mergeCell ref="I6:I9"/>
    <mergeCell ref="J6:J9"/>
    <mergeCell ref="O6:O9"/>
    <mergeCell ref="A1:A3"/>
    <mergeCell ref="B1:B3"/>
    <mergeCell ref="C1:C3"/>
    <mergeCell ref="E1:E3"/>
    <mergeCell ref="G1:H3"/>
    <mergeCell ref="J1:L1"/>
    <mergeCell ref="G4:H4"/>
    <mergeCell ref="J4:L4"/>
    <mergeCell ref="N4:P4"/>
    <mergeCell ref="G6:G9"/>
    <mergeCell ref="K6:K9"/>
    <mergeCell ref="L6:L9"/>
    <mergeCell ref="M6:M9"/>
    <mergeCell ref="N1:P1"/>
    <mergeCell ref="L2:L3"/>
    <mergeCell ref="P2:P3"/>
    <mergeCell ref="X2:Y2"/>
    <mergeCell ref="AB2:AC2"/>
    <mergeCell ref="U3:V3"/>
    <mergeCell ref="AI4:AL4"/>
    <mergeCell ref="R1:R3"/>
    <mergeCell ref="T1:V2"/>
    <mergeCell ref="AG1:AG3"/>
    <mergeCell ref="AE1:AE3"/>
    <mergeCell ref="X1:Y1"/>
    <mergeCell ref="AA1:AC1"/>
    <mergeCell ref="AI1:AL1"/>
    <mergeCell ref="AI2:AI3"/>
    <mergeCell ref="AJ2:AJ3"/>
    <mergeCell ref="AK2:AK3"/>
    <mergeCell ref="AL2:AL3"/>
    <mergeCell ref="AI6:AI7"/>
    <mergeCell ref="AI8:AI9"/>
    <mergeCell ref="AJ6:AJ7"/>
    <mergeCell ref="AK6:AK7"/>
    <mergeCell ref="AL6:AL7"/>
    <mergeCell ref="AJ8:AJ9"/>
    <mergeCell ref="AK8:AK9"/>
    <mergeCell ref="AL8:AL9"/>
  </mergeCells>
  <phoneticPr fontId="4"/>
  <pageMargins left="0.39370078740157483" right="0.39370078740157483" top="0.98425196850393704" bottom="0.39370078740157483" header="0.59055118110236227" footer="0"/>
  <pageSetup paperSize="9" pageOrder="overThenDown" orientation="portrait" horizontalDpi="300" verticalDpi="300" r:id="rId3"/>
  <headerFooter differentFirst="1">
    <firstHeader>&amp;L&amp;"ＤＦ特太ゴシック体,標準"&amp;18家庭的保育事業（保育認定）</firstHeader>
  </headerFooter>
  <colBreaks count="1" manualBreakCount="1">
    <brk id="29" max="8"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1">
    <tabColor rgb="FFFFFF00"/>
  </sheetPr>
  <dimension ref="A1:W31"/>
  <sheetViews>
    <sheetView view="pageBreakPreview" topLeftCell="A13" zoomScaleNormal="100" zoomScaleSheetLayoutView="100" workbookViewId="0">
      <selection activeCell="AA52" sqref="Y6:AB78"/>
    </sheetView>
  </sheetViews>
  <sheetFormatPr defaultColWidth="2.5" defaultRowHeight="25.5" customHeight="1"/>
  <cols>
    <col min="1" max="1" width="23.125" style="219" customWidth="1"/>
    <col min="2" max="2" width="2.5" style="219" customWidth="1"/>
    <col min="3" max="21" width="2.625" style="219" customWidth="1"/>
    <col min="22" max="22" width="1" style="219" customWidth="1"/>
    <col min="23" max="23" width="59" style="221" customWidth="1"/>
    <col min="24" max="16384" width="2.5" style="219"/>
  </cols>
  <sheetData>
    <row r="1" spans="1:23" ht="25.5" customHeight="1">
      <c r="A1" s="217" t="s">
        <v>32</v>
      </c>
      <c r="B1" s="218"/>
      <c r="C1" s="218"/>
      <c r="D1" s="218"/>
      <c r="E1" s="218"/>
      <c r="F1" s="218"/>
      <c r="G1" s="218"/>
      <c r="H1" s="218"/>
      <c r="I1" s="218"/>
      <c r="J1" s="218"/>
      <c r="K1" s="218"/>
      <c r="L1" s="218"/>
      <c r="M1" s="218"/>
      <c r="N1" s="218"/>
      <c r="O1" s="218"/>
      <c r="P1" s="218"/>
      <c r="Q1" s="218"/>
      <c r="R1" s="218"/>
      <c r="S1" s="218"/>
      <c r="T1" s="218"/>
      <c r="U1" s="218"/>
      <c r="V1" s="218"/>
      <c r="W1" s="218"/>
    </row>
    <row r="2" spans="1:23" ht="25.5" customHeight="1">
      <c r="A2" s="217"/>
      <c r="B2" s="218"/>
      <c r="C2" s="218"/>
      <c r="D2" s="218"/>
      <c r="E2" s="218"/>
      <c r="F2" s="218"/>
      <c r="G2" s="218"/>
      <c r="H2" s="218"/>
      <c r="I2" s="218"/>
      <c r="J2" s="218"/>
      <c r="K2" s="218"/>
      <c r="L2" s="218"/>
      <c r="M2" s="218"/>
      <c r="N2" s="218"/>
      <c r="O2" s="218"/>
      <c r="P2" s="218"/>
      <c r="Q2" s="218"/>
      <c r="R2" s="218"/>
      <c r="S2" s="218"/>
      <c r="T2" s="218"/>
      <c r="U2" s="218"/>
      <c r="V2" s="218"/>
      <c r="W2" s="218"/>
    </row>
    <row r="3" spans="1:23" ht="30" customHeight="1">
      <c r="A3" s="2080" t="s">
        <v>462</v>
      </c>
      <c r="B3" s="2083" t="s">
        <v>301</v>
      </c>
      <c r="C3" s="2553" t="s">
        <v>497</v>
      </c>
      <c r="D3" s="2554"/>
      <c r="E3" s="2554"/>
      <c r="F3" s="2554"/>
      <c r="G3" s="2555"/>
      <c r="H3" s="2555"/>
      <c r="I3" s="2555"/>
      <c r="J3" s="2555"/>
      <c r="K3" s="2555"/>
      <c r="L3" s="2555"/>
      <c r="M3" s="2555"/>
      <c r="N3" s="2555"/>
      <c r="O3" s="2555"/>
      <c r="P3" s="2555"/>
      <c r="Q3" s="2555"/>
      <c r="R3" s="2555"/>
      <c r="S3" s="2555"/>
      <c r="T3" s="2555"/>
      <c r="U3" s="2555"/>
      <c r="V3" s="2556"/>
      <c r="W3" s="2359" t="s">
        <v>498</v>
      </c>
    </row>
    <row r="4" spans="1:23" ht="25.5" customHeight="1">
      <c r="A4" s="2127"/>
      <c r="B4" s="2104"/>
      <c r="C4" s="1350"/>
      <c r="D4" s="1351"/>
      <c r="E4" s="1351"/>
      <c r="F4" s="2558">
        <v>48900</v>
      </c>
      <c r="G4" s="2558"/>
      <c r="H4" s="2558"/>
      <c r="I4" s="2558"/>
      <c r="J4" s="1352" t="s">
        <v>492</v>
      </c>
      <c r="K4" s="1351"/>
      <c r="L4" s="1351"/>
      <c r="M4" s="1351"/>
      <c r="N4" s="1351"/>
      <c r="O4" s="1351"/>
      <c r="P4" s="1351"/>
      <c r="Q4" s="1351"/>
      <c r="R4" s="1351"/>
      <c r="S4" s="1351"/>
      <c r="T4" s="1351"/>
      <c r="U4" s="1351"/>
      <c r="V4" s="1364"/>
      <c r="W4" s="2408"/>
    </row>
    <row r="5" spans="1:23" ht="25.5" customHeight="1">
      <c r="A5" s="2127"/>
      <c r="B5" s="2104"/>
      <c r="C5" s="2553" t="s">
        <v>499</v>
      </c>
      <c r="D5" s="2554"/>
      <c r="E5" s="2554"/>
      <c r="F5" s="2554"/>
      <c r="G5" s="2554"/>
      <c r="H5" s="2554"/>
      <c r="I5" s="2554"/>
      <c r="J5" s="2554"/>
      <c r="K5" s="2554"/>
      <c r="L5" s="2554"/>
      <c r="M5" s="2554"/>
      <c r="N5" s="2554"/>
      <c r="O5" s="2554"/>
      <c r="P5" s="2554"/>
      <c r="Q5" s="2554"/>
      <c r="R5" s="2554"/>
      <c r="S5" s="2554"/>
      <c r="T5" s="2554"/>
      <c r="U5" s="2554"/>
      <c r="V5" s="2135"/>
      <c r="W5" s="2408"/>
    </row>
    <row r="6" spans="1:23" ht="25.5" customHeight="1">
      <c r="A6" s="2128"/>
      <c r="B6" s="2552"/>
      <c r="C6" s="1350"/>
      <c r="D6" s="1351"/>
      <c r="E6" s="1351"/>
      <c r="F6" s="2558">
        <v>6110</v>
      </c>
      <c r="G6" s="2558"/>
      <c r="H6" s="2558"/>
      <c r="I6" s="2558"/>
      <c r="J6" s="1352" t="s">
        <v>492</v>
      </c>
      <c r="K6" s="1351"/>
      <c r="L6" s="1351"/>
      <c r="M6" s="1351"/>
      <c r="N6" s="1351"/>
      <c r="O6" s="1351"/>
      <c r="P6" s="1351"/>
      <c r="Q6" s="1351"/>
      <c r="R6" s="1351"/>
      <c r="S6" s="1351"/>
      <c r="T6" s="1351"/>
      <c r="U6" s="1351"/>
      <c r="V6" s="1364"/>
      <c r="W6" s="2557"/>
    </row>
    <row r="7" spans="1:23" ht="25.5" customHeight="1">
      <c r="A7" s="1134"/>
      <c r="B7" s="1134"/>
      <c r="C7" s="1211"/>
      <c r="D7" s="1212"/>
      <c r="E7" s="1212"/>
      <c r="F7" s="1212"/>
      <c r="G7" s="1212"/>
      <c r="H7" s="1213"/>
      <c r="I7" s="1213"/>
      <c r="J7" s="1213"/>
      <c r="K7" s="1213"/>
      <c r="L7" s="1211"/>
      <c r="M7" s="1213"/>
      <c r="N7" s="1213"/>
      <c r="O7" s="1213"/>
      <c r="P7" s="1213"/>
      <c r="Q7" s="1208"/>
      <c r="R7" s="1208"/>
      <c r="S7" s="1208"/>
      <c r="T7" s="1208"/>
      <c r="U7" s="1208"/>
      <c r="V7" s="1208"/>
      <c r="W7" s="1274"/>
    </row>
    <row r="8" spans="1:23" ht="25.5" customHeight="1">
      <c r="A8" s="2116" t="s">
        <v>1183</v>
      </c>
      <c r="B8" s="2135" t="s">
        <v>75</v>
      </c>
      <c r="C8" s="2106"/>
      <c r="D8" s="2137">
        <v>11000</v>
      </c>
      <c r="E8" s="2138"/>
      <c r="F8" s="2138"/>
      <c r="G8" s="2138"/>
      <c r="H8" s="2138"/>
      <c r="I8" s="2138"/>
      <c r="J8" s="1202" t="s">
        <v>1184</v>
      </c>
      <c r="K8" s="2139" t="s">
        <v>1185</v>
      </c>
      <c r="L8" s="2139"/>
      <c r="M8" s="2139"/>
      <c r="N8" s="2139"/>
      <c r="O8" s="2139"/>
      <c r="P8" s="2139"/>
      <c r="Q8" s="2139"/>
      <c r="R8" s="2139"/>
      <c r="S8" s="2139"/>
      <c r="T8" s="2139"/>
      <c r="U8" s="2139"/>
      <c r="V8" s="2140"/>
      <c r="W8" s="2133" t="s">
        <v>1186</v>
      </c>
    </row>
    <row r="9" spans="1:23" ht="25.5" customHeight="1">
      <c r="A9" s="2134"/>
      <c r="B9" s="2136"/>
      <c r="C9" s="2108"/>
      <c r="D9" s="1203"/>
      <c r="E9" s="1203"/>
      <c r="F9" s="1203"/>
      <c r="G9" s="1204"/>
      <c r="H9" s="1204"/>
      <c r="I9" s="1204"/>
      <c r="J9" s="1204"/>
      <c r="K9" s="1204"/>
      <c r="L9" s="1204"/>
      <c r="M9" s="2112" t="s">
        <v>274</v>
      </c>
      <c r="N9" s="2112"/>
      <c r="O9" s="2112"/>
      <c r="P9" s="2112"/>
      <c r="Q9" s="2112"/>
      <c r="R9" s="2112"/>
      <c r="S9" s="2112"/>
      <c r="T9" s="2112"/>
      <c r="U9" s="2112"/>
      <c r="V9" s="2115"/>
      <c r="W9" s="2133"/>
    </row>
    <row r="10" spans="1:23" ht="25.5" customHeight="1">
      <c r="A10" s="1134"/>
      <c r="B10" s="1134"/>
      <c r="C10" s="1365"/>
      <c r="D10" s="1365"/>
      <c r="E10" s="1365"/>
      <c r="F10" s="1365"/>
      <c r="G10" s="1366"/>
      <c r="H10" s="1366"/>
      <c r="I10" s="1366"/>
      <c r="J10" s="1366"/>
      <c r="K10" s="1366"/>
      <c r="L10" s="1366"/>
      <c r="M10" s="1366"/>
      <c r="N10" s="1366"/>
      <c r="O10" s="1366"/>
      <c r="P10" s="1366"/>
      <c r="Q10" s="1366"/>
      <c r="R10" s="1366"/>
      <c r="S10" s="1366"/>
      <c r="T10" s="1366"/>
      <c r="U10" s="1366"/>
      <c r="V10" s="1366"/>
      <c r="W10" s="1367"/>
    </row>
    <row r="11" spans="1:23" ht="30" customHeight="1">
      <c r="A11" s="2080" t="s">
        <v>469</v>
      </c>
      <c r="B11" s="2083" t="s">
        <v>500</v>
      </c>
      <c r="C11" s="2086" t="s">
        <v>471</v>
      </c>
      <c r="D11" s="2087"/>
      <c r="E11" s="2087"/>
      <c r="F11" s="2087"/>
      <c r="G11" s="2087"/>
      <c r="H11" s="2088">
        <v>1840</v>
      </c>
      <c r="I11" s="2088"/>
      <c r="J11" s="2088"/>
      <c r="K11" s="2088"/>
      <c r="L11" s="2089"/>
      <c r="M11" s="2086" t="s">
        <v>472</v>
      </c>
      <c r="N11" s="2087"/>
      <c r="O11" s="2087"/>
      <c r="P11" s="2087"/>
      <c r="Q11" s="2087"/>
      <c r="R11" s="2088">
        <v>1270</v>
      </c>
      <c r="S11" s="2088"/>
      <c r="T11" s="2088"/>
      <c r="U11" s="2088"/>
      <c r="V11" s="2089"/>
      <c r="W11" s="2133" t="s">
        <v>473</v>
      </c>
    </row>
    <row r="12" spans="1:23" ht="30" customHeight="1">
      <c r="A12" s="2081"/>
      <c r="B12" s="2084"/>
      <c r="C12" s="2086" t="s">
        <v>474</v>
      </c>
      <c r="D12" s="2087"/>
      <c r="E12" s="2087"/>
      <c r="F12" s="2087"/>
      <c r="G12" s="2087"/>
      <c r="H12" s="2088">
        <v>1630</v>
      </c>
      <c r="I12" s="2088"/>
      <c r="J12" s="2088"/>
      <c r="K12" s="2088"/>
      <c r="L12" s="2089"/>
      <c r="M12" s="2086" t="s">
        <v>475</v>
      </c>
      <c r="N12" s="2087"/>
      <c r="O12" s="2087"/>
      <c r="P12" s="2087"/>
      <c r="Q12" s="2087"/>
      <c r="R12" s="2088">
        <v>110</v>
      </c>
      <c r="S12" s="2088"/>
      <c r="T12" s="2088"/>
      <c r="U12" s="2088"/>
      <c r="V12" s="2089"/>
      <c r="W12" s="2133"/>
    </row>
    <row r="13" spans="1:23" ht="30" customHeight="1">
      <c r="A13" s="2082"/>
      <c r="B13" s="2085"/>
      <c r="C13" s="2086" t="s">
        <v>476</v>
      </c>
      <c r="D13" s="2087"/>
      <c r="E13" s="2087"/>
      <c r="F13" s="2087"/>
      <c r="G13" s="2087"/>
      <c r="H13" s="2088">
        <v>1610</v>
      </c>
      <c r="I13" s="2088"/>
      <c r="J13" s="2088"/>
      <c r="K13" s="2088"/>
      <c r="L13" s="2089"/>
      <c r="M13" s="2101"/>
      <c r="N13" s="2102"/>
      <c r="O13" s="2102"/>
      <c r="P13" s="2102"/>
      <c r="Q13" s="2102"/>
      <c r="R13" s="2102"/>
      <c r="S13" s="2102"/>
      <c r="T13" s="2102"/>
      <c r="U13" s="2102"/>
      <c r="V13" s="2103"/>
      <c r="W13" s="2133"/>
    </row>
    <row r="14" spans="1:23" ht="25.5" customHeight="1">
      <c r="A14" s="1117"/>
      <c r="B14" s="1117"/>
      <c r="C14" s="1211"/>
      <c r="D14" s="1212"/>
      <c r="E14" s="1212"/>
      <c r="F14" s="1212"/>
      <c r="G14" s="1212"/>
      <c r="H14" s="1213"/>
      <c r="I14" s="1213"/>
      <c r="J14" s="1213"/>
      <c r="K14" s="1213"/>
      <c r="L14" s="1211"/>
      <c r="M14" s="1213"/>
      <c r="N14" s="1213"/>
      <c r="O14" s="1213"/>
      <c r="P14" s="1213"/>
      <c r="Q14" s="1208"/>
      <c r="R14" s="1208"/>
      <c r="S14" s="1208"/>
      <c r="T14" s="1208"/>
      <c r="U14" s="1208"/>
      <c r="V14" s="1208"/>
      <c r="W14" s="1274"/>
    </row>
    <row r="15" spans="1:23" ht="30" customHeight="1">
      <c r="A15" s="1119" t="s">
        <v>477</v>
      </c>
      <c r="B15" s="1120" t="s">
        <v>501</v>
      </c>
      <c r="C15" s="2090">
        <v>6180</v>
      </c>
      <c r="D15" s="2090"/>
      <c r="E15" s="2090"/>
      <c r="F15" s="2090"/>
      <c r="G15" s="2090"/>
      <c r="H15" s="2090"/>
      <c r="I15" s="2090"/>
      <c r="J15" s="2090"/>
      <c r="K15" s="2090"/>
      <c r="L15" s="2090"/>
      <c r="M15" s="2090"/>
      <c r="N15" s="2090"/>
      <c r="O15" s="2090"/>
      <c r="P15" s="2090"/>
      <c r="Q15" s="2090"/>
      <c r="R15" s="2090"/>
      <c r="S15" s="2090"/>
      <c r="T15" s="2090"/>
      <c r="U15" s="2090"/>
      <c r="V15" s="2091"/>
      <c r="W15" s="1329" t="s">
        <v>479</v>
      </c>
    </row>
    <row r="16" spans="1:23" ht="25.5" customHeight="1">
      <c r="A16" s="1117"/>
      <c r="B16" s="1117"/>
      <c r="C16" s="1211"/>
      <c r="D16" s="1212"/>
      <c r="E16" s="1212"/>
      <c r="F16" s="1212"/>
      <c r="G16" s="1212"/>
      <c r="H16" s="1213"/>
      <c r="I16" s="1213"/>
      <c r="J16" s="1213"/>
      <c r="K16" s="1213"/>
      <c r="L16" s="1211"/>
      <c r="M16" s="1213"/>
      <c r="N16" s="1213"/>
      <c r="O16" s="1213"/>
      <c r="P16" s="1213"/>
      <c r="Q16" s="1208"/>
      <c r="R16" s="1208"/>
      <c r="S16" s="1208"/>
      <c r="T16" s="1208"/>
      <c r="U16" s="1208"/>
      <c r="V16" s="1208"/>
      <c r="W16" s="1330"/>
    </row>
    <row r="17" spans="1:23" ht="30" customHeight="1">
      <c r="A17" s="1119" t="s">
        <v>480</v>
      </c>
      <c r="B17" s="1120" t="s">
        <v>502</v>
      </c>
      <c r="C17" s="2092">
        <v>155870</v>
      </c>
      <c r="D17" s="2092"/>
      <c r="E17" s="2092"/>
      <c r="F17" s="2092"/>
      <c r="G17" s="2092"/>
      <c r="H17" s="2092"/>
      <c r="I17" s="2092"/>
      <c r="J17" s="2092"/>
      <c r="K17" s="2092"/>
      <c r="L17" s="2092"/>
      <c r="M17" s="2092"/>
      <c r="N17" s="2092"/>
      <c r="O17" s="2092"/>
      <c r="P17" s="2092"/>
      <c r="Q17" s="2092"/>
      <c r="R17" s="2092"/>
      <c r="S17" s="2092"/>
      <c r="T17" s="2092"/>
      <c r="U17" s="2092"/>
      <c r="V17" s="2093"/>
      <c r="W17" s="1329" t="s">
        <v>479</v>
      </c>
    </row>
    <row r="18" spans="1:23" ht="25.5" customHeight="1">
      <c r="A18" s="1117"/>
      <c r="B18" s="1117"/>
      <c r="C18" s="1211"/>
      <c r="D18" s="1212"/>
      <c r="E18" s="1212"/>
      <c r="F18" s="1212"/>
      <c r="G18" s="1212"/>
      <c r="H18" s="1213"/>
      <c r="I18" s="1213"/>
      <c r="J18" s="1213"/>
      <c r="K18" s="1213"/>
      <c r="L18" s="1211"/>
      <c r="M18" s="1208"/>
      <c r="N18" s="1213"/>
      <c r="O18" s="1213"/>
      <c r="P18" s="1213"/>
      <c r="Q18" s="1208"/>
      <c r="R18" s="1208"/>
      <c r="S18" s="1208"/>
      <c r="T18" s="1208"/>
      <c r="U18" s="1208"/>
      <c r="V18" s="1208"/>
      <c r="W18" s="1330"/>
    </row>
    <row r="19" spans="1:23" ht="30" customHeight="1">
      <c r="A19" s="1119" t="s">
        <v>482</v>
      </c>
      <c r="B19" s="1120" t="s">
        <v>503</v>
      </c>
      <c r="C19" s="2148">
        <v>160000</v>
      </c>
      <c r="D19" s="2148"/>
      <c r="E19" s="2148"/>
      <c r="F19" s="2148"/>
      <c r="G19" s="2148"/>
      <c r="H19" s="2148"/>
      <c r="I19" s="2148"/>
      <c r="J19" s="2148"/>
      <c r="K19" s="2148"/>
      <c r="L19" s="2148"/>
      <c r="M19" s="2148"/>
      <c r="N19" s="2148"/>
      <c r="O19" s="2148"/>
      <c r="P19" s="2148"/>
      <c r="Q19" s="2148"/>
      <c r="R19" s="2148"/>
      <c r="S19" s="2148"/>
      <c r="T19" s="2148"/>
      <c r="U19" s="2148"/>
      <c r="V19" s="2149"/>
      <c r="W19" s="1329" t="s">
        <v>479</v>
      </c>
    </row>
    <row r="20" spans="1:23" s="220" customFormat="1" ht="30" customHeight="1">
      <c r="A20" s="1121"/>
      <c r="B20" s="1118"/>
      <c r="C20" s="1219"/>
      <c r="D20" s="1219"/>
      <c r="E20" s="1219"/>
      <c r="F20" s="1219"/>
      <c r="G20" s="1219"/>
      <c r="H20" s="1219"/>
      <c r="I20" s="1219"/>
      <c r="J20" s="1219"/>
      <c r="K20" s="1219"/>
      <c r="L20" s="1219"/>
      <c r="M20" s="1219"/>
      <c r="N20" s="1219"/>
      <c r="O20" s="1219"/>
      <c r="P20" s="1219"/>
      <c r="Q20" s="1219"/>
      <c r="R20" s="1219"/>
      <c r="S20" s="1219"/>
      <c r="T20" s="1219"/>
      <c r="U20" s="1219"/>
      <c r="V20" s="1219"/>
      <c r="W20" s="1265"/>
    </row>
    <row r="21" spans="1:23" s="220" customFormat="1" ht="20.25" customHeight="1">
      <c r="A21" s="2080" t="s">
        <v>266</v>
      </c>
      <c r="B21" s="2142" t="s">
        <v>306</v>
      </c>
      <c r="C21" s="2066" t="s">
        <v>795</v>
      </c>
      <c r="D21" s="1220"/>
      <c r="E21" s="2069" t="s">
        <v>268</v>
      </c>
      <c r="F21" s="2069"/>
      <c r="G21" s="2069"/>
      <c r="H21" s="2069"/>
      <c r="I21" s="2069"/>
      <c r="J21" s="1221"/>
      <c r="K21" s="2079" t="s">
        <v>269</v>
      </c>
      <c r="L21" s="2079"/>
      <c r="M21" s="2079"/>
      <c r="N21" s="2079"/>
      <c r="O21" s="2079"/>
      <c r="P21" s="2079"/>
      <c r="Q21" s="2079"/>
      <c r="R21" s="2079"/>
      <c r="S21" s="1220"/>
      <c r="T21" s="1221"/>
      <c r="U21" s="1221"/>
      <c r="V21" s="1222"/>
      <c r="W21" s="2266" t="s">
        <v>270</v>
      </c>
    </row>
    <row r="22" spans="1:23" s="220" customFormat="1" ht="30" customHeight="1">
      <c r="A22" s="2127"/>
      <c r="B22" s="2143"/>
      <c r="C22" s="2078"/>
      <c r="D22" s="1223" t="s">
        <v>271</v>
      </c>
      <c r="E22" s="2074">
        <v>76960</v>
      </c>
      <c r="F22" s="2074"/>
      <c r="G22" s="2074"/>
      <c r="H22" s="2074"/>
      <c r="I22" s="2074"/>
      <c r="J22" s="1223" t="s">
        <v>272</v>
      </c>
      <c r="K22" s="2075">
        <v>760</v>
      </c>
      <c r="L22" s="2075"/>
      <c r="M22" s="2075"/>
      <c r="N22" s="2075"/>
      <c r="O22" s="2075"/>
      <c r="P22" s="2075"/>
      <c r="Q22" s="2075"/>
      <c r="R22" s="2075"/>
      <c r="S22" s="1224" t="s">
        <v>273</v>
      </c>
      <c r="T22" s="1223"/>
      <c r="U22" s="1223"/>
      <c r="V22" s="1225"/>
      <c r="W22" s="2407"/>
    </row>
    <row r="23" spans="1:23" s="220" customFormat="1" ht="30" customHeight="1">
      <c r="A23" s="2127"/>
      <c r="B23" s="2143"/>
      <c r="C23" s="2067"/>
      <c r="D23" s="1226"/>
      <c r="E23" s="1227"/>
      <c r="F23" s="1227"/>
      <c r="G23" s="1227"/>
      <c r="H23" s="1227"/>
      <c r="I23" s="2076" t="s">
        <v>1279</v>
      </c>
      <c r="J23" s="2076"/>
      <c r="K23" s="2076"/>
      <c r="L23" s="2076"/>
      <c r="M23" s="2076"/>
      <c r="N23" s="2076"/>
      <c r="O23" s="2076"/>
      <c r="P23" s="2076"/>
      <c r="Q23" s="2076"/>
      <c r="R23" s="2076"/>
      <c r="S23" s="2076"/>
      <c r="T23" s="2076"/>
      <c r="U23" s="2076"/>
      <c r="V23" s="2077"/>
      <c r="W23" s="2407"/>
    </row>
    <row r="24" spans="1:23" s="220" customFormat="1" ht="20.25" customHeight="1">
      <c r="A24" s="2127"/>
      <c r="B24" s="2143"/>
      <c r="C24" s="2066" t="s">
        <v>1070</v>
      </c>
      <c r="D24" s="1220"/>
      <c r="E24" s="2069" t="s">
        <v>268</v>
      </c>
      <c r="F24" s="2069"/>
      <c r="G24" s="2069"/>
      <c r="H24" s="2069"/>
      <c r="I24" s="2069"/>
      <c r="J24" s="1221"/>
      <c r="K24" s="2079" t="s">
        <v>269</v>
      </c>
      <c r="L24" s="2079"/>
      <c r="M24" s="2079"/>
      <c r="N24" s="2079"/>
      <c r="O24" s="2079"/>
      <c r="P24" s="2079"/>
      <c r="Q24" s="2079"/>
      <c r="R24" s="2079"/>
      <c r="S24" s="1220"/>
      <c r="T24" s="1221"/>
      <c r="U24" s="1221"/>
      <c r="V24" s="1222"/>
      <c r="W24" s="2407"/>
    </row>
    <row r="25" spans="1:23" s="220" customFormat="1" ht="30" customHeight="1">
      <c r="A25" s="2127"/>
      <c r="B25" s="2143"/>
      <c r="C25" s="2078"/>
      <c r="D25" s="1223" t="s">
        <v>271</v>
      </c>
      <c r="E25" s="2074">
        <v>50000</v>
      </c>
      <c r="F25" s="2074"/>
      <c r="G25" s="2074"/>
      <c r="H25" s="2074"/>
      <c r="I25" s="2074"/>
      <c r="J25" s="1223" t="s">
        <v>272</v>
      </c>
      <c r="K25" s="2075">
        <v>500</v>
      </c>
      <c r="L25" s="2075"/>
      <c r="M25" s="2075"/>
      <c r="N25" s="2075"/>
      <c r="O25" s="2075"/>
      <c r="P25" s="2075"/>
      <c r="Q25" s="2075"/>
      <c r="R25" s="2075"/>
      <c r="S25" s="1224" t="s">
        <v>273</v>
      </c>
      <c r="T25" s="1223"/>
      <c r="U25" s="1223"/>
      <c r="V25" s="1225"/>
      <c r="W25" s="2407"/>
    </row>
    <row r="26" spans="1:23" s="220" customFormat="1" ht="30" customHeight="1">
      <c r="A26" s="2127"/>
      <c r="B26" s="2143"/>
      <c r="C26" s="2067"/>
      <c r="D26" s="1226"/>
      <c r="E26" s="1227"/>
      <c r="F26" s="1227"/>
      <c r="G26" s="1227"/>
      <c r="H26" s="1227"/>
      <c r="I26" s="2076" t="s">
        <v>1279</v>
      </c>
      <c r="J26" s="2076"/>
      <c r="K26" s="2076"/>
      <c r="L26" s="2076"/>
      <c r="M26" s="2076"/>
      <c r="N26" s="2076"/>
      <c r="O26" s="2076"/>
      <c r="P26" s="2076"/>
      <c r="Q26" s="2076"/>
      <c r="R26" s="2076"/>
      <c r="S26" s="2076"/>
      <c r="T26" s="2076"/>
      <c r="U26" s="2076"/>
      <c r="V26" s="2077"/>
      <c r="W26" s="2407"/>
    </row>
    <row r="27" spans="1:23" s="220" customFormat="1" ht="20.25" customHeight="1">
      <c r="A27" s="2127"/>
      <c r="B27" s="2143"/>
      <c r="C27" s="2066" t="s">
        <v>1071</v>
      </c>
      <c r="D27" s="2068" t="s">
        <v>268</v>
      </c>
      <c r="E27" s="2069"/>
      <c r="F27" s="2069"/>
      <c r="G27" s="2069"/>
      <c r="H27" s="2069"/>
      <c r="I27" s="2069"/>
      <c r="J27" s="2069"/>
      <c r="K27" s="2069"/>
      <c r="L27" s="2069"/>
      <c r="M27" s="1228"/>
      <c r="N27" s="1228"/>
      <c r="O27" s="1228"/>
      <c r="P27" s="1228"/>
      <c r="Q27" s="1228"/>
      <c r="R27" s="1228"/>
      <c r="S27" s="1228"/>
      <c r="T27" s="1228"/>
      <c r="U27" s="1228"/>
      <c r="V27" s="1229"/>
      <c r="W27" s="2407"/>
    </row>
    <row r="28" spans="1:23" s="220" customFormat="1" ht="30" customHeight="1">
      <c r="A28" s="2128"/>
      <c r="B28" s="2144"/>
      <c r="C28" s="2067"/>
      <c r="D28" s="2070">
        <v>10000</v>
      </c>
      <c r="E28" s="2071"/>
      <c r="F28" s="2071"/>
      <c r="G28" s="2071"/>
      <c r="H28" s="2071"/>
      <c r="I28" s="2071"/>
      <c r="J28" s="2072" t="s">
        <v>275</v>
      </c>
      <c r="K28" s="2072"/>
      <c r="L28" s="2072"/>
      <c r="M28" s="2072"/>
      <c r="N28" s="2072"/>
      <c r="O28" s="2072"/>
      <c r="P28" s="2072"/>
      <c r="Q28" s="2072"/>
      <c r="R28" s="2072"/>
      <c r="S28" s="2072"/>
      <c r="T28" s="2072"/>
      <c r="U28" s="2072"/>
      <c r="V28" s="2073"/>
      <c r="W28" s="2136"/>
    </row>
    <row r="29" spans="1:23" ht="25.5" customHeight="1">
      <c r="A29" s="1117"/>
      <c r="B29" s="1117"/>
      <c r="C29" s="1211"/>
      <c r="D29" s="1212"/>
      <c r="E29" s="1212"/>
      <c r="F29" s="1212"/>
      <c r="G29" s="1212"/>
      <c r="H29" s="1213"/>
      <c r="I29" s="1213"/>
      <c r="J29" s="1213"/>
      <c r="K29" s="1213"/>
      <c r="L29" s="1211"/>
      <c r="M29" s="1208"/>
      <c r="N29" s="1213"/>
      <c r="O29" s="1213"/>
      <c r="P29" s="1213"/>
      <c r="Q29" s="1208"/>
      <c r="R29" s="1208"/>
      <c r="S29" s="1208"/>
      <c r="T29" s="1208"/>
      <c r="U29" s="1208"/>
      <c r="V29" s="1208"/>
      <c r="W29" s="1274" t="s">
        <v>484</v>
      </c>
    </row>
    <row r="30" spans="1:23" ht="30" customHeight="1">
      <c r="A30" s="1119" t="s">
        <v>486</v>
      </c>
      <c r="B30" s="1120" t="s">
        <v>470</v>
      </c>
      <c r="C30" s="2092">
        <v>150000</v>
      </c>
      <c r="D30" s="2092"/>
      <c r="E30" s="2092"/>
      <c r="F30" s="2092"/>
      <c r="G30" s="2092"/>
      <c r="H30" s="2092"/>
      <c r="I30" s="2092"/>
      <c r="J30" s="2092"/>
      <c r="K30" s="2092"/>
      <c r="L30" s="2092"/>
      <c r="M30" s="2092"/>
      <c r="N30" s="2092"/>
      <c r="O30" s="2092"/>
      <c r="P30" s="2092"/>
      <c r="Q30" s="2092"/>
      <c r="R30" s="2092"/>
      <c r="S30" s="2092"/>
      <c r="T30" s="2092"/>
      <c r="U30" s="2092"/>
      <c r="V30" s="2093"/>
      <c r="W30" s="1329" t="s">
        <v>479</v>
      </c>
    </row>
    <row r="31" spans="1:23" ht="25.5" customHeight="1">
      <c r="A31" s="2551"/>
      <c r="B31" s="2551"/>
      <c r="C31" s="2551"/>
      <c r="D31" s="2551"/>
      <c r="E31" s="2551"/>
      <c r="F31" s="2551"/>
      <c r="G31" s="2551"/>
      <c r="H31" s="2551"/>
      <c r="I31" s="2551"/>
      <c r="J31" s="2551"/>
      <c r="K31" s="2551"/>
      <c r="L31" s="2551"/>
      <c r="M31" s="2551"/>
      <c r="N31" s="2551"/>
      <c r="O31" s="2551"/>
      <c r="P31" s="2551"/>
      <c r="Q31" s="2551"/>
      <c r="R31" s="2551"/>
      <c r="S31" s="2551"/>
      <c r="T31" s="2551"/>
      <c r="U31" s="2551"/>
      <c r="V31" s="2551"/>
      <c r="W31" s="2551"/>
    </row>
  </sheetData>
  <sheetProtection algorithmName="SHA-512" hashValue="c9SuXux0ws1nedmyfcLO7h9kS5To4poXg16BwrmEk0soZrM6tLDZpwKKRbqjjwaH38NZLRhQRG1Av/9EThWdsQ==" saltValue="RDEI9wX4683wpuB7tm8aSw==" spinCount="100000" sheet="1" objects="1" scenarios="1"/>
  <customSheetViews>
    <customSheetView guid="{2E52E5FF-9846-4DC5-A671-268FE925398C}" showPageBreaks="1" state="hidden" view="pageBreakPreview" topLeftCell="A10">
      <selection activeCell="W26" sqref="W26"/>
      <pageMargins left="0.39370078740157483" right="0.39370078740157483" top="0.39370078740157483" bottom="0.39370078740157483" header="0.31496062992125984" footer="0.15748031496062992"/>
      <printOptions horizontalCentered="1"/>
      <pageSetup paperSize="9" scale="71" orientation="portrait" r:id="rId1"/>
      <headerFooter alignWithMargins="0"/>
    </customSheetView>
    <customSheetView guid="{BADA99B3-B36A-4925-87A7-F72FC97D3DBA}" showPageBreaks="1" state="hidden" view="pageBreakPreview" topLeftCell="A10">
      <selection activeCell="W26" sqref="W26"/>
      <pageMargins left="0.39370078740157483" right="0.39370078740157483" top="0.39370078740157483" bottom="0.39370078740157483" header="0.31496062992125984" footer="0.15748031496062992"/>
      <printOptions horizontalCentered="1"/>
      <pageSetup paperSize="9" scale="71" orientation="portrait" r:id="rId2"/>
      <headerFooter alignWithMargins="0"/>
    </customSheetView>
  </customSheetViews>
  <mergeCells count="52">
    <mergeCell ref="W8:W9"/>
    <mergeCell ref="M9:V9"/>
    <mergeCell ref="A8:A9"/>
    <mergeCell ref="B8:B9"/>
    <mergeCell ref="C8:C9"/>
    <mergeCell ref="D8:I8"/>
    <mergeCell ref="K8:V8"/>
    <mergeCell ref="A3:A6"/>
    <mergeCell ref="B3:B6"/>
    <mergeCell ref="C3:V3"/>
    <mergeCell ref="W3:W6"/>
    <mergeCell ref="F4:I4"/>
    <mergeCell ref="C5:V5"/>
    <mergeCell ref="F6:I6"/>
    <mergeCell ref="A11:A13"/>
    <mergeCell ref="B11:B13"/>
    <mergeCell ref="C11:G11"/>
    <mergeCell ref="H11:L11"/>
    <mergeCell ref="M11:Q11"/>
    <mergeCell ref="W11:W13"/>
    <mergeCell ref="C12:G12"/>
    <mergeCell ref="H12:L12"/>
    <mergeCell ref="M12:Q12"/>
    <mergeCell ref="R12:V12"/>
    <mergeCell ref="C13:G13"/>
    <mergeCell ref="H13:L13"/>
    <mergeCell ref="M13:V13"/>
    <mergeCell ref="R11:V11"/>
    <mergeCell ref="C30:V30"/>
    <mergeCell ref="A31:W31"/>
    <mergeCell ref="W21:W28"/>
    <mergeCell ref="C15:V15"/>
    <mergeCell ref="C17:V17"/>
    <mergeCell ref="C19:V19"/>
    <mergeCell ref="A21:A28"/>
    <mergeCell ref="B21:B28"/>
    <mergeCell ref="C21:C23"/>
    <mergeCell ref="E21:I21"/>
    <mergeCell ref="K21:R21"/>
    <mergeCell ref="E22:I22"/>
    <mergeCell ref="K22:R22"/>
    <mergeCell ref="I23:V23"/>
    <mergeCell ref="C24:C26"/>
    <mergeCell ref="E24:I24"/>
    <mergeCell ref="K24:R24"/>
    <mergeCell ref="E25:I25"/>
    <mergeCell ref="K25:R25"/>
    <mergeCell ref="I26:V26"/>
    <mergeCell ref="C27:C28"/>
    <mergeCell ref="D27:L27"/>
    <mergeCell ref="D28:I28"/>
    <mergeCell ref="J28:V28"/>
  </mergeCells>
  <phoneticPr fontId="60"/>
  <printOptions horizontalCentered="1"/>
  <pageMargins left="0.39370078740157483" right="0.39370078740157483" top="0.39370078740157483" bottom="0.39370078740157483" header="0.31496062992125984" footer="0.15748031496062992"/>
  <pageSetup paperSize="9" scale="71" orientation="portrait" r:id="rId3"/>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FFFF00"/>
  </sheetPr>
  <dimension ref="A1:BH61"/>
  <sheetViews>
    <sheetView view="pageBreakPreview" zoomScale="90" zoomScaleNormal="100" zoomScaleSheetLayoutView="90" workbookViewId="0">
      <pane xSplit="4" ySplit="6" topLeftCell="AA7" activePane="bottomRight" state="frozen"/>
      <selection activeCell="AA52" sqref="Y6:AB78"/>
      <selection pane="topRight" activeCell="AA52" sqref="Y6:AB78"/>
      <selection pane="bottomLeft" activeCell="AA52" sqref="Y6:AB78"/>
      <selection pane="bottomRight" activeCell="AA52" sqref="Y6:AB78"/>
    </sheetView>
  </sheetViews>
  <sheetFormatPr defaultRowHeight="13.5"/>
  <cols>
    <col min="1" max="1" width="5.625" style="28" customWidth="1"/>
    <col min="2" max="2" width="5.375" style="28" customWidth="1"/>
    <col min="3" max="3" width="8.25" style="28" bestFit="1" customWidth="1"/>
    <col min="4" max="4" width="7.5" style="28" customWidth="1"/>
    <col min="5" max="5" width="2.25" style="47" customWidth="1"/>
    <col min="6" max="6" width="7.125" style="29" customWidth="1"/>
    <col min="7" max="7" width="7.5" style="30" customWidth="1"/>
    <col min="8" max="8" width="7.125" style="31" customWidth="1"/>
    <col min="9" max="9" width="7.5" style="30" customWidth="1"/>
    <col min="10" max="10" width="0.875" style="47" customWidth="1"/>
    <col min="11" max="11" width="9" style="29" customWidth="1"/>
    <col min="12" max="12" width="2.25" style="23" customWidth="1"/>
    <col min="13" max="13" width="5.375" style="29" customWidth="1"/>
    <col min="14" max="14" width="6" style="30" customWidth="1"/>
    <col min="15" max="15" width="7.375" style="32" customWidth="1"/>
    <col min="16" max="16" width="5.375" style="31" customWidth="1"/>
    <col min="17" max="17" width="6" style="30" customWidth="1"/>
    <col min="18" max="18" width="7.375" style="32" customWidth="1"/>
    <col min="19" max="19" width="2.25" style="23" customWidth="1"/>
    <col min="20" max="20" width="6.375" style="29" customWidth="1"/>
    <col min="21" max="21" width="6.875" style="29" customWidth="1"/>
    <col min="22" max="22" width="7.125" style="33" customWidth="1"/>
    <col min="23" max="23" width="4.625" style="33" customWidth="1"/>
    <col min="24" max="24" width="6.75" style="33" customWidth="1"/>
    <col min="25" max="25" width="2.25" style="32" customWidth="1"/>
    <col min="26" max="26" width="1.125" style="23" customWidth="1"/>
    <col min="27" max="27" width="14.75" style="31" customWidth="1"/>
    <col min="28" max="28" width="9.875" style="31" customWidth="1"/>
    <col min="29" max="29" width="2.25" style="23" customWidth="1"/>
    <col min="30" max="30" width="11.25" style="33" customWidth="1"/>
    <col min="31" max="31" width="1.125" style="33" customWidth="1"/>
    <col min="32" max="32" width="2.25" style="23" customWidth="1"/>
    <col min="33" max="33" width="10.25" style="33" customWidth="1"/>
    <col min="34" max="34" width="2.25" style="32" customWidth="1"/>
    <col min="35" max="35" width="5.625" style="31" customWidth="1"/>
    <col min="36" max="36" width="2.25" style="23" customWidth="1"/>
    <col min="37" max="37" width="9.5" style="36" customWidth="1"/>
    <col min="38" max="38" width="2.25" style="32" customWidth="1"/>
    <col min="39" max="39" width="6" style="32" bestFit="1" customWidth="1"/>
    <col min="40" max="40" width="6" style="45" bestFit="1" customWidth="1"/>
    <col min="41" max="41" width="2.25" style="32" customWidth="1"/>
    <col min="42" max="42" width="6" style="45" bestFit="1" customWidth="1"/>
    <col min="43" max="43" width="6" style="32" bestFit="1" customWidth="1"/>
    <col min="44" max="44" width="6" style="45" bestFit="1" customWidth="1"/>
    <col min="45" max="45" width="3" style="29" bestFit="1" customWidth="1"/>
    <col min="46" max="46" width="9" style="27"/>
    <col min="47" max="47" width="3" style="27" bestFit="1" customWidth="1"/>
    <col min="48" max="48" width="9" style="27"/>
    <col min="49" max="49" width="3" style="27" bestFit="1" customWidth="1"/>
    <col min="50" max="50" width="6" style="27" bestFit="1" customWidth="1"/>
    <col min="51" max="51" width="3" style="27" customWidth="1"/>
    <col min="52" max="52" width="9.75" style="27" bestFit="1" customWidth="1"/>
    <col min="53" max="53" width="3" style="27" customWidth="1"/>
    <col min="54" max="57" width="9" style="27"/>
    <col min="58" max="58" width="3" style="27" bestFit="1" customWidth="1"/>
    <col min="59" max="60" width="10.375" style="27" customWidth="1"/>
    <col min="61" max="16384" width="9" style="27"/>
  </cols>
  <sheetData>
    <row r="1" spans="1:60" s="1" customFormat="1" ht="13.5" customHeight="1">
      <c r="A1" s="2020" t="s">
        <v>364</v>
      </c>
      <c r="B1" s="2020" t="s">
        <v>397</v>
      </c>
      <c r="C1" s="2020" t="s">
        <v>22</v>
      </c>
      <c r="D1" s="2020" t="s">
        <v>325</v>
      </c>
      <c r="E1" s="202"/>
      <c r="F1" s="2022" t="s">
        <v>398</v>
      </c>
      <c r="G1" s="2022"/>
      <c r="H1" s="2022"/>
      <c r="I1" s="2022"/>
      <c r="J1" s="198"/>
      <c r="K1" s="2020" t="s">
        <v>452</v>
      </c>
      <c r="L1" s="204"/>
      <c r="M1" s="2022" t="s">
        <v>453</v>
      </c>
      <c r="N1" s="2022"/>
      <c r="O1" s="2022"/>
      <c r="P1" s="2022"/>
      <c r="Q1" s="2022"/>
      <c r="R1" s="2022"/>
      <c r="S1" s="204"/>
      <c r="T1" s="2008" t="s">
        <v>400</v>
      </c>
      <c r="U1" s="2030"/>
      <c r="V1" s="2030"/>
      <c r="W1" s="2030"/>
      <c r="X1" s="2026"/>
      <c r="Y1" s="204"/>
      <c r="Z1" s="204"/>
      <c r="AA1" s="2025" t="s">
        <v>328</v>
      </c>
      <c r="AB1" s="2030"/>
      <c r="AC1" s="2030"/>
      <c r="AD1" s="2030"/>
      <c r="AE1" s="2030"/>
      <c r="AF1" s="2030"/>
      <c r="AG1" s="2026"/>
      <c r="AH1" s="204"/>
      <c r="AI1" s="2025" t="s">
        <v>329</v>
      </c>
      <c r="AJ1" s="2030"/>
      <c r="AK1" s="2026"/>
      <c r="AL1" s="204"/>
      <c r="AM1" s="2022" t="s">
        <v>401</v>
      </c>
      <c r="AN1" s="2022"/>
      <c r="AO1" s="204"/>
      <c r="AP1" s="2022" t="s">
        <v>330</v>
      </c>
      <c r="AQ1" s="2022"/>
      <c r="AR1" s="2022"/>
      <c r="AS1" s="2581"/>
      <c r="AT1" s="2021" t="s">
        <v>430</v>
      </c>
      <c r="AU1" s="2581"/>
      <c r="AV1" s="2021" t="s">
        <v>454</v>
      </c>
      <c r="AW1" s="204"/>
      <c r="AX1" s="2025" t="s">
        <v>404</v>
      </c>
      <c r="AY1" s="2030"/>
      <c r="AZ1" s="2026"/>
      <c r="BA1" s="204"/>
      <c r="BB1" s="2008" t="s">
        <v>257</v>
      </c>
      <c r="BC1" s="2009"/>
      <c r="BD1" s="2009"/>
      <c r="BE1" s="2010"/>
      <c r="BF1" s="204"/>
      <c r="BG1" s="2161" t="s">
        <v>455</v>
      </c>
      <c r="BH1" s="2150"/>
    </row>
    <row r="2" spans="1:60" s="1" customFormat="1" ht="13.5" customHeight="1">
      <c r="A2" s="2020"/>
      <c r="B2" s="2020"/>
      <c r="C2" s="2020"/>
      <c r="D2" s="2020"/>
      <c r="E2" s="202"/>
      <c r="F2" s="2022" t="s">
        <v>337</v>
      </c>
      <c r="G2" s="2022"/>
      <c r="H2" s="2023" t="s">
        <v>338</v>
      </c>
      <c r="I2" s="2023"/>
      <c r="J2" s="198"/>
      <c r="K2" s="2020"/>
      <c r="L2" s="205"/>
      <c r="M2" s="2022" t="s">
        <v>337</v>
      </c>
      <c r="N2" s="2022"/>
      <c r="O2" s="2024"/>
      <c r="P2" s="2023" t="s">
        <v>338</v>
      </c>
      <c r="Q2" s="2023"/>
      <c r="R2" s="2023"/>
      <c r="S2" s="205"/>
      <c r="T2" s="2027"/>
      <c r="U2" s="2031"/>
      <c r="V2" s="2031"/>
      <c r="W2" s="2031"/>
      <c r="X2" s="2028"/>
      <c r="Y2" s="205"/>
      <c r="Z2" s="205"/>
      <c r="AA2" s="2027"/>
      <c r="AB2" s="2031"/>
      <c r="AC2" s="2031"/>
      <c r="AD2" s="2031"/>
      <c r="AE2" s="2031"/>
      <c r="AF2" s="2031"/>
      <c r="AG2" s="2028"/>
      <c r="AH2" s="205"/>
      <c r="AI2" s="2027"/>
      <c r="AJ2" s="2031"/>
      <c r="AK2" s="2028"/>
      <c r="AL2" s="204"/>
      <c r="AM2" s="2029"/>
      <c r="AN2" s="2029"/>
      <c r="AO2" s="204"/>
      <c r="AP2" s="2029"/>
      <c r="AQ2" s="2029"/>
      <c r="AR2" s="2029"/>
      <c r="AS2" s="2581"/>
      <c r="AT2" s="2038"/>
      <c r="AU2" s="2581"/>
      <c r="AV2" s="2038"/>
      <c r="AW2" s="205"/>
      <c r="AX2" s="2027"/>
      <c r="AY2" s="2031"/>
      <c r="AZ2" s="2028"/>
      <c r="BA2" s="205"/>
      <c r="BB2" s="1987" t="s">
        <v>258</v>
      </c>
      <c r="BC2" s="1989" t="s">
        <v>259</v>
      </c>
      <c r="BD2" s="2427" t="s">
        <v>260</v>
      </c>
      <c r="BE2" s="1991" t="s">
        <v>261</v>
      </c>
      <c r="BF2" s="205"/>
      <c r="BG2" s="2586" t="s">
        <v>1276</v>
      </c>
      <c r="BH2" s="2588" t="s">
        <v>1277</v>
      </c>
    </row>
    <row r="3" spans="1:60" s="5" customFormat="1" ht="13.5" customHeight="1">
      <c r="A3" s="2020"/>
      <c r="B3" s="2020"/>
      <c r="C3" s="2020"/>
      <c r="D3" s="2020"/>
      <c r="E3" s="198"/>
      <c r="F3" s="2008" t="s">
        <v>339</v>
      </c>
      <c r="G3" s="2010"/>
      <c r="H3" s="2008" t="s">
        <v>339</v>
      </c>
      <c r="I3" s="2010"/>
      <c r="J3" s="198"/>
      <c r="K3" s="2020"/>
      <c r="L3" s="199"/>
      <c r="M3" s="210"/>
      <c r="N3" s="94"/>
      <c r="O3" s="95"/>
      <c r="P3" s="210"/>
      <c r="Q3" s="94"/>
      <c r="R3" s="96"/>
      <c r="S3" s="199"/>
      <c r="T3" s="210"/>
      <c r="U3" s="97"/>
      <c r="V3" s="2465" t="s">
        <v>405</v>
      </c>
      <c r="W3" s="2466"/>
      <c r="X3" s="2467"/>
      <c r="Y3" s="95"/>
      <c r="Z3" s="95"/>
      <c r="AA3" s="88"/>
      <c r="AB3" s="98"/>
      <c r="AC3" s="200"/>
      <c r="AD3" s="2040" t="s">
        <v>428</v>
      </c>
      <c r="AE3" s="99"/>
      <c r="AF3" s="199"/>
      <c r="AG3" s="2039"/>
      <c r="AH3" s="95"/>
      <c r="AI3" s="88"/>
      <c r="AJ3" s="200"/>
      <c r="AK3" s="2040" t="s">
        <v>428</v>
      </c>
      <c r="AL3" s="199"/>
      <c r="AM3" s="2392" t="s">
        <v>27</v>
      </c>
      <c r="AN3" s="2043"/>
      <c r="AO3" s="199"/>
      <c r="AP3" s="88"/>
      <c r="AQ3" s="2042" t="s">
        <v>27</v>
      </c>
      <c r="AR3" s="2043"/>
      <c r="AS3" s="2581"/>
      <c r="AT3" s="2038"/>
      <c r="AU3" s="2581"/>
      <c r="AV3" s="2038"/>
      <c r="AW3" s="95"/>
      <c r="AX3" s="88"/>
      <c r="AY3" s="200"/>
      <c r="AZ3" s="2021" t="s">
        <v>456</v>
      </c>
      <c r="BA3" s="95"/>
      <c r="BB3" s="1988"/>
      <c r="BC3" s="1990"/>
      <c r="BD3" s="2428"/>
      <c r="BE3" s="1992"/>
      <c r="BF3" s="95"/>
      <c r="BG3" s="2587"/>
      <c r="BH3" s="2589"/>
    </row>
    <row r="4" spans="1:60" s="5" customFormat="1" ht="13.5" customHeight="1">
      <c r="A4" s="2021"/>
      <c r="B4" s="2021"/>
      <c r="C4" s="2021"/>
      <c r="D4" s="2021"/>
      <c r="E4" s="198"/>
      <c r="F4" s="210"/>
      <c r="G4" s="100" t="s">
        <v>63</v>
      </c>
      <c r="H4" s="210"/>
      <c r="I4" s="100" t="s">
        <v>63</v>
      </c>
      <c r="J4" s="198"/>
      <c r="K4" s="2021"/>
      <c r="L4" s="206"/>
      <c r="M4" s="88"/>
      <c r="N4" s="101" t="s">
        <v>374</v>
      </c>
      <c r="O4" s="95"/>
      <c r="P4" s="85"/>
      <c r="Q4" s="101" t="s">
        <v>374</v>
      </c>
      <c r="R4" s="96"/>
      <c r="S4" s="205"/>
      <c r="T4" s="88"/>
      <c r="U4" s="101" t="s">
        <v>374</v>
      </c>
      <c r="V4" s="102"/>
      <c r="W4" s="103" t="s">
        <v>410</v>
      </c>
      <c r="X4" s="211"/>
      <c r="Y4" s="95"/>
      <c r="Z4" s="95"/>
      <c r="AA4" s="210"/>
      <c r="AB4" s="39"/>
      <c r="AC4" s="206"/>
      <c r="AD4" s="2041"/>
      <c r="AE4" s="99"/>
      <c r="AF4" s="205"/>
      <c r="AG4" s="2039"/>
      <c r="AH4" s="95"/>
      <c r="AI4" s="210"/>
      <c r="AJ4" s="206"/>
      <c r="AK4" s="2041"/>
      <c r="AL4" s="199"/>
      <c r="AM4" s="212" t="s">
        <v>29</v>
      </c>
      <c r="AN4" s="105" t="s">
        <v>30</v>
      </c>
      <c r="AO4" s="199"/>
      <c r="AP4" s="88"/>
      <c r="AQ4" s="104" t="s">
        <v>29</v>
      </c>
      <c r="AR4" s="105" t="s">
        <v>30</v>
      </c>
      <c r="AS4" s="2581"/>
      <c r="AT4" s="2038"/>
      <c r="AU4" s="2581"/>
      <c r="AV4" s="2038"/>
      <c r="AW4" s="95"/>
      <c r="AX4" s="210"/>
      <c r="AY4" s="206"/>
      <c r="AZ4" s="2038"/>
      <c r="BA4" s="95"/>
      <c r="BB4" s="1988"/>
      <c r="BC4" s="1990"/>
      <c r="BD4" s="2428"/>
      <c r="BE4" s="1992"/>
      <c r="BF4" s="95"/>
      <c r="BG4" s="2587"/>
      <c r="BH4" s="2589"/>
    </row>
    <row r="5" spans="1:60" s="5" customFormat="1" ht="12" customHeight="1">
      <c r="A5" s="203" t="s">
        <v>411</v>
      </c>
      <c r="B5" s="203" t="s">
        <v>343</v>
      </c>
      <c r="C5" s="203" t="s">
        <v>413</v>
      </c>
      <c r="D5" s="203" t="s">
        <v>345</v>
      </c>
      <c r="E5" s="199"/>
      <c r="F5" s="2016" t="s">
        <v>457</v>
      </c>
      <c r="G5" s="2016"/>
      <c r="H5" s="2016" t="s">
        <v>457</v>
      </c>
      <c r="I5" s="2016"/>
      <c r="J5" s="199"/>
      <c r="K5" s="203" t="s">
        <v>348</v>
      </c>
      <c r="L5" s="205"/>
      <c r="M5" s="1993" t="s">
        <v>458</v>
      </c>
      <c r="N5" s="1994"/>
      <c r="O5" s="1995"/>
      <c r="P5" s="2468" t="s">
        <v>458</v>
      </c>
      <c r="Q5" s="2469"/>
      <c r="R5" s="2470"/>
      <c r="S5" s="205"/>
      <c r="T5" s="2016" t="s">
        <v>418</v>
      </c>
      <c r="U5" s="2016"/>
      <c r="V5" s="2016"/>
      <c r="W5" s="2016"/>
      <c r="X5" s="2016"/>
      <c r="Y5" s="95"/>
      <c r="Z5" s="95"/>
      <c r="AA5" s="1993" t="s">
        <v>419</v>
      </c>
      <c r="AB5" s="1994"/>
      <c r="AC5" s="1994"/>
      <c r="AD5" s="1994"/>
      <c r="AE5" s="1994"/>
      <c r="AF5" s="1994"/>
      <c r="AG5" s="1995"/>
      <c r="AH5" s="95"/>
      <c r="AI5" s="1993" t="s">
        <v>265</v>
      </c>
      <c r="AJ5" s="1994"/>
      <c r="AK5" s="1995"/>
      <c r="AL5" s="199"/>
      <c r="AM5" s="1993" t="s">
        <v>420</v>
      </c>
      <c r="AN5" s="1995"/>
      <c r="AO5" s="199"/>
      <c r="AP5" s="1993" t="s">
        <v>421</v>
      </c>
      <c r="AQ5" s="1994"/>
      <c r="AR5" s="1995"/>
      <c r="AS5" s="2581"/>
      <c r="AT5" s="61" t="s">
        <v>422</v>
      </c>
      <c r="AU5" s="2581"/>
      <c r="AV5" s="61" t="s">
        <v>423</v>
      </c>
      <c r="AW5" s="95"/>
      <c r="AX5" s="2016" t="s">
        <v>424</v>
      </c>
      <c r="AY5" s="2016"/>
      <c r="AZ5" s="2016"/>
      <c r="BA5" s="95"/>
      <c r="BB5" s="2559" t="s">
        <v>425</v>
      </c>
      <c r="BC5" s="2560"/>
      <c r="BD5" s="2560"/>
      <c r="BE5" s="2561"/>
      <c r="BF5" s="95"/>
      <c r="BG5" s="1962" t="s">
        <v>459</v>
      </c>
      <c r="BH5" s="2320"/>
    </row>
    <row r="6" spans="1:60" s="4" customFormat="1" ht="3.75" customHeight="1">
      <c r="A6" s="6"/>
      <c r="B6" s="7"/>
      <c r="C6" s="7"/>
      <c r="D6" s="7"/>
      <c r="E6" s="47"/>
      <c r="F6" s="8"/>
      <c r="G6" s="9"/>
      <c r="H6" s="10"/>
      <c r="I6" s="9"/>
      <c r="J6" s="47"/>
      <c r="K6" s="8"/>
      <c r="L6" s="23"/>
      <c r="M6" s="11"/>
      <c r="N6" s="12"/>
      <c r="O6" s="13"/>
      <c r="P6" s="10"/>
      <c r="Q6" s="12"/>
      <c r="R6" s="13"/>
      <c r="S6" s="23"/>
      <c r="T6" s="11"/>
      <c r="U6" s="11"/>
      <c r="V6" s="16"/>
      <c r="W6" s="16"/>
      <c r="X6" s="16"/>
      <c r="Y6" s="3"/>
      <c r="Z6" s="3"/>
      <c r="AA6" s="14"/>
      <c r="AB6" s="34"/>
      <c r="AC6" s="23"/>
      <c r="AD6" s="17"/>
      <c r="AE6" s="18"/>
      <c r="AF6" s="23"/>
      <c r="AG6" s="17"/>
      <c r="AH6" s="3"/>
      <c r="AI6" s="14"/>
      <c r="AJ6" s="23"/>
      <c r="AK6" s="19"/>
      <c r="AL6" s="3"/>
      <c r="AM6" s="3"/>
      <c r="AN6" s="63"/>
      <c r="AO6" s="3"/>
      <c r="AP6" s="63"/>
      <c r="AQ6" s="3"/>
      <c r="AR6" s="63"/>
      <c r="AS6" s="43"/>
    </row>
    <row r="7" spans="1:60" s="5" customFormat="1" ht="14.25" customHeight="1">
      <c r="A7" s="2216" t="s">
        <v>1014</v>
      </c>
      <c r="B7" s="2434" t="s">
        <v>1154</v>
      </c>
      <c r="C7" s="2437" t="s">
        <v>1021</v>
      </c>
      <c r="D7" s="2440" t="s">
        <v>1136</v>
      </c>
      <c r="E7" s="1123"/>
      <c r="F7" s="2443">
        <v>347510</v>
      </c>
      <c r="G7" s="2460">
        <v>416620</v>
      </c>
      <c r="H7" s="2443">
        <v>336410</v>
      </c>
      <c r="I7" s="2460">
        <v>405520</v>
      </c>
      <c r="J7" s="1342"/>
      <c r="K7" s="2576">
        <v>0.84</v>
      </c>
      <c r="L7" s="1972" t="s">
        <v>255</v>
      </c>
      <c r="M7" s="2476">
        <v>3360</v>
      </c>
      <c r="N7" s="2431">
        <v>4050</v>
      </c>
      <c r="O7" s="2471" t="s">
        <v>1017</v>
      </c>
      <c r="P7" s="2476">
        <v>3250</v>
      </c>
      <c r="Q7" s="2431">
        <v>3940</v>
      </c>
      <c r="R7" s="2471" t="s">
        <v>1017</v>
      </c>
      <c r="S7" s="1972" t="s">
        <v>255</v>
      </c>
      <c r="T7" s="2487">
        <v>138230</v>
      </c>
      <c r="U7" s="2471">
        <v>69110</v>
      </c>
      <c r="V7" s="2487">
        <v>1380</v>
      </c>
      <c r="W7" s="2431">
        <v>690</v>
      </c>
      <c r="X7" s="2471" t="s">
        <v>1017</v>
      </c>
      <c r="Y7" s="2058" t="s">
        <v>31</v>
      </c>
      <c r="Z7" s="32"/>
      <c r="AA7" s="1335"/>
      <c r="AB7" s="1336"/>
      <c r="AC7" s="1972" t="s">
        <v>255</v>
      </c>
      <c r="AD7" s="1151"/>
      <c r="AE7" s="1152"/>
      <c r="AF7" s="2060" t="s">
        <v>1018</v>
      </c>
      <c r="AG7" s="1151"/>
      <c r="AH7" s="2060" t="s">
        <v>255</v>
      </c>
      <c r="AI7" s="2018">
        <v>100060</v>
      </c>
      <c r="AJ7" s="1972" t="s">
        <v>255</v>
      </c>
      <c r="AK7" s="1973">
        <v>940</v>
      </c>
      <c r="AL7" s="1968" t="s">
        <v>255</v>
      </c>
      <c r="AM7" s="2544">
        <v>7200</v>
      </c>
      <c r="AN7" s="2547">
        <v>7900</v>
      </c>
      <c r="AO7" s="2053" t="s">
        <v>255</v>
      </c>
      <c r="AP7" s="2429" t="s">
        <v>1137</v>
      </c>
      <c r="AQ7" s="2508">
        <v>28800</v>
      </c>
      <c r="AR7" s="2498">
        <v>32100</v>
      </c>
      <c r="AS7" s="2060" t="s">
        <v>78</v>
      </c>
      <c r="AT7" s="1969">
        <v>4930</v>
      </c>
      <c r="AU7" s="2060" t="s">
        <v>78</v>
      </c>
      <c r="AV7" s="2579" t="s">
        <v>460</v>
      </c>
      <c r="AW7" s="2060" t="s">
        <v>78</v>
      </c>
      <c r="AX7" s="1969">
        <v>80340</v>
      </c>
      <c r="AY7" s="1972" t="s">
        <v>255</v>
      </c>
      <c r="AZ7" s="1973">
        <v>800</v>
      </c>
      <c r="BA7" s="2059" t="s">
        <v>78</v>
      </c>
      <c r="BB7" s="2562" t="s">
        <v>450</v>
      </c>
      <c r="BC7" s="2572" t="s">
        <v>450</v>
      </c>
      <c r="BD7" s="2574" t="s">
        <v>450</v>
      </c>
      <c r="BE7" s="2566" t="s">
        <v>450</v>
      </c>
      <c r="BF7" s="2060"/>
      <c r="BG7" s="2562" t="s">
        <v>451</v>
      </c>
      <c r="BH7" s="2566" t="s">
        <v>1275</v>
      </c>
    </row>
    <row r="8" spans="1:60" s="5" customFormat="1" ht="14.25" customHeight="1">
      <c r="A8" s="2216"/>
      <c r="B8" s="2435"/>
      <c r="C8" s="2438"/>
      <c r="D8" s="2441"/>
      <c r="E8" s="1123"/>
      <c r="F8" s="2444"/>
      <c r="G8" s="2461"/>
      <c r="H8" s="2444"/>
      <c r="I8" s="2461"/>
      <c r="J8" s="1342"/>
      <c r="K8" s="2577"/>
      <c r="L8" s="1972"/>
      <c r="M8" s="2477"/>
      <c r="N8" s="2432"/>
      <c r="O8" s="2472"/>
      <c r="P8" s="2477"/>
      <c r="Q8" s="2432"/>
      <c r="R8" s="2472"/>
      <c r="S8" s="1972"/>
      <c r="T8" s="2488"/>
      <c r="U8" s="2472"/>
      <c r="V8" s="2488"/>
      <c r="W8" s="2432"/>
      <c r="X8" s="2472"/>
      <c r="Y8" s="2058"/>
      <c r="Z8" s="32"/>
      <c r="AA8" s="1187"/>
      <c r="AB8" s="1338"/>
      <c r="AC8" s="1972"/>
      <c r="AD8" s="1166"/>
      <c r="AE8" s="1152"/>
      <c r="AF8" s="2060"/>
      <c r="AG8" s="1166"/>
      <c r="AH8" s="2060"/>
      <c r="AI8" s="2019"/>
      <c r="AJ8" s="1972"/>
      <c r="AK8" s="1974"/>
      <c r="AL8" s="1968"/>
      <c r="AM8" s="2545"/>
      <c r="AN8" s="2548"/>
      <c r="AO8" s="2053"/>
      <c r="AP8" s="2430"/>
      <c r="AQ8" s="2504"/>
      <c r="AR8" s="2499"/>
      <c r="AS8" s="2060"/>
      <c r="AT8" s="1970"/>
      <c r="AU8" s="2060"/>
      <c r="AV8" s="2580"/>
      <c r="AW8" s="2060"/>
      <c r="AX8" s="1970"/>
      <c r="AY8" s="1972"/>
      <c r="AZ8" s="1974"/>
      <c r="BA8" s="2059"/>
      <c r="BB8" s="2563"/>
      <c r="BC8" s="2573"/>
      <c r="BD8" s="2575"/>
      <c r="BE8" s="2567"/>
      <c r="BF8" s="2060"/>
      <c r="BG8" s="2563"/>
      <c r="BH8" s="2567"/>
    </row>
    <row r="9" spans="1:60" s="5" customFormat="1" ht="14.25" customHeight="1">
      <c r="A9" s="2216"/>
      <c r="B9" s="2435"/>
      <c r="C9" s="2438"/>
      <c r="D9" s="2441"/>
      <c r="E9" s="1123"/>
      <c r="F9" s="2444"/>
      <c r="G9" s="2461"/>
      <c r="H9" s="2444"/>
      <c r="I9" s="2461"/>
      <c r="J9" s="1342"/>
      <c r="K9" s="2577"/>
      <c r="L9" s="1972"/>
      <c r="M9" s="2477"/>
      <c r="N9" s="2432"/>
      <c r="O9" s="2472"/>
      <c r="P9" s="2477"/>
      <c r="Q9" s="2432"/>
      <c r="R9" s="2472"/>
      <c r="S9" s="1972"/>
      <c r="T9" s="2488"/>
      <c r="U9" s="2472"/>
      <c r="V9" s="2488"/>
      <c r="W9" s="2432"/>
      <c r="X9" s="2472"/>
      <c r="Y9" s="2058"/>
      <c r="Z9" s="32"/>
      <c r="AA9" s="1189"/>
      <c r="AB9" s="1314"/>
      <c r="AC9" s="1972"/>
      <c r="AD9" s="1166"/>
      <c r="AE9" s="1152"/>
      <c r="AF9" s="2060"/>
      <c r="AG9" s="1166"/>
      <c r="AH9" s="2060"/>
      <c r="AI9" s="2019"/>
      <c r="AJ9" s="1972"/>
      <c r="AK9" s="1974"/>
      <c r="AL9" s="1968"/>
      <c r="AM9" s="2545"/>
      <c r="AN9" s="2548"/>
      <c r="AO9" s="2053"/>
      <c r="AP9" s="2430" t="s">
        <v>1138</v>
      </c>
      <c r="AQ9" s="2504">
        <v>15900</v>
      </c>
      <c r="AR9" s="2499">
        <v>17700</v>
      </c>
      <c r="AS9" s="2060"/>
      <c r="AT9" s="1970"/>
      <c r="AU9" s="2060"/>
      <c r="AV9" s="2580"/>
      <c r="AW9" s="2060"/>
      <c r="AX9" s="1970"/>
      <c r="AY9" s="1972"/>
      <c r="AZ9" s="1974"/>
      <c r="BA9" s="2059"/>
      <c r="BB9" s="2563"/>
      <c r="BC9" s="2573"/>
      <c r="BD9" s="2575"/>
      <c r="BE9" s="2567"/>
      <c r="BF9" s="2060"/>
      <c r="BG9" s="2563"/>
      <c r="BH9" s="2567"/>
    </row>
    <row r="10" spans="1:60" s="5" customFormat="1" ht="14.25" customHeight="1">
      <c r="A10" s="2216"/>
      <c r="B10" s="2435"/>
      <c r="C10" s="2438"/>
      <c r="D10" s="2441"/>
      <c r="E10" s="1123"/>
      <c r="F10" s="2444"/>
      <c r="G10" s="2461"/>
      <c r="H10" s="2444"/>
      <c r="I10" s="2461"/>
      <c r="J10" s="1342"/>
      <c r="K10" s="2577"/>
      <c r="L10" s="1972"/>
      <c r="M10" s="2477"/>
      <c r="N10" s="2432"/>
      <c r="O10" s="2472"/>
      <c r="P10" s="2477"/>
      <c r="Q10" s="2432"/>
      <c r="R10" s="2472"/>
      <c r="S10" s="1972"/>
      <c r="T10" s="2489"/>
      <c r="U10" s="2472"/>
      <c r="V10" s="2489"/>
      <c r="W10" s="2432"/>
      <c r="X10" s="2472"/>
      <c r="Y10" s="2058"/>
      <c r="Z10" s="32"/>
      <c r="AA10" s="1189"/>
      <c r="AB10" s="1314"/>
      <c r="AC10" s="1972"/>
      <c r="AD10" s="1166"/>
      <c r="AE10" s="1152"/>
      <c r="AF10" s="2060"/>
      <c r="AG10" s="1166"/>
      <c r="AH10" s="2060"/>
      <c r="AI10" s="2019"/>
      <c r="AJ10" s="1972"/>
      <c r="AK10" s="1974"/>
      <c r="AL10" s="1968"/>
      <c r="AM10" s="2545"/>
      <c r="AN10" s="2548"/>
      <c r="AO10" s="2053"/>
      <c r="AP10" s="2430"/>
      <c r="AQ10" s="2504"/>
      <c r="AR10" s="2499"/>
      <c r="AS10" s="2060"/>
      <c r="AT10" s="1970"/>
      <c r="AU10" s="2060"/>
      <c r="AV10" s="2580"/>
      <c r="AW10" s="2060"/>
      <c r="AX10" s="1970"/>
      <c r="AY10" s="1972"/>
      <c r="AZ10" s="1974"/>
      <c r="BA10" s="2059"/>
      <c r="BB10" s="2563"/>
      <c r="BC10" s="2573"/>
      <c r="BD10" s="2575"/>
      <c r="BE10" s="2567"/>
      <c r="BF10" s="2060"/>
      <c r="BG10" s="2563"/>
      <c r="BH10" s="2567"/>
    </row>
    <row r="11" spans="1:60" s="5" customFormat="1" ht="14.25" customHeight="1">
      <c r="A11" s="2216"/>
      <c r="B11" s="2435"/>
      <c r="C11" s="2438"/>
      <c r="D11" s="2446" t="s">
        <v>133</v>
      </c>
      <c r="E11" s="1123"/>
      <c r="F11" s="2054">
        <v>416620</v>
      </c>
      <c r="G11" s="2484"/>
      <c r="H11" s="2054">
        <v>405520</v>
      </c>
      <c r="I11" s="2484"/>
      <c r="J11" s="1342"/>
      <c r="K11" s="2577"/>
      <c r="L11" s="1972" t="s">
        <v>255</v>
      </c>
      <c r="M11" s="2457">
        <v>4050</v>
      </c>
      <c r="N11" s="2451"/>
      <c r="O11" s="2454" t="s">
        <v>1017</v>
      </c>
      <c r="P11" s="2457">
        <v>3940</v>
      </c>
      <c r="Q11" s="2451"/>
      <c r="R11" s="2454" t="s">
        <v>1017</v>
      </c>
      <c r="S11" s="1972" t="s">
        <v>255</v>
      </c>
      <c r="T11" s="2490">
        <v>69110</v>
      </c>
      <c r="U11" s="2454"/>
      <c r="V11" s="2490">
        <v>690</v>
      </c>
      <c r="W11" s="2451"/>
      <c r="X11" s="2454" t="s">
        <v>1017</v>
      </c>
      <c r="Y11" s="2058"/>
      <c r="Z11" s="32"/>
      <c r="AA11" s="2458" t="s">
        <v>1028</v>
      </c>
      <c r="AB11" s="2496"/>
      <c r="AC11" s="1972"/>
      <c r="AD11" s="1166"/>
      <c r="AE11" s="1152"/>
      <c r="AF11" s="2060"/>
      <c r="AG11" s="1166"/>
      <c r="AH11" s="2060"/>
      <c r="AI11" s="2019"/>
      <c r="AJ11" s="1972"/>
      <c r="AK11" s="1974"/>
      <c r="AL11" s="1968"/>
      <c r="AM11" s="2545"/>
      <c r="AN11" s="2548"/>
      <c r="AO11" s="2053"/>
      <c r="AP11" s="2430" t="s">
        <v>1140</v>
      </c>
      <c r="AQ11" s="2504">
        <v>13800</v>
      </c>
      <c r="AR11" s="2499">
        <v>15400</v>
      </c>
      <c r="AS11" s="2060"/>
      <c r="AT11" s="1970"/>
      <c r="AU11" s="2060"/>
      <c r="AV11" s="2501">
        <v>0.1</v>
      </c>
      <c r="AW11" s="2060"/>
      <c r="AX11" s="1970"/>
      <c r="AY11" s="1972"/>
      <c r="AZ11" s="1974"/>
      <c r="BA11" s="2059"/>
      <c r="BB11" s="2509">
        <v>0.02</v>
      </c>
      <c r="BC11" s="2423">
        <v>0.03</v>
      </c>
      <c r="BD11" s="2568">
        <v>0.05</v>
      </c>
      <c r="BE11" s="2570">
        <v>0.06</v>
      </c>
      <c r="BF11" s="2060"/>
      <c r="BG11" s="2509">
        <v>0.6</v>
      </c>
      <c r="BH11" s="2570">
        <v>0.49199999999999994</v>
      </c>
    </row>
    <row r="12" spans="1:60" s="5" customFormat="1" ht="14.25" customHeight="1">
      <c r="A12" s="2216"/>
      <c r="B12" s="2435"/>
      <c r="C12" s="2438"/>
      <c r="D12" s="2441"/>
      <c r="E12" s="1123"/>
      <c r="F12" s="2019"/>
      <c r="G12" s="2485"/>
      <c r="H12" s="2019"/>
      <c r="I12" s="2485"/>
      <c r="J12" s="1342"/>
      <c r="K12" s="2577"/>
      <c r="L12" s="1972"/>
      <c r="M12" s="2458"/>
      <c r="N12" s="2452"/>
      <c r="O12" s="2455"/>
      <c r="P12" s="2458"/>
      <c r="Q12" s="2452"/>
      <c r="R12" s="2455"/>
      <c r="S12" s="1972"/>
      <c r="T12" s="2178"/>
      <c r="U12" s="2455"/>
      <c r="V12" s="2178"/>
      <c r="W12" s="2452"/>
      <c r="X12" s="2455"/>
      <c r="Y12" s="2058"/>
      <c r="Z12" s="32"/>
      <c r="AA12" s="2458"/>
      <c r="AB12" s="2496"/>
      <c r="AC12" s="1972"/>
      <c r="AD12" s="1166"/>
      <c r="AE12" s="1152"/>
      <c r="AF12" s="2060"/>
      <c r="AG12" s="1166"/>
      <c r="AH12" s="2060"/>
      <c r="AI12" s="2019"/>
      <c r="AJ12" s="1972"/>
      <c r="AK12" s="1974"/>
      <c r="AL12" s="1968"/>
      <c r="AM12" s="2545"/>
      <c r="AN12" s="2548"/>
      <c r="AO12" s="2053"/>
      <c r="AP12" s="2430"/>
      <c r="AQ12" s="2504"/>
      <c r="AR12" s="2499"/>
      <c r="AS12" s="2060"/>
      <c r="AT12" s="1970"/>
      <c r="AU12" s="2060"/>
      <c r="AV12" s="2501"/>
      <c r="AW12" s="2060"/>
      <c r="AX12" s="1970"/>
      <c r="AY12" s="1972"/>
      <c r="AZ12" s="1974"/>
      <c r="BA12" s="2059"/>
      <c r="BB12" s="2509"/>
      <c r="BC12" s="2423"/>
      <c r="BD12" s="2568"/>
      <c r="BE12" s="2570"/>
      <c r="BF12" s="2060"/>
      <c r="BG12" s="2509"/>
      <c r="BH12" s="2570"/>
    </row>
    <row r="13" spans="1:60">
      <c r="A13" s="2216"/>
      <c r="B13" s="2435"/>
      <c r="C13" s="2438"/>
      <c r="D13" s="2441"/>
      <c r="E13" s="1123"/>
      <c r="F13" s="2019"/>
      <c r="G13" s="2485"/>
      <c r="H13" s="2019"/>
      <c r="I13" s="2485"/>
      <c r="J13" s="1342"/>
      <c r="K13" s="2577"/>
      <c r="L13" s="1972"/>
      <c r="M13" s="2458"/>
      <c r="N13" s="2452"/>
      <c r="O13" s="2455"/>
      <c r="P13" s="2458"/>
      <c r="Q13" s="2452"/>
      <c r="R13" s="2455"/>
      <c r="S13" s="1972"/>
      <c r="T13" s="2178"/>
      <c r="U13" s="2455"/>
      <c r="V13" s="2178"/>
      <c r="W13" s="2452"/>
      <c r="X13" s="2455"/>
      <c r="Y13" s="2058"/>
      <c r="Z13" s="32"/>
      <c r="AA13" s="1189" t="s">
        <v>1029</v>
      </c>
      <c r="AB13" s="1314">
        <v>240600</v>
      </c>
      <c r="AC13" s="1972"/>
      <c r="AD13" s="1166">
        <v>2400</v>
      </c>
      <c r="AE13" s="1152"/>
      <c r="AF13" s="2060"/>
      <c r="AG13" s="1166"/>
      <c r="AH13" s="2060"/>
      <c r="AI13" s="2019"/>
      <c r="AJ13" s="1972"/>
      <c r="AK13" s="1974"/>
      <c r="AL13" s="1968"/>
      <c r="AM13" s="2545"/>
      <c r="AN13" s="2548"/>
      <c r="AO13" s="2053"/>
      <c r="AP13" s="2430" t="s">
        <v>1141</v>
      </c>
      <c r="AQ13" s="2504">
        <v>12400</v>
      </c>
      <c r="AR13" s="2499">
        <v>13800</v>
      </c>
      <c r="AS13" s="2060"/>
      <c r="AT13" s="1970"/>
      <c r="AU13" s="2060"/>
      <c r="AV13" s="2501"/>
      <c r="AW13" s="2060"/>
      <c r="AX13" s="1970"/>
      <c r="AY13" s="1972"/>
      <c r="AZ13" s="1974"/>
      <c r="BA13" s="2059"/>
      <c r="BB13" s="2509"/>
      <c r="BC13" s="2423"/>
      <c r="BD13" s="2568"/>
      <c r="BE13" s="2570"/>
      <c r="BF13" s="2060"/>
      <c r="BG13" s="2509"/>
      <c r="BH13" s="2570"/>
    </row>
    <row r="14" spans="1:60">
      <c r="A14" s="2216"/>
      <c r="B14" s="2435"/>
      <c r="C14" s="2438"/>
      <c r="D14" s="2441"/>
      <c r="E14" s="1123"/>
      <c r="F14" s="2019"/>
      <c r="G14" s="2486"/>
      <c r="H14" s="2019"/>
      <c r="I14" s="2486"/>
      <c r="J14" s="1342"/>
      <c r="K14" s="2577"/>
      <c r="L14" s="1972"/>
      <c r="M14" s="2459"/>
      <c r="N14" s="2453"/>
      <c r="O14" s="2455"/>
      <c r="P14" s="2458"/>
      <c r="Q14" s="2453"/>
      <c r="R14" s="2455"/>
      <c r="S14" s="1972"/>
      <c r="T14" s="2175"/>
      <c r="U14" s="2456"/>
      <c r="V14" s="2175"/>
      <c r="W14" s="2453"/>
      <c r="X14" s="2455"/>
      <c r="Y14" s="2058"/>
      <c r="Z14" s="32"/>
      <c r="AA14" s="1189" t="s">
        <v>1139</v>
      </c>
      <c r="AB14" s="1314">
        <v>257500</v>
      </c>
      <c r="AC14" s="1972"/>
      <c r="AD14" s="1166">
        <v>2570</v>
      </c>
      <c r="AE14" s="1152"/>
      <c r="AF14" s="2060"/>
      <c r="AG14" s="1166"/>
      <c r="AH14" s="2060"/>
      <c r="AI14" s="2055"/>
      <c r="AJ14" s="1972"/>
      <c r="AK14" s="1975"/>
      <c r="AL14" s="1968"/>
      <c r="AM14" s="2546"/>
      <c r="AN14" s="2549"/>
      <c r="AO14" s="2053"/>
      <c r="AP14" s="2503"/>
      <c r="AQ14" s="2505"/>
      <c r="AR14" s="2500"/>
      <c r="AS14" s="2060"/>
      <c r="AT14" s="1971"/>
      <c r="AU14" s="2060"/>
      <c r="AV14" s="2502"/>
      <c r="AW14" s="2060"/>
      <c r="AX14" s="1970"/>
      <c r="AY14" s="1972"/>
      <c r="AZ14" s="1974"/>
      <c r="BA14" s="2059"/>
      <c r="BB14" s="2510"/>
      <c r="BC14" s="2424"/>
      <c r="BD14" s="2569"/>
      <c r="BE14" s="2571"/>
      <c r="BF14" s="2060"/>
      <c r="BG14" s="2510"/>
      <c r="BH14" s="2571"/>
    </row>
    <row r="15" spans="1:60" ht="13.5" customHeight="1">
      <c r="A15" s="2216"/>
      <c r="B15" s="2434" t="s">
        <v>1135</v>
      </c>
      <c r="C15" s="2437" t="s">
        <v>1021</v>
      </c>
      <c r="D15" s="2440" t="s">
        <v>1136</v>
      </c>
      <c r="E15" s="1123"/>
      <c r="F15" s="2443">
        <v>191550</v>
      </c>
      <c r="G15" s="2460">
        <v>260660</v>
      </c>
      <c r="H15" s="2443">
        <v>186920</v>
      </c>
      <c r="I15" s="2460">
        <v>256030</v>
      </c>
      <c r="J15" s="1342"/>
      <c r="K15" s="2577"/>
      <c r="L15" s="1972" t="s">
        <v>255</v>
      </c>
      <c r="M15" s="2443">
        <v>1800</v>
      </c>
      <c r="N15" s="2431">
        <v>2490</v>
      </c>
      <c r="O15" s="2471" t="s">
        <v>1017</v>
      </c>
      <c r="P15" s="2443">
        <v>1760</v>
      </c>
      <c r="Q15" s="2431">
        <v>2450</v>
      </c>
      <c r="R15" s="2471" t="s">
        <v>1017</v>
      </c>
      <c r="S15" s="1972" t="s">
        <v>255</v>
      </c>
      <c r="T15" s="2487">
        <v>138230</v>
      </c>
      <c r="U15" s="2471">
        <v>69110</v>
      </c>
      <c r="V15" s="2487">
        <v>1380</v>
      </c>
      <c r="W15" s="2431">
        <v>690</v>
      </c>
      <c r="X15" s="2471" t="s">
        <v>1017</v>
      </c>
      <c r="Y15" s="2058"/>
      <c r="Z15" s="32"/>
      <c r="AA15" s="1189" t="s">
        <v>1033</v>
      </c>
      <c r="AB15" s="1314">
        <v>291300</v>
      </c>
      <c r="AC15" s="1972"/>
      <c r="AD15" s="1166">
        <v>2910</v>
      </c>
      <c r="AE15" s="1152"/>
      <c r="AF15" s="2060"/>
      <c r="AG15" s="1166"/>
      <c r="AH15" s="2060" t="s">
        <v>255</v>
      </c>
      <c r="AI15" s="2018">
        <v>44780</v>
      </c>
      <c r="AJ15" s="1972" t="s">
        <v>31</v>
      </c>
      <c r="AK15" s="1973">
        <v>390</v>
      </c>
      <c r="AL15" s="1968" t="s">
        <v>255</v>
      </c>
      <c r="AM15" s="2544">
        <v>3000</v>
      </c>
      <c r="AN15" s="2547">
        <v>3300</v>
      </c>
      <c r="AO15" s="2053" t="s">
        <v>255</v>
      </c>
      <c r="AP15" s="2429" t="s">
        <v>1137</v>
      </c>
      <c r="AQ15" s="2508">
        <v>14400</v>
      </c>
      <c r="AR15" s="2498">
        <v>16100</v>
      </c>
      <c r="AS15" s="2060" t="s">
        <v>78</v>
      </c>
      <c r="AT15" s="1969">
        <v>2050</v>
      </c>
      <c r="AU15" s="2060" t="s">
        <v>78</v>
      </c>
      <c r="AV15" s="2579" t="s">
        <v>460</v>
      </c>
      <c r="AW15" s="2060" t="s">
        <v>78</v>
      </c>
      <c r="AX15" s="1969">
        <v>33470</v>
      </c>
      <c r="AY15" s="1972" t="s">
        <v>255</v>
      </c>
      <c r="AZ15" s="1973">
        <v>330</v>
      </c>
      <c r="BA15" s="2059" t="s">
        <v>78</v>
      </c>
      <c r="BB15" s="2562" t="s">
        <v>450</v>
      </c>
      <c r="BC15" s="2572" t="s">
        <v>450</v>
      </c>
      <c r="BD15" s="2574" t="s">
        <v>450</v>
      </c>
      <c r="BE15" s="2566" t="s">
        <v>450</v>
      </c>
      <c r="BF15" s="2059"/>
      <c r="BG15" s="1343"/>
      <c r="BH15" s="2582" t="s">
        <v>451</v>
      </c>
    </row>
    <row r="16" spans="1:60">
      <c r="A16" s="2216"/>
      <c r="B16" s="2435"/>
      <c r="C16" s="2438"/>
      <c r="D16" s="2441"/>
      <c r="E16" s="1123"/>
      <c r="F16" s="2444"/>
      <c r="G16" s="2461"/>
      <c r="H16" s="2444"/>
      <c r="I16" s="2461"/>
      <c r="J16" s="1342"/>
      <c r="K16" s="2577"/>
      <c r="L16" s="1972"/>
      <c r="M16" s="2444"/>
      <c r="N16" s="2432"/>
      <c r="O16" s="2472"/>
      <c r="P16" s="2444"/>
      <c r="Q16" s="2432"/>
      <c r="R16" s="2472"/>
      <c r="S16" s="1972"/>
      <c r="T16" s="2488"/>
      <c r="U16" s="2472"/>
      <c r="V16" s="2488"/>
      <c r="W16" s="2432"/>
      <c r="X16" s="2472"/>
      <c r="Y16" s="2058"/>
      <c r="Z16" s="32"/>
      <c r="AA16" s="1189" t="s">
        <v>1035</v>
      </c>
      <c r="AB16" s="1314">
        <v>325100</v>
      </c>
      <c r="AC16" s="1972"/>
      <c r="AD16" s="1166">
        <v>3250</v>
      </c>
      <c r="AE16" s="1152"/>
      <c r="AF16" s="2060"/>
      <c r="AG16" s="1166"/>
      <c r="AH16" s="2060"/>
      <c r="AI16" s="2019"/>
      <c r="AJ16" s="1972"/>
      <c r="AK16" s="1974"/>
      <c r="AL16" s="1968"/>
      <c r="AM16" s="2545"/>
      <c r="AN16" s="2548"/>
      <c r="AO16" s="2053"/>
      <c r="AP16" s="2430"/>
      <c r="AQ16" s="2504"/>
      <c r="AR16" s="2499"/>
      <c r="AS16" s="2060"/>
      <c r="AT16" s="1970"/>
      <c r="AU16" s="2060"/>
      <c r="AV16" s="2580"/>
      <c r="AW16" s="2060"/>
      <c r="AX16" s="1970"/>
      <c r="AY16" s="1972"/>
      <c r="AZ16" s="1974"/>
      <c r="BA16" s="2059"/>
      <c r="BB16" s="2563"/>
      <c r="BC16" s="2573"/>
      <c r="BD16" s="2575"/>
      <c r="BE16" s="2567"/>
      <c r="BF16" s="2059"/>
      <c r="BG16" s="1344"/>
      <c r="BH16" s="2583"/>
    </row>
    <row r="17" spans="1:60">
      <c r="A17" s="2216"/>
      <c r="B17" s="2435"/>
      <c r="C17" s="2438"/>
      <c r="D17" s="2441"/>
      <c r="E17" s="1123"/>
      <c r="F17" s="2444"/>
      <c r="G17" s="2461"/>
      <c r="H17" s="2444"/>
      <c r="I17" s="2461"/>
      <c r="J17" s="1342"/>
      <c r="K17" s="2577"/>
      <c r="L17" s="1972"/>
      <c r="M17" s="2444"/>
      <c r="N17" s="2432"/>
      <c r="O17" s="2472"/>
      <c r="P17" s="2444"/>
      <c r="Q17" s="2432"/>
      <c r="R17" s="2472"/>
      <c r="S17" s="1972"/>
      <c r="T17" s="2488"/>
      <c r="U17" s="2472"/>
      <c r="V17" s="2488"/>
      <c r="W17" s="2432"/>
      <c r="X17" s="2472"/>
      <c r="Y17" s="2058"/>
      <c r="Z17" s="32"/>
      <c r="AA17" s="1189" t="s">
        <v>1036</v>
      </c>
      <c r="AB17" s="1314">
        <v>359000</v>
      </c>
      <c r="AC17" s="1972"/>
      <c r="AD17" s="1166">
        <v>3590</v>
      </c>
      <c r="AE17" s="1152"/>
      <c r="AF17" s="2060"/>
      <c r="AG17" s="1166"/>
      <c r="AH17" s="2060"/>
      <c r="AI17" s="2019"/>
      <c r="AJ17" s="1972"/>
      <c r="AK17" s="1974"/>
      <c r="AL17" s="1968"/>
      <c r="AM17" s="2545"/>
      <c r="AN17" s="2548"/>
      <c r="AO17" s="2053"/>
      <c r="AP17" s="2430" t="s">
        <v>1138</v>
      </c>
      <c r="AQ17" s="2504">
        <v>7900</v>
      </c>
      <c r="AR17" s="2499">
        <v>8800</v>
      </c>
      <c r="AS17" s="2060"/>
      <c r="AT17" s="1970"/>
      <c r="AU17" s="2060"/>
      <c r="AV17" s="2580"/>
      <c r="AW17" s="2060"/>
      <c r="AX17" s="1970"/>
      <c r="AY17" s="1972"/>
      <c r="AZ17" s="1974"/>
      <c r="BA17" s="2059"/>
      <c r="BB17" s="2563"/>
      <c r="BC17" s="2573"/>
      <c r="BD17" s="2575"/>
      <c r="BE17" s="2567"/>
      <c r="BF17" s="2059"/>
      <c r="BG17" s="1344"/>
      <c r="BH17" s="2583"/>
    </row>
    <row r="18" spans="1:60">
      <c r="A18" s="2216"/>
      <c r="B18" s="2435"/>
      <c r="C18" s="2438"/>
      <c r="D18" s="2441"/>
      <c r="E18" s="1123"/>
      <c r="F18" s="2445"/>
      <c r="G18" s="2461"/>
      <c r="H18" s="2445"/>
      <c r="I18" s="2461"/>
      <c r="J18" s="1342"/>
      <c r="K18" s="2577"/>
      <c r="L18" s="1972"/>
      <c r="M18" s="2445"/>
      <c r="N18" s="2432"/>
      <c r="O18" s="2472"/>
      <c r="P18" s="2445"/>
      <c r="Q18" s="2432"/>
      <c r="R18" s="2472"/>
      <c r="S18" s="1972"/>
      <c r="T18" s="2488"/>
      <c r="U18" s="2472"/>
      <c r="V18" s="2488"/>
      <c r="W18" s="2432"/>
      <c r="X18" s="2472"/>
      <c r="Y18" s="2058"/>
      <c r="Z18" s="32"/>
      <c r="AA18" s="1189" t="s">
        <v>1038</v>
      </c>
      <c r="AB18" s="1314">
        <v>392800</v>
      </c>
      <c r="AC18" s="1972"/>
      <c r="AD18" s="1166">
        <v>3920</v>
      </c>
      <c r="AE18" s="1152"/>
      <c r="AF18" s="2060"/>
      <c r="AG18" s="1166" t="s">
        <v>1041</v>
      </c>
      <c r="AH18" s="2060"/>
      <c r="AI18" s="2019"/>
      <c r="AJ18" s="1972"/>
      <c r="AK18" s="1974"/>
      <c r="AL18" s="1968"/>
      <c r="AM18" s="2545"/>
      <c r="AN18" s="2548"/>
      <c r="AO18" s="2053"/>
      <c r="AP18" s="2430"/>
      <c r="AQ18" s="2504"/>
      <c r="AR18" s="2499"/>
      <c r="AS18" s="2060"/>
      <c r="AT18" s="1970"/>
      <c r="AU18" s="2060"/>
      <c r="AV18" s="2580"/>
      <c r="AW18" s="2060"/>
      <c r="AX18" s="1970"/>
      <c r="AY18" s="1972"/>
      <c r="AZ18" s="1974"/>
      <c r="BA18" s="2059"/>
      <c r="BB18" s="2563"/>
      <c r="BC18" s="2573"/>
      <c r="BD18" s="2575"/>
      <c r="BE18" s="2567"/>
      <c r="BF18" s="2059"/>
      <c r="BG18" s="1344"/>
      <c r="BH18" s="2583"/>
    </row>
    <row r="19" spans="1:60">
      <c r="A19" s="2216"/>
      <c r="B19" s="2435"/>
      <c r="C19" s="2438"/>
      <c r="D19" s="2446" t="s">
        <v>133</v>
      </c>
      <c r="E19" s="1123"/>
      <c r="F19" s="2054">
        <v>260660</v>
      </c>
      <c r="G19" s="2484"/>
      <c r="H19" s="2054">
        <v>256030</v>
      </c>
      <c r="I19" s="2484"/>
      <c r="J19" s="1342"/>
      <c r="K19" s="2577"/>
      <c r="L19" s="1972" t="s">
        <v>255</v>
      </c>
      <c r="M19" s="2054">
        <v>2490</v>
      </c>
      <c r="N19" s="2451"/>
      <c r="O19" s="2454" t="s">
        <v>1017</v>
      </c>
      <c r="P19" s="2054">
        <v>2450</v>
      </c>
      <c r="Q19" s="2451"/>
      <c r="R19" s="2454" t="s">
        <v>1017</v>
      </c>
      <c r="S19" s="1972" t="s">
        <v>255</v>
      </c>
      <c r="T19" s="2490">
        <v>69110</v>
      </c>
      <c r="U19" s="2454"/>
      <c r="V19" s="2490">
        <v>690</v>
      </c>
      <c r="W19" s="2451"/>
      <c r="X19" s="2454" t="s">
        <v>1017</v>
      </c>
      <c r="Y19" s="2058"/>
      <c r="Z19" s="32"/>
      <c r="AA19" s="1189" t="s">
        <v>1040</v>
      </c>
      <c r="AB19" s="1314">
        <v>426600</v>
      </c>
      <c r="AC19" s="1972"/>
      <c r="AD19" s="1166">
        <v>4260</v>
      </c>
      <c r="AE19" s="1152"/>
      <c r="AF19" s="2060"/>
      <c r="AG19" s="1197" t="s">
        <v>1042</v>
      </c>
      <c r="AH19" s="2060"/>
      <c r="AI19" s="2019"/>
      <c r="AJ19" s="1972"/>
      <c r="AK19" s="1974"/>
      <c r="AL19" s="1968"/>
      <c r="AM19" s="2545"/>
      <c r="AN19" s="2548"/>
      <c r="AO19" s="2053"/>
      <c r="AP19" s="2430" t="s">
        <v>1140</v>
      </c>
      <c r="AQ19" s="2504">
        <v>6900</v>
      </c>
      <c r="AR19" s="2499">
        <v>7700</v>
      </c>
      <c r="AS19" s="2060"/>
      <c r="AT19" s="1970"/>
      <c r="AU19" s="2060"/>
      <c r="AV19" s="2501">
        <v>0.1</v>
      </c>
      <c r="AW19" s="2060"/>
      <c r="AX19" s="1970"/>
      <c r="AY19" s="1972"/>
      <c r="AZ19" s="1974"/>
      <c r="BA19" s="2059"/>
      <c r="BB19" s="2564">
        <v>0.02</v>
      </c>
      <c r="BC19" s="2425">
        <v>0.03</v>
      </c>
      <c r="BD19" s="2568">
        <v>0.05</v>
      </c>
      <c r="BE19" s="2570">
        <v>7.0000000000000007E-2</v>
      </c>
      <c r="BF19" s="2059"/>
      <c r="BG19" s="1345"/>
      <c r="BH19" s="2584">
        <v>0.82</v>
      </c>
    </row>
    <row r="20" spans="1:60">
      <c r="A20" s="2216"/>
      <c r="B20" s="2435"/>
      <c r="C20" s="2438"/>
      <c r="D20" s="2441"/>
      <c r="E20" s="1123"/>
      <c r="F20" s="2019"/>
      <c r="G20" s="2485"/>
      <c r="H20" s="2019"/>
      <c r="I20" s="2485"/>
      <c r="J20" s="1342"/>
      <c r="K20" s="2577"/>
      <c r="L20" s="1972"/>
      <c r="M20" s="2019"/>
      <c r="N20" s="2452"/>
      <c r="O20" s="2455"/>
      <c r="P20" s="2019"/>
      <c r="Q20" s="2452"/>
      <c r="R20" s="2455"/>
      <c r="S20" s="1972"/>
      <c r="T20" s="2178"/>
      <c r="U20" s="2455"/>
      <c r="V20" s="2178"/>
      <c r="W20" s="2452"/>
      <c r="X20" s="2455"/>
      <c r="Y20" s="2058"/>
      <c r="Z20" s="32"/>
      <c r="AA20" s="1189" t="s">
        <v>1044</v>
      </c>
      <c r="AB20" s="1314">
        <v>460500</v>
      </c>
      <c r="AC20" s="1972"/>
      <c r="AD20" s="1166">
        <v>4600</v>
      </c>
      <c r="AE20" s="1152"/>
      <c r="AF20" s="2060"/>
      <c r="AG20" s="1166"/>
      <c r="AH20" s="2060"/>
      <c r="AI20" s="2019"/>
      <c r="AJ20" s="1972"/>
      <c r="AK20" s="1974"/>
      <c r="AL20" s="1968"/>
      <c r="AM20" s="2545"/>
      <c r="AN20" s="2548"/>
      <c r="AO20" s="2053"/>
      <c r="AP20" s="2430"/>
      <c r="AQ20" s="2504"/>
      <c r="AR20" s="2499"/>
      <c r="AS20" s="2060"/>
      <c r="AT20" s="1970"/>
      <c r="AU20" s="2060"/>
      <c r="AV20" s="2501"/>
      <c r="AW20" s="2060"/>
      <c r="AX20" s="1970"/>
      <c r="AY20" s="1972"/>
      <c r="AZ20" s="1974"/>
      <c r="BA20" s="2059"/>
      <c r="BB20" s="2564"/>
      <c r="BC20" s="2425"/>
      <c r="BD20" s="2568"/>
      <c r="BE20" s="2570"/>
      <c r="BF20" s="2059"/>
      <c r="BG20" s="1345"/>
      <c r="BH20" s="2584"/>
    </row>
    <row r="21" spans="1:60">
      <c r="A21" s="2216"/>
      <c r="B21" s="2435"/>
      <c r="C21" s="2438"/>
      <c r="D21" s="2441"/>
      <c r="E21" s="1123"/>
      <c r="F21" s="2019"/>
      <c r="G21" s="2485"/>
      <c r="H21" s="2019"/>
      <c r="I21" s="2485"/>
      <c r="J21" s="1342"/>
      <c r="K21" s="2577"/>
      <c r="L21" s="1972"/>
      <c r="M21" s="2019"/>
      <c r="N21" s="2452"/>
      <c r="O21" s="2455"/>
      <c r="P21" s="2019"/>
      <c r="Q21" s="2452"/>
      <c r="R21" s="2455"/>
      <c r="S21" s="1972"/>
      <c r="T21" s="2178"/>
      <c r="U21" s="2455"/>
      <c r="V21" s="2178"/>
      <c r="W21" s="2452"/>
      <c r="X21" s="2455"/>
      <c r="Y21" s="2058"/>
      <c r="Z21" s="32"/>
      <c r="AA21" s="1189" t="s">
        <v>1045</v>
      </c>
      <c r="AB21" s="1314">
        <v>494300</v>
      </c>
      <c r="AC21" s="1972"/>
      <c r="AD21" s="1166">
        <v>4940</v>
      </c>
      <c r="AE21" s="1152"/>
      <c r="AF21" s="2060"/>
      <c r="AG21" s="1166"/>
      <c r="AH21" s="2060"/>
      <c r="AI21" s="2019"/>
      <c r="AJ21" s="1972"/>
      <c r="AK21" s="1974"/>
      <c r="AL21" s="1968"/>
      <c r="AM21" s="2545"/>
      <c r="AN21" s="2548"/>
      <c r="AO21" s="2053"/>
      <c r="AP21" s="2430" t="s">
        <v>1141</v>
      </c>
      <c r="AQ21" s="2504">
        <v>6200</v>
      </c>
      <c r="AR21" s="2499">
        <v>6900</v>
      </c>
      <c r="AS21" s="2060"/>
      <c r="AT21" s="1970"/>
      <c r="AU21" s="2060"/>
      <c r="AV21" s="2501"/>
      <c r="AW21" s="2060"/>
      <c r="AX21" s="1970"/>
      <c r="AY21" s="1972"/>
      <c r="AZ21" s="1974"/>
      <c r="BA21" s="2059"/>
      <c r="BB21" s="2564"/>
      <c r="BC21" s="2425"/>
      <c r="BD21" s="2568"/>
      <c r="BE21" s="2570"/>
      <c r="BF21" s="2059"/>
      <c r="BG21" s="1345"/>
      <c r="BH21" s="2584"/>
    </row>
    <row r="22" spans="1:60">
      <c r="A22" s="2216"/>
      <c r="B22" s="2435"/>
      <c r="C22" s="2438"/>
      <c r="D22" s="2441"/>
      <c r="E22" s="1123"/>
      <c r="F22" s="2055"/>
      <c r="G22" s="2486"/>
      <c r="H22" s="2055"/>
      <c r="I22" s="2486"/>
      <c r="J22" s="1342"/>
      <c r="K22" s="2577"/>
      <c r="L22" s="1972"/>
      <c r="M22" s="2055"/>
      <c r="N22" s="2453"/>
      <c r="O22" s="2455"/>
      <c r="P22" s="2055"/>
      <c r="Q22" s="2453"/>
      <c r="R22" s="2455"/>
      <c r="S22" s="1972"/>
      <c r="T22" s="2178"/>
      <c r="U22" s="2456"/>
      <c r="V22" s="2178"/>
      <c r="W22" s="2453"/>
      <c r="X22" s="2455"/>
      <c r="Y22" s="2058"/>
      <c r="Z22" s="32"/>
      <c r="AA22" s="1189" t="s">
        <v>1047</v>
      </c>
      <c r="AB22" s="1314">
        <v>528100</v>
      </c>
      <c r="AC22" s="1972"/>
      <c r="AD22" s="1166">
        <v>5280</v>
      </c>
      <c r="AE22" s="1152"/>
      <c r="AF22" s="2060"/>
      <c r="AG22" s="1186"/>
      <c r="AH22" s="2060"/>
      <c r="AI22" s="2055"/>
      <c r="AJ22" s="1972"/>
      <c r="AK22" s="1975"/>
      <c r="AL22" s="1968"/>
      <c r="AM22" s="2546"/>
      <c r="AN22" s="2549"/>
      <c r="AO22" s="2053"/>
      <c r="AP22" s="2503"/>
      <c r="AQ22" s="2505"/>
      <c r="AR22" s="2500"/>
      <c r="AS22" s="2060"/>
      <c r="AT22" s="1971"/>
      <c r="AU22" s="2060"/>
      <c r="AV22" s="2502"/>
      <c r="AW22" s="2060"/>
      <c r="AX22" s="1970"/>
      <c r="AY22" s="1972"/>
      <c r="AZ22" s="1974"/>
      <c r="BA22" s="2059"/>
      <c r="BB22" s="2565"/>
      <c r="BC22" s="2426"/>
      <c r="BD22" s="2569"/>
      <c r="BE22" s="2571"/>
      <c r="BF22" s="2059"/>
      <c r="BG22" s="1345"/>
      <c r="BH22" s="2585"/>
    </row>
    <row r="23" spans="1:60" ht="13.5" customHeight="1">
      <c r="A23" s="2216"/>
      <c r="B23" s="2448" t="s">
        <v>1142</v>
      </c>
      <c r="C23" s="2437" t="s">
        <v>1021</v>
      </c>
      <c r="D23" s="2440" t="s">
        <v>1136</v>
      </c>
      <c r="E23" s="1123"/>
      <c r="F23" s="2443">
        <v>150510</v>
      </c>
      <c r="G23" s="2460">
        <v>219620</v>
      </c>
      <c r="H23" s="2443">
        <v>147590</v>
      </c>
      <c r="I23" s="2460">
        <v>216700</v>
      </c>
      <c r="J23" s="1342"/>
      <c r="K23" s="2577"/>
      <c r="L23" s="1972" t="s">
        <v>255</v>
      </c>
      <c r="M23" s="2443">
        <v>1390</v>
      </c>
      <c r="N23" s="2431">
        <v>2080</v>
      </c>
      <c r="O23" s="2471" t="s">
        <v>1017</v>
      </c>
      <c r="P23" s="2443">
        <v>1360</v>
      </c>
      <c r="Q23" s="2431">
        <v>2050</v>
      </c>
      <c r="R23" s="2471" t="s">
        <v>1017</v>
      </c>
      <c r="S23" s="1972" t="s">
        <v>255</v>
      </c>
      <c r="T23" s="2487">
        <v>138230</v>
      </c>
      <c r="U23" s="2471">
        <v>69110</v>
      </c>
      <c r="V23" s="2487">
        <v>1380</v>
      </c>
      <c r="W23" s="2431">
        <v>690</v>
      </c>
      <c r="X23" s="2471" t="s">
        <v>1017</v>
      </c>
      <c r="Y23" s="2058"/>
      <c r="Z23" s="32"/>
      <c r="AA23" s="1189" t="s">
        <v>48</v>
      </c>
      <c r="AB23" s="1314">
        <v>562000</v>
      </c>
      <c r="AC23" s="1972"/>
      <c r="AD23" s="1166">
        <v>5620</v>
      </c>
      <c r="AE23" s="1152"/>
      <c r="AF23" s="2060"/>
      <c r="AG23" s="1186"/>
      <c r="AH23" s="2060" t="s">
        <v>255</v>
      </c>
      <c r="AI23" s="2018">
        <v>30230</v>
      </c>
      <c r="AJ23" s="1972" t="s">
        <v>31</v>
      </c>
      <c r="AK23" s="1973">
        <v>240</v>
      </c>
      <c r="AL23" s="1968" t="s">
        <v>255</v>
      </c>
      <c r="AM23" s="2544">
        <v>1900</v>
      </c>
      <c r="AN23" s="2547">
        <v>2100</v>
      </c>
      <c r="AO23" s="2053" t="s">
        <v>255</v>
      </c>
      <c r="AP23" s="2429" t="s">
        <v>1137</v>
      </c>
      <c r="AQ23" s="2508">
        <v>18300</v>
      </c>
      <c r="AR23" s="2498">
        <v>20400</v>
      </c>
      <c r="AS23" s="2060" t="s">
        <v>78</v>
      </c>
      <c r="AT23" s="1969">
        <v>1290</v>
      </c>
      <c r="AU23" s="2060" t="s">
        <v>78</v>
      </c>
      <c r="AV23" s="2579" t="s">
        <v>460</v>
      </c>
      <c r="AW23" s="2060" t="s">
        <v>78</v>
      </c>
      <c r="AX23" s="1969">
        <v>21140</v>
      </c>
      <c r="AY23" s="1972" t="s">
        <v>255</v>
      </c>
      <c r="AZ23" s="1973">
        <v>210</v>
      </c>
      <c r="BA23" s="2059" t="s">
        <v>78</v>
      </c>
      <c r="BB23" s="2562" t="s">
        <v>450</v>
      </c>
      <c r="BC23" s="2572" t="s">
        <v>450</v>
      </c>
      <c r="BD23" s="2574" t="s">
        <v>450</v>
      </c>
      <c r="BE23" s="2566" t="s">
        <v>450</v>
      </c>
      <c r="BF23" s="2059"/>
      <c r="BG23" s="32"/>
      <c r="BH23" s="1337"/>
    </row>
    <row r="24" spans="1:60">
      <c r="A24" s="2216"/>
      <c r="B24" s="2449"/>
      <c r="C24" s="2438"/>
      <c r="D24" s="2441"/>
      <c r="E24" s="1123"/>
      <c r="F24" s="2444"/>
      <c r="G24" s="2461"/>
      <c r="H24" s="2444"/>
      <c r="I24" s="2461"/>
      <c r="J24" s="1342"/>
      <c r="K24" s="2577"/>
      <c r="L24" s="1972"/>
      <c r="M24" s="2444"/>
      <c r="N24" s="2432"/>
      <c r="O24" s="2472"/>
      <c r="P24" s="2444"/>
      <c r="Q24" s="2432"/>
      <c r="R24" s="2472"/>
      <c r="S24" s="1972"/>
      <c r="T24" s="2488"/>
      <c r="U24" s="2472"/>
      <c r="V24" s="2488"/>
      <c r="W24" s="2432"/>
      <c r="X24" s="2472"/>
      <c r="Y24" s="2058"/>
      <c r="Z24" s="32"/>
      <c r="AA24" s="1189" t="s">
        <v>1051</v>
      </c>
      <c r="AB24" s="1314">
        <v>595800</v>
      </c>
      <c r="AC24" s="1972"/>
      <c r="AD24" s="1166">
        <v>5950</v>
      </c>
      <c r="AE24" s="1152"/>
      <c r="AF24" s="2060"/>
      <c r="AG24" s="1166"/>
      <c r="AH24" s="2060"/>
      <c r="AI24" s="2019"/>
      <c r="AJ24" s="1972"/>
      <c r="AK24" s="1974"/>
      <c r="AL24" s="1968"/>
      <c r="AM24" s="2545"/>
      <c r="AN24" s="2548"/>
      <c r="AO24" s="2053"/>
      <c r="AP24" s="2430"/>
      <c r="AQ24" s="2504"/>
      <c r="AR24" s="2499"/>
      <c r="AS24" s="2060"/>
      <c r="AT24" s="1970"/>
      <c r="AU24" s="2060"/>
      <c r="AV24" s="2580"/>
      <c r="AW24" s="2060"/>
      <c r="AX24" s="1970"/>
      <c r="AY24" s="1972"/>
      <c r="AZ24" s="1974"/>
      <c r="BA24" s="2059"/>
      <c r="BB24" s="2563"/>
      <c r="BC24" s="2573"/>
      <c r="BD24" s="2575"/>
      <c r="BE24" s="2567"/>
      <c r="BF24" s="2059"/>
      <c r="BG24" s="32"/>
      <c r="BH24" s="1339"/>
    </row>
    <row r="25" spans="1:60">
      <c r="A25" s="2216"/>
      <c r="B25" s="2449"/>
      <c r="C25" s="2438"/>
      <c r="D25" s="2441"/>
      <c r="E25" s="1123"/>
      <c r="F25" s="2444"/>
      <c r="G25" s="2461"/>
      <c r="H25" s="2444"/>
      <c r="I25" s="2461"/>
      <c r="J25" s="1342"/>
      <c r="K25" s="2577"/>
      <c r="L25" s="1972"/>
      <c r="M25" s="2444"/>
      <c r="N25" s="2432"/>
      <c r="O25" s="2472"/>
      <c r="P25" s="2444"/>
      <c r="Q25" s="2432"/>
      <c r="R25" s="2472"/>
      <c r="S25" s="1972"/>
      <c r="T25" s="2488"/>
      <c r="U25" s="2472"/>
      <c r="V25" s="2488"/>
      <c r="W25" s="2432"/>
      <c r="X25" s="2472"/>
      <c r="Y25" s="2058"/>
      <c r="Z25" s="32"/>
      <c r="AA25" s="1189" t="s">
        <v>1052</v>
      </c>
      <c r="AB25" s="1314">
        <v>629600</v>
      </c>
      <c r="AC25" s="1972"/>
      <c r="AD25" s="1166">
        <v>6290</v>
      </c>
      <c r="AE25" s="1152"/>
      <c r="AF25" s="2060"/>
      <c r="AG25" s="1166"/>
      <c r="AH25" s="2060"/>
      <c r="AI25" s="2019"/>
      <c r="AJ25" s="1972"/>
      <c r="AK25" s="1974"/>
      <c r="AL25" s="1968"/>
      <c r="AM25" s="2545"/>
      <c r="AN25" s="2548"/>
      <c r="AO25" s="2053"/>
      <c r="AP25" s="2430" t="s">
        <v>1138</v>
      </c>
      <c r="AQ25" s="2504">
        <v>10100</v>
      </c>
      <c r="AR25" s="2499">
        <v>11200</v>
      </c>
      <c r="AS25" s="2060"/>
      <c r="AT25" s="1970"/>
      <c r="AU25" s="2060"/>
      <c r="AV25" s="2580"/>
      <c r="AW25" s="2060"/>
      <c r="AX25" s="1970"/>
      <c r="AY25" s="1972"/>
      <c r="AZ25" s="1974"/>
      <c r="BA25" s="2059"/>
      <c r="BB25" s="2563"/>
      <c r="BC25" s="2573"/>
      <c r="BD25" s="2575"/>
      <c r="BE25" s="2567"/>
      <c r="BF25" s="2059"/>
      <c r="BG25" s="32"/>
      <c r="BH25" s="1339"/>
    </row>
    <row r="26" spans="1:60">
      <c r="A26" s="2216"/>
      <c r="B26" s="2449"/>
      <c r="C26" s="2438"/>
      <c r="D26" s="2441"/>
      <c r="E26" s="1123"/>
      <c r="F26" s="2445"/>
      <c r="G26" s="2461"/>
      <c r="H26" s="2445"/>
      <c r="I26" s="2461"/>
      <c r="J26" s="1342"/>
      <c r="K26" s="2577"/>
      <c r="L26" s="1972"/>
      <c r="M26" s="2445"/>
      <c r="N26" s="2432"/>
      <c r="O26" s="2472"/>
      <c r="P26" s="2445"/>
      <c r="Q26" s="2432"/>
      <c r="R26" s="2472"/>
      <c r="S26" s="1972"/>
      <c r="T26" s="2488"/>
      <c r="U26" s="2472"/>
      <c r="V26" s="2488"/>
      <c r="W26" s="2432"/>
      <c r="X26" s="2472"/>
      <c r="Y26" s="2058"/>
      <c r="Z26" s="32"/>
      <c r="AA26" s="1189" t="s">
        <v>1054</v>
      </c>
      <c r="AB26" s="1314">
        <v>663500</v>
      </c>
      <c r="AC26" s="1972"/>
      <c r="AD26" s="1166">
        <v>6630</v>
      </c>
      <c r="AE26" s="1152"/>
      <c r="AF26" s="2060"/>
      <c r="AG26" s="1166"/>
      <c r="AH26" s="2060"/>
      <c r="AI26" s="2019"/>
      <c r="AJ26" s="1972"/>
      <c r="AK26" s="1974"/>
      <c r="AL26" s="1968"/>
      <c r="AM26" s="2545"/>
      <c r="AN26" s="2548"/>
      <c r="AO26" s="2053"/>
      <c r="AP26" s="2430"/>
      <c r="AQ26" s="2504"/>
      <c r="AR26" s="2499"/>
      <c r="AS26" s="2060"/>
      <c r="AT26" s="1970"/>
      <c r="AU26" s="2060"/>
      <c r="AV26" s="2580"/>
      <c r="AW26" s="2060"/>
      <c r="AX26" s="1970"/>
      <c r="AY26" s="1972"/>
      <c r="AZ26" s="1974"/>
      <c r="BA26" s="2059"/>
      <c r="BB26" s="2563"/>
      <c r="BC26" s="2573"/>
      <c r="BD26" s="2575"/>
      <c r="BE26" s="2567"/>
      <c r="BF26" s="2059"/>
      <c r="BG26" s="32"/>
      <c r="BH26" s="1339"/>
    </row>
    <row r="27" spans="1:60">
      <c r="A27" s="2216"/>
      <c r="B27" s="2449"/>
      <c r="C27" s="2438"/>
      <c r="D27" s="2446" t="s">
        <v>133</v>
      </c>
      <c r="E27" s="1123"/>
      <c r="F27" s="2054">
        <v>219620</v>
      </c>
      <c r="G27" s="2484"/>
      <c r="H27" s="2054">
        <v>216700</v>
      </c>
      <c r="I27" s="2484"/>
      <c r="J27" s="1342"/>
      <c r="K27" s="2577"/>
      <c r="L27" s="1972" t="s">
        <v>255</v>
      </c>
      <c r="M27" s="2054">
        <v>2080</v>
      </c>
      <c r="N27" s="2451"/>
      <c r="O27" s="2454" t="s">
        <v>1017</v>
      </c>
      <c r="P27" s="2054">
        <v>2050</v>
      </c>
      <c r="Q27" s="2451"/>
      <c r="R27" s="2454" t="s">
        <v>1017</v>
      </c>
      <c r="S27" s="1972" t="s">
        <v>255</v>
      </c>
      <c r="T27" s="2490">
        <v>69110</v>
      </c>
      <c r="U27" s="2454"/>
      <c r="V27" s="2490">
        <v>690</v>
      </c>
      <c r="W27" s="2451"/>
      <c r="X27" s="2454" t="s">
        <v>1017</v>
      </c>
      <c r="Y27" s="2058"/>
      <c r="Z27" s="1144"/>
      <c r="AA27" s="5"/>
      <c r="AB27" s="5"/>
      <c r="AC27" s="1972"/>
      <c r="AD27" s="5"/>
      <c r="AE27" s="1152"/>
      <c r="AF27" s="2060"/>
      <c r="AG27" s="1166"/>
      <c r="AH27" s="2060"/>
      <c r="AI27" s="2019"/>
      <c r="AJ27" s="1972"/>
      <c r="AK27" s="1974"/>
      <c r="AL27" s="1968"/>
      <c r="AM27" s="2545"/>
      <c r="AN27" s="2548"/>
      <c r="AO27" s="2053"/>
      <c r="AP27" s="2430" t="s">
        <v>1140</v>
      </c>
      <c r="AQ27" s="2504">
        <v>8800</v>
      </c>
      <c r="AR27" s="2499">
        <v>9800</v>
      </c>
      <c r="AS27" s="2060"/>
      <c r="AT27" s="1970"/>
      <c r="AU27" s="2060"/>
      <c r="AV27" s="2501">
        <v>0.09</v>
      </c>
      <c r="AW27" s="2060"/>
      <c r="AX27" s="1970"/>
      <c r="AY27" s="1972"/>
      <c r="AZ27" s="1974"/>
      <c r="BA27" s="2059"/>
      <c r="BB27" s="2564">
        <v>0.02</v>
      </c>
      <c r="BC27" s="2425">
        <v>0.03</v>
      </c>
      <c r="BD27" s="2568">
        <v>0.05</v>
      </c>
      <c r="BE27" s="2570">
        <v>7.0000000000000007E-2</v>
      </c>
      <c r="BF27" s="2059"/>
      <c r="BG27" s="32"/>
      <c r="BH27" s="1346"/>
    </row>
    <row r="28" spans="1:60">
      <c r="A28" s="2216"/>
      <c r="B28" s="2449"/>
      <c r="C28" s="2438"/>
      <c r="D28" s="2441"/>
      <c r="E28" s="1123"/>
      <c r="F28" s="2019"/>
      <c r="G28" s="2485"/>
      <c r="H28" s="2019"/>
      <c r="I28" s="2485"/>
      <c r="J28" s="1342"/>
      <c r="K28" s="2577"/>
      <c r="L28" s="1972"/>
      <c r="M28" s="2019"/>
      <c r="N28" s="2452"/>
      <c r="O28" s="2455"/>
      <c r="P28" s="2019"/>
      <c r="Q28" s="2452"/>
      <c r="R28" s="2455"/>
      <c r="S28" s="1972"/>
      <c r="T28" s="2178"/>
      <c r="U28" s="2455"/>
      <c r="V28" s="2178"/>
      <c r="W28" s="2452"/>
      <c r="X28" s="2455"/>
      <c r="Y28" s="2058"/>
      <c r="Z28" s="1144"/>
      <c r="AA28" s="5"/>
      <c r="AB28" s="5"/>
      <c r="AC28" s="1972"/>
      <c r="AD28" s="5"/>
      <c r="AE28" s="1152"/>
      <c r="AF28" s="2060"/>
      <c r="AG28" s="1166"/>
      <c r="AH28" s="2060"/>
      <c r="AI28" s="2019"/>
      <c r="AJ28" s="1972"/>
      <c r="AK28" s="1974"/>
      <c r="AL28" s="1968"/>
      <c r="AM28" s="2545"/>
      <c r="AN28" s="2548"/>
      <c r="AO28" s="2053"/>
      <c r="AP28" s="2430"/>
      <c r="AQ28" s="2504"/>
      <c r="AR28" s="2499"/>
      <c r="AS28" s="2060"/>
      <c r="AT28" s="1970"/>
      <c r="AU28" s="2060"/>
      <c r="AV28" s="2501"/>
      <c r="AW28" s="2060"/>
      <c r="AX28" s="1970"/>
      <c r="AY28" s="1972"/>
      <c r="AZ28" s="1974"/>
      <c r="BA28" s="2059"/>
      <c r="BB28" s="2564"/>
      <c r="BC28" s="2425"/>
      <c r="BD28" s="2568"/>
      <c r="BE28" s="2570"/>
      <c r="BF28" s="2059"/>
      <c r="BG28" s="32"/>
      <c r="BH28" s="1346"/>
    </row>
    <row r="29" spans="1:60">
      <c r="A29" s="2216"/>
      <c r="B29" s="2449"/>
      <c r="C29" s="2438"/>
      <c r="D29" s="2441"/>
      <c r="E29" s="1123"/>
      <c r="F29" s="2019"/>
      <c r="G29" s="2485"/>
      <c r="H29" s="2019"/>
      <c r="I29" s="2485"/>
      <c r="J29" s="1342"/>
      <c r="K29" s="2577"/>
      <c r="L29" s="1972"/>
      <c r="M29" s="2019"/>
      <c r="N29" s="2452"/>
      <c r="O29" s="2455"/>
      <c r="P29" s="2019"/>
      <c r="Q29" s="2452"/>
      <c r="R29" s="2455"/>
      <c r="S29" s="1972"/>
      <c r="T29" s="2178"/>
      <c r="U29" s="2455"/>
      <c r="V29" s="2178"/>
      <c r="W29" s="2452"/>
      <c r="X29" s="2455"/>
      <c r="Y29" s="2058"/>
      <c r="Z29" s="1144"/>
      <c r="AA29" s="5"/>
      <c r="AB29" s="5"/>
      <c r="AC29" s="1972"/>
      <c r="AD29" s="5"/>
      <c r="AE29" s="1152"/>
      <c r="AF29" s="2060"/>
      <c r="AG29" s="1166"/>
      <c r="AH29" s="2060"/>
      <c r="AI29" s="2019"/>
      <c r="AJ29" s="1972"/>
      <c r="AK29" s="1974"/>
      <c r="AL29" s="1968"/>
      <c r="AM29" s="2545"/>
      <c r="AN29" s="2548"/>
      <c r="AO29" s="2053"/>
      <c r="AP29" s="2430" t="s">
        <v>1141</v>
      </c>
      <c r="AQ29" s="2504">
        <v>7900</v>
      </c>
      <c r="AR29" s="2499">
        <v>8700</v>
      </c>
      <c r="AS29" s="2060"/>
      <c r="AT29" s="1970"/>
      <c r="AU29" s="2060"/>
      <c r="AV29" s="2501"/>
      <c r="AW29" s="2060"/>
      <c r="AX29" s="1970"/>
      <c r="AY29" s="1972"/>
      <c r="AZ29" s="1974"/>
      <c r="BA29" s="2059"/>
      <c r="BB29" s="2564"/>
      <c r="BC29" s="2425"/>
      <c r="BD29" s="2568"/>
      <c r="BE29" s="2570"/>
      <c r="BF29" s="2059"/>
      <c r="BG29" s="32"/>
      <c r="BH29" s="1346"/>
    </row>
    <row r="30" spans="1:60">
      <c r="A30" s="2216"/>
      <c r="B30" s="2450"/>
      <c r="C30" s="2439"/>
      <c r="D30" s="2447"/>
      <c r="E30" s="1123"/>
      <c r="F30" s="2055"/>
      <c r="G30" s="2486"/>
      <c r="H30" s="2055"/>
      <c r="I30" s="2486"/>
      <c r="J30" s="1342"/>
      <c r="K30" s="2578"/>
      <c r="L30" s="1972"/>
      <c r="M30" s="2055"/>
      <c r="N30" s="2453"/>
      <c r="O30" s="2456"/>
      <c r="P30" s="2055"/>
      <c r="Q30" s="2453"/>
      <c r="R30" s="2456"/>
      <c r="S30" s="1972"/>
      <c r="T30" s="2175"/>
      <c r="U30" s="2456"/>
      <c r="V30" s="2175"/>
      <c r="W30" s="2453"/>
      <c r="X30" s="2456"/>
      <c r="Y30" s="2058"/>
      <c r="Z30" s="1144"/>
      <c r="AA30" s="1347"/>
      <c r="AB30" s="1348"/>
      <c r="AC30" s="1972"/>
      <c r="AD30" s="1349"/>
      <c r="AE30" s="1152"/>
      <c r="AF30" s="2060"/>
      <c r="AG30" s="1200"/>
      <c r="AH30" s="2060"/>
      <c r="AI30" s="2055"/>
      <c r="AJ30" s="1972"/>
      <c r="AK30" s="1975"/>
      <c r="AL30" s="1968"/>
      <c r="AM30" s="2546"/>
      <c r="AN30" s="2549"/>
      <c r="AO30" s="2053"/>
      <c r="AP30" s="2503"/>
      <c r="AQ30" s="2505"/>
      <c r="AR30" s="2500"/>
      <c r="AS30" s="2060"/>
      <c r="AT30" s="1971"/>
      <c r="AU30" s="2060"/>
      <c r="AV30" s="2502"/>
      <c r="AW30" s="2060"/>
      <c r="AX30" s="1970"/>
      <c r="AY30" s="1972"/>
      <c r="AZ30" s="1974"/>
      <c r="BA30" s="2059"/>
      <c r="BB30" s="2565"/>
      <c r="BC30" s="2426"/>
      <c r="BD30" s="2569"/>
      <c r="BE30" s="2571"/>
      <c r="BF30" s="2059"/>
      <c r="BG30" s="32"/>
      <c r="BH30" s="1346"/>
    </row>
    <row r="31" spans="1:60">
      <c r="AT31" s="107"/>
      <c r="AU31" s="108"/>
      <c r="AV31" s="108"/>
      <c r="AW31" s="107"/>
      <c r="AX31" s="107"/>
      <c r="AY31" s="107"/>
      <c r="AZ31" s="107"/>
      <c r="BA31" s="107"/>
      <c r="BB31" s="107"/>
      <c r="BC31" s="107"/>
      <c r="BD31" s="107"/>
      <c r="BE31" s="107"/>
      <c r="BF31" s="108"/>
      <c r="BG31" s="108"/>
    </row>
    <row r="32" spans="1:60">
      <c r="B32" s="28">
        <v>1</v>
      </c>
      <c r="C32" s="28">
        <v>2</v>
      </c>
      <c r="D32" s="28">
        <v>3</v>
      </c>
      <c r="E32" s="28">
        <v>4</v>
      </c>
      <c r="F32" s="28">
        <v>5</v>
      </c>
      <c r="G32" s="28">
        <v>6</v>
      </c>
      <c r="H32" s="28">
        <v>7</v>
      </c>
      <c r="I32" s="28">
        <v>8</v>
      </c>
      <c r="J32" s="28">
        <v>9</v>
      </c>
      <c r="K32" s="28">
        <v>10</v>
      </c>
      <c r="L32" s="28">
        <v>11</v>
      </c>
      <c r="M32" s="28">
        <v>12</v>
      </c>
      <c r="N32" s="28">
        <v>13</v>
      </c>
      <c r="O32" s="28">
        <v>14</v>
      </c>
      <c r="P32" s="28">
        <v>15</v>
      </c>
      <c r="Q32" s="28">
        <v>16</v>
      </c>
      <c r="R32" s="28">
        <v>17</v>
      </c>
      <c r="S32" s="28">
        <v>18</v>
      </c>
      <c r="T32" s="28">
        <v>19</v>
      </c>
      <c r="U32" s="28">
        <v>20</v>
      </c>
      <c r="V32" s="28">
        <v>21</v>
      </c>
      <c r="W32" s="28">
        <v>22</v>
      </c>
      <c r="X32" s="28">
        <v>23</v>
      </c>
      <c r="Y32" s="28">
        <v>24</v>
      </c>
      <c r="Z32" s="28">
        <v>25</v>
      </c>
      <c r="AA32" s="28">
        <v>26</v>
      </c>
      <c r="AB32" s="28">
        <v>27</v>
      </c>
      <c r="AC32" s="28">
        <v>28</v>
      </c>
      <c r="AD32" s="28">
        <v>29</v>
      </c>
      <c r="AE32" s="28">
        <v>30</v>
      </c>
      <c r="AF32" s="28">
        <v>31</v>
      </c>
      <c r="AG32" s="28">
        <v>32</v>
      </c>
      <c r="AH32" s="28">
        <v>33</v>
      </c>
      <c r="AI32" s="28">
        <v>34</v>
      </c>
      <c r="AJ32" s="28">
        <v>35</v>
      </c>
      <c r="AK32" s="28">
        <v>36</v>
      </c>
      <c r="AL32" s="28">
        <v>37</v>
      </c>
      <c r="AM32" s="28">
        <v>38</v>
      </c>
      <c r="AN32" s="28">
        <v>39</v>
      </c>
      <c r="AO32" s="28">
        <v>40</v>
      </c>
      <c r="AP32" s="28">
        <v>41</v>
      </c>
      <c r="AQ32" s="28">
        <v>42</v>
      </c>
      <c r="AR32" s="28">
        <v>43</v>
      </c>
      <c r="AS32" s="28">
        <v>44</v>
      </c>
      <c r="AT32" s="28">
        <v>45</v>
      </c>
      <c r="AU32" s="28">
        <v>46</v>
      </c>
      <c r="AV32" s="28">
        <v>47</v>
      </c>
      <c r="AW32" s="28">
        <v>48</v>
      </c>
      <c r="AX32" s="28">
        <v>49</v>
      </c>
      <c r="AY32" s="28">
        <v>50</v>
      </c>
      <c r="AZ32" s="28">
        <v>51</v>
      </c>
      <c r="BA32" s="28">
        <v>52</v>
      </c>
      <c r="BB32" s="28">
        <v>53</v>
      </c>
      <c r="BC32" s="28">
        <v>54</v>
      </c>
      <c r="BD32" s="28">
        <v>55</v>
      </c>
      <c r="BE32" s="28">
        <v>56</v>
      </c>
      <c r="BF32" s="28">
        <v>57</v>
      </c>
      <c r="BG32" s="28">
        <v>58</v>
      </c>
    </row>
    <row r="33" spans="1:59">
      <c r="A33" s="2211" t="s">
        <v>153</v>
      </c>
      <c r="B33" s="28">
        <v>5</v>
      </c>
      <c r="D33" s="28" t="str">
        <f>D7</f>
        <v>１､２歳児</v>
      </c>
      <c r="E33" s="28">
        <f t="shared" ref="E33:BF33" si="0">E7</f>
        <v>0</v>
      </c>
      <c r="F33" s="28">
        <f t="shared" si="0"/>
        <v>347510</v>
      </c>
      <c r="G33" s="28">
        <f t="shared" si="0"/>
        <v>416620</v>
      </c>
      <c r="H33" s="28">
        <f t="shared" si="0"/>
        <v>336410</v>
      </c>
      <c r="I33" s="28">
        <f t="shared" si="0"/>
        <v>405520</v>
      </c>
      <c r="J33" s="28">
        <f t="shared" si="0"/>
        <v>0</v>
      </c>
      <c r="K33" s="28">
        <f t="shared" si="0"/>
        <v>0.84</v>
      </c>
      <c r="L33" s="28" t="str">
        <f t="shared" si="0"/>
        <v>＋</v>
      </c>
      <c r="M33" s="28">
        <f t="shared" si="0"/>
        <v>3360</v>
      </c>
      <c r="N33" s="28">
        <f t="shared" si="0"/>
        <v>4050</v>
      </c>
      <c r="O33" s="28" t="str">
        <f t="shared" si="0"/>
        <v>×加算率</v>
      </c>
      <c r="P33" s="28">
        <f t="shared" si="0"/>
        <v>3250</v>
      </c>
      <c r="Q33" s="28">
        <f t="shared" si="0"/>
        <v>3940</v>
      </c>
      <c r="R33" s="28" t="str">
        <f t="shared" si="0"/>
        <v>×加算率</v>
      </c>
      <c r="S33" s="28" t="str">
        <f t="shared" si="0"/>
        <v>＋</v>
      </c>
      <c r="T33" s="28">
        <f t="shared" si="0"/>
        <v>138230</v>
      </c>
      <c r="U33" s="28">
        <f t="shared" si="0"/>
        <v>69110</v>
      </c>
      <c r="V33" s="28">
        <f t="shared" si="0"/>
        <v>1380</v>
      </c>
      <c r="W33" s="28">
        <f t="shared" si="0"/>
        <v>690</v>
      </c>
      <c r="X33" s="28" t="str">
        <f t="shared" si="0"/>
        <v>×加算率</v>
      </c>
      <c r="Y33" s="28" t="str">
        <f t="shared" si="0"/>
        <v>＋</v>
      </c>
      <c r="Z33" s="28">
        <f t="shared" si="0"/>
        <v>0</v>
      </c>
      <c r="AA33" s="28">
        <f t="shared" si="0"/>
        <v>0</v>
      </c>
      <c r="AB33" s="28">
        <f t="shared" si="0"/>
        <v>0</v>
      </c>
      <c r="AC33" s="28" t="str">
        <f t="shared" si="0"/>
        <v>＋</v>
      </c>
      <c r="AD33" s="28">
        <f t="shared" si="0"/>
        <v>0</v>
      </c>
      <c r="AE33" s="28">
        <f t="shared" si="0"/>
        <v>0</v>
      </c>
      <c r="AF33" s="28" t="str">
        <f t="shared" si="0"/>
        <v>÷</v>
      </c>
      <c r="AG33" s="28">
        <f t="shared" si="0"/>
        <v>0</v>
      </c>
      <c r="AH33" s="28" t="str">
        <f t="shared" si="0"/>
        <v>＋</v>
      </c>
      <c r="AI33" s="28">
        <f t="shared" si="0"/>
        <v>100060</v>
      </c>
      <c r="AJ33" s="28" t="str">
        <f t="shared" si="0"/>
        <v>＋</v>
      </c>
      <c r="AK33" s="28">
        <f t="shared" si="0"/>
        <v>940</v>
      </c>
      <c r="AL33" s="28" t="str">
        <f t="shared" si="0"/>
        <v>＋</v>
      </c>
      <c r="AM33" s="28">
        <f t="shared" si="0"/>
        <v>7200</v>
      </c>
      <c r="AN33" s="28">
        <f t="shared" si="0"/>
        <v>7900</v>
      </c>
      <c r="AO33" s="28" t="str">
        <f t="shared" si="0"/>
        <v>＋</v>
      </c>
      <c r="AP33" s="28" t="str">
        <f t="shared" si="0"/>
        <v>ａ地域</v>
      </c>
      <c r="AQ33" s="28">
        <f t="shared" si="0"/>
        <v>28800</v>
      </c>
      <c r="AR33" s="28">
        <f t="shared" si="0"/>
        <v>32100</v>
      </c>
      <c r="AS33" s="28" t="str">
        <f t="shared" si="0"/>
        <v>－</v>
      </c>
      <c r="AT33" s="28">
        <f t="shared" si="0"/>
        <v>4930</v>
      </c>
      <c r="AU33" s="28" t="str">
        <f t="shared" si="0"/>
        <v>－</v>
      </c>
      <c r="AV33" s="28">
        <f>AV11</f>
        <v>0.1</v>
      </c>
      <c r="AW33" s="28" t="str">
        <f t="shared" si="0"/>
        <v>－</v>
      </c>
      <c r="AX33" s="28"/>
      <c r="AY33" s="28"/>
      <c r="AZ33" s="28">
        <f>AZ7</f>
        <v>800</v>
      </c>
      <c r="BA33" s="28"/>
      <c r="BB33" s="234">
        <f>BB11</f>
        <v>0.02</v>
      </c>
      <c r="BC33" s="234">
        <f>BC11</f>
        <v>0.03</v>
      </c>
      <c r="BD33" s="234">
        <f>BD11</f>
        <v>0.05</v>
      </c>
      <c r="BE33" s="234">
        <f>BE11</f>
        <v>0.06</v>
      </c>
      <c r="BF33" s="28">
        <f t="shared" si="0"/>
        <v>0</v>
      </c>
      <c r="BG33" s="234">
        <f>BG11</f>
        <v>0.6</v>
      </c>
    </row>
    <row r="34" spans="1:59">
      <c r="A34" s="2211"/>
      <c r="B34" s="28">
        <v>6</v>
      </c>
      <c r="D34" s="28" t="str">
        <f>D15</f>
        <v>１､２歳児</v>
      </c>
      <c r="E34" s="28">
        <f t="shared" ref="E34:AW34" si="1">E15</f>
        <v>0</v>
      </c>
      <c r="F34" s="28">
        <f t="shared" si="1"/>
        <v>191550</v>
      </c>
      <c r="G34" s="28">
        <f t="shared" si="1"/>
        <v>260660</v>
      </c>
      <c r="H34" s="28">
        <f t="shared" si="1"/>
        <v>186920</v>
      </c>
      <c r="I34" s="28">
        <f t="shared" si="1"/>
        <v>256030</v>
      </c>
      <c r="J34" s="28">
        <f t="shared" si="1"/>
        <v>0</v>
      </c>
      <c r="K34" s="28">
        <f t="shared" si="1"/>
        <v>0</v>
      </c>
      <c r="L34" s="28" t="str">
        <f t="shared" si="1"/>
        <v>＋</v>
      </c>
      <c r="M34" s="28">
        <f t="shared" si="1"/>
        <v>1800</v>
      </c>
      <c r="N34" s="28">
        <f t="shared" si="1"/>
        <v>2490</v>
      </c>
      <c r="O34" s="28" t="str">
        <f t="shared" si="1"/>
        <v>×加算率</v>
      </c>
      <c r="P34" s="28">
        <f t="shared" si="1"/>
        <v>1760</v>
      </c>
      <c r="Q34" s="28">
        <f t="shared" si="1"/>
        <v>2450</v>
      </c>
      <c r="R34" s="28" t="str">
        <f t="shared" si="1"/>
        <v>×加算率</v>
      </c>
      <c r="S34" s="28" t="str">
        <f t="shared" si="1"/>
        <v>＋</v>
      </c>
      <c r="T34" s="28">
        <f t="shared" si="1"/>
        <v>138230</v>
      </c>
      <c r="U34" s="28">
        <f t="shared" si="1"/>
        <v>69110</v>
      </c>
      <c r="V34" s="28">
        <f t="shared" si="1"/>
        <v>1380</v>
      </c>
      <c r="W34" s="28">
        <f t="shared" si="1"/>
        <v>690</v>
      </c>
      <c r="X34" s="28" t="str">
        <f t="shared" si="1"/>
        <v>×加算率</v>
      </c>
      <c r="Y34" s="28">
        <f t="shared" si="1"/>
        <v>0</v>
      </c>
      <c r="Z34" s="28">
        <f t="shared" si="1"/>
        <v>0</v>
      </c>
      <c r="AA34" s="28" t="str">
        <f t="shared" si="1"/>
        <v>　 280人～　349人</v>
      </c>
      <c r="AB34" s="28">
        <f t="shared" si="1"/>
        <v>291300</v>
      </c>
      <c r="AC34" s="28">
        <f t="shared" si="1"/>
        <v>0</v>
      </c>
      <c r="AD34" s="28">
        <f t="shared" si="1"/>
        <v>2910</v>
      </c>
      <c r="AE34" s="28">
        <f t="shared" si="1"/>
        <v>0</v>
      </c>
      <c r="AF34" s="28">
        <f t="shared" si="1"/>
        <v>0</v>
      </c>
      <c r="AG34" s="28">
        <f t="shared" si="1"/>
        <v>0</v>
      </c>
      <c r="AH34" s="28" t="str">
        <f t="shared" si="1"/>
        <v>＋</v>
      </c>
      <c r="AI34" s="28">
        <f t="shared" si="1"/>
        <v>44780</v>
      </c>
      <c r="AJ34" s="28" t="str">
        <f t="shared" si="1"/>
        <v>＋</v>
      </c>
      <c r="AK34" s="28">
        <f t="shared" si="1"/>
        <v>390</v>
      </c>
      <c r="AL34" s="28" t="str">
        <f t="shared" si="1"/>
        <v>＋</v>
      </c>
      <c r="AM34" s="28">
        <f t="shared" si="1"/>
        <v>3000</v>
      </c>
      <c r="AN34" s="28">
        <f t="shared" si="1"/>
        <v>3300</v>
      </c>
      <c r="AO34" s="28" t="str">
        <f t="shared" si="1"/>
        <v>＋</v>
      </c>
      <c r="AP34" s="28" t="str">
        <f t="shared" si="1"/>
        <v>ａ地域</v>
      </c>
      <c r="AQ34" s="28">
        <f t="shared" si="1"/>
        <v>14400</v>
      </c>
      <c r="AR34" s="28">
        <f t="shared" si="1"/>
        <v>16100</v>
      </c>
      <c r="AS34" s="28" t="str">
        <f t="shared" si="1"/>
        <v>－</v>
      </c>
      <c r="AT34" s="28">
        <f t="shared" si="1"/>
        <v>2050</v>
      </c>
      <c r="AU34" s="28" t="str">
        <f t="shared" si="1"/>
        <v>－</v>
      </c>
      <c r="AV34" s="28">
        <f>AV19</f>
        <v>0.1</v>
      </c>
      <c r="AW34" s="28" t="str">
        <f t="shared" si="1"/>
        <v>－</v>
      </c>
      <c r="AX34" s="28"/>
      <c r="AY34" s="28"/>
      <c r="AZ34" s="28">
        <f>AZ15</f>
        <v>330</v>
      </c>
      <c r="BA34" s="28"/>
      <c r="BB34" s="234">
        <f>BB19</f>
        <v>0.02</v>
      </c>
      <c r="BC34" s="234">
        <f>BC19</f>
        <v>0.03</v>
      </c>
      <c r="BD34" s="234">
        <f>BD19</f>
        <v>0.05</v>
      </c>
      <c r="BE34" s="234">
        <f>BE19</f>
        <v>7.0000000000000007E-2</v>
      </c>
      <c r="BF34" s="28"/>
      <c r="BG34" s="234">
        <f>BG19</f>
        <v>0</v>
      </c>
    </row>
    <row r="35" spans="1:59">
      <c r="A35" s="2211"/>
      <c r="B35" s="28">
        <v>13</v>
      </c>
      <c r="D35" s="28" t="str">
        <f>D23</f>
        <v>１､２歳児</v>
      </c>
      <c r="E35" s="28">
        <f t="shared" ref="E35:AW35" si="2">E23</f>
        <v>0</v>
      </c>
      <c r="F35" s="28">
        <f t="shared" si="2"/>
        <v>150510</v>
      </c>
      <c r="G35" s="28">
        <f t="shared" si="2"/>
        <v>219620</v>
      </c>
      <c r="H35" s="28">
        <f t="shared" si="2"/>
        <v>147590</v>
      </c>
      <c r="I35" s="28">
        <f t="shared" si="2"/>
        <v>216700</v>
      </c>
      <c r="J35" s="28">
        <f t="shared" si="2"/>
        <v>0</v>
      </c>
      <c r="K35" s="28">
        <f t="shared" si="2"/>
        <v>0</v>
      </c>
      <c r="L35" s="28" t="str">
        <f t="shared" si="2"/>
        <v>＋</v>
      </c>
      <c r="M35" s="28">
        <f t="shared" si="2"/>
        <v>1390</v>
      </c>
      <c r="N35" s="28">
        <f t="shared" si="2"/>
        <v>2080</v>
      </c>
      <c r="O35" s="28" t="str">
        <f t="shared" si="2"/>
        <v>×加算率</v>
      </c>
      <c r="P35" s="28">
        <f t="shared" si="2"/>
        <v>1360</v>
      </c>
      <c r="Q35" s="28">
        <f t="shared" si="2"/>
        <v>2050</v>
      </c>
      <c r="R35" s="28" t="str">
        <f t="shared" si="2"/>
        <v>×加算率</v>
      </c>
      <c r="S35" s="28" t="str">
        <f t="shared" si="2"/>
        <v>＋</v>
      </c>
      <c r="T35" s="28">
        <f t="shared" si="2"/>
        <v>138230</v>
      </c>
      <c r="U35" s="28">
        <f t="shared" si="2"/>
        <v>69110</v>
      </c>
      <c r="V35" s="28">
        <f t="shared" si="2"/>
        <v>1380</v>
      </c>
      <c r="W35" s="28">
        <f t="shared" si="2"/>
        <v>690</v>
      </c>
      <c r="X35" s="28" t="str">
        <f t="shared" si="2"/>
        <v>×加算率</v>
      </c>
      <c r="Y35" s="28">
        <f t="shared" si="2"/>
        <v>0</v>
      </c>
      <c r="Z35" s="28">
        <f t="shared" si="2"/>
        <v>0</v>
      </c>
      <c r="AA35" s="28" t="str">
        <f t="shared" si="2"/>
        <v>　 840人～　909人</v>
      </c>
      <c r="AB35" s="28">
        <f t="shared" si="2"/>
        <v>562000</v>
      </c>
      <c r="AC35" s="28">
        <f t="shared" si="2"/>
        <v>0</v>
      </c>
      <c r="AD35" s="28">
        <f t="shared" si="2"/>
        <v>5620</v>
      </c>
      <c r="AE35" s="28">
        <f t="shared" si="2"/>
        <v>0</v>
      </c>
      <c r="AF35" s="28">
        <f t="shared" si="2"/>
        <v>0</v>
      </c>
      <c r="AG35" s="28">
        <f t="shared" si="2"/>
        <v>0</v>
      </c>
      <c r="AH35" s="28" t="str">
        <f t="shared" si="2"/>
        <v>＋</v>
      </c>
      <c r="AI35" s="28">
        <f t="shared" si="2"/>
        <v>30230</v>
      </c>
      <c r="AJ35" s="28" t="str">
        <f t="shared" si="2"/>
        <v>＋</v>
      </c>
      <c r="AK35" s="28">
        <f t="shared" si="2"/>
        <v>240</v>
      </c>
      <c r="AL35" s="28" t="str">
        <f t="shared" si="2"/>
        <v>＋</v>
      </c>
      <c r="AM35" s="28">
        <f t="shared" si="2"/>
        <v>1900</v>
      </c>
      <c r="AN35" s="28">
        <f t="shared" si="2"/>
        <v>2100</v>
      </c>
      <c r="AO35" s="28" t="str">
        <f t="shared" si="2"/>
        <v>＋</v>
      </c>
      <c r="AP35" s="28" t="str">
        <f t="shared" si="2"/>
        <v>ａ地域</v>
      </c>
      <c r="AQ35" s="28">
        <f t="shared" si="2"/>
        <v>18300</v>
      </c>
      <c r="AR35" s="28">
        <f t="shared" si="2"/>
        <v>20400</v>
      </c>
      <c r="AS35" s="28" t="str">
        <f t="shared" si="2"/>
        <v>－</v>
      </c>
      <c r="AT35" s="28">
        <f t="shared" si="2"/>
        <v>1290</v>
      </c>
      <c r="AU35" s="28" t="str">
        <f t="shared" si="2"/>
        <v>－</v>
      </c>
      <c r="AV35" s="28">
        <f>AV27</f>
        <v>0.09</v>
      </c>
      <c r="AW35" s="28" t="str">
        <f t="shared" si="2"/>
        <v>－</v>
      </c>
      <c r="AX35" s="28"/>
      <c r="AY35" s="28"/>
      <c r="AZ35" s="28">
        <f>AZ23</f>
        <v>210</v>
      </c>
      <c r="BA35" s="28"/>
      <c r="BB35" s="234">
        <f>BB27</f>
        <v>0.02</v>
      </c>
      <c r="BC35" s="234">
        <f>BC27</f>
        <v>0.03</v>
      </c>
      <c r="BD35" s="234">
        <f>BD27</f>
        <v>0.05</v>
      </c>
      <c r="BE35" s="234">
        <f>BE27</f>
        <v>7.0000000000000007E-2</v>
      </c>
      <c r="BF35" s="28"/>
      <c r="BG35" s="234">
        <v>1</v>
      </c>
    </row>
    <row r="36" spans="1:59">
      <c r="AT36" s="107"/>
      <c r="AU36" s="108"/>
      <c r="AV36" s="108"/>
      <c r="AW36" s="107"/>
      <c r="AX36" s="107"/>
      <c r="AY36" s="107"/>
      <c r="AZ36" s="107"/>
      <c r="BA36" s="107"/>
      <c r="BF36" s="108"/>
      <c r="BG36" s="108"/>
    </row>
    <row r="37" spans="1:59">
      <c r="A37" s="2211" t="s">
        <v>154</v>
      </c>
      <c r="B37" s="28">
        <f>B33</f>
        <v>5</v>
      </c>
      <c r="D37" s="28" t="str">
        <f>D11</f>
        <v>乳児</v>
      </c>
      <c r="E37" s="28">
        <f t="shared" ref="E37:AW37" si="3">E11</f>
        <v>0</v>
      </c>
      <c r="F37" s="28">
        <f t="shared" si="3"/>
        <v>416620</v>
      </c>
      <c r="G37" s="28">
        <f t="shared" si="3"/>
        <v>0</v>
      </c>
      <c r="H37" s="28">
        <f t="shared" si="3"/>
        <v>405520</v>
      </c>
      <c r="I37" s="28">
        <f t="shared" si="3"/>
        <v>0</v>
      </c>
      <c r="J37" s="28">
        <f t="shared" si="3"/>
        <v>0</v>
      </c>
      <c r="K37" s="28">
        <f t="shared" si="3"/>
        <v>0</v>
      </c>
      <c r="L37" s="28" t="str">
        <f t="shared" si="3"/>
        <v>＋</v>
      </c>
      <c r="M37" s="28">
        <f t="shared" si="3"/>
        <v>4050</v>
      </c>
      <c r="N37" s="28">
        <f t="shared" si="3"/>
        <v>0</v>
      </c>
      <c r="O37" s="28" t="str">
        <f t="shared" si="3"/>
        <v>×加算率</v>
      </c>
      <c r="P37" s="28">
        <f t="shared" si="3"/>
        <v>3940</v>
      </c>
      <c r="Q37" s="28">
        <f t="shared" si="3"/>
        <v>0</v>
      </c>
      <c r="R37" s="28" t="str">
        <f t="shared" si="3"/>
        <v>×加算率</v>
      </c>
      <c r="S37" s="28" t="str">
        <f t="shared" si="3"/>
        <v>＋</v>
      </c>
      <c r="T37" s="28">
        <f t="shared" si="3"/>
        <v>69110</v>
      </c>
      <c r="U37" s="28">
        <f t="shared" si="3"/>
        <v>0</v>
      </c>
      <c r="V37" s="28">
        <f t="shared" si="3"/>
        <v>690</v>
      </c>
      <c r="W37" s="28">
        <f t="shared" si="3"/>
        <v>0</v>
      </c>
      <c r="X37" s="28" t="str">
        <f t="shared" si="3"/>
        <v>×加算率</v>
      </c>
      <c r="Y37" s="28">
        <f t="shared" si="3"/>
        <v>0</v>
      </c>
      <c r="Z37" s="28">
        <f t="shared" si="3"/>
        <v>0</v>
      </c>
      <c r="AA37" s="28" t="str">
        <f t="shared" si="3"/>
        <v>休日保育の年間延べ利用子ども数</v>
      </c>
      <c r="AB37" s="28">
        <f t="shared" si="3"/>
        <v>0</v>
      </c>
      <c r="AC37" s="28">
        <f t="shared" si="3"/>
        <v>0</v>
      </c>
      <c r="AD37" s="28">
        <f t="shared" si="3"/>
        <v>0</v>
      </c>
      <c r="AE37" s="28">
        <f t="shared" si="3"/>
        <v>0</v>
      </c>
      <c r="AF37" s="28">
        <f t="shared" si="3"/>
        <v>0</v>
      </c>
      <c r="AG37" s="28">
        <f t="shared" si="3"/>
        <v>0</v>
      </c>
      <c r="AH37" s="28">
        <f t="shared" si="3"/>
        <v>0</v>
      </c>
      <c r="AI37" s="28">
        <f t="shared" si="3"/>
        <v>0</v>
      </c>
      <c r="AJ37" s="28">
        <f t="shared" si="3"/>
        <v>0</v>
      </c>
      <c r="AK37" s="28">
        <f t="shared" si="3"/>
        <v>0</v>
      </c>
      <c r="AL37" s="28">
        <f t="shared" si="3"/>
        <v>0</v>
      </c>
      <c r="AM37" s="28">
        <f t="shared" si="3"/>
        <v>0</v>
      </c>
      <c r="AN37" s="28">
        <f t="shared" si="3"/>
        <v>0</v>
      </c>
      <c r="AO37" s="28">
        <f t="shared" si="3"/>
        <v>0</v>
      </c>
      <c r="AP37" s="28" t="str">
        <f t="shared" si="3"/>
        <v>ｃ地域</v>
      </c>
      <c r="AQ37" s="28">
        <f t="shared" si="3"/>
        <v>13800</v>
      </c>
      <c r="AR37" s="28">
        <f t="shared" si="3"/>
        <v>15400</v>
      </c>
      <c r="AS37" s="28">
        <f t="shared" si="3"/>
        <v>0</v>
      </c>
      <c r="AT37" s="28">
        <f t="shared" si="3"/>
        <v>0</v>
      </c>
      <c r="AU37" s="28">
        <f t="shared" si="3"/>
        <v>0</v>
      </c>
      <c r="AV37" s="28"/>
      <c r="AW37" s="28">
        <f t="shared" si="3"/>
        <v>0</v>
      </c>
      <c r="AX37" s="28"/>
      <c r="AY37" s="28"/>
      <c r="AZ37" s="28"/>
      <c r="BA37" s="28"/>
      <c r="BB37" s="28"/>
      <c r="BC37" s="28"/>
      <c r="BD37" s="28"/>
      <c r="BE37" s="28"/>
      <c r="BF37" s="28"/>
      <c r="BG37" s="28"/>
    </row>
    <row r="38" spans="1:59">
      <c r="A38" s="2211"/>
      <c r="B38" s="28">
        <f>B34</f>
        <v>6</v>
      </c>
      <c r="D38" s="28" t="str">
        <f>D19</f>
        <v>乳児</v>
      </c>
      <c r="E38" s="28">
        <f t="shared" ref="E38:AW38" si="4">E19</f>
        <v>0</v>
      </c>
      <c r="F38" s="28">
        <f t="shared" si="4"/>
        <v>260660</v>
      </c>
      <c r="G38" s="28">
        <f t="shared" si="4"/>
        <v>0</v>
      </c>
      <c r="H38" s="28">
        <f t="shared" si="4"/>
        <v>256030</v>
      </c>
      <c r="I38" s="28">
        <f t="shared" si="4"/>
        <v>0</v>
      </c>
      <c r="J38" s="28">
        <f t="shared" si="4"/>
        <v>0</v>
      </c>
      <c r="K38" s="28">
        <f t="shared" si="4"/>
        <v>0</v>
      </c>
      <c r="L38" s="28" t="str">
        <f t="shared" si="4"/>
        <v>＋</v>
      </c>
      <c r="M38" s="28">
        <f t="shared" si="4"/>
        <v>2490</v>
      </c>
      <c r="N38" s="28">
        <f t="shared" si="4"/>
        <v>0</v>
      </c>
      <c r="O38" s="28" t="str">
        <f t="shared" si="4"/>
        <v>×加算率</v>
      </c>
      <c r="P38" s="28">
        <f t="shared" si="4"/>
        <v>2450</v>
      </c>
      <c r="Q38" s="28">
        <f t="shared" si="4"/>
        <v>0</v>
      </c>
      <c r="R38" s="28" t="str">
        <f t="shared" si="4"/>
        <v>×加算率</v>
      </c>
      <c r="S38" s="28" t="str">
        <f t="shared" si="4"/>
        <v>＋</v>
      </c>
      <c r="T38" s="28">
        <f t="shared" si="4"/>
        <v>69110</v>
      </c>
      <c r="U38" s="28">
        <f t="shared" si="4"/>
        <v>0</v>
      </c>
      <c r="V38" s="28">
        <f t="shared" si="4"/>
        <v>690</v>
      </c>
      <c r="W38" s="28">
        <f t="shared" si="4"/>
        <v>0</v>
      </c>
      <c r="X38" s="28" t="str">
        <f t="shared" si="4"/>
        <v>×加算率</v>
      </c>
      <c r="Y38" s="28">
        <f t="shared" si="4"/>
        <v>0</v>
      </c>
      <c r="Z38" s="28">
        <f t="shared" si="4"/>
        <v>0</v>
      </c>
      <c r="AA38" s="28" t="str">
        <f t="shared" si="4"/>
        <v>　 560人～　629人</v>
      </c>
      <c r="AB38" s="28">
        <f t="shared" si="4"/>
        <v>426600</v>
      </c>
      <c r="AC38" s="28">
        <f t="shared" si="4"/>
        <v>0</v>
      </c>
      <c r="AD38" s="28">
        <f t="shared" si="4"/>
        <v>4260</v>
      </c>
      <c r="AE38" s="28">
        <f t="shared" si="4"/>
        <v>0</v>
      </c>
      <c r="AF38" s="28">
        <f t="shared" si="4"/>
        <v>0</v>
      </c>
      <c r="AG38" s="28" t="str">
        <f t="shared" si="4"/>
        <v>利用子ども数</v>
      </c>
      <c r="AH38" s="28">
        <f t="shared" si="4"/>
        <v>0</v>
      </c>
      <c r="AI38" s="28">
        <f t="shared" si="4"/>
        <v>0</v>
      </c>
      <c r="AJ38" s="28">
        <f t="shared" si="4"/>
        <v>0</v>
      </c>
      <c r="AK38" s="28">
        <f t="shared" si="4"/>
        <v>0</v>
      </c>
      <c r="AL38" s="28">
        <f t="shared" si="4"/>
        <v>0</v>
      </c>
      <c r="AM38" s="28">
        <f t="shared" si="4"/>
        <v>0</v>
      </c>
      <c r="AN38" s="28">
        <f t="shared" si="4"/>
        <v>0</v>
      </c>
      <c r="AO38" s="28">
        <f t="shared" si="4"/>
        <v>0</v>
      </c>
      <c r="AP38" s="28" t="str">
        <f t="shared" si="4"/>
        <v>ｃ地域</v>
      </c>
      <c r="AQ38" s="28">
        <f t="shared" si="4"/>
        <v>6900</v>
      </c>
      <c r="AR38" s="28">
        <f t="shared" si="4"/>
        <v>7700</v>
      </c>
      <c r="AS38" s="28">
        <f t="shared" si="4"/>
        <v>0</v>
      </c>
      <c r="AT38" s="28">
        <f t="shared" si="4"/>
        <v>0</v>
      </c>
      <c r="AU38" s="28">
        <f t="shared" si="4"/>
        <v>0</v>
      </c>
      <c r="AV38" s="28"/>
      <c r="AW38" s="28">
        <f t="shared" si="4"/>
        <v>0</v>
      </c>
      <c r="AX38" s="28"/>
      <c r="AY38" s="28"/>
      <c r="AZ38" s="28"/>
      <c r="BA38" s="28"/>
      <c r="BB38" s="28"/>
      <c r="BC38" s="28"/>
      <c r="BD38" s="28"/>
      <c r="BE38" s="28"/>
      <c r="BF38" s="28"/>
      <c r="BG38" s="28"/>
    </row>
    <row r="39" spans="1:59">
      <c r="B39" s="28">
        <f>B35</f>
        <v>13</v>
      </c>
      <c r="D39" s="28" t="str">
        <f>D27</f>
        <v>乳児</v>
      </c>
      <c r="E39" s="28">
        <f t="shared" ref="E39:AW39" si="5">E27</f>
        <v>0</v>
      </c>
      <c r="F39" s="28">
        <f t="shared" si="5"/>
        <v>219620</v>
      </c>
      <c r="G39" s="28">
        <f t="shared" si="5"/>
        <v>0</v>
      </c>
      <c r="H39" s="28">
        <f t="shared" si="5"/>
        <v>216700</v>
      </c>
      <c r="I39" s="28">
        <f t="shared" si="5"/>
        <v>0</v>
      </c>
      <c r="J39" s="28">
        <f t="shared" si="5"/>
        <v>0</v>
      </c>
      <c r="K39" s="28">
        <f t="shared" si="5"/>
        <v>0</v>
      </c>
      <c r="L39" s="28" t="str">
        <f t="shared" si="5"/>
        <v>＋</v>
      </c>
      <c r="M39" s="28">
        <f t="shared" si="5"/>
        <v>2080</v>
      </c>
      <c r="N39" s="28">
        <f t="shared" si="5"/>
        <v>0</v>
      </c>
      <c r="O39" s="28" t="str">
        <f t="shared" si="5"/>
        <v>×加算率</v>
      </c>
      <c r="P39" s="28">
        <f t="shared" si="5"/>
        <v>2050</v>
      </c>
      <c r="Q39" s="28">
        <f t="shared" si="5"/>
        <v>0</v>
      </c>
      <c r="R39" s="28" t="str">
        <f t="shared" si="5"/>
        <v>×加算率</v>
      </c>
      <c r="S39" s="28" t="str">
        <f t="shared" si="5"/>
        <v>＋</v>
      </c>
      <c r="T39" s="28">
        <f t="shared" si="5"/>
        <v>69110</v>
      </c>
      <c r="U39" s="28">
        <f t="shared" si="5"/>
        <v>0</v>
      </c>
      <c r="V39" s="28">
        <f t="shared" si="5"/>
        <v>690</v>
      </c>
      <c r="W39" s="28">
        <f t="shared" si="5"/>
        <v>0</v>
      </c>
      <c r="X39" s="28" t="str">
        <f t="shared" si="5"/>
        <v>×加算率</v>
      </c>
      <c r="Y39" s="28">
        <f t="shared" si="5"/>
        <v>0</v>
      </c>
      <c r="Z39" s="28">
        <f t="shared" si="5"/>
        <v>0</v>
      </c>
      <c r="AA39" s="28">
        <f t="shared" si="5"/>
        <v>0</v>
      </c>
      <c r="AB39" s="28">
        <f t="shared" si="5"/>
        <v>0</v>
      </c>
      <c r="AC39" s="28">
        <f t="shared" si="5"/>
        <v>0</v>
      </c>
      <c r="AD39" s="28">
        <f t="shared" si="5"/>
        <v>0</v>
      </c>
      <c r="AE39" s="28">
        <f t="shared" si="5"/>
        <v>0</v>
      </c>
      <c r="AF39" s="28">
        <f t="shared" si="5"/>
        <v>0</v>
      </c>
      <c r="AG39" s="28">
        <f t="shared" si="5"/>
        <v>0</v>
      </c>
      <c r="AH39" s="28">
        <f t="shared" si="5"/>
        <v>0</v>
      </c>
      <c r="AI39" s="28">
        <f t="shared" si="5"/>
        <v>0</v>
      </c>
      <c r="AJ39" s="28">
        <f t="shared" si="5"/>
        <v>0</v>
      </c>
      <c r="AK39" s="28">
        <f t="shared" si="5"/>
        <v>0</v>
      </c>
      <c r="AL39" s="28">
        <f t="shared" si="5"/>
        <v>0</v>
      </c>
      <c r="AM39" s="28">
        <f t="shared" si="5"/>
        <v>0</v>
      </c>
      <c r="AN39" s="28">
        <f t="shared" si="5"/>
        <v>0</v>
      </c>
      <c r="AO39" s="28">
        <f t="shared" si="5"/>
        <v>0</v>
      </c>
      <c r="AP39" s="28" t="str">
        <f t="shared" si="5"/>
        <v>ｃ地域</v>
      </c>
      <c r="AQ39" s="28">
        <f t="shared" si="5"/>
        <v>8800</v>
      </c>
      <c r="AR39" s="28">
        <f t="shared" si="5"/>
        <v>9800</v>
      </c>
      <c r="AS39" s="28">
        <f t="shared" si="5"/>
        <v>0</v>
      </c>
      <c r="AT39" s="28">
        <f t="shared" si="5"/>
        <v>0</v>
      </c>
      <c r="AU39" s="28">
        <f t="shared" si="5"/>
        <v>0</v>
      </c>
      <c r="AV39" s="28"/>
      <c r="AW39" s="28">
        <f t="shared" si="5"/>
        <v>0</v>
      </c>
      <c r="AX39" s="28"/>
      <c r="AY39" s="28"/>
      <c r="AZ39" s="28"/>
      <c r="BA39" s="28"/>
      <c r="BB39" s="28"/>
      <c r="BC39" s="28"/>
      <c r="BD39" s="28"/>
      <c r="BE39" s="28"/>
      <c r="BF39" s="28"/>
      <c r="BG39" s="28"/>
    </row>
    <row r="41" spans="1:59">
      <c r="A41" s="232" t="s">
        <v>135</v>
      </c>
      <c r="B41" s="28">
        <v>1</v>
      </c>
      <c r="C41" s="28">
        <f>AD13</f>
        <v>2400</v>
      </c>
    </row>
    <row r="42" spans="1:59">
      <c r="A42" s="28" t="e">
        <f>IF(ROUNDDOWN(VLOOKUP('入力（加算）事19'!$F$30,$B$41:$C$54,2,TRUE)/'入力（加算）事19'!$I$62,-1)&lt;10,ROUNDDOWN(VLOOKUP('入力（加算）事19'!$F$30,$B$41:$C$54,2,TRUE)/'入力（加算）事19'!$I$62,0),ROUNDDOWN(VLOOKUP('入力（加算）事19'!$F$30,$B$41:$C$54,2,TRUE)/'入力（加算）事19'!$I$62,-1))</f>
        <v>#N/A</v>
      </c>
      <c r="B42" s="28">
        <v>211</v>
      </c>
      <c r="C42" s="28">
        <f t="shared" ref="C42:C54" si="6">AD14</f>
        <v>2570</v>
      </c>
    </row>
    <row r="43" spans="1:59">
      <c r="A43" s="232"/>
      <c r="B43" s="28">
        <v>280</v>
      </c>
      <c r="C43" s="28">
        <f t="shared" si="6"/>
        <v>2910</v>
      </c>
    </row>
    <row r="44" spans="1:59">
      <c r="A44" s="232"/>
      <c r="B44" s="28">
        <v>350</v>
      </c>
      <c r="C44" s="28">
        <f t="shared" si="6"/>
        <v>3250</v>
      </c>
    </row>
    <row r="45" spans="1:59">
      <c r="A45" s="232"/>
      <c r="B45" s="28">
        <v>420</v>
      </c>
      <c r="C45" s="28">
        <f t="shared" si="6"/>
        <v>3590</v>
      </c>
    </row>
    <row r="46" spans="1:59">
      <c r="A46" s="232"/>
      <c r="B46" s="28">
        <v>490</v>
      </c>
      <c r="C46" s="28">
        <f t="shared" si="6"/>
        <v>3920</v>
      </c>
    </row>
    <row r="47" spans="1:59">
      <c r="A47" s="232"/>
      <c r="B47" s="28">
        <v>560</v>
      </c>
      <c r="C47" s="28">
        <f t="shared" si="6"/>
        <v>4260</v>
      </c>
    </row>
    <row r="48" spans="1:59">
      <c r="A48" s="232"/>
      <c r="B48" s="28">
        <v>630</v>
      </c>
      <c r="C48" s="28">
        <f t="shared" si="6"/>
        <v>4600</v>
      </c>
    </row>
    <row r="49" spans="1:3">
      <c r="A49" s="232"/>
      <c r="B49" s="28">
        <v>700</v>
      </c>
      <c r="C49" s="28">
        <f t="shared" si="6"/>
        <v>4940</v>
      </c>
    </row>
    <row r="50" spans="1:3">
      <c r="A50" s="232"/>
      <c r="B50" s="28">
        <v>770</v>
      </c>
      <c r="C50" s="28">
        <f t="shared" si="6"/>
        <v>5280</v>
      </c>
    </row>
    <row r="51" spans="1:3">
      <c r="A51" s="232"/>
      <c r="B51" s="28">
        <v>840</v>
      </c>
      <c r="C51" s="28">
        <f t="shared" si="6"/>
        <v>5620</v>
      </c>
    </row>
    <row r="52" spans="1:3">
      <c r="A52" s="232"/>
      <c r="B52" s="28">
        <v>910</v>
      </c>
      <c r="C52" s="28">
        <f t="shared" si="6"/>
        <v>5950</v>
      </c>
    </row>
    <row r="53" spans="1:3">
      <c r="A53" s="232"/>
      <c r="B53" s="28">
        <v>980</v>
      </c>
      <c r="C53" s="28">
        <f t="shared" si="6"/>
        <v>6290</v>
      </c>
    </row>
    <row r="54" spans="1:3">
      <c r="A54" s="232"/>
      <c r="B54" s="28">
        <v>1050</v>
      </c>
      <c r="C54" s="28">
        <f t="shared" si="6"/>
        <v>6630</v>
      </c>
    </row>
    <row r="55" spans="1:3">
      <c r="A55" s="209"/>
    </row>
    <row r="56" spans="1:3" ht="21">
      <c r="A56" s="231" t="s">
        <v>505</v>
      </c>
      <c r="B56" s="28" t="s">
        <v>514</v>
      </c>
      <c r="C56" s="222" t="e">
        <f>VLOOKUP($B$61,$B$33:$BG$35,53,TRUE)</f>
        <v>#N/A</v>
      </c>
    </row>
    <row r="57" spans="1:3">
      <c r="A57" s="231"/>
      <c r="B57" s="28" t="s">
        <v>515</v>
      </c>
      <c r="C57" s="222" t="e">
        <f>VLOOKUP($B$61,$B$33:$BG$35,54,TRUE)</f>
        <v>#N/A</v>
      </c>
    </row>
    <row r="58" spans="1:3">
      <c r="B58" s="28" t="s">
        <v>516</v>
      </c>
      <c r="C58" s="222" t="e">
        <f>VLOOKUP($B$61,$B$33:$BG$35,55,TRUE)</f>
        <v>#N/A</v>
      </c>
    </row>
    <row r="59" spans="1:3">
      <c r="B59" s="222" t="s">
        <v>517</v>
      </c>
      <c r="C59" s="222" t="e">
        <f>VLOOKUP($B$61,$B$33:$BG$35,56,TRUE)</f>
        <v>#N/A</v>
      </c>
    </row>
    <row r="60" spans="1:3">
      <c r="B60" s="222" t="s">
        <v>537</v>
      </c>
      <c r="C60" s="222">
        <v>0</v>
      </c>
    </row>
    <row r="61" spans="1:3">
      <c r="A61" s="223" t="s">
        <v>513</v>
      </c>
      <c r="B61" s="224">
        <f>'入力（加算）事19'!$D$8</f>
        <v>0</v>
      </c>
      <c r="C61" s="27"/>
    </row>
  </sheetData>
  <sheetProtection algorithmName="SHA-512" hashValue="2S4lmZn+2kxapkupzNkOkcQsNv8qCcDaSRFBLPLedywNO3/TDdWsajI8jCe/US42zdDPi9WMDQBUkBkw9eJmWQ==" saltValue="6Qjc1Is9dBXVGpor8M3MnA==" spinCount="100000" sheet="1" objects="1" scenarios="1" selectLockedCells="1"/>
  <customSheetViews>
    <customSheetView guid="{2E52E5FF-9846-4DC5-A671-268FE925398C}" scale="90" showPageBreaks="1" printArea="1" state="hidden" view="pageBreakPreview">
      <pane xSplit="4" ySplit="6" topLeftCell="X7" activePane="bottomRight" state="frozen"/>
      <selection pane="bottomRight" activeCell="AV47" sqref="AV47"/>
      <colBreaks count="2" manualBreakCount="2">
        <brk id="18" max="29" man="1"/>
        <brk id="33" max="29" man="1"/>
      </colBreaks>
      <pageMargins left="0.39370078740157483" right="0.39370078740157483" top="0.78740157480314965" bottom="0.39370078740157483" header="0.39370078740157483" footer="0.15748031496062992"/>
      <pageSetup paperSize="9" scale="54" pageOrder="overThenDown" orientation="portrait" horizontalDpi="300" verticalDpi="300" r:id="rId1"/>
      <headerFooter differentFirst="1">
        <firstHeader>&amp;L&amp;"ＤＦ特太ゴシック体,標準"&amp;18事業所内保育事業（定員１９人以下&amp;12(小規模保育事業Ａ型の基準が適用される事業所)&amp;18）（保育認定）</firstHeader>
      </headerFooter>
    </customSheetView>
    <customSheetView guid="{BADA99B3-B36A-4925-87A7-F72FC97D3DBA}" scale="90" showPageBreaks="1" printArea="1" state="hidden" view="pageBreakPreview">
      <pane xSplit="4" ySplit="6" topLeftCell="X7" activePane="bottomRight" state="frozen"/>
      <selection pane="bottomRight" activeCell="AV47" sqref="AV47"/>
      <colBreaks count="2" manualBreakCount="2">
        <brk id="18" max="29" man="1"/>
        <brk id="33" max="29" man="1"/>
      </colBreaks>
      <pageMargins left="0.39370078740157483" right="0.39370078740157483" top="0.78740157480314965" bottom="0.39370078740157483" header="0.39370078740157483" footer="0.15748031496062992"/>
      <pageSetup paperSize="9" scale="54" pageOrder="overThenDown" orientation="portrait" horizontalDpi="300" verticalDpi="300" r:id="rId2"/>
      <headerFooter differentFirst="1">
        <firstHeader>&amp;L&amp;"ＤＦ特太ゴシック体,標準"&amp;18事業所内保育事業（定員１９人以下&amp;12(小規模保育事業Ａ型の基準が適用される事業所)&amp;18）（保育認定）</firstHeader>
      </headerFooter>
    </customSheetView>
  </customSheetViews>
  <mergeCells count="295">
    <mergeCell ref="BH7:BH10"/>
    <mergeCell ref="BH11:BH14"/>
    <mergeCell ref="BH15:BH18"/>
    <mergeCell ref="BH19:BH22"/>
    <mergeCell ref="BG1:BH1"/>
    <mergeCell ref="BG2:BG4"/>
    <mergeCell ref="BH2:BH4"/>
    <mergeCell ref="BG5:BH5"/>
    <mergeCell ref="V11:V14"/>
    <mergeCell ref="AM1:AN2"/>
    <mergeCell ref="AP1:AR2"/>
    <mergeCell ref="AA11:AB12"/>
    <mergeCell ref="V7:V10"/>
    <mergeCell ref="BF7:BF14"/>
    <mergeCell ref="BG7:BG10"/>
    <mergeCell ref="BG11:BG14"/>
    <mergeCell ref="AT1:AT4"/>
    <mergeCell ref="AU1:AU5"/>
    <mergeCell ref="AV1:AV4"/>
    <mergeCell ref="AV11:AV14"/>
    <mergeCell ref="BB11:BB14"/>
    <mergeCell ref="AR13:AR14"/>
    <mergeCell ref="AT7:AT14"/>
    <mergeCell ref="AU7:AU14"/>
    <mergeCell ref="AS1:AS5"/>
    <mergeCell ref="AR27:AR28"/>
    <mergeCell ref="AO7:AO14"/>
    <mergeCell ref="AP7:AP8"/>
    <mergeCell ref="AQ7:AQ8"/>
    <mergeCell ref="AR7:AR8"/>
    <mergeCell ref="W7:W10"/>
    <mergeCell ref="X7:X10"/>
    <mergeCell ref="AP9:AP10"/>
    <mergeCell ref="AQ9:AQ10"/>
    <mergeCell ref="AR9:AR10"/>
    <mergeCell ref="AN7:AN14"/>
    <mergeCell ref="AQ23:AQ24"/>
    <mergeCell ref="AR23:AR24"/>
    <mergeCell ref="AM3:AN3"/>
    <mergeCell ref="AQ3:AR3"/>
    <mergeCell ref="AM5:AN5"/>
    <mergeCell ref="AP5:AR5"/>
    <mergeCell ref="AP11:AP12"/>
    <mergeCell ref="AQ11:AQ12"/>
    <mergeCell ref="AP13:AP14"/>
    <mergeCell ref="AQ13:AQ14"/>
    <mergeCell ref="AS23:AS30"/>
    <mergeCell ref="AP23:AP24"/>
    <mergeCell ref="AP19:AP20"/>
    <mergeCell ref="AP21:AP22"/>
    <mergeCell ref="AP17:AP18"/>
    <mergeCell ref="AM15:AM22"/>
    <mergeCell ref="AN15:AN22"/>
    <mergeCell ref="AP25:AP26"/>
    <mergeCell ref="X19:X22"/>
    <mergeCell ref="X23:X26"/>
    <mergeCell ref="AR25:AR26"/>
    <mergeCell ref="Y7:Y30"/>
    <mergeCell ref="AI23:AI30"/>
    <mergeCell ref="AJ23:AJ30"/>
    <mergeCell ref="AL15:AL22"/>
    <mergeCell ref="AO23:AO30"/>
    <mergeCell ref="AK23:AK30"/>
    <mergeCell ref="AL23:AL30"/>
    <mergeCell ref="AH23:AH30"/>
    <mergeCell ref="AN23:AN30"/>
    <mergeCell ref="AO15:AO22"/>
    <mergeCell ref="A33:A35"/>
    <mergeCell ref="A37:A38"/>
    <mergeCell ref="O23:O26"/>
    <mergeCell ref="P23:P26"/>
    <mergeCell ref="Q23:Q26"/>
    <mergeCell ref="R23:R26"/>
    <mergeCell ref="S27:S30"/>
    <mergeCell ref="AF7:AF30"/>
    <mergeCell ref="AH7:AH14"/>
    <mergeCell ref="AH15:AH22"/>
    <mergeCell ref="M19:M22"/>
    <mergeCell ref="M23:M26"/>
    <mergeCell ref="D27:D30"/>
    <mergeCell ref="F27:F30"/>
    <mergeCell ref="G27:G30"/>
    <mergeCell ref="H27:H30"/>
    <mergeCell ref="I27:I30"/>
    <mergeCell ref="L27:L30"/>
    <mergeCell ref="M27:M30"/>
    <mergeCell ref="N27:N30"/>
    <mergeCell ref="O27:O30"/>
    <mergeCell ref="P27:P30"/>
    <mergeCell ref="Q27:Q30"/>
    <mergeCell ref="R27:R30"/>
    <mergeCell ref="AV7:AV10"/>
    <mergeCell ref="AW7:AW14"/>
    <mergeCell ref="BB7:BB10"/>
    <mergeCell ref="AR11:AR12"/>
    <mergeCell ref="BF23:BF30"/>
    <mergeCell ref="AT15:AT22"/>
    <mergeCell ref="AU15:AU22"/>
    <mergeCell ref="AQ21:AQ22"/>
    <mergeCell ref="AR21:AR22"/>
    <mergeCell ref="AV15:AV18"/>
    <mergeCell ref="AW15:AW22"/>
    <mergeCell ref="BB15:BB18"/>
    <mergeCell ref="AQ17:AQ18"/>
    <mergeCell ref="AR17:AR18"/>
    <mergeCell ref="AQ19:AQ20"/>
    <mergeCell ref="AR19:AR20"/>
    <mergeCell ref="AV19:AV22"/>
    <mergeCell ref="BB19:BB22"/>
    <mergeCell ref="AQ15:AQ16"/>
    <mergeCell ref="AR15:AR16"/>
    <mergeCell ref="AS15:AS22"/>
    <mergeCell ref="AT23:AT30"/>
    <mergeCell ref="AU23:AU30"/>
    <mergeCell ref="AV23:AV26"/>
    <mergeCell ref="AV27:AV30"/>
    <mergeCell ref="AQ27:AQ28"/>
    <mergeCell ref="AR29:AR30"/>
    <mergeCell ref="AQ25:AQ26"/>
    <mergeCell ref="M15:M18"/>
    <mergeCell ref="N15:N18"/>
    <mergeCell ref="O15:O18"/>
    <mergeCell ref="P15:P18"/>
    <mergeCell ref="Q15:Q18"/>
    <mergeCell ref="R15:R18"/>
    <mergeCell ref="T19:T22"/>
    <mergeCell ref="U19:U22"/>
    <mergeCell ref="S19:S22"/>
    <mergeCell ref="N19:N22"/>
    <mergeCell ref="O19:O22"/>
    <mergeCell ref="P19:P22"/>
    <mergeCell ref="Q19:Q22"/>
    <mergeCell ref="R19:R22"/>
    <mergeCell ref="N23:N26"/>
    <mergeCell ref="T27:T30"/>
    <mergeCell ref="U27:U30"/>
    <mergeCell ref="V27:V30"/>
    <mergeCell ref="V23:V26"/>
    <mergeCell ref="AM23:AM30"/>
    <mergeCell ref="W11:W14"/>
    <mergeCell ref="X11:X14"/>
    <mergeCell ref="W27:W30"/>
    <mergeCell ref="AL7:AL14"/>
    <mergeCell ref="AM7:AM14"/>
    <mergeCell ref="S11:S14"/>
    <mergeCell ref="T11:T14"/>
    <mergeCell ref="U11:U14"/>
    <mergeCell ref="X27:X30"/>
    <mergeCell ref="S15:S18"/>
    <mergeCell ref="T15:T18"/>
    <mergeCell ref="U15:U18"/>
    <mergeCell ref="V15:V18"/>
    <mergeCell ref="W15:W18"/>
    <mergeCell ref="X15:X18"/>
    <mergeCell ref="V19:V22"/>
    <mergeCell ref="W19:W22"/>
    <mergeCell ref="S23:S26"/>
    <mergeCell ref="T23:T26"/>
    <mergeCell ref="U23:U26"/>
    <mergeCell ref="T7:T10"/>
    <mergeCell ref="U7:U10"/>
    <mergeCell ref="W23:W26"/>
    <mergeCell ref="H19:H22"/>
    <mergeCell ref="I19:I22"/>
    <mergeCell ref="L19:L22"/>
    <mergeCell ref="H7:H10"/>
    <mergeCell ref="I7:I10"/>
    <mergeCell ref="K7:K30"/>
    <mergeCell ref="D23:D26"/>
    <mergeCell ref="F23:F26"/>
    <mergeCell ref="G23:G26"/>
    <mergeCell ref="H23:H26"/>
    <mergeCell ref="I23:I26"/>
    <mergeCell ref="H15:H18"/>
    <mergeCell ref="I15:I18"/>
    <mergeCell ref="L11:L14"/>
    <mergeCell ref="H11:H14"/>
    <mergeCell ref="I11:I14"/>
    <mergeCell ref="L15:L18"/>
    <mergeCell ref="L23:L26"/>
    <mergeCell ref="B15:B22"/>
    <mergeCell ref="C15:C22"/>
    <mergeCell ref="G15:G18"/>
    <mergeCell ref="B23:B30"/>
    <mergeCell ref="D11:D14"/>
    <mergeCell ref="F11:F14"/>
    <mergeCell ref="G11:G14"/>
    <mergeCell ref="C23:C30"/>
    <mergeCell ref="D15:D18"/>
    <mergeCell ref="F15:F18"/>
    <mergeCell ref="D19:D22"/>
    <mergeCell ref="F19:F22"/>
    <mergeCell ref="G19:G22"/>
    <mergeCell ref="M5:O5"/>
    <mergeCell ref="M1:R1"/>
    <mergeCell ref="P5:R5"/>
    <mergeCell ref="F2:G2"/>
    <mergeCell ref="H2:I2"/>
    <mergeCell ref="M2:O2"/>
    <mergeCell ref="P2:R2"/>
    <mergeCell ref="C7:C14"/>
    <mergeCell ref="D7:D10"/>
    <mergeCell ref="F7:F10"/>
    <mergeCell ref="G7:G10"/>
    <mergeCell ref="L7:L10"/>
    <mergeCell ref="N7:N10"/>
    <mergeCell ref="O7:O10"/>
    <mergeCell ref="P7:P10"/>
    <mergeCell ref="Q7:Q10"/>
    <mergeCell ref="R7:R10"/>
    <mergeCell ref="M11:M14"/>
    <mergeCell ref="N11:N14"/>
    <mergeCell ref="O11:O14"/>
    <mergeCell ref="P11:P14"/>
    <mergeCell ref="Q11:Q14"/>
    <mergeCell ref="R11:R14"/>
    <mergeCell ref="M7:M10"/>
    <mergeCell ref="B1:B4"/>
    <mergeCell ref="C1:C4"/>
    <mergeCell ref="D1:D4"/>
    <mergeCell ref="F1:I1"/>
    <mergeCell ref="K1:K4"/>
    <mergeCell ref="F3:G3"/>
    <mergeCell ref="H3:I3"/>
    <mergeCell ref="F5:G5"/>
    <mergeCell ref="H5:I5"/>
    <mergeCell ref="A7:A30"/>
    <mergeCell ref="B7:B14"/>
    <mergeCell ref="BF15:BF22"/>
    <mergeCell ref="T1:X2"/>
    <mergeCell ref="AA1:AG2"/>
    <mergeCell ref="AI1:AK2"/>
    <mergeCell ref="AG3:AG4"/>
    <mergeCell ref="AK3:AK4"/>
    <mergeCell ref="AC7:AC30"/>
    <mergeCell ref="AI7:AI14"/>
    <mergeCell ref="AJ7:AJ14"/>
    <mergeCell ref="AK7:AK14"/>
    <mergeCell ref="AA5:AG5"/>
    <mergeCell ref="AI5:AK5"/>
    <mergeCell ref="AI15:AI22"/>
    <mergeCell ref="AJ15:AJ22"/>
    <mergeCell ref="AK15:AK22"/>
    <mergeCell ref="AD3:AD4"/>
    <mergeCell ref="S7:S10"/>
    <mergeCell ref="T5:X5"/>
    <mergeCell ref="V3:X3"/>
    <mergeCell ref="A1:A4"/>
    <mergeCell ref="AP29:AP30"/>
    <mergeCell ref="AQ29:AQ30"/>
    <mergeCell ref="BD7:BD10"/>
    <mergeCell ref="BC23:BC26"/>
    <mergeCell ref="BD23:BD26"/>
    <mergeCell ref="AX7:AX14"/>
    <mergeCell ref="AY7:AY14"/>
    <mergeCell ref="AZ7:AZ14"/>
    <mergeCell ref="AX15:AX22"/>
    <mergeCell ref="AY15:AY22"/>
    <mergeCell ref="AZ15:AZ22"/>
    <mergeCell ref="AX23:AX30"/>
    <mergeCell ref="AY23:AY30"/>
    <mergeCell ref="AZ23:AZ30"/>
    <mergeCell ref="AW23:AW30"/>
    <mergeCell ref="BB23:BB26"/>
    <mergeCell ref="BB27:BB30"/>
    <mergeCell ref="AS7:AS14"/>
    <mergeCell ref="AP27:AP28"/>
    <mergeCell ref="AP15:AP16"/>
    <mergeCell ref="BA15:BA22"/>
    <mergeCell ref="BA23:BA30"/>
    <mergeCell ref="BE23:BE26"/>
    <mergeCell ref="BC27:BC30"/>
    <mergeCell ref="BD27:BD30"/>
    <mergeCell ref="BE27:BE30"/>
    <mergeCell ref="BE7:BE10"/>
    <mergeCell ref="BC11:BC14"/>
    <mergeCell ref="BD11:BD14"/>
    <mergeCell ref="BE11:BE14"/>
    <mergeCell ref="BC15:BC18"/>
    <mergeCell ref="BD15:BD18"/>
    <mergeCell ref="BE15:BE18"/>
    <mergeCell ref="BC19:BC22"/>
    <mergeCell ref="BD19:BD22"/>
    <mergeCell ref="BE19:BE22"/>
    <mergeCell ref="BA7:BA14"/>
    <mergeCell ref="BC7:BC10"/>
    <mergeCell ref="AX1:AZ2"/>
    <mergeCell ref="BB1:BE1"/>
    <mergeCell ref="BB2:BB4"/>
    <mergeCell ref="BC2:BC4"/>
    <mergeCell ref="BD2:BD4"/>
    <mergeCell ref="BE2:BE4"/>
    <mergeCell ref="AZ3:AZ4"/>
    <mergeCell ref="AX5:AZ5"/>
    <mergeCell ref="BB5:BE5"/>
  </mergeCells>
  <phoneticPr fontId="4"/>
  <pageMargins left="0.39370078740157483" right="0.39370078740157483" top="0.78740157480314965" bottom="0.39370078740157483" header="0.39370078740157483" footer="0.15748031496062992"/>
  <pageSetup paperSize="9" scale="51" pageOrder="overThenDown" orientation="portrait" horizontalDpi="300" verticalDpi="300" r:id="rId3"/>
  <headerFooter differentFirst="1">
    <firstHeader>&amp;L&amp;"ＤＦ特太ゴシック体,標準"&amp;18事業所内保育事業（定員１９人以下&amp;12(小規模保育事業Ａ型の基準が適用される事業所)&amp;18）（保育認定）</firstHeader>
  </headerFooter>
  <colBreaks count="2" manualBreakCount="2">
    <brk id="18" max="29" man="1"/>
    <brk id="33" max="29" man="1"/>
  </colBreaks>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rgb="FFFFFF00"/>
  </sheetPr>
  <dimension ref="A1:W37"/>
  <sheetViews>
    <sheetView view="pageBreakPreview" zoomScale="85" zoomScaleNormal="100" zoomScaleSheetLayoutView="85" workbookViewId="0">
      <selection activeCell="AA52" sqref="Y6:AB78"/>
    </sheetView>
  </sheetViews>
  <sheetFormatPr defaultColWidth="2.5" defaultRowHeight="25.5" customHeight="1"/>
  <cols>
    <col min="1" max="1" width="23" style="219" customWidth="1"/>
    <col min="2" max="2" width="2.5" style="219" customWidth="1"/>
    <col min="3" max="21" width="2.625" style="219" customWidth="1"/>
    <col min="22" max="22" width="1.375" style="219" customWidth="1"/>
    <col min="23" max="23" width="58.625" style="221" customWidth="1"/>
    <col min="24" max="16384" width="2.5" style="219"/>
  </cols>
  <sheetData>
    <row r="1" spans="1:23" ht="25.5" customHeight="1">
      <c r="A1" s="217" t="s">
        <v>32</v>
      </c>
      <c r="B1" s="218"/>
      <c r="C1" s="218"/>
      <c r="D1" s="218"/>
      <c r="E1" s="218"/>
      <c r="F1" s="218"/>
      <c r="G1" s="218"/>
      <c r="H1" s="218"/>
      <c r="I1" s="218"/>
      <c r="J1" s="218"/>
      <c r="K1" s="218"/>
      <c r="L1" s="218"/>
      <c r="M1" s="218"/>
      <c r="N1" s="218"/>
      <c r="O1" s="218"/>
      <c r="P1" s="218"/>
      <c r="Q1" s="218"/>
      <c r="R1" s="218"/>
      <c r="S1" s="218"/>
      <c r="T1" s="218"/>
      <c r="U1" s="218"/>
      <c r="V1" s="218"/>
      <c r="W1" s="218"/>
    </row>
    <row r="3" spans="1:23" ht="20.25" customHeight="1">
      <c r="A3" s="2080" t="s">
        <v>462</v>
      </c>
      <c r="B3" s="2083" t="s">
        <v>306</v>
      </c>
      <c r="C3" s="2591" t="s">
        <v>488</v>
      </c>
      <c r="D3" s="2592"/>
      <c r="E3" s="2592"/>
      <c r="F3" s="2592"/>
      <c r="G3" s="2592"/>
      <c r="H3" s="2592"/>
      <c r="I3" s="2592"/>
      <c r="J3" s="2592"/>
      <c r="K3" s="2592"/>
      <c r="L3" s="2592"/>
      <c r="M3" s="2592"/>
      <c r="N3" s="2592"/>
      <c r="O3" s="2592"/>
      <c r="P3" s="2592"/>
      <c r="Q3" s="2592"/>
      <c r="R3" s="2592"/>
      <c r="S3" s="2592"/>
      <c r="T3" s="2592"/>
      <c r="U3" s="2592"/>
      <c r="V3" s="2593"/>
      <c r="W3" s="2359" t="s">
        <v>1278</v>
      </c>
    </row>
    <row r="4" spans="1:23" ht="35.1" customHeight="1">
      <c r="A4" s="2127"/>
      <c r="B4" s="2590"/>
      <c r="C4" s="2594" t="s">
        <v>489</v>
      </c>
      <c r="D4" s="2595"/>
      <c r="E4" s="2595"/>
      <c r="F4" s="2595"/>
      <c r="G4" s="2595"/>
      <c r="H4" s="2595"/>
      <c r="I4" s="2595"/>
      <c r="J4" s="2595"/>
      <c r="K4" s="2595"/>
      <c r="L4" s="2595"/>
      <c r="M4" s="2595"/>
      <c r="N4" s="2595"/>
      <c r="O4" s="2595"/>
      <c r="P4" s="2595"/>
      <c r="Q4" s="2595"/>
      <c r="R4" s="2595"/>
      <c r="S4" s="2595"/>
      <c r="T4" s="2595"/>
      <c r="U4" s="2595"/>
      <c r="V4" s="2596"/>
      <c r="W4" s="2408"/>
    </row>
    <row r="5" spans="1:23" ht="20.25" customHeight="1">
      <c r="A5" s="2127"/>
      <c r="B5" s="2590"/>
      <c r="C5" s="2119" t="s">
        <v>465</v>
      </c>
      <c r="D5" s="2120"/>
      <c r="E5" s="2120"/>
      <c r="F5" s="2120"/>
      <c r="G5" s="2120"/>
      <c r="H5" s="2120"/>
      <c r="I5" s="2120"/>
      <c r="J5" s="2120"/>
      <c r="K5" s="2120"/>
      <c r="L5" s="2121">
        <v>48900</v>
      </c>
      <c r="M5" s="2122"/>
      <c r="N5" s="2122"/>
      <c r="O5" s="2120" t="s">
        <v>466</v>
      </c>
      <c r="P5" s="2120"/>
      <c r="Q5" s="2120"/>
      <c r="R5" s="2120"/>
      <c r="S5" s="2120"/>
      <c r="T5" s="2120"/>
      <c r="U5" s="2120"/>
      <c r="V5" s="2123"/>
      <c r="W5" s="2408"/>
    </row>
    <row r="6" spans="1:23" ht="20.25" customHeight="1">
      <c r="A6" s="2127"/>
      <c r="B6" s="2590"/>
      <c r="C6" s="2111" t="s">
        <v>467</v>
      </c>
      <c r="D6" s="2112"/>
      <c r="E6" s="2112"/>
      <c r="F6" s="2112"/>
      <c r="G6" s="2112"/>
      <c r="H6" s="2112"/>
      <c r="I6" s="2112"/>
      <c r="J6" s="2112"/>
      <c r="K6" s="2112"/>
      <c r="L6" s="2113">
        <v>6110</v>
      </c>
      <c r="M6" s="2114"/>
      <c r="N6" s="2114"/>
      <c r="O6" s="2112" t="s">
        <v>468</v>
      </c>
      <c r="P6" s="2112"/>
      <c r="Q6" s="2112"/>
      <c r="R6" s="2112"/>
      <c r="S6" s="2112"/>
      <c r="T6" s="2112"/>
      <c r="U6" s="2112"/>
      <c r="V6" s="2115"/>
      <c r="W6" s="2408"/>
    </row>
    <row r="7" spans="1:23" ht="20.25" customHeight="1">
      <c r="A7" s="2127"/>
      <c r="B7" s="2590"/>
      <c r="C7" s="2139" t="s">
        <v>490</v>
      </c>
      <c r="D7" s="2597"/>
      <c r="E7" s="2597"/>
      <c r="F7" s="2597"/>
      <c r="G7" s="2597"/>
      <c r="H7" s="2597"/>
      <c r="I7" s="2597"/>
      <c r="J7" s="2597"/>
      <c r="K7" s="2597"/>
      <c r="L7" s="2597"/>
      <c r="M7" s="2597"/>
      <c r="N7" s="2597"/>
      <c r="O7" s="2597"/>
      <c r="P7" s="2597"/>
      <c r="Q7" s="2597"/>
      <c r="R7" s="2597"/>
      <c r="S7" s="2597"/>
      <c r="T7" s="2597"/>
      <c r="U7" s="2597"/>
      <c r="V7" s="2598"/>
      <c r="W7" s="2408"/>
    </row>
    <row r="8" spans="1:23" ht="18" customHeight="1">
      <c r="A8" s="2127"/>
      <c r="B8" s="2590"/>
      <c r="C8" s="2599" t="s">
        <v>491</v>
      </c>
      <c r="D8" s="2600"/>
      <c r="E8" s="2600"/>
      <c r="F8" s="2600"/>
      <c r="G8" s="2601"/>
      <c r="H8" s="2601"/>
      <c r="I8" s="2601"/>
      <c r="J8" s="2601"/>
      <c r="K8" s="2601"/>
      <c r="L8" s="2601"/>
      <c r="M8" s="2601"/>
      <c r="N8" s="2601"/>
      <c r="O8" s="2601"/>
      <c r="P8" s="2601"/>
      <c r="Q8" s="2601"/>
      <c r="R8" s="2601"/>
      <c r="S8" s="2601"/>
      <c r="T8" s="2601"/>
      <c r="U8" s="2601"/>
      <c r="V8" s="2407"/>
      <c r="W8" s="2408"/>
    </row>
    <row r="9" spans="1:23" ht="18" customHeight="1">
      <c r="A9" s="2127"/>
      <c r="B9" s="2590"/>
      <c r="C9" s="1350"/>
      <c r="D9" s="1351"/>
      <c r="E9" s="1351"/>
      <c r="F9" s="2558">
        <v>48900</v>
      </c>
      <c r="G9" s="2558"/>
      <c r="H9" s="2558"/>
      <c r="I9" s="2558"/>
      <c r="J9" s="1352" t="s">
        <v>492</v>
      </c>
      <c r="K9" s="1227"/>
      <c r="L9" s="1227"/>
      <c r="M9" s="1227"/>
      <c r="N9" s="1227"/>
      <c r="O9" s="1227"/>
      <c r="P9" s="1227"/>
      <c r="Q9" s="1227"/>
      <c r="R9" s="1227"/>
      <c r="S9" s="1227"/>
      <c r="T9" s="1227"/>
      <c r="U9" s="1227"/>
      <c r="V9" s="1353"/>
      <c r="W9" s="2408"/>
    </row>
    <row r="10" spans="1:23" ht="18" customHeight="1">
      <c r="A10" s="2127"/>
      <c r="B10" s="2590"/>
      <c r="C10" s="2599" t="s">
        <v>493</v>
      </c>
      <c r="D10" s="2600"/>
      <c r="E10" s="2600"/>
      <c r="F10" s="2600"/>
      <c r="G10" s="2601"/>
      <c r="H10" s="2601"/>
      <c r="I10" s="2601"/>
      <c r="J10" s="2601"/>
      <c r="K10" s="2601"/>
      <c r="L10" s="2601"/>
      <c r="M10" s="2601"/>
      <c r="N10" s="2601"/>
      <c r="O10" s="2601"/>
      <c r="P10" s="2601"/>
      <c r="Q10" s="2601"/>
      <c r="R10" s="2601"/>
      <c r="S10" s="2601"/>
      <c r="T10" s="2601"/>
      <c r="U10" s="2601"/>
      <c r="V10" s="2407"/>
      <c r="W10" s="2408"/>
    </row>
    <row r="11" spans="1:23" ht="18" customHeight="1">
      <c r="A11" s="2128"/>
      <c r="B11" s="2552"/>
      <c r="C11" s="1350"/>
      <c r="D11" s="1351"/>
      <c r="E11" s="1351"/>
      <c r="F11" s="2558">
        <v>6110</v>
      </c>
      <c r="G11" s="2558"/>
      <c r="H11" s="2558"/>
      <c r="I11" s="2558"/>
      <c r="J11" s="1352" t="s">
        <v>492</v>
      </c>
      <c r="K11" s="1227"/>
      <c r="L11" s="1227"/>
      <c r="M11" s="1227"/>
      <c r="N11" s="1227"/>
      <c r="O11" s="1227"/>
      <c r="P11" s="1227"/>
      <c r="Q11" s="1227"/>
      <c r="R11" s="1227"/>
      <c r="S11" s="1227"/>
      <c r="T11" s="1227"/>
      <c r="U11" s="1227"/>
      <c r="V11" s="1353"/>
      <c r="W11" s="2409"/>
    </row>
    <row r="12" spans="1:23" ht="25.5" customHeight="1">
      <c r="A12" s="1134"/>
      <c r="B12" s="1134"/>
      <c r="C12" s="1211"/>
      <c r="D12" s="1212"/>
      <c r="E12" s="1212"/>
      <c r="F12" s="1212"/>
      <c r="G12" s="1212"/>
      <c r="H12" s="1213"/>
      <c r="I12" s="1213"/>
      <c r="J12" s="1213"/>
      <c r="K12" s="1213"/>
      <c r="L12" s="1211"/>
      <c r="M12" s="1213"/>
      <c r="N12" s="1213"/>
      <c r="O12" s="1213"/>
      <c r="P12" s="1213"/>
      <c r="Q12" s="1208"/>
      <c r="R12" s="1208"/>
      <c r="S12" s="1208"/>
      <c r="T12" s="1208"/>
      <c r="U12" s="1208"/>
      <c r="V12" s="1208"/>
      <c r="W12" s="1274"/>
    </row>
    <row r="13" spans="1:23" ht="25.5" customHeight="1">
      <c r="A13" s="2116" t="s">
        <v>1183</v>
      </c>
      <c r="B13" s="2135" t="s">
        <v>359</v>
      </c>
      <c r="C13" s="2106"/>
      <c r="D13" s="2602">
        <v>11000</v>
      </c>
      <c r="E13" s="2602"/>
      <c r="F13" s="2602"/>
      <c r="G13" s="2602"/>
      <c r="H13" s="2602"/>
      <c r="I13" s="2602"/>
      <c r="J13" s="1202" t="s">
        <v>1184</v>
      </c>
      <c r="K13" s="2139" t="s">
        <v>1185</v>
      </c>
      <c r="L13" s="2139"/>
      <c r="M13" s="2139"/>
      <c r="N13" s="2139"/>
      <c r="O13" s="2139"/>
      <c r="P13" s="2139"/>
      <c r="Q13" s="2139"/>
      <c r="R13" s="2139"/>
      <c r="S13" s="2139"/>
      <c r="T13" s="2139"/>
      <c r="U13" s="2139"/>
      <c r="V13" s="2140"/>
      <c r="W13" s="2133" t="s">
        <v>1186</v>
      </c>
    </row>
    <row r="14" spans="1:23" ht="25.5" customHeight="1">
      <c r="A14" s="2134"/>
      <c r="B14" s="2136"/>
      <c r="C14" s="2108"/>
      <c r="D14" s="1203"/>
      <c r="E14" s="1203"/>
      <c r="F14" s="1203"/>
      <c r="G14" s="1204"/>
      <c r="H14" s="1204"/>
      <c r="I14" s="1204"/>
      <c r="J14" s="1204"/>
      <c r="K14" s="1204"/>
      <c r="L14" s="1204"/>
      <c r="M14" s="2112" t="s">
        <v>274</v>
      </c>
      <c r="N14" s="2112"/>
      <c r="O14" s="2112"/>
      <c r="P14" s="2112"/>
      <c r="Q14" s="2112"/>
      <c r="R14" s="2112"/>
      <c r="S14" s="2112"/>
      <c r="T14" s="2112"/>
      <c r="U14" s="2112"/>
      <c r="V14" s="2115"/>
      <c r="W14" s="2133"/>
    </row>
    <row r="15" spans="1:23" ht="25.5" customHeight="1">
      <c r="A15" s="1134"/>
      <c r="B15" s="1134"/>
      <c r="C15" s="1340"/>
      <c r="D15" s="1340"/>
      <c r="E15" s="1340"/>
      <c r="F15" s="1340"/>
      <c r="G15" s="1340"/>
      <c r="H15" s="1340"/>
      <c r="I15" s="1340"/>
      <c r="J15" s="1340"/>
      <c r="K15" s="1340"/>
      <c r="L15" s="1340"/>
      <c r="M15" s="1340"/>
      <c r="N15" s="1340"/>
      <c r="O15" s="1340"/>
      <c r="P15" s="1340"/>
      <c r="Q15" s="1340"/>
      <c r="R15" s="1340"/>
      <c r="S15" s="1340"/>
      <c r="T15" s="1340"/>
      <c r="U15" s="1340"/>
      <c r="V15" s="1340"/>
      <c r="W15" s="1341"/>
    </row>
    <row r="16" spans="1:23" ht="30" customHeight="1">
      <c r="A16" s="2080" t="s">
        <v>469</v>
      </c>
      <c r="B16" s="2083" t="s">
        <v>359</v>
      </c>
      <c r="C16" s="2086" t="s">
        <v>471</v>
      </c>
      <c r="D16" s="2087"/>
      <c r="E16" s="2087"/>
      <c r="F16" s="2087"/>
      <c r="G16" s="2087"/>
      <c r="H16" s="2088">
        <v>1840</v>
      </c>
      <c r="I16" s="2088"/>
      <c r="J16" s="2088"/>
      <c r="K16" s="2088"/>
      <c r="L16" s="2089"/>
      <c r="M16" s="2086" t="s">
        <v>472</v>
      </c>
      <c r="N16" s="2087"/>
      <c r="O16" s="2087"/>
      <c r="P16" s="2087"/>
      <c r="Q16" s="2087"/>
      <c r="R16" s="2088">
        <v>1270</v>
      </c>
      <c r="S16" s="2088"/>
      <c r="T16" s="2088"/>
      <c r="U16" s="2088"/>
      <c r="V16" s="2089"/>
      <c r="W16" s="2133" t="s">
        <v>473</v>
      </c>
    </row>
    <row r="17" spans="1:23" ht="30" customHeight="1">
      <c r="A17" s="2081"/>
      <c r="B17" s="2084"/>
      <c r="C17" s="2086" t="s">
        <v>474</v>
      </c>
      <c r="D17" s="2087"/>
      <c r="E17" s="2087"/>
      <c r="F17" s="2087"/>
      <c r="G17" s="2087"/>
      <c r="H17" s="2088">
        <v>1630</v>
      </c>
      <c r="I17" s="2088"/>
      <c r="J17" s="2088"/>
      <c r="K17" s="2088"/>
      <c r="L17" s="2089"/>
      <c r="M17" s="2086" t="s">
        <v>475</v>
      </c>
      <c r="N17" s="2087"/>
      <c r="O17" s="2087"/>
      <c r="P17" s="2087"/>
      <c r="Q17" s="2087"/>
      <c r="R17" s="2088">
        <v>110</v>
      </c>
      <c r="S17" s="2088"/>
      <c r="T17" s="2088"/>
      <c r="U17" s="2088"/>
      <c r="V17" s="2089"/>
      <c r="W17" s="2133"/>
    </row>
    <row r="18" spans="1:23" ht="30" customHeight="1">
      <c r="A18" s="2082"/>
      <c r="B18" s="2085"/>
      <c r="C18" s="2086" t="s">
        <v>476</v>
      </c>
      <c r="D18" s="2087"/>
      <c r="E18" s="2087"/>
      <c r="F18" s="2087"/>
      <c r="G18" s="2087"/>
      <c r="H18" s="2088">
        <v>1610</v>
      </c>
      <c r="I18" s="2088"/>
      <c r="J18" s="2088"/>
      <c r="K18" s="2088"/>
      <c r="L18" s="2089"/>
      <c r="M18" s="2101"/>
      <c r="N18" s="2102"/>
      <c r="O18" s="2102"/>
      <c r="P18" s="2102"/>
      <c r="Q18" s="2102"/>
      <c r="R18" s="2102"/>
      <c r="S18" s="2102"/>
      <c r="T18" s="2102"/>
      <c r="U18" s="2102"/>
      <c r="V18" s="2103"/>
      <c r="W18" s="2133"/>
    </row>
    <row r="19" spans="1:23" ht="25.5" customHeight="1">
      <c r="A19" s="1117"/>
      <c r="B19" s="1117"/>
      <c r="C19" s="1211"/>
      <c r="D19" s="1212"/>
      <c r="E19" s="1212"/>
      <c r="F19" s="1212"/>
      <c r="G19" s="1212"/>
      <c r="H19" s="1213"/>
      <c r="I19" s="1213"/>
      <c r="J19" s="1213"/>
      <c r="K19" s="1213"/>
      <c r="L19" s="1211"/>
      <c r="M19" s="1213"/>
      <c r="N19" s="1213"/>
      <c r="O19" s="1213"/>
      <c r="P19" s="1213"/>
      <c r="Q19" s="1208"/>
      <c r="R19" s="1208"/>
      <c r="S19" s="1208"/>
      <c r="T19" s="1208"/>
      <c r="U19" s="1208"/>
      <c r="V19" s="1208"/>
      <c r="W19" s="1274"/>
    </row>
    <row r="20" spans="1:23" ht="30" customHeight="1">
      <c r="A20" s="1119" t="s">
        <v>477</v>
      </c>
      <c r="B20" s="1120" t="s">
        <v>360</v>
      </c>
      <c r="C20" s="2090">
        <v>6180</v>
      </c>
      <c r="D20" s="2090"/>
      <c r="E20" s="2090"/>
      <c r="F20" s="2090"/>
      <c r="G20" s="2090"/>
      <c r="H20" s="2090"/>
      <c r="I20" s="2090"/>
      <c r="J20" s="2090"/>
      <c r="K20" s="2090"/>
      <c r="L20" s="2090"/>
      <c r="M20" s="2090"/>
      <c r="N20" s="2090"/>
      <c r="O20" s="2090"/>
      <c r="P20" s="2090"/>
      <c r="Q20" s="2090"/>
      <c r="R20" s="2090"/>
      <c r="S20" s="2090"/>
      <c r="T20" s="2090"/>
      <c r="U20" s="2090"/>
      <c r="V20" s="2091"/>
      <c r="W20" s="1329" t="s">
        <v>479</v>
      </c>
    </row>
    <row r="21" spans="1:23" ht="25.5" customHeight="1">
      <c r="A21" s="1117"/>
      <c r="B21" s="1117"/>
      <c r="C21" s="1211"/>
      <c r="D21" s="1212"/>
      <c r="E21" s="1212"/>
      <c r="F21" s="1212"/>
      <c r="G21" s="1212"/>
      <c r="H21" s="1213"/>
      <c r="I21" s="1213"/>
      <c r="J21" s="1213"/>
      <c r="K21" s="1213"/>
      <c r="L21" s="1211"/>
      <c r="M21" s="1213"/>
      <c r="N21" s="1213"/>
      <c r="O21" s="1213"/>
      <c r="P21" s="1213"/>
      <c r="Q21" s="1208"/>
      <c r="R21" s="1208"/>
      <c r="S21" s="1208"/>
      <c r="T21" s="1208"/>
      <c r="U21" s="1208"/>
      <c r="V21" s="1208"/>
      <c r="W21" s="1330"/>
    </row>
    <row r="22" spans="1:23" ht="30" customHeight="1">
      <c r="A22" s="1119" t="s">
        <v>480</v>
      </c>
      <c r="B22" s="1120" t="s">
        <v>494</v>
      </c>
      <c r="C22" s="2092">
        <v>155870</v>
      </c>
      <c r="D22" s="2092"/>
      <c r="E22" s="2092"/>
      <c r="F22" s="2092"/>
      <c r="G22" s="2092"/>
      <c r="H22" s="2092"/>
      <c r="I22" s="2092"/>
      <c r="J22" s="2092"/>
      <c r="K22" s="2092"/>
      <c r="L22" s="2092"/>
      <c r="M22" s="2092"/>
      <c r="N22" s="2092"/>
      <c r="O22" s="2092"/>
      <c r="P22" s="2092"/>
      <c r="Q22" s="2092"/>
      <c r="R22" s="2092"/>
      <c r="S22" s="2092"/>
      <c r="T22" s="2092"/>
      <c r="U22" s="2092"/>
      <c r="V22" s="2093"/>
      <c r="W22" s="1329" t="s">
        <v>479</v>
      </c>
    </row>
    <row r="23" spans="1:23" ht="25.5" customHeight="1">
      <c r="A23" s="1117"/>
      <c r="B23" s="1117"/>
      <c r="C23" s="1211"/>
      <c r="D23" s="1212"/>
      <c r="E23" s="1212"/>
      <c r="F23" s="1212"/>
      <c r="G23" s="1212"/>
      <c r="H23" s="1213"/>
      <c r="I23" s="1213"/>
      <c r="J23" s="1213"/>
      <c r="K23" s="1213"/>
      <c r="L23" s="1211"/>
      <c r="M23" s="1208"/>
      <c r="N23" s="1213"/>
      <c r="O23" s="1213"/>
      <c r="P23" s="1213"/>
      <c r="Q23" s="1208"/>
      <c r="R23" s="1208"/>
      <c r="S23" s="1208"/>
      <c r="T23" s="1208"/>
      <c r="U23" s="1208"/>
      <c r="V23" s="1208"/>
      <c r="W23" s="1330"/>
    </row>
    <row r="24" spans="1:23" ht="30" customHeight="1">
      <c r="A24" s="1119" t="s">
        <v>482</v>
      </c>
      <c r="B24" s="1120" t="s">
        <v>495</v>
      </c>
      <c r="C24" s="2148">
        <v>160000</v>
      </c>
      <c r="D24" s="2148"/>
      <c r="E24" s="2148"/>
      <c r="F24" s="2148"/>
      <c r="G24" s="2148"/>
      <c r="H24" s="2148"/>
      <c r="I24" s="2148"/>
      <c r="J24" s="2148"/>
      <c r="K24" s="2148"/>
      <c r="L24" s="2148"/>
      <c r="M24" s="2148"/>
      <c r="N24" s="2148"/>
      <c r="O24" s="2148"/>
      <c r="P24" s="2148"/>
      <c r="Q24" s="2148"/>
      <c r="R24" s="2148"/>
      <c r="S24" s="2148"/>
      <c r="T24" s="2148"/>
      <c r="U24" s="2148"/>
      <c r="V24" s="2149"/>
      <c r="W24" s="1329" t="s">
        <v>479</v>
      </c>
    </row>
    <row r="25" spans="1:23" s="220" customFormat="1" ht="30" customHeight="1">
      <c r="A25" s="1121"/>
      <c r="B25" s="1118"/>
      <c r="C25" s="1219"/>
      <c r="D25" s="1219"/>
      <c r="E25" s="1219"/>
      <c r="F25" s="1219"/>
      <c r="G25" s="1219"/>
      <c r="H25" s="1219"/>
      <c r="I25" s="1219"/>
      <c r="J25" s="1219"/>
      <c r="K25" s="1219"/>
      <c r="L25" s="1219"/>
      <c r="M25" s="1219"/>
      <c r="N25" s="1219"/>
      <c r="O25" s="1219"/>
      <c r="P25" s="1219"/>
      <c r="Q25" s="1219"/>
      <c r="R25" s="1219"/>
      <c r="S25" s="1219"/>
      <c r="T25" s="1219"/>
      <c r="U25" s="1219"/>
      <c r="V25" s="1219"/>
      <c r="W25" s="1265"/>
    </row>
    <row r="26" spans="1:23" s="220" customFormat="1" ht="20.25" customHeight="1">
      <c r="A26" s="2080" t="s">
        <v>266</v>
      </c>
      <c r="B26" s="2142" t="s">
        <v>485</v>
      </c>
      <c r="C26" s="2066" t="s">
        <v>795</v>
      </c>
      <c r="D26" s="1220"/>
      <c r="E26" s="2069" t="s">
        <v>268</v>
      </c>
      <c r="F26" s="2069"/>
      <c r="G26" s="2069"/>
      <c r="H26" s="2069"/>
      <c r="I26" s="2069"/>
      <c r="J26" s="1221"/>
      <c r="K26" s="2079" t="s">
        <v>269</v>
      </c>
      <c r="L26" s="2079"/>
      <c r="M26" s="2079"/>
      <c r="N26" s="2079"/>
      <c r="O26" s="2079"/>
      <c r="P26" s="2079"/>
      <c r="Q26" s="2079"/>
      <c r="R26" s="2079"/>
      <c r="S26" s="1220"/>
      <c r="T26" s="1221"/>
      <c r="U26" s="1221"/>
      <c r="V26" s="1222"/>
      <c r="W26" s="2266" t="s">
        <v>270</v>
      </c>
    </row>
    <row r="27" spans="1:23" s="220" customFormat="1" ht="30" customHeight="1">
      <c r="A27" s="2127"/>
      <c r="B27" s="2143"/>
      <c r="C27" s="2078"/>
      <c r="D27" s="1223" t="s">
        <v>271</v>
      </c>
      <c r="E27" s="2074">
        <v>76960</v>
      </c>
      <c r="F27" s="2074"/>
      <c r="G27" s="2074"/>
      <c r="H27" s="2074"/>
      <c r="I27" s="2074"/>
      <c r="J27" s="1223" t="s">
        <v>272</v>
      </c>
      <c r="K27" s="2075">
        <v>760</v>
      </c>
      <c r="L27" s="2075"/>
      <c r="M27" s="2075"/>
      <c r="N27" s="2075"/>
      <c r="O27" s="2075"/>
      <c r="P27" s="2075"/>
      <c r="Q27" s="2075"/>
      <c r="R27" s="2075"/>
      <c r="S27" s="1224" t="s">
        <v>273</v>
      </c>
      <c r="T27" s="1223"/>
      <c r="U27" s="1223"/>
      <c r="V27" s="1225"/>
      <c r="W27" s="2407"/>
    </row>
    <row r="28" spans="1:23" s="220" customFormat="1" ht="30" customHeight="1">
      <c r="A28" s="2127"/>
      <c r="B28" s="2143"/>
      <c r="C28" s="2067"/>
      <c r="D28" s="1226"/>
      <c r="E28" s="1227"/>
      <c r="F28" s="1227"/>
      <c r="G28" s="1227"/>
      <c r="H28" s="1227"/>
      <c r="I28" s="2076" t="s">
        <v>1279</v>
      </c>
      <c r="J28" s="2076"/>
      <c r="K28" s="2076"/>
      <c r="L28" s="2076"/>
      <c r="M28" s="2076"/>
      <c r="N28" s="2076"/>
      <c r="O28" s="2076"/>
      <c r="P28" s="2076"/>
      <c r="Q28" s="2076"/>
      <c r="R28" s="2076"/>
      <c r="S28" s="2076"/>
      <c r="T28" s="2076"/>
      <c r="U28" s="2076"/>
      <c r="V28" s="2077"/>
      <c r="W28" s="2407"/>
    </row>
    <row r="29" spans="1:23" s="220" customFormat="1" ht="20.25" customHeight="1">
      <c r="A29" s="2127"/>
      <c r="B29" s="2143"/>
      <c r="C29" s="2066" t="s">
        <v>1070</v>
      </c>
      <c r="D29" s="1220"/>
      <c r="E29" s="2069" t="s">
        <v>268</v>
      </c>
      <c r="F29" s="2069"/>
      <c r="G29" s="2069"/>
      <c r="H29" s="2069"/>
      <c r="I29" s="2069"/>
      <c r="J29" s="1221"/>
      <c r="K29" s="2079" t="s">
        <v>269</v>
      </c>
      <c r="L29" s="2079"/>
      <c r="M29" s="2079"/>
      <c r="N29" s="2079"/>
      <c r="O29" s="2079"/>
      <c r="P29" s="2079"/>
      <c r="Q29" s="2079"/>
      <c r="R29" s="2079"/>
      <c r="S29" s="1220"/>
      <c r="T29" s="1221"/>
      <c r="U29" s="1221"/>
      <c r="V29" s="1222"/>
      <c r="W29" s="2407"/>
    </row>
    <row r="30" spans="1:23" s="220" customFormat="1" ht="30" customHeight="1">
      <c r="A30" s="2127"/>
      <c r="B30" s="2143"/>
      <c r="C30" s="2078"/>
      <c r="D30" s="1223" t="s">
        <v>271</v>
      </c>
      <c r="E30" s="2074">
        <v>50000</v>
      </c>
      <c r="F30" s="2074"/>
      <c r="G30" s="2074"/>
      <c r="H30" s="2074"/>
      <c r="I30" s="2074"/>
      <c r="J30" s="1223" t="s">
        <v>272</v>
      </c>
      <c r="K30" s="2075">
        <v>500</v>
      </c>
      <c r="L30" s="2075"/>
      <c r="M30" s="2075"/>
      <c r="N30" s="2075"/>
      <c r="O30" s="2075"/>
      <c r="P30" s="2075"/>
      <c r="Q30" s="2075"/>
      <c r="R30" s="2075"/>
      <c r="S30" s="1224" t="s">
        <v>273</v>
      </c>
      <c r="T30" s="1223"/>
      <c r="U30" s="1223"/>
      <c r="V30" s="1225"/>
      <c r="W30" s="2407"/>
    </row>
    <row r="31" spans="1:23" s="220" customFormat="1" ht="30" customHeight="1">
      <c r="A31" s="2127"/>
      <c r="B31" s="2143"/>
      <c r="C31" s="2067"/>
      <c r="D31" s="1226"/>
      <c r="E31" s="1227"/>
      <c r="F31" s="1227"/>
      <c r="G31" s="1227"/>
      <c r="H31" s="1227"/>
      <c r="I31" s="2076" t="s">
        <v>1279</v>
      </c>
      <c r="J31" s="2076"/>
      <c r="K31" s="2076"/>
      <c r="L31" s="2076"/>
      <c r="M31" s="2076"/>
      <c r="N31" s="2076"/>
      <c r="O31" s="2076"/>
      <c r="P31" s="2076"/>
      <c r="Q31" s="2076"/>
      <c r="R31" s="2076"/>
      <c r="S31" s="2076"/>
      <c r="T31" s="2076"/>
      <c r="U31" s="2076"/>
      <c r="V31" s="2077"/>
      <c r="W31" s="2407"/>
    </row>
    <row r="32" spans="1:23" s="220" customFormat="1" ht="20.25" customHeight="1">
      <c r="A32" s="2127"/>
      <c r="B32" s="2143"/>
      <c r="C32" s="2066" t="s">
        <v>1071</v>
      </c>
      <c r="D32" s="2068" t="s">
        <v>268</v>
      </c>
      <c r="E32" s="2069"/>
      <c r="F32" s="2069"/>
      <c r="G32" s="2069"/>
      <c r="H32" s="2069"/>
      <c r="I32" s="2069"/>
      <c r="J32" s="2069"/>
      <c r="K32" s="2069"/>
      <c r="L32" s="2069"/>
      <c r="M32" s="1228"/>
      <c r="N32" s="1228"/>
      <c r="O32" s="1228"/>
      <c r="P32" s="1228"/>
      <c r="Q32" s="1228"/>
      <c r="R32" s="1228"/>
      <c r="S32" s="1228"/>
      <c r="T32" s="1228"/>
      <c r="U32" s="1228"/>
      <c r="V32" s="1229"/>
      <c r="W32" s="2407"/>
    </row>
    <row r="33" spans="1:23" s="220" customFormat="1" ht="30" customHeight="1">
      <c r="A33" s="2128"/>
      <c r="B33" s="2144"/>
      <c r="C33" s="2067"/>
      <c r="D33" s="2070">
        <v>10000</v>
      </c>
      <c r="E33" s="2071"/>
      <c r="F33" s="2071"/>
      <c r="G33" s="2071"/>
      <c r="H33" s="2071"/>
      <c r="I33" s="2071"/>
      <c r="J33" s="2072" t="s">
        <v>275</v>
      </c>
      <c r="K33" s="2072"/>
      <c r="L33" s="2072"/>
      <c r="M33" s="2072"/>
      <c r="N33" s="2072"/>
      <c r="O33" s="2072"/>
      <c r="P33" s="2072"/>
      <c r="Q33" s="2072"/>
      <c r="R33" s="2072"/>
      <c r="S33" s="2072"/>
      <c r="T33" s="2072"/>
      <c r="U33" s="2072"/>
      <c r="V33" s="2073"/>
      <c r="W33" s="2136"/>
    </row>
    <row r="34" spans="1:23" ht="25.5" customHeight="1">
      <c r="A34" s="1117"/>
      <c r="B34" s="1117"/>
      <c r="C34" s="1211"/>
      <c r="D34" s="1212"/>
      <c r="E34" s="1212"/>
      <c r="F34" s="1212"/>
      <c r="G34" s="1212"/>
      <c r="H34" s="1213"/>
      <c r="I34" s="1213"/>
      <c r="J34" s="1213"/>
      <c r="K34" s="1213"/>
      <c r="L34" s="1211"/>
      <c r="M34" s="1208"/>
      <c r="N34" s="1213"/>
      <c r="O34" s="1213"/>
      <c r="P34" s="1213"/>
      <c r="Q34" s="1208"/>
      <c r="R34" s="1208"/>
      <c r="S34" s="1208"/>
      <c r="T34" s="1208"/>
      <c r="U34" s="1208"/>
      <c r="V34" s="1208"/>
      <c r="W34" s="1274" t="s">
        <v>484</v>
      </c>
    </row>
    <row r="35" spans="1:23" ht="30" customHeight="1">
      <c r="A35" s="1119" t="s">
        <v>486</v>
      </c>
      <c r="B35" s="1120" t="s">
        <v>384</v>
      </c>
      <c r="C35" s="2092">
        <v>150000</v>
      </c>
      <c r="D35" s="2092"/>
      <c r="E35" s="2092"/>
      <c r="F35" s="2092"/>
      <c r="G35" s="2092"/>
      <c r="H35" s="2092"/>
      <c r="I35" s="2092"/>
      <c r="J35" s="2092"/>
      <c r="K35" s="2092"/>
      <c r="L35" s="2092"/>
      <c r="M35" s="2092"/>
      <c r="N35" s="2092"/>
      <c r="O35" s="2092"/>
      <c r="P35" s="2092"/>
      <c r="Q35" s="2092"/>
      <c r="R35" s="2092"/>
      <c r="S35" s="2092"/>
      <c r="T35" s="2092"/>
      <c r="U35" s="2092"/>
      <c r="V35" s="2093"/>
      <c r="W35" s="1329" t="s">
        <v>479</v>
      </c>
    </row>
    <row r="36" spans="1:23" ht="25.5" customHeight="1">
      <c r="A36" s="2514"/>
      <c r="B36" s="2514"/>
      <c r="C36" s="2514"/>
      <c r="D36" s="2514"/>
      <c r="E36" s="2514"/>
      <c r="F36" s="2514"/>
      <c r="G36" s="2514"/>
      <c r="H36" s="2514"/>
      <c r="I36" s="2514"/>
      <c r="J36" s="2514"/>
      <c r="K36" s="2514"/>
      <c r="L36" s="2514"/>
      <c r="M36" s="2514"/>
      <c r="N36" s="2514"/>
      <c r="O36" s="2514"/>
      <c r="P36" s="2514"/>
      <c r="Q36" s="2514"/>
      <c r="R36" s="2514"/>
      <c r="S36" s="2514"/>
      <c r="T36" s="2514"/>
      <c r="U36" s="2514"/>
      <c r="V36" s="2514"/>
      <c r="W36" s="2514"/>
    </row>
    <row r="37" spans="1:23" ht="25.5" customHeight="1">
      <c r="A37" s="2514" t="s">
        <v>496</v>
      </c>
      <c r="B37" s="2514"/>
      <c r="C37" s="2514"/>
      <c r="D37" s="2514"/>
      <c r="E37" s="2514"/>
      <c r="F37" s="2514"/>
      <c r="G37" s="2514"/>
      <c r="H37" s="2514"/>
      <c r="I37" s="2514"/>
      <c r="J37" s="2514"/>
      <c r="K37" s="2514"/>
      <c r="L37" s="2514"/>
      <c r="M37" s="2514"/>
      <c r="N37" s="2514"/>
      <c r="O37" s="2514"/>
      <c r="P37" s="2514"/>
      <c r="Q37" s="2514"/>
      <c r="R37" s="2514"/>
      <c r="S37" s="2514"/>
      <c r="T37" s="2514"/>
      <c r="U37" s="2514"/>
      <c r="V37" s="2514"/>
      <c r="W37" s="2514"/>
    </row>
  </sheetData>
  <sheetProtection algorithmName="SHA-512" hashValue="8pAlgbwiJqUcQNE9fchbz9rdulfvxcUUOjFhDm7kpBfQ+56G45tTCF7+c+6BMsXqpEG5Xi1/iG7SKo/JKedfPA==" saltValue="meh4VkaKx4A4K91p0X2hMA==" spinCount="100000" sheet="1" objects="1" scenarios="1"/>
  <customSheetViews>
    <customSheetView guid="{2E52E5FF-9846-4DC5-A671-268FE925398C}" scale="130" showPageBreaks="1" state="hidden" view="pageBreakPreview" topLeftCell="A19">
      <selection activeCell="AV47" sqref="AV47"/>
      <pageMargins left="0.39370078740157483" right="0.39370078740157483" top="0.39370078740157483" bottom="0.39370078740157483" header="0.31496062992125984" footer="0.15748031496062992"/>
      <printOptions horizontalCentered="1"/>
      <pageSetup paperSize="9" scale="71" orientation="portrait" r:id="rId1"/>
      <headerFooter alignWithMargins="0"/>
    </customSheetView>
    <customSheetView guid="{BADA99B3-B36A-4925-87A7-F72FC97D3DBA}" scale="130" showPageBreaks="1" state="hidden" view="pageBreakPreview" topLeftCell="A19">
      <selection activeCell="AV47" sqref="AV47"/>
      <pageMargins left="0.39370078740157483" right="0.39370078740157483" top="0.39370078740157483" bottom="0.39370078740157483" header="0.31496062992125984" footer="0.15748031496062992"/>
      <printOptions horizontalCentered="1"/>
      <pageSetup paperSize="9" scale="71" orientation="portrait" r:id="rId2"/>
      <headerFooter alignWithMargins="0"/>
    </customSheetView>
  </customSheetViews>
  <mergeCells count="62">
    <mergeCell ref="W13:W14"/>
    <mergeCell ref="M14:V14"/>
    <mergeCell ref="A13:A14"/>
    <mergeCell ref="B13:B14"/>
    <mergeCell ref="C13:C14"/>
    <mergeCell ref="D13:I13"/>
    <mergeCell ref="K13:V13"/>
    <mergeCell ref="F11:I11"/>
    <mergeCell ref="A3:A11"/>
    <mergeCell ref="B3:B11"/>
    <mergeCell ref="C3:V3"/>
    <mergeCell ref="W3:W11"/>
    <mergeCell ref="C4:V4"/>
    <mergeCell ref="C5:K5"/>
    <mergeCell ref="L5:N5"/>
    <mergeCell ref="O5:V5"/>
    <mergeCell ref="C6:K6"/>
    <mergeCell ref="L6:N6"/>
    <mergeCell ref="O6:V6"/>
    <mergeCell ref="C7:V7"/>
    <mergeCell ref="C8:V8"/>
    <mergeCell ref="F9:I9"/>
    <mergeCell ref="C10:V10"/>
    <mergeCell ref="A16:A18"/>
    <mergeCell ref="B16:B18"/>
    <mergeCell ref="C16:G16"/>
    <mergeCell ref="H16:L16"/>
    <mergeCell ref="M16:Q16"/>
    <mergeCell ref="W16:W18"/>
    <mergeCell ref="C17:G17"/>
    <mergeCell ref="H17:L17"/>
    <mergeCell ref="M17:Q17"/>
    <mergeCell ref="R17:V17"/>
    <mergeCell ref="C18:G18"/>
    <mergeCell ref="H18:L18"/>
    <mergeCell ref="M18:V18"/>
    <mergeCell ref="R16:V16"/>
    <mergeCell ref="C35:V35"/>
    <mergeCell ref="A36:W36"/>
    <mergeCell ref="A37:W37"/>
    <mergeCell ref="W26:W33"/>
    <mergeCell ref="C20:V20"/>
    <mergeCell ref="C22:V22"/>
    <mergeCell ref="C24:V24"/>
    <mergeCell ref="A26:A33"/>
    <mergeCell ref="B26:B33"/>
    <mergeCell ref="C26:C28"/>
    <mergeCell ref="E26:I26"/>
    <mergeCell ref="K26:R26"/>
    <mergeCell ref="E27:I27"/>
    <mergeCell ref="K27:R27"/>
    <mergeCell ref="I28:V28"/>
    <mergeCell ref="C29:C31"/>
    <mergeCell ref="C32:C33"/>
    <mergeCell ref="D32:L32"/>
    <mergeCell ref="D33:I33"/>
    <mergeCell ref="J33:V33"/>
    <mergeCell ref="E29:I29"/>
    <mergeCell ref="K29:R29"/>
    <mergeCell ref="E30:I30"/>
    <mergeCell ref="K30:R30"/>
    <mergeCell ref="I31:V31"/>
  </mergeCells>
  <phoneticPr fontId="60"/>
  <printOptions horizontalCentered="1"/>
  <pageMargins left="0.39370078740157483" right="0.39370078740157483" top="0.39370078740157483" bottom="0.39370078740157483" header="0.31496062992125984" footer="0.15748031496062992"/>
  <pageSetup paperSize="9" scale="71" orientation="portrait" r:id="rId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FFFF00"/>
  </sheetPr>
  <dimension ref="A1:BG82"/>
  <sheetViews>
    <sheetView view="pageBreakPreview" topLeftCell="Q1" zoomScale="85" zoomScaleNormal="85" zoomScaleSheetLayoutView="85" workbookViewId="0">
      <pane ySplit="5" topLeftCell="A6" activePane="bottomLeft" state="frozen"/>
      <selection activeCell="AA52" sqref="Y6:AB78"/>
      <selection pane="bottomLeft" activeCell="AA52" sqref="Y6:AB78"/>
    </sheetView>
  </sheetViews>
  <sheetFormatPr defaultRowHeight="13.5"/>
  <cols>
    <col min="1" max="1" width="5.625" style="28" customWidth="1"/>
    <col min="2" max="2" width="5.375" style="28" customWidth="1"/>
    <col min="3" max="3" width="8.375" style="28" bestFit="1" customWidth="1"/>
    <col min="4" max="4" width="7.5" style="28" customWidth="1"/>
    <col min="5" max="5" width="2.25" style="47" customWidth="1"/>
    <col min="6" max="6" width="7.875" style="29" customWidth="1"/>
    <col min="7" max="7" width="8.5" style="30" customWidth="1"/>
    <col min="8" max="8" width="7.875" style="31" customWidth="1"/>
    <col min="9" max="9" width="8.5" style="30" customWidth="1"/>
    <col min="10" max="10" width="0.875" style="47" customWidth="1"/>
    <col min="11" max="11" width="9.5" style="29" customWidth="1"/>
    <col min="12" max="12" width="2.25" style="23" customWidth="1"/>
    <col min="13" max="13" width="7" style="29" customWidth="1"/>
    <col min="14" max="14" width="6.625" style="30" customWidth="1"/>
    <col min="15" max="15" width="6.625" style="32" customWidth="1"/>
    <col min="16" max="16" width="7" style="31" customWidth="1"/>
    <col min="17" max="17" width="6.625" style="30" customWidth="1"/>
    <col min="18" max="18" width="6.625" style="32" customWidth="1"/>
    <col min="19" max="19" width="2.25" style="23" customWidth="1"/>
    <col min="20" max="20" width="6.375" style="29" customWidth="1"/>
    <col min="21" max="21" width="6.875" style="29" customWidth="1"/>
    <col min="22" max="22" width="7.5" style="33" customWidth="1"/>
    <col min="23" max="23" width="5.25" style="33" customWidth="1"/>
    <col min="24" max="24" width="6.375" style="33" customWidth="1"/>
    <col min="25" max="25" width="2.25" style="32" customWidth="1"/>
    <col min="26" max="26" width="1.125" style="23" customWidth="1"/>
    <col min="27" max="27" width="14.375" style="31" customWidth="1"/>
    <col min="28" max="28" width="9.875" style="31" customWidth="1"/>
    <col min="29" max="29" width="2.25" style="23" customWidth="1"/>
    <col min="30" max="30" width="11.25" style="33" customWidth="1"/>
    <col min="31" max="31" width="1.125" style="33" customWidth="1"/>
    <col min="32" max="32" width="2.25" style="23" customWidth="1"/>
    <col min="33" max="33" width="10.25" style="33" customWidth="1"/>
    <col min="34" max="34" width="2.25" style="32" customWidth="1"/>
    <col min="35" max="35" width="5.625" style="31" customWidth="1"/>
    <col min="36" max="36" width="2.25" style="23" customWidth="1"/>
    <col min="37" max="37" width="9.5" style="36" customWidth="1"/>
    <col min="38" max="38" width="2.25" style="32" customWidth="1"/>
    <col min="39" max="39" width="10.875" style="32" bestFit="1" customWidth="1"/>
    <col min="40" max="40" width="10.875" style="31" bestFit="1" customWidth="1"/>
    <col min="41" max="41" width="2.25" style="32" customWidth="1"/>
    <col min="42" max="42" width="6.125" style="31" bestFit="1" customWidth="1"/>
    <col min="43" max="43" width="10.875" style="32" bestFit="1" customWidth="1"/>
    <col min="44" max="44" width="10.875" style="45" bestFit="1" customWidth="1"/>
    <col min="45" max="45" width="3.25" style="27" bestFit="1" customWidth="1"/>
    <col min="46" max="46" width="9" style="27"/>
    <col min="47" max="47" width="3.25" style="27" bestFit="1" customWidth="1"/>
    <col min="48" max="48" width="9" style="27"/>
    <col min="49" max="49" width="3.25" style="27" bestFit="1" customWidth="1"/>
    <col min="50" max="50" width="6.125" style="27" bestFit="1" customWidth="1"/>
    <col min="51" max="51" width="3.25" style="27" customWidth="1"/>
    <col min="52" max="52" width="10" style="27" bestFit="1" customWidth="1"/>
    <col min="53" max="53" width="3.25" style="27" customWidth="1"/>
    <col min="54" max="57" width="9" style="27"/>
    <col min="58" max="58" width="3.375" style="27" customWidth="1"/>
    <col min="59" max="16384" width="9" style="27"/>
  </cols>
  <sheetData>
    <row r="1" spans="1:59" s="1" customFormat="1" ht="13.5" customHeight="1">
      <c r="A1" s="2020" t="s">
        <v>364</v>
      </c>
      <c r="B1" s="2020" t="s">
        <v>397</v>
      </c>
      <c r="C1" s="2020" t="s">
        <v>22</v>
      </c>
      <c r="D1" s="2020" t="s">
        <v>325</v>
      </c>
      <c r="E1" s="202"/>
      <c r="F1" s="2022" t="s">
        <v>398</v>
      </c>
      <c r="G1" s="2022"/>
      <c r="H1" s="2022"/>
      <c r="I1" s="2022"/>
      <c r="J1" s="198"/>
      <c r="K1" s="2020" t="s">
        <v>452</v>
      </c>
      <c r="L1" s="204"/>
      <c r="M1" s="2024" t="s">
        <v>256</v>
      </c>
      <c r="N1" s="2605"/>
      <c r="O1" s="2605"/>
      <c r="P1" s="2605"/>
      <c r="Q1" s="2605"/>
      <c r="R1" s="2606"/>
      <c r="S1" s="204"/>
      <c r="T1" s="2008" t="s">
        <v>400</v>
      </c>
      <c r="U1" s="2030"/>
      <c r="V1" s="2030"/>
      <c r="W1" s="2030"/>
      <c r="X1" s="2026"/>
      <c r="Y1" s="204"/>
      <c r="Z1" s="204"/>
      <c r="AA1" s="2025" t="s">
        <v>328</v>
      </c>
      <c r="AB1" s="2030"/>
      <c r="AC1" s="2030"/>
      <c r="AD1" s="2030"/>
      <c r="AE1" s="2030"/>
      <c r="AF1" s="2030"/>
      <c r="AG1" s="2026"/>
      <c r="AH1" s="204"/>
      <c r="AI1" s="2025" t="s">
        <v>329</v>
      </c>
      <c r="AJ1" s="2030"/>
      <c r="AK1" s="2026"/>
      <c r="AL1" s="204"/>
      <c r="AM1" s="2022" t="s">
        <v>401</v>
      </c>
      <c r="AN1" s="2022"/>
      <c r="AO1" s="204"/>
      <c r="AP1" s="2022" t="s">
        <v>330</v>
      </c>
      <c r="AQ1" s="2022"/>
      <c r="AR1" s="2022"/>
      <c r="AS1" s="204"/>
      <c r="AT1" s="2021" t="s">
        <v>430</v>
      </c>
      <c r="AU1" s="204"/>
      <c r="AV1" s="2021" t="s">
        <v>454</v>
      </c>
      <c r="AW1" s="204"/>
      <c r="AX1" s="2008" t="s">
        <v>461</v>
      </c>
      <c r="AY1" s="2009"/>
      <c r="AZ1" s="2010"/>
      <c r="BA1" s="204"/>
      <c r="BB1" s="2008" t="s">
        <v>257</v>
      </c>
      <c r="BC1" s="2009"/>
      <c r="BD1" s="2009"/>
      <c r="BE1" s="2010"/>
      <c r="BF1" s="204"/>
      <c r="BG1" s="2021" t="s">
        <v>455</v>
      </c>
    </row>
    <row r="2" spans="1:59" s="1" customFormat="1" ht="13.5" customHeight="1">
      <c r="A2" s="2020"/>
      <c r="B2" s="2020"/>
      <c r="C2" s="2020"/>
      <c r="D2" s="2020"/>
      <c r="E2" s="202"/>
      <c r="F2" s="2022" t="s">
        <v>337</v>
      </c>
      <c r="G2" s="2022"/>
      <c r="H2" s="2023" t="s">
        <v>338</v>
      </c>
      <c r="I2" s="2023"/>
      <c r="J2" s="198"/>
      <c r="K2" s="2020"/>
      <c r="L2" s="205"/>
      <c r="M2" s="2024" t="s">
        <v>337</v>
      </c>
      <c r="N2" s="2605"/>
      <c r="O2" s="2606"/>
      <c r="P2" s="2607" t="s">
        <v>338</v>
      </c>
      <c r="Q2" s="2608"/>
      <c r="R2" s="2609"/>
      <c r="S2" s="205"/>
      <c r="T2" s="2027"/>
      <c r="U2" s="2031"/>
      <c r="V2" s="2031"/>
      <c r="W2" s="2031"/>
      <c r="X2" s="2028"/>
      <c r="Y2" s="205"/>
      <c r="Z2" s="205"/>
      <c r="AA2" s="2027"/>
      <c r="AB2" s="2031"/>
      <c r="AC2" s="2031"/>
      <c r="AD2" s="2031"/>
      <c r="AE2" s="2031"/>
      <c r="AF2" s="2031"/>
      <c r="AG2" s="2028"/>
      <c r="AH2" s="205"/>
      <c r="AI2" s="2027"/>
      <c r="AJ2" s="2031"/>
      <c r="AK2" s="2028"/>
      <c r="AL2" s="204"/>
      <c r="AM2" s="2029"/>
      <c r="AN2" s="2029"/>
      <c r="AO2" s="204"/>
      <c r="AP2" s="2029"/>
      <c r="AQ2" s="2029"/>
      <c r="AR2" s="2029"/>
      <c r="AS2" s="205"/>
      <c r="AT2" s="2038"/>
      <c r="AU2" s="205"/>
      <c r="AV2" s="2038"/>
      <c r="AW2" s="205"/>
      <c r="AX2" s="2011"/>
      <c r="AY2" s="2012"/>
      <c r="AZ2" s="2013"/>
      <c r="BA2" s="205"/>
      <c r="BB2" s="1987" t="s">
        <v>258</v>
      </c>
      <c r="BC2" s="1989" t="s">
        <v>259</v>
      </c>
      <c r="BD2" s="2427" t="s">
        <v>260</v>
      </c>
      <c r="BE2" s="1991" t="s">
        <v>261</v>
      </c>
      <c r="BF2" s="205"/>
      <c r="BG2" s="2038"/>
    </row>
    <row r="3" spans="1:59" s="5" customFormat="1" ht="13.5" customHeight="1">
      <c r="A3" s="2020"/>
      <c r="B3" s="2020"/>
      <c r="C3" s="2020"/>
      <c r="D3" s="2020"/>
      <c r="E3" s="198"/>
      <c r="F3" s="2008" t="s">
        <v>339</v>
      </c>
      <c r="G3" s="2010"/>
      <c r="H3" s="2008" t="s">
        <v>339</v>
      </c>
      <c r="I3" s="2010"/>
      <c r="J3" s="198"/>
      <c r="K3" s="2020"/>
      <c r="L3" s="199"/>
      <c r="M3" s="210"/>
      <c r="N3" s="94"/>
      <c r="O3" s="95"/>
      <c r="P3" s="210"/>
      <c r="Q3" s="94"/>
      <c r="R3" s="96"/>
      <c r="S3" s="199"/>
      <c r="T3" s="210"/>
      <c r="U3" s="97"/>
      <c r="V3" s="2465" t="s">
        <v>405</v>
      </c>
      <c r="W3" s="2466"/>
      <c r="X3" s="2467"/>
      <c r="Y3" s="95"/>
      <c r="Z3" s="95"/>
      <c r="AA3" s="88"/>
      <c r="AB3" s="98"/>
      <c r="AC3" s="200"/>
      <c r="AD3" s="2040" t="s">
        <v>313</v>
      </c>
      <c r="AE3" s="99"/>
      <c r="AF3" s="199"/>
      <c r="AG3" s="2039"/>
      <c r="AH3" s="95"/>
      <c r="AI3" s="88"/>
      <c r="AJ3" s="200"/>
      <c r="AK3" s="2040" t="s">
        <v>313</v>
      </c>
      <c r="AL3" s="199"/>
      <c r="AM3" s="2392" t="s">
        <v>27</v>
      </c>
      <c r="AN3" s="2043"/>
      <c r="AO3" s="199"/>
      <c r="AP3" s="88"/>
      <c r="AQ3" s="2042" t="s">
        <v>27</v>
      </c>
      <c r="AR3" s="2043"/>
      <c r="AS3" s="95"/>
      <c r="AT3" s="2038"/>
      <c r="AU3" s="95"/>
      <c r="AV3" s="2038"/>
      <c r="AW3" s="95"/>
      <c r="AX3" s="88"/>
      <c r="AY3" s="200"/>
      <c r="AZ3" s="2021" t="s">
        <v>313</v>
      </c>
      <c r="BA3" s="95"/>
      <c r="BB3" s="1988"/>
      <c r="BC3" s="1990"/>
      <c r="BD3" s="2428"/>
      <c r="BE3" s="1992"/>
      <c r="BF3" s="95"/>
      <c r="BG3" s="2038"/>
    </row>
    <row r="4" spans="1:59" s="5" customFormat="1" ht="13.5" customHeight="1">
      <c r="A4" s="2021"/>
      <c r="B4" s="2021"/>
      <c r="C4" s="2021"/>
      <c r="D4" s="2021"/>
      <c r="E4" s="198"/>
      <c r="F4" s="210"/>
      <c r="G4" s="100" t="s">
        <v>63</v>
      </c>
      <c r="H4" s="210"/>
      <c r="I4" s="100" t="s">
        <v>63</v>
      </c>
      <c r="J4" s="198"/>
      <c r="K4" s="2021"/>
      <c r="L4" s="206"/>
      <c r="M4" s="88"/>
      <c r="N4" s="101" t="s">
        <v>374</v>
      </c>
      <c r="O4" s="95"/>
      <c r="P4" s="85"/>
      <c r="Q4" s="101" t="s">
        <v>374</v>
      </c>
      <c r="R4" s="96"/>
      <c r="S4" s="205"/>
      <c r="T4" s="88"/>
      <c r="U4" s="101" t="s">
        <v>374</v>
      </c>
      <c r="V4" s="102"/>
      <c r="W4" s="103" t="s">
        <v>410</v>
      </c>
      <c r="X4" s="211"/>
      <c r="Y4" s="95"/>
      <c r="Z4" s="95"/>
      <c r="AA4" s="210"/>
      <c r="AB4" s="39"/>
      <c r="AC4" s="206"/>
      <c r="AD4" s="2041"/>
      <c r="AE4" s="99"/>
      <c r="AF4" s="205"/>
      <c r="AG4" s="2039"/>
      <c r="AH4" s="95"/>
      <c r="AI4" s="210"/>
      <c r="AJ4" s="206"/>
      <c r="AK4" s="2041"/>
      <c r="AL4" s="199"/>
      <c r="AM4" s="212" t="s">
        <v>29</v>
      </c>
      <c r="AN4" s="105" t="s">
        <v>30</v>
      </c>
      <c r="AO4" s="199"/>
      <c r="AP4" s="88"/>
      <c r="AQ4" s="104" t="s">
        <v>29</v>
      </c>
      <c r="AR4" s="105" t="s">
        <v>30</v>
      </c>
      <c r="AS4" s="95"/>
      <c r="AT4" s="2038"/>
      <c r="AU4" s="95"/>
      <c r="AV4" s="2038"/>
      <c r="AW4" s="95"/>
      <c r="AX4" s="210"/>
      <c r="AY4" s="206"/>
      <c r="AZ4" s="2038"/>
      <c r="BA4" s="95"/>
      <c r="BB4" s="1988"/>
      <c r="BC4" s="1990"/>
      <c r="BD4" s="2428"/>
      <c r="BE4" s="1992"/>
      <c r="BF4" s="95"/>
      <c r="BG4" s="2038"/>
    </row>
    <row r="5" spans="1:59" s="5" customFormat="1" ht="12" customHeight="1">
      <c r="A5" s="203" t="s">
        <v>411</v>
      </c>
      <c r="B5" s="203" t="s">
        <v>343</v>
      </c>
      <c r="C5" s="203" t="s">
        <v>413</v>
      </c>
      <c r="D5" s="203" t="s">
        <v>345</v>
      </c>
      <c r="E5" s="199"/>
      <c r="F5" s="2016" t="s">
        <v>457</v>
      </c>
      <c r="G5" s="2016"/>
      <c r="H5" s="2016" t="s">
        <v>457</v>
      </c>
      <c r="I5" s="2016"/>
      <c r="J5" s="199"/>
      <c r="K5" s="203" t="s">
        <v>348</v>
      </c>
      <c r="L5" s="205"/>
      <c r="M5" s="1993" t="s">
        <v>458</v>
      </c>
      <c r="N5" s="1994"/>
      <c r="O5" s="1995"/>
      <c r="P5" s="2468" t="s">
        <v>458</v>
      </c>
      <c r="Q5" s="2469"/>
      <c r="R5" s="2470"/>
      <c r="S5" s="205"/>
      <c r="T5" s="2016" t="s">
        <v>418</v>
      </c>
      <c r="U5" s="2016"/>
      <c r="V5" s="2016"/>
      <c r="W5" s="2016"/>
      <c r="X5" s="2016"/>
      <c r="Y5" s="95"/>
      <c r="Z5" s="95"/>
      <c r="AA5" s="1993" t="s">
        <v>419</v>
      </c>
      <c r="AB5" s="1994"/>
      <c r="AC5" s="1994"/>
      <c r="AD5" s="1994"/>
      <c r="AE5" s="1994"/>
      <c r="AF5" s="1994"/>
      <c r="AG5" s="1995"/>
      <c r="AH5" s="95"/>
      <c r="AI5" s="1993" t="s">
        <v>265</v>
      </c>
      <c r="AJ5" s="1994"/>
      <c r="AK5" s="1995"/>
      <c r="AL5" s="199"/>
      <c r="AM5" s="1993" t="s">
        <v>420</v>
      </c>
      <c r="AN5" s="1995"/>
      <c r="AO5" s="199"/>
      <c r="AP5" s="1993" t="s">
        <v>421</v>
      </c>
      <c r="AQ5" s="1994"/>
      <c r="AR5" s="1995"/>
      <c r="AS5" s="95"/>
      <c r="AT5" s="61" t="s">
        <v>422</v>
      </c>
      <c r="AU5" s="95"/>
      <c r="AV5" s="61" t="s">
        <v>423</v>
      </c>
      <c r="AW5" s="95"/>
      <c r="AX5" s="2016" t="s">
        <v>424</v>
      </c>
      <c r="AY5" s="2016"/>
      <c r="AZ5" s="2016"/>
      <c r="BA5" s="95"/>
      <c r="BB5" s="1993" t="s">
        <v>425</v>
      </c>
      <c r="BC5" s="1994"/>
      <c r="BD5" s="1994"/>
      <c r="BE5" s="1995"/>
      <c r="BF5" s="95"/>
      <c r="BG5" s="201" t="s">
        <v>459</v>
      </c>
    </row>
    <row r="6" spans="1:59" s="4" customFormat="1" ht="3.75" customHeight="1">
      <c r="A6" s="6"/>
      <c r="B6" s="7"/>
      <c r="C6" s="7"/>
      <c r="D6" s="7"/>
      <c r="E6" s="47"/>
      <c r="F6" s="8"/>
      <c r="G6" s="9"/>
      <c r="H6" s="10"/>
      <c r="I6" s="9"/>
      <c r="J6" s="47"/>
      <c r="K6" s="8"/>
      <c r="L6" s="23"/>
      <c r="M6" s="11"/>
      <c r="N6" s="12"/>
      <c r="O6" s="13"/>
      <c r="P6" s="10"/>
      <c r="Q6" s="12"/>
      <c r="R6" s="13"/>
      <c r="S6" s="23"/>
      <c r="T6" s="11"/>
      <c r="U6" s="11"/>
      <c r="V6" s="16"/>
      <c r="W6" s="16"/>
      <c r="X6" s="16"/>
      <c r="Y6" s="3"/>
      <c r="Z6" s="3"/>
      <c r="AA6" s="67"/>
      <c r="AB6" s="34"/>
      <c r="AC6" s="23"/>
      <c r="AD6" s="48"/>
      <c r="AE6" s="18"/>
      <c r="AF6" s="23"/>
      <c r="AG6" s="48"/>
      <c r="AH6" s="3"/>
      <c r="AI6" s="10"/>
      <c r="AJ6" s="23"/>
      <c r="AK6" s="49"/>
      <c r="AL6" s="3"/>
      <c r="AM6" s="3"/>
      <c r="AN6" s="14"/>
      <c r="AO6" s="3"/>
      <c r="AP6" s="14"/>
      <c r="AQ6" s="3"/>
      <c r="AR6" s="63"/>
    </row>
    <row r="7" spans="1:59" s="5" customFormat="1" ht="12" customHeight="1">
      <c r="A7" s="2335" t="s">
        <v>1155</v>
      </c>
      <c r="B7" s="2435" t="s">
        <v>1156</v>
      </c>
      <c r="C7" s="2438" t="s">
        <v>1021</v>
      </c>
      <c r="D7" s="2441" t="s">
        <v>1136</v>
      </c>
      <c r="E7" s="1123"/>
      <c r="F7" s="2443">
        <v>144690</v>
      </c>
      <c r="G7" s="2461">
        <v>213520</v>
      </c>
      <c r="H7" s="2443">
        <v>129070</v>
      </c>
      <c r="I7" s="2461">
        <v>197900</v>
      </c>
      <c r="J7" s="1231"/>
      <c r="K7" s="2576">
        <v>0.84</v>
      </c>
      <c r="L7" s="1972" t="s">
        <v>255</v>
      </c>
      <c r="M7" s="2476">
        <v>1320</v>
      </c>
      <c r="N7" s="2431">
        <v>2000</v>
      </c>
      <c r="O7" s="2471" t="s">
        <v>1017</v>
      </c>
      <c r="P7" s="2477">
        <v>1170</v>
      </c>
      <c r="Q7" s="2431">
        <v>1850</v>
      </c>
      <c r="R7" s="2471" t="s">
        <v>1017</v>
      </c>
      <c r="S7" s="1972" t="s">
        <v>255</v>
      </c>
      <c r="T7" s="2487">
        <v>138230</v>
      </c>
      <c r="U7" s="2471">
        <v>69110</v>
      </c>
      <c r="V7" s="2481">
        <v>1380</v>
      </c>
      <c r="W7" s="2431">
        <v>690</v>
      </c>
      <c r="X7" s="2471" t="s">
        <v>1017</v>
      </c>
      <c r="Y7" s="2058" t="s">
        <v>255</v>
      </c>
      <c r="Z7" s="1144"/>
      <c r="AA7" s="1354"/>
      <c r="AB7" s="1355"/>
      <c r="AC7" s="2604" t="s">
        <v>255</v>
      </c>
      <c r="AD7" s="1356"/>
      <c r="AE7" s="1152"/>
      <c r="AF7" s="2060" t="s">
        <v>1018</v>
      </c>
      <c r="AG7" s="1151"/>
      <c r="AH7" s="1972" t="s">
        <v>255</v>
      </c>
      <c r="AI7" s="2018">
        <v>21090</v>
      </c>
      <c r="AJ7" s="1972" t="s">
        <v>255</v>
      </c>
      <c r="AK7" s="1973">
        <v>150</v>
      </c>
      <c r="AL7" s="1959" t="s">
        <v>255</v>
      </c>
      <c r="AM7" s="2544">
        <v>5500</v>
      </c>
      <c r="AN7" s="2547">
        <v>6000</v>
      </c>
      <c r="AO7" s="1959" t="s">
        <v>255</v>
      </c>
      <c r="AP7" s="2429" t="s">
        <v>1137</v>
      </c>
      <c r="AQ7" s="2508">
        <v>10600</v>
      </c>
      <c r="AR7" s="2498">
        <v>11800</v>
      </c>
      <c r="AS7" s="2060" t="s">
        <v>78</v>
      </c>
      <c r="AT7" s="1969">
        <v>820</v>
      </c>
      <c r="AU7" s="2060" t="s">
        <v>78</v>
      </c>
      <c r="AV7" s="2579" t="s">
        <v>460</v>
      </c>
      <c r="AW7" s="2060" t="s">
        <v>78</v>
      </c>
      <c r="AX7" s="1969">
        <v>15690</v>
      </c>
      <c r="AY7" s="1972" t="s">
        <v>255</v>
      </c>
      <c r="AZ7" s="1973">
        <v>150</v>
      </c>
      <c r="BA7" s="2060" t="s">
        <v>78</v>
      </c>
      <c r="BB7" s="2562" t="s">
        <v>450</v>
      </c>
      <c r="BC7" s="2572" t="s">
        <v>450</v>
      </c>
      <c r="BD7" s="2572" t="s">
        <v>450</v>
      </c>
      <c r="BE7" s="2582" t="s">
        <v>450</v>
      </c>
      <c r="BF7" s="2611"/>
      <c r="BG7" s="2612"/>
    </row>
    <row r="8" spans="1:59" s="5" customFormat="1" ht="12" customHeight="1">
      <c r="A8" s="2335"/>
      <c r="B8" s="2435"/>
      <c r="C8" s="2438"/>
      <c r="D8" s="2441"/>
      <c r="E8" s="1123"/>
      <c r="F8" s="2444"/>
      <c r="G8" s="2461"/>
      <c r="H8" s="2444"/>
      <c r="I8" s="2461"/>
      <c r="J8" s="1231"/>
      <c r="K8" s="2577"/>
      <c r="L8" s="1972"/>
      <c r="M8" s="2477"/>
      <c r="N8" s="2432"/>
      <c r="O8" s="2472"/>
      <c r="P8" s="2477"/>
      <c r="Q8" s="2432"/>
      <c r="R8" s="2472"/>
      <c r="S8" s="1972"/>
      <c r="T8" s="2488"/>
      <c r="U8" s="2472"/>
      <c r="V8" s="2482"/>
      <c r="W8" s="2432"/>
      <c r="X8" s="2472"/>
      <c r="Y8" s="2058"/>
      <c r="Z8" s="1144"/>
      <c r="AA8" s="1357"/>
      <c r="AC8" s="1972"/>
      <c r="AD8" s="1358"/>
      <c r="AE8" s="1152"/>
      <c r="AF8" s="2060"/>
      <c r="AG8" s="1166"/>
      <c r="AH8" s="1972"/>
      <c r="AI8" s="2019"/>
      <c r="AJ8" s="1972"/>
      <c r="AK8" s="1974"/>
      <c r="AL8" s="1959"/>
      <c r="AM8" s="2545"/>
      <c r="AN8" s="2548"/>
      <c r="AO8" s="1959"/>
      <c r="AP8" s="2430"/>
      <c r="AQ8" s="2504"/>
      <c r="AR8" s="2499"/>
      <c r="AS8" s="2060"/>
      <c r="AT8" s="1970"/>
      <c r="AU8" s="2060"/>
      <c r="AV8" s="2580"/>
      <c r="AW8" s="2060"/>
      <c r="AX8" s="1970"/>
      <c r="AY8" s="1972"/>
      <c r="AZ8" s="1974"/>
      <c r="BA8" s="2060"/>
      <c r="BB8" s="2563"/>
      <c r="BC8" s="2573"/>
      <c r="BD8" s="2573"/>
      <c r="BE8" s="2583"/>
      <c r="BF8" s="2611"/>
      <c r="BG8" s="2613"/>
    </row>
    <row r="9" spans="1:59" s="5" customFormat="1" ht="12" customHeight="1">
      <c r="A9" s="2335"/>
      <c r="B9" s="2435"/>
      <c r="C9" s="2438"/>
      <c r="D9" s="2441"/>
      <c r="E9" s="1123"/>
      <c r="F9" s="2444"/>
      <c r="G9" s="2461"/>
      <c r="H9" s="2444"/>
      <c r="I9" s="2461"/>
      <c r="J9" s="1231"/>
      <c r="K9" s="2577"/>
      <c r="L9" s="1972"/>
      <c r="M9" s="2477"/>
      <c r="N9" s="2432"/>
      <c r="O9" s="2472"/>
      <c r="P9" s="2477"/>
      <c r="Q9" s="2432"/>
      <c r="R9" s="2472"/>
      <c r="S9" s="1972"/>
      <c r="T9" s="2488"/>
      <c r="U9" s="2472"/>
      <c r="V9" s="2482"/>
      <c r="W9" s="2432"/>
      <c r="X9" s="2472"/>
      <c r="Y9" s="2058"/>
      <c r="Z9" s="1144"/>
      <c r="AA9" s="1357"/>
      <c r="AC9" s="1972"/>
      <c r="AD9" s="1358"/>
      <c r="AE9" s="1152"/>
      <c r="AF9" s="2060"/>
      <c r="AG9" s="1166"/>
      <c r="AH9" s="1972"/>
      <c r="AI9" s="2019"/>
      <c r="AJ9" s="1972"/>
      <c r="AK9" s="1974"/>
      <c r="AL9" s="1959"/>
      <c r="AM9" s="2545"/>
      <c r="AN9" s="2548"/>
      <c r="AO9" s="1959"/>
      <c r="AP9" s="2430" t="s">
        <v>1138</v>
      </c>
      <c r="AQ9" s="2504">
        <v>5800</v>
      </c>
      <c r="AR9" s="2499">
        <v>6500</v>
      </c>
      <c r="AS9" s="2060"/>
      <c r="AT9" s="1970"/>
      <c r="AU9" s="2060"/>
      <c r="AV9" s="2580"/>
      <c r="AW9" s="2060"/>
      <c r="AX9" s="1970"/>
      <c r="AY9" s="1972"/>
      <c r="AZ9" s="1974"/>
      <c r="BA9" s="2060"/>
      <c r="BB9" s="2563"/>
      <c r="BC9" s="2573"/>
      <c r="BD9" s="2573"/>
      <c r="BE9" s="2583"/>
      <c r="BF9" s="2611"/>
      <c r="BG9" s="2613"/>
    </row>
    <row r="10" spans="1:59" s="5" customFormat="1" ht="12" customHeight="1">
      <c r="A10" s="2335"/>
      <c r="B10" s="2435"/>
      <c r="C10" s="2438"/>
      <c r="D10" s="2441"/>
      <c r="E10" s="1123"/>
      <c r="F10" s="2445"/>
      <c r="G10" s="2461"/>
      <c r="H10" s="2445"/>
      <c r="I10" s="2461"/>
      <c r="J10" s="1231"/>
      <c r="K10" s="2577"/>
      <c r="L10" s="1972"/>
      <c r="M10" s="2478"/>
      <c r="N10" s="2433"/>
      <c r="O10" s="2473"/>
      <c r="P10" s="2478"/>
      <c r="Q10" s="2433"/>
      <c r="R10" s="2473"/>
      <c r="S10" s="1972"/>
      <c r="T10" s="2489"/>
      <c r="U10" s="2473"/>
      <c r="V10" s="2483"/>
      <c r="W10" s="2433"/>
      <c r="X10" s="2473"/>
      <c r="Y10" s="2058"/>
      <c r="Z10" s="1144"/>
      <c r="AA10" s="2458" t="s">
        <v>1028</v>
      </c>
      <c r="AB10" s="2496"/>
      <c r="AC10" s="1972"/>
      <c r="AD10" s="1358"/>
      <c r="AE10" s="1152"/>
      <c r="AF10" s="2060"/>
      <c r="AG10" s="1186"/>
      <c r="AH10" s="1972"/>
      <c r="AI10" s="2019"/>
      <c r="AJ10" s="1972"/>
      <c r="AK10" s="1974"/>
      <c r="AL10" s="1959"/>
      <c r="AM10" s="2545"/>
      <c r="AN10" s="2548"/>
      <c r="AO10" s="1959"/>
      <c r="AP10" s="2430"/>
      <c r="AQ10" s="2504"/>
      <c r="AR10" s="2499"/>
      <c r="AS10" s="2060"/>
      <c r="AT10" s="1970"/>
      <c r="AU10" s="2060"/>
      <c r="AV10" s="2580"/>
      <c r="AW10" s="2060"/>
      <c r="AX10" s="1970"/>
      <c r="AY10" s="1972"/>
      <c r="AZ10" s="1974"/>
      <c r="BA10" s="2060"/>
      <c r="BB10" s="2563"/>
      <c r="BC10" s="2573"/>
      <c r="BD10" s="2573"/>
      <c r="BE10" s="2583"/>
      <c r="BF10" s="2611"/>
      <c r="BG10" s="2613"/>
    </row>
    <row r="11" spans="1:59" s="5" customFormat="1" ht="12" customHeight="1">
      <c r="A11" s="2335"/>
      <c r="B11" s="2435"/>
      <c r="C11" s="2438"/>
      <c r="D11" s="2446" t="s">
        <v>133</v>
      </c>
      <c r="E11" s="1123"/>
      <c r="F11" s="2054">
        <v>213520</v>
      </c>
      <c r="G11" s="2484"/>
      <c r="H11" s="2054">
        <v>197900</v>
      </c>
      <c r="I11" s="2484"/>
      <c r="J11" s="1231"/>
      <c r="K11" s="2577"/>
      <c r="L11" s="1972" t="s">
        <v>255</v>
      </c>
      <c r="M11" s="2458">
        <v>2000</v>
      </c>
      <c r="N11" s="2451"/>
      <c r="O11" s="2454" t="s">
        <v>1017</v>
      </c>
      <c r="P11" s="2457">
        <v>1850</v>
      </c>
      <c r="Q11" s="2451"/>
      <c r="R11" s="2454" t="s">
        <v>1017</v>
      </c>
      <c r="S11" s="1972" t="s">
        <v>255</v>
      </c>
      <c r="T11" s="2490">
        <v>69110</v>
      </c>
      <c r="U11" s="2454"/>
      <c r="V11" s="2491">
        <v>690</v>
      </c>
      <c r="W11" s="2451"/>
      <c r="X11" s="2454" t="s">
        <v>1017</v>
      </c>
      <c r="Y11" s="2058"/>
      <c r="Z11" s="1144"/>
      <c r="AA11" s="2458"/>
      <c r="AB11" s="2496"/>
      <c r="AC11" s="1972"/>
      <c r="AD11" s="1358"/>
      <c r="AE11" s="1152"/>
      <c r="AF11" s="2060"/>
      <c r="AG11" s="1186"/>
      <c r="AH11" s="1972"/>
      <c r="AI11" s="2019"/>
      <c r="AJ11" s="1972"/>
      <c r="AK11" s="1974"/>
      <c r="AL11" s="1959"/>
      <c r="AM11" s="2545"/>
      <c r="AN11" s="2548"/>
      <c r="AO11" s="1959"/>
      <c r="AP11" s="2430" t="s">
        <v>1140</v>
      </c>
      <c r="AQ11" s="2504">
        <v>5100</v>
      </c>
      <c r="AR11" s="2499">
        <v>5600</v>
      </c>
      <c r="AS11" s="2060"/>
      <c r="AT11" s="1970"/>
      <c r="AU11" s="2060"/>
      <c r="AV11" s="2501">
        <v>0.12</v>
      </c>
      <c r="AW11" s="2060"/>
      <c r="AX11" s="1970"/>
      <c r="AY11" s="1972"/>
      <c r="AZ11" s="1974"/>
      <c r="BA11" s="2060"/>
      <c r="BB11" s="2509">
        <v>0.02</v>
      </c>
      <c r="BC11" s="2423">
        <v>0.03</v>
      </c>
      <c r="BD11" s="2423">
        <v>0.05</v>
      </c>
      <c r="BE11" s="2584">
        <v>0.06</v>
      </c>
      <c r="BF11" s="2611"/>
      <c r="BG11" s="2614"/>
    </row>
    <row r="12" spans="1:59" s="5" customFormat="1" ht="12" customHeight="1">
      <c r="A12" s="2335"/>
      <c r="B12" s="2435"/>
      <c r="C12" s="2438"/>
      <c r="D12" s="2441"/>
      <c r="E12" s="1123"/>
      <c r="F12" s="2019"/>
      <c r="G12" s="2485"/>
      <c r="H12" s="2019"/>
      <c r="I12" s="2485"/>
      <c r="J12" s="1231"/>
      <c r="K12" s="2577"/>
      <c r="L12" s="1972"/>
      <c r="M12" s="2458"/>
      <c r="N12" s="2452"/>
      <c r="O12" s="2455"/>
      <c r="P12" s="2458"/>
      <c r="Q12" s="2452"/>
      <c r="R12" s="2455"/>
      <c r="S12" s="1972"/>
      <c r="T12" s="2178"/>
      <c r="U12" s="2455"/>
      <c r="V12" s="2492"/>
      <c r="W12" s="2452"/>
      <c r="X12" s="2455"/>
      <c r="Y12" s="2058"/>
      <c r="Z12" s="1144"/>
      <c r="AA12" s="1357"/>
      <c r="AC12" s="1972"/>
      <c r="AD12" s="1358"/>
      <c r="AE12" s="1152"/>
      <c r="AF12" s="2060"/>
      <c r="AG12" s="1166"/>
      <c r="AH12" s="1972"/>
      <c r="AI12" s="2019"/>
      <c r="AJ12" s="1972"/>
      <c r="AK12" s="1974"/>
      <c r="AL12" s="1959"/>
      <c r="AM12" s="2545"/>
      <c r="AN12" s="2548"/>
      <c r="AO12" s="1959"/>
      <c r="AP12" s="2430"/>
      <c r="AQ12" s="2504"/>
      <c r="AR12" s="2499"/>
      <c r="AS12" s="2060"/>
      <c r="AT12" s="1970"/>
      <c r="AU12" s="2060"/>
      <c r="AV12" s="2501"/>
      <c r="AW12" s="2060"/>
      <c r="AX12" s="1970"/>
      <c r="AY12" s="1972"/>
      <c r="AZ12" s="1974"/>
      <c r="BA12" s="2060"/>
      <c r="BB12" s="2509"/>
      <c r="BC12" s="2423"/>
      <c r="BD12" s="2423"/>
      <c r="BE12" s="2584"/>
      <c r="BF12" s="2611"/>
      <c r="BG12" s="2614"/>
    </row>
    <row r="13" spans="1:59" s="5" customFormat="1" ht="12" customHeight="1">
      <c r="A13" s="2335"/>
      <c r="B13" s="2435"/>
      <c r="C13" s="2438"/>
      <c r="D13" s="2441"/>
      <c r="E13" s="1123"/>
      <c r="F13" s="2019"/>
      <c r="G13" s="2485"/>
      <c r="H13" s="2019"/>
      <c r="I13" s="2485"/>
      <c r="J13" s="1231"/>
      <c r="K13" s="2577"/>
      <c r="L13" s="1972"/>
      <c r="M13" s="2458"/>
      <c r="N13" s="2452"/>
      <c r="O13" s="2455"/>
      <c r="P13" s="2458"/>
      <c r="Q13" s="2452"/>
      <c r="R13" s="2455"/>
      <c r="S13" s="1972"/>
      <c r="T13" s="2178"/>
      <c r="U13" s="2455"/>
      <c r="V13" s="2492"/>
      <c r="W13" s="2452"/>
      <c r="X13" s="2455"/>
      <c r="Y13" s="2058"/>
      <c r="Z13" s="1144"/>
      <c r="AA13" s="2019" t="s">
        <v>1029</v>
      </c>
      <c r="AB13" s="2603">
        <v>240600</v>
      </c>
      <c r="AC13" s="1972"/>
      <c r="AD13" s="1974">
        <v>2400</v>
      </c>
      <c r="AE13" s="1152"/>
      <c r="AF13" s="2060"/>
      <c r="AG13" s="1166"/>
      <c r="AH13" s="1972"/>
      <c r="AI13" s="2019"/>
      <c r="AJ13" s="1972"/>
      <c r="AK13" s="1974"/>
      <c r="AL13" s="1959"/>
      <c r="AM13" s="2545"/>
      <c r="AN13" s="2548"/>
      <c r="AO13" s="1959"/>
      <c r="AP13" s="2430" t="s">
        <v>1141</v>
      </c>
      <c r="AQ13" s="2504">
        <v>4500</v>
      </c>
      <c r="AR13" s="2499">
        <v>5000</v>
      </c>
      <c r="AS13" s="2060"/>
      <c r="AT13" s="1970"/>
      <c r="AU13" s="2060"/>
      <c r="AV13" s="2501"/>
      <c r="AW13" s="2060"/>
      <c r="AX13" s="1970"/>
      <c r="AY13" s="1972"/>
      <c r="AZ13" s="1974"/>
      <c r="BA13" s="2060"/>
      <c r="BB13" s="2509"/>
      <c r="BC13" s="2423"/>
      <c r="BD13" s="2423"/>
      <c r="BE13" s="2584"/>
      <c r="BF13" s="2611"/>
      <c r="BG13" s="2614"/>
    </row>
    <row r="14" spans="1:59" s="5" customFormat="1" ht="12" customHeight="1">
      <c r="A14" s="2335"/>
      <c r="B14" s="2435"/>
      <c r="C14" s="2438"/>
      <c r="D14" s="2441"/>
      <c r="E14" s="1123"/>
      <c r="F14" s="2055"/>
      <c r="G14" s="2486"/>
      <c r="H14" s="2055"/>
      <c r="I14" s="2486"/>
      <c r="J14" s="1231"/>
      <c r="K14" s="2577"/>
      <c r="L14" s="1972"/>
      <c r="M14" s="2459"/>
      <c r="N14" s="2453"/>
      <c r="O14" s="2456"/>
      <c r="P14" s="2459"/>
      <c r="Q14" s="2453"/>
      <c r="R14" s="2456"/>
      <c r="S14" s="1972"/>
      <c r="T14" s="2175"/>
      <c r="U14" s="2456"/>
      <c r="V14" s="2493"/>
      <c r="W14" s="2453"/>
      <c r="X14" s="2456"/>
      <c r="Y14" s="2058"/>
      <c r="Z14" s="1144"/>
      <c r="AA14" s="2019"/>
      <c r="AB14" s="2603"/>
      <c r="AC14" s="1972"/>
      <c r="AD14" s="1974"/>
      <c r="AE14" s="1152"/>
      <c r="AF14" s="2060"/>
      <c r="AG14" s="1186"/>
      <c r="AH14" s="1972"/>
      <c r="AI14" s="2055"/>
      <c r="AJ14" s="1972"/>
      <c r="AK14" s="1975"/>
      <c r="AL14" s="1959"/>
      <c r="AM14" s="2546"/>
      <c r="AN14" s="2549"/>
      <c r="AO14" s="1959"/>
      <c r="AP14" s="2503"/>
      <c r="AQ14" s="2505"/>
      <c r="AR14" s="2500"/>
      <c r="AS14" s="2060"/>
      <c r="AT14" s="1971"/>
      <c r="AU14" s="2060"/>
      <c r="AV14" s="2502"/>
      <c r="AW14" s="2060"/>
      <c r="AX14" s="1971"/>
      <c r="AY14" s="1972"/>
      <c r="AZ14" s="1974"/>
      <c r="BA14" s="2060"/>
      <c r="BB14" s="2510"/>
      <c r="BC14" s="2424"/>
      <c r="BD14" s="2424"/>
      <c r="BE14" s="2585"/>
      <c r="BF14" s="2611"/>
      <c r="BG14" s="2615"/>
    </row>
    <row r="15" spans="1:59" s="5" customFormat="1" ht="12" customHeight="1">
      <c r="A15" s="2335"/>
      <c r="B15" s="2448" t="s">
        <v>1157</v>
      </c>
      <c r="C15" s="2437" t="s">
        <v>1021</v>
      </c>
      <c r="D15" s="2440" t="s">
        <v>1136</v>
      </c>
      <c r="E15" s="1123"/>
      <c r="F15" s="2443">
        <v>129060</v>
      </c>
      <c r="G15" s="2460">
        <v>197890</v>
      </c>
      <c r="H15" s="2443">
        <v>117350</v>
      </c>
      <c r="I15" s="2460">
        <v>186180</v>
      </c>
      <c r="J15" s="1231"/>
      <c r="K15" s="2577"/>
      <c r="L15" s="1972" t="s">
        <v>255</v>
      </c>
      <c r="M15" s="2476">
        <v>1170</v>
      </c>
      <c r="N15" s="2431">
        <v>1850</v>
      </c>
      <c r="O15" s="2471" t="s">
        <v>1017</v>
      </c>
      <c r="P15" s="2477">
        <v>1050</v>
      </c>
      <c r="Q15" s="2431">
        <v>1730</v>
      </c>
      <c r="R15" s="2471" t="s">
        <v>1017</v>
      </c>
      <c r="S15" s="1972" t="s">
        <v>255</v>
      </c>
      <c r="T15" s="2487">
        <v>138230</v>
      </c>
      <c r="U15" s="2471">
        <v>69110</v>
      </c>
      <c r="V15" s="2481">
        <v>1380</v>
      </c>
      <c r="W15" s="2431">
        <v>690</v>
      </c>
      <c r="X15" s="2471" t="s">
        <v>1017</v>
      </c>
      <c r="Y15" s="2058"/>
      <c r="Z15" s="1144"/>
      <c r="AA15" s="2019" t="s">
        <v>1139</v>
      </c>
      <c r="AB15" s="2603">
        <v>257500</v>
      </c>
      <c r="AC15" s="1972"/>
      <c r="AD15" s="1974">
        <v>2570</v>
      </c>
      <c r="AE15" s="1152"/>
      <c r="AF15" s="2060"/>
      <c r="AG15" s="1186"/>
      <c r="AH15" s="1972" t="s">
        <v>255</v>
      </c>
      <c r="AI15" s="2018">
        <v>17140</v>
      </c>
      <c r="AJ15" s="1972" t="s">
        <v>255</v>
      </c>
      <c r="AK15" s="1973">
        <v>110</v>
      </c>
      <c r="AL15" s="1959" t="s">
        <v>255</v>
      </c>
      <c r="AM15" s="2544">
        <v>4800</v>
      </c>
      <c r="AN15" s="2547">
        <v>5300</v>
      </c>
      <c r="AO15" s="1959" t="s">
        <v>255</v>
      </c>
      <c r="AP15" s="2429" t="s">
        <v>1137</v>
      </c>
      <c r="AQ15" s="2508">
        <v>9400</v>
      </c>
      <c r="AR15" s="2498">
        <v>10500</v>
      </c>
      <c r="AS15" s="2060" t="s">
        <v>78</v>
      </c>
      <c r="AT15" s="1969">
        <v>610</v>
      </c>
      <c r="AU15" s="2060" t="s">
        <v>78</v>
      </c>
      <c r="AV15" s="2579" t="s">
        <v>460</v>
      </c>
      <c r="AW15" s="2060" t="s">
        <v>78</v>
      </c>
      <c r="AX15" s="1969">
        <v>11770</v>
      </c>
      <c r="AY15" s="1972" t="s">
        <v>255</v>
      </c>
      <c r="AZ15" s="1973">
        <v>110</v>
      </c>
      <c r="BA15" s="2060" t="s">
        <v>78</v>
      </c>
      <c r="BB15" s="2562" t="s">
        <v>450</v>
      </c>
      <c r="BC15" s="2572" t="s">
        <v>450</v>
      </c>
      <c r="BD15" s="2572" t="s">
        <v>450</v>
      </c>
      <c r="BE15" s="2582" t="s">
        <v>450</v>
      </c>
      <c r="BF15" s="2611"/>
      <c r="BG15" s="2612"/>
    </row>
    <row r="16" spans="1:59" s="5" customFormat="1" ht="12" customHeight="1">
      <c r="A16" s="2335"/>
      <c r="B16" s="2449"/>
      <c r="C16" s="2438"/>
      <c r="D16" s="2441"/>
      <c r="E16" s="1123"/>
      <c r="F16" s="2444"/>
      <c r="G16" s="2461"/>
      <c r="H16" s="2444"/>
      <c r="I16" s="2461"/>
      <c r="J16" s="1231"/>
      <c r="K16" s="2577"/>
      <c r="L16" s="1972"/>
      <c r="M16" s="2477"/>
      <c r="N16" s="2432"/>
      <c r="O16" s="2472"/>
      <c r="P16" s="2477"/>
      <c r="Q16" s="2432"/>
      <c r="R16" s="2472"/>
      <c r="S16" s="1972"/>
      <c r="T16" s="2488"/>
      <c r="U16" s="2472"/>
      <c r="V16" s="2482"/>
      <c r="W16" s="2432"/>
      <c r="X16" s="2472"/>
      <c r="Y16" s="2058"/>
      <c r="Z16" s="32"/>
      <c r="AA16" s="2019"/>
      <c r="AB16" s="2603"/>
      <c r="AC16" s="1972"/>
      <c r="AD16" s="1974"/>
      <c r="AE16" s="1152"/>
      <c r="AF16" s="2060"/>
      <c r="AG16" s="1166"/>
      <c r="AH16" s="1972"/>
      <c r="AI16" s="2019"/>
      <c r="AJ16" s="1972"/>
      <c r="AK16" s="1974"/>
      <c r="AL16" s="1959"/>
      <c r="AM16" s="2545"/>
      <c r="AN16" s="2548"/>
      <c r="AO16" s="1959"/>
      <c r="AP16" s="2430"/>
      <c r="AQ16" s="2504"/>
      <c r="AR16" s="2499"/>
      <c r="AS16" s="2060"/>
      <c r="AT16" s="1970"/>
      <c r="AU16" s="2060"/>
      <c r="AV16" s="2580"/>
      <c r="AW16" s="2060"/>
      <c r="AX16" s="1970"/>
      <c r="AY16" s="1972"/>
      <c r="AZ16" s="1974"/>
      <c r="BA16" s="2060"/>
      <c r="BB16" s="2563"/>
      <c r="BC16" s="2573"/>
      <c r="BD16" s="2573"/>
      <c r="BE16" s="2583"/>
      <c r="BF16" s="2611"/>
      <c r="BG16" s="2613"/>
    </row>
    <row r="17" spans="1:59" s="29" customFormat="1" ht="10.5">
      <c r="A17" s="2335"/>
      <c r="B17" s="2449"/>
      <c r="C17" s="2438"/>
      <c r="D17" s="2441"/>
      <c r="E17" s="1123"/>
      <c r="F17" s="2444"/>
      <c r="G17" s="2461"/>
      <c r="H17" s="2444"/>
      <c r="I17" s="2461"/>
      <c r="J17" s="1231"/>
      <c r="K17" s="2577"/>
      <c r="L17" s="1972"/>
      <c r="M17" s="2477"/>
      <c r="N17" s="2432"/>
      <c r="O17" s="2472"/>
      <c r="P17" s="2477"/>
      <c r="Q17" s="2432"/>
      <c r="R17" s="2472"/>
      <c r="S17" s="1972"/>
      <c r="T17" s="2488"/>
      <c r="U17" s="2472"/>
      <c r="V17" s="2482"/>
      <c r="W17" s="2432"/>
      <c r="X17" s="2472"/>
      <c r="Y17" s="2058"/>
      <c r="Z17" s="32"/>
      <c r="AA17" s="2019" t="s">
        <v>1033</v>
      </c>
      <c r="AB17" s="2603">
        <v>291300</v>
      </c>
      <c r="AC17" s="1972"/>
      <c r="AD17" s="1974">
        <v>2910</v>
      </c>
      <c r="AE17" s="1152"/>
      <c r="AF17" s="2060"/>
      <c r="AG17" s="1166"/>
      <c r="AH17" s="1972"/>
      <c r="AI17" s="2019"/>
      <c r="AJ17" s="1972"/>
      <c r="AK17" s="1974"/>
      <c r="AL17" s="1959"/>
      <c r="AM17" s="2545"/>
      <c r="AN17" s="2548"/>
      <c r="AO17" s="1959"/>
      <c r="AP17" s="2430" t="s">
        <v>1138</v>
      </c>
      <c r="AQ17" s="2504">
        <v>5200</v>
      </c>
      <c r="AR17" s="2499">
        <v>5700</v>
      </c>
      <c r="AS17" s="2060"/>
      <c r="AT17" s="1970"/>
      <c r="AU17" s="2060"/>
      <c r="AV17" s="2580"/>
      <c r="AW17" s="2060"/>
      <c r="AX17" s="1970"/>
      <c r="AY17" s="1972"/>
      <c r="AZ17" s="1974"/>
      <c r="BA17" s="2060"/>
      <c r="BB17" s="2563"/>
      <c r="BC17" s="2573"/>
      <c r="BD17" s="2573"/>
      <c r="BE17" s="2583"/>
      <c r="BF17" s="2611"/>
      <c r="BG17" s="2613"/>
    </row>
    <row r="18" spans="1:59">
      <c r="A18" s="2335"/>
      <c r="B18" s="2449"/>
      <c r="C18" s="2438"/>
      <c r="D18" s="2441"/>
      <c r="E18" s="1123"/>
      <c r="F18" s="2445"/>
      <c r="G18" s="2461"/>
      <c r="H18" s="2445"/>
      <c r="I18" s="2461"/>
      <c r="J18" s="1231"/>
      <c r="K18" s="2577"/>
      <c r="L18" s="1972"/>
      <c r="M18" s="2478"/>
      <c r="N18" s="2433"/>
      <c r="O18" s="2473"/>
      <c r="P18" s="2478"/>
      <c r="Q18" s="2433"/>
      <c r="R18" s="2473"/>
      <c r="S18" s="1972"/>
      <c r="T18" s="2489"/>
      <c r="U18" s="2473"/>
      <c r="V18" s="2483"/>
      <c r="W18" s="2433"/>
      <c r="X18" s="2473"/>
      <c r="Y18" s="2058"/>
      <c r="Z18" s="32"/>
      <c r="AA18" s="2019"/>
      <c r="AB18" s="2603"/>
      <c r="AC18" s="1972"/>
      <c r="AD18" s="1974"/>
      <c r="AE18" s="1152"/>
      <c r="AF18" s="2060"/>
      <c r="AG18" s="1166"/>
      <c r="AH18" s="1972"/>
      <c r="AI18" s="2019"/>
      <c r="AJ18" s="1972"/>
      <c r="AK18" s="1974"/>
      <c r="AL18" s="1959"/>
      <c r="AM18" s="2545"/>
      <c r="AN18" s="2548"/>
      <c r="AO18" s="1959"/>
      <c r="AP18" s="2430"/>
      <c r="AQ18" s="2504"/>
      <c r="AR18" s="2499"/>
      <c r="AS18" s="2060"/>
      <c r="AT18" s="1970"/>
      <c r="AU18" s="2060"/>
      <c r="AV18" s="2580"/>
      <c r="AW18" s="2060"/>
      <c r="AX18" s="1970"/>
      <c r="AY18" s="1972"/>
      <c r="AZ18" s="1974"/>
      <c r="BA18" s="2060"/>
      <c r="BB18" s="2563"/>
      <c r="BC18" s="2573"/>
      <c r="BD18" s="2573"/>
      <c r="BE18" s="2583"/>
      <c r="BF18" s="2611"/>
      <c r="BG18" s="2613"/>
    </row>
    <row r="19" spans="1:59" ht="13.5" customHeight="1">
      <c r="A19" s="2335"/>
      <c r="B19" s="2449"/>
      <c r="C19" s="2438"/>
      <c r="D19" s="2446" t="s">
        <v>133</v>
      </c>
      <c r="E19" s="1123"/>
      <c r="F19" s="2054">
        <v>197890</v>
      </c>
      <c r="G19" s="2484"/>
      <c r="H19" s="2054">
        <v>186180</v>
      </c>
      <c r="I19" s="2484"/>
      <c r="J19" s="1231"/>
      <c r="K19" s="2577"/>
      <c r="L19" s="1972" t="s">
        <v>255</v>
      </c>
      <c r="M19" s="2458">
        <v>1850</v>
      </c>
      <c r="N19" s="2451"/>
      <c r="O19" s="2454" t="s">
        <v>1017</v>
      </c>
      <c r="P19" s="2457">
        <v>1730</v>
      </c>
      <c r="Q19" s="2451"/>
      <c r="R19" s="2454" t="s">
        <v>1017</v>
      </c>
      <c r="S19" s="1972" t="s">
        <v>255</v>
      </c>
      <c r="T19" s="2490">
        <v>69110</v>
      </c>
      <c r="U19" s="2454"/>
      <c r="V19" s="2491">
        <v>690</v>
      </c>
      <c r="W19" s="2451"/>
      <c r="X19" s="2454" t="s">
        <v>1017</v>
      </c>
      <c r="Y19" s="2058"/>
      <c r="Z19" s="1144"/>
      <c r="AA19" s="2019" t="s">
        <v>1035</v>
      </c>
      <c r="AB19" s="2603">
        <v>325100</v>
      </c>
      <c r="AC19" s="1972"/>
      <c r="AD19" s="1974">
        <v>3250</v>
      </c>
      <c r="AE19" s="1152"/>
      <c r="AF19" s="2060"/>
      <c r="AG19" s="1166"/>
      <c r="AH19" s="1972"/>
      <c r="AI19" s="2019"/>
      <c r="AJ19" s="1972"/>
      <c r="AK19" s="1974"/>
      <c r="AL19" s="1959"/>
      <c r="AM19" s="2545"/>
      <c r="AN19" s="2548"/>
      <c r="AO19" s="1959"/>
      <c r="AP19" s="2430" t="s">
        <v>1140</v>
      </c>
      <c r="AQ19" s="2504">
        <v>4500</v>
      </c>
      <c r="AR19" s="2499">
        <v>5000</v>
      </c>
      <c r="AS19" s="2060"/>
      <c r="AT19" s="1970"/>
      <c r="AU19" s="2060"/>
      <c r="AV19" s="2501">
        <v>0.11</v>
      </c>
      <c r="AW19" s="2060"/>
      <c r="AX19" s="1970"/>
      <c r="AY19" s="1972"/>
      <c r="AZ19" s="1974"/>
      <c r="BA19" s="2060"/>
      <c r="BB19" s="2509">
        <v>0.02</v>
      </c>
      <c r="BC19" s="2423">
        <v>0.03</v>
      </c>
      <c r="BD19" s="2423">
        <v>0.04</v>
      </c>
      <c r="BE19" s="2584">
        <v>0.06</v>
      </c>
      <c r="BF19" s="2611"/>
      <c r="BG19" s="2614"/>
    </row>
    <row r="20" spans="1:59">
      <c r="A20" s="2335"/>
      <c r="B20" s="2449"/>
      <c r="C20" s="2438"/>
      <c r="D20" s="2441"/>
      <c r="E20" s="1123"/>
      <c r="F20" s="2019"/>
      <c r="G20" s="2485"/>
      <c r="H20" s="2019"/>
      <c r="I20" s="2485"/>
      <c r="J20" s="1231"/>
      <c r="K20" s="2577"/>
      <c r="L20" s="1972"/>
      <c r="M20" s="2458"/>
      <c r="N20" s="2452"/>
      <c r="O20" s="2455"/>
      <c r="P20" s="2458"/>
      <c r="Q20" s="2452"/>
      <c r="R20" s="2455"/>
      <c r="S20" s="1972"/>
      <c r="T20" s="2178"/>
      <c r="U20" s="2455"/>
      <c r="V20" s="2492"/>
      <c r="W20" s="2452"/>
      <c r="X20" s="2455"/>
      <c r="Y20" s="2058"/>
      <c r="Z20" s="1144"/>
      <c r="AA20" s="2019"/>
      <c r="AB20" s="2603"/>
      <c r="AC20" s="1972"/>
      <c r="AD20" s="1974"/>
      <c r="AE20" s="1152"/>
      <c r="AF20" s="2060"/>
      <c r="AG20" s="1166"/>
      <c r="AH20" s="1972"/>
      <c r="AI20" s="2019"/>
      <c r="AJ20" s="1972"/>
      <c r="AK20" s="1974"/>
      <c r="AL20" s="1959"/>
      <c r="AM20" s="2545"/>
      <c r="AN20" s="2548"/>
      <c r="AO20" s="1959"/>
      <c r="AP20" s="2430"/>
      <c r="AQ20" s="2504"/>
      <c r="AR20" s="2499"/>
      <c r="AS20" s="2060"/>
      <c r="AT20" s="1970"/>
      <c r="AU20" s="2060"/>
      <c r="AV20" s="2501"/>
      <c r="AW20" s="2060"/>
      <c r="AX20" s="1970"/>
      <c r="AY20" s="1972"/>
      <c r="AZ20" s="1974"/>
      <c r="BA20" s="2060"/>
      <c r="BB20" s="2509"/>
      <c r="BC20" s="2423"/>
      <c r="BD20" s="2423"/>
      <c r="BE20" s="2584"/>
      <c r="BF20" s="2611"/>
      <c r="BG20" s="2614"/>
    </row>
    <row r="21" spans="1:59">
      <c r="A21" s="2335"/>
      <c r="B21" s="2449"/>
      <c r="C21" s="2438"/>
      <c r="D21" s="2441"/>
      <c r="E21" s="1123"/>
      <c r="F21" s="2019"/>
      <c r="G21" s="2485"/>
      <c r="H21" s="2019"/>
      <c r="I21" s="2485"/>
      <c r="J21" s="1231"/>
      <c r="K21" s="2577"/>
      <c r="L21" s="1972"/>
      <c r="M21" s="2458"/>
      <c r="N21" s="2452"/>
      <c r="O21" s="2455"/>
      <c r="P21" s="2458"/>
      <c r="Q21" s="2452"/>
      <c r="R21" s="2455"/>
      <c r="S21" s="1972"/>
      <c r="T21" s="2178"/>
      <c r="U21" s="2455"/>
      <c r="V21" s="2492"/>
      <c r="W21" s="2452"/>
      <c r="X21" s="2455"/>
      <c r="Y21" s="2058"/>
      <c r="Z21" s="1144"/>
      <c r="AA21" s="2019" t="s">
        <v>1036</v>
      </c>
      <c r="AB21" s="2603">
        <v>359000</v>
      </c>
      <c r="AC21" s="1972"/>
      <c r="AD21" s="1974">
        <v>3590</v>
      </c>
      <c r="AE21" s="1152"/>
      <c r="AF21" s="2060"/>
      <c r="AG21" s="1166"/>
      <c r="AH21" s="1972"/>
      <c r="AI21" s="2019"/>
      <c r="AJ21" s="1972"/>
      <c r="AK21" s="1974"/>
      <c r="AL21" s="1959"/>
      <c r="AM21" s="2545"/>
      <c r="AN21" s="2548"/>
      <c r="AO21" s="1959"/>
      <c r="AP21" s="2430" t="s">
        <v>1141</v>
      </c>
      <c r="AQ21" s="2504">
        <v>4000</v>
      </c>
      <c r="AR21" s="2499">
        <v>4500</v>
      </c>
      <c r="AS21" s="2060"/>
      <c r="AT21" s="1970"/>
      <c r="AU21" s="2060"/>
      <c r="AV21" s="2501"/>
      <c r="AW21" s="2060"/>
      <c r="AX21" s="1970"/>
      <c r="AY21" s="1972"/>
      <c r="AZ21" s="1974"/>
      <c r="BA21" s="2060"/>
      <c r="BB21" s="2509"/>
      <c r="BC21" s="2423"/>
      <c r="BD21" s="2423"/>
      <c r="BE21" s="2584"/>
      <c r="BF21" s="2611"/>
      <c r="BG21" s="2614"/>
    </row>
    <row r="22" spans="1:59">
      <c r="A22" s="2335"/>
      <c r="B22" s="2450"/>
      <c r="C22" s="2439"/>
      <c r="D22" s="2447"/>
      <c r="E22" s="1123"/>
      <c r="F22" s="2055"/>
      <c r="G22" s="2486"/>
      <c r="H22" s="2055"/>
      <c r="I22" s="2486"/>
      <c r="J22" s="1231"/>
      <c r="K22" s="2577"/>
      <c r="L22" s="1972"/>
      <c r="M22" s="2459"/>
      <c r="N22" s="2453"/>
      <c r="O22" s="2456"/>
      <c r="P22" s="2459"/>
      <c r="Q22" s="2453"/>
      <c r="R22" s="2456"/>
      <c r="S22" s="1972"/>
      <c r="T22" s="2175"/>
      <c r="U22" s="2456"/>
      <c r="V22" s="2493"/>
      <c r="W22" s="2453"/>
      <c r="X22" s="2456"/>
      <c r="Y22" s="2058"/>
      <c r="Z22" s="1144"/>
      <c r="AA22" s="2019"/>
      <c r="AB22" s="2603"/>
      <c r="AC22" s="1972"/>
      <c r="AD22" s="1974"/>
      <c r="AE22" s="1152"/>
      <c r="AF22" s="2060"/>
      <c r="AG22" s="1186"/>
      <c r="AH22" s="1972"/>
      <c r="AI22" s="2055"/>
      <c r="AJ22" s="1972"/>
      <c r="AK22" s="1975"/>
      <c r="AL22" s="1959"/>
      <c r="AM22" s="2546"/>
      <c r="AN22" s="2549"/>
      <c r="AO22" s="1959"/>
      <c r="AP22" s="2503"/>
      <c r="AQ22" s="2505"/>
      <c r="AR22" s="2500"/>
      <c r="AS22" s="2060"/>
      <c r="AT22" s="1971"/>
      <c r="AU22" s="2060"/>
      <c r="AV22" s="2502"/>
      <c r="AW22" s="2060"/>
      <c r="AX22" s="1971"/>
      <c r="AY22" s="1972"/>
      <c r="AZ22" s="1974"/>
      <c r="BA22" s="2060"/>
      <c r="BB22" s="2510"/>
      <c r="BC22" s="2424"/>
      <c r="BD22" s="2424"/>
      <c r="BE22" s="2585"/>
      <c r="BF22" s="2611"/>
      <c r="BG22" s="2615"/>
    </row>
    <row r="23" spans="1:59" ht="13.5" customHeight="1">
      <c r="A23" s="2335"/>
      <c r="B23" s="2448" t="s">
        <v>1158</v>
      </c>
      <c r="C23" s="2437" t="s">
        <v>1021</v>
      </c>
      <c r="D23" s="2440" t="s">
        <v>1136</v>
      </c>
      <c r="E23" s="1123"/>
      <c r="F23" s="2443">
        <v>124790</v>
      </c>
      <c r="G23" s="2460">
        <v>193620</v>
      </c>
      <c r="H23" s="2443">
        <v>115420</v>
      </c>
      <c r="I23" s="2460">
        <v>184250</v>
      </c>
      <c r="J23" s="1231"/>
      <c r="K23" s="2577"/>
      <c r="L23" s="1972" t="s">
        <v>255</v>
      </c>
      <c r="M23" s="2476">
        <v>1130</v>
      </c>
      <c r="N23" s="2431">
        <v>1810</v>
      </c>
      <c r="O23" s="2471" t="s">
        <v>1017</v>
      </c>
      <c r="P23" s="2477">
        <v>1040</v>
      </c>
      <c r="Q23" s="2431">
        <v>1720</v>
      </c>
      <c r="R23" s="2471" t="s">
        <v>1017</v>
      </c>
      <c r="S23" s="1972" t="s">
        <v>255</v>
      </c>
      <c r="T23" s="2487">
        <v>138230</v>
      </c>
      <c r="U23" s="2471">
        <v>69110</v>
      </c>
      <c r="V23" s="2481">
        <v>1380</v>
      </c>
      <c r="W23" s="2431">
        <v>690</v>
      </c>
      <c r="X23" s="2471" t="s">
        <v>1017</v>
      </c>
      <c r="Y23" s="2058"/>
      <c r="Z23" s="32"/>
      <c r="AA23" s="2019" t="s">
        <v>1038</v>
      </c>
      <c r="AB23" s="2603">
        <v>392800</v>
      </c>
      <c r="AC23" s="1972"/>
      <c r="AD23" s="1974">
        <v>3920</v>
      </c>
      <c r="AE23" s="1152"/>
      <c r="AF23" s="2060"/>
      <c r="AG23" s="1186"/>
      <c r="AH23" s="1972" t="s">
        <v>255</v>
      </c>
      <c r="AI23" s="2018">
        <v>14770</v>
      </c>
      <c r="AJ23" s="1972" t="s">
        <v>255</v>
      </c>
      <c r="AK23" s="1973">
        <v>90</v>
      </c>
      <c r="AL23" s="1959" t="s">
        <v>255</v>
      </c>
      <c r="AM23" s="2544">
        <v>4300</v>
      </c>
      <c r="AN23" s="2547">
        <v>4800</v>
      </c>
      <c r="AO23" s="1959" t="s">
        <v>255</v>
      </c>
      <c r="AP23" s="2429" t="s">
        <v>1137</v>
      </c>
      <c r="AQ23" s="2508">
        <v>8400</v>
      </c>
      <c r="AR23" s="2498">
        <v>9400</v>
      </c>
      <c r="AS23" s="2060" t="s">
        <v>78</v>
      </c>
      <c r="AT23" s="1969">
        <v>490</v>
      </c>
      <c r="AU23" s="2060" t="s">
        <v>78</v>
      </c>
      <c r="AV23" s="2579" t="s">
        <v>460</v>
      </c>
      <c r="AW23" s="2060" t="s">
        <v>78</v>
      </c>
      <c r="AX23" s="1969">
        <v>9410</v>
      </c>
      <c r="AY23" s="1972" t="s">
        <v>255</v>
      </c>
      <c r="AZ23" s="1973">
        <v>90</v>
      </c>
      <c r="BA23" s="2060" t="s">
        <v>78</v>
      </c>
      <c r="BB23" s="2562" t="s">
        <v>450</v>
      </c>
      <c r="BC23" s="2572" t="s">
        <v>450</v>
      </c>
      <c r="BD23" s="2572" t="s">
        <v>450</v>
      </c>
      <c r="BE23" s="2582" t="s">
        <v>450</v>
      </c>
      <c r="BF23" s="2616"/>
      <c r="BG23" s="2612"/>
    </row>
    <row r="24" spans="1:59">
      <c r="A24" s="2335"/>
      <c r="B24" s="2449"/>
      <c r="C24" s="2438"/>
      <c r="D24" s="2441"/>
      <c r="E24" s="1123"/>
      <c r="F24" s="2444"/>
      <c r="G24" s="2461"/>
      <c r="H24" s="2444"/>
      <c r="I24" s="2461"/>
      <c r="J24" s="1231"/>
      <c r="K24" s="2577"/>
      <c r="L24" s="1972"/>
      <c r="M24" s="2477"/>
      <c r="N24" s="2432"/>
      <c r="O24" s="2472"/>
      <c r="P24" s="2477"/>
      <c r="Q24" s="2432"/>
      <c r="R24" s="2472"/>
      <c r="S24" s="1972"/>
      <c r="T24" s="2488"/>
      <c r="U24" s="2472"/>
      <c r="V24" s="2482"/>
      <c r="W24" s="2432"/>
      <c r="X24" s="2472"/>
      <c r="Y24" s="2058"/>
      <c r="Z24" s="32"/>
      <c r="AA24" s="2019"/>
      <c r="AB24" s="2603"/>
      <c r="AC24" s="1972"/>
      <c r="AD24" s="1974"/>
      <c r="AE24" s="1152"/>
      <c r="AF24" s="2060"/>
      <c r="AG24" s="1166"/>
      <c r="AH24" s="1972"/>
      <c r="AI24" s="2019"/>
      <c r="AJ24" s="1972"/>
      <c r="AK24" s="1974"/>
      <c r="AL24" s="1959"/>
      <c r="AM24" s="2545"/>
      <c r="AN24" s="2548"/>
      <c r="AO24" s="1959"/>
      <c r="AP24" s="2430"/>
      <c r="AQ24" s="2504"/>
      <c r="AR24" s="2499"/>
      <c r="AS24" s="2060"/>
      <c r="AT24" s="1970"/>
      <c r="AU24" s="2060"/>
      <c r="AV24" s="2580"/>
      <c r="AW24" s="2060"/>
      <c r="AX24" s="1970"/>
      <c r="AY24" s="1972"/>
      <c r="AZ24" s="1974"/>
      <c r="BA24" s="2060"/>
      <c r="BB24" s="2563"/>
      <c r="BC24" s="2573"/>
      <c r="BD24" s="2573"/>
      <c r="BE24" s="2583"/>
      <c r="BF24" s="2616"/>
      <c r="BG24" s="2613"/>
    </row>
    <row r="25" spans="1:59">
      <c r="A25" s="2335"/>
      <c r="B25" s="2449"/>
      <c r="C25" s="2438"/>
      <c r="D25" s="2441"/>
      <c r="E25" s="1123"/>
      <c r="F25" s="2444"/>
      <c r="G25" s="2461"/>
      <c r="H25" s="2444"/>
      <c r="I25" s="2461"/>
      <c r="J25" s="1231"/>
      <c r="K25" s="2577"/>
      <c r="L25" s="1972"/>
      <c r="M25" s="2477"/>
      <c r="N25" s="2432"/>
      <c r="O25" s="2472"/>
      <c r="P25" s="2477"/>
      <c r="Q25" s="2432"/>
      <c r="R25" s="2472"/>
      <c r="S25" s="1972"/>
      <c r="T25" s="2488"/>
      <c r="U25" s="2472"/>
      <c r="V25" s="2482"/>
      <c r="W25" s="2432"/>
      <c r="X25" s="2472"/>
      <c r="Y25" s="2058"/>
      <c r="Z25" s="32"/>
      <c r="AA25" s="2019" t="s">
        <v>1040</v>
      </c>
      <c r="AB25" s="2603">
        <v>426600</v>
      </c>
      <c r="AC25" s="1972"/>
      <c r="AD25" s="1974">
        <v>4260</v>
      </c>
      <c r="AE25" s="1152"/>
      <c r="AF25" s="2060"/>
      <c r="AG25" s="1974" t="s">
        <v>1041</v>
      </c>
      <c r="AH25" s="1972"/>
      <c r="AI25" s="2019"/>
      <c r="AJ25" s="1972"/>
      <c r="AK25" s="1974"/>
      <c r="AL25" s="1959"/>
      <c r="AM25" s="2545"/>
      <c r="AN25" s="2548"/>
      <c r="AO25" s="1959"/>
      <c r="AP25" s="2430" t="s">
        <v>1138</v>
      </c>
      <c r="AQ25" s="2504">
        <v>4600</v>
      </c>
      <c r="AR25" s="2499">
        <v>5100</v>
      </c>
      <c r="AS25" s="2060"/>
      <c r="AT25" s="1970"/>
      <c r="AU25" s="2060"/>
      <c r="AV25" s="2580"/>
      <c r="AW25" s="2060"/>
      <c r="AX25" s="1970"/>
      <c r="AY25" s="1972"/>
      <c r="AZ25" s="1974"/>
      <c r="BA25" s="2060"/>
      <c r="BB25" s="2563"/>
      <c r="BC25" s="2573"/>
      <c r="BD25" s="2573"/>
      <c r="BE25" s="2583"/>
      <c r="BF25" s="2616"/>
      <c r="BG25" s="2613"/>
    </row>
    <row r="26" spans="1:59">
      <c r="A26" s="2335"/>
      <c r="B26" s="2449"/>
      <c r="C26" s="2438"/>
      <c r="D26" s="2441"/>
      <c r="E26" s="1123"/>
      <c r="F26" s="2445"/>
      <c r="G26" s="2461"/>
      <c r="H26" s="2445"/>
      <c r="I26" s="2461"/>
      <c r="J26" s="1231"/>
      <c r="K26" s="2577"/>
      <c r="L26" s="1972"/>
      <c r="M26" s="2478"/>
      <c r="N26" s="2433"/>
      <c r="O26" s="2473"/>
      <c r="P26" s="2478"/>
      <c r="Q26" s="2433"/>
      <c r="R26" s="2473"/>
      <c r="S26" s="1972"/>
      <c r="T26" s="2489"/>
      <c r="U26" s="2473"/>
      <c r="V26" s="2483"/>
      <c r="W26" s="2433"/>
      <c r="X26" s="2473"/>
      <c r="Y26" s="2058"/>
      <c r="Z26" s="32"/>
      <c r="AA26" s="2019"/>
      <c r="AB26" s="2603"/>
      <c r="AC26" s="1972"/>
      <c r="AD26" s="1974"/>
      <c r="AE26" s="1152"/>
      <c r="AF26" s="2060"/>
      <c r="AG26" s="1974"/>
      <c r="AH26" s="1972"/>
      <c r="AI26" s="2019"/>
      <c r="AJ26" s="1972"/>
      <c r="AK26" s="1974"/>
      <c r="AL26" s="1959"/>
      <c r="AM26" s="2545"/>
      <c r="AN26" s="2548"/>
      <c r="AO26" s="1959"/>
      <c r="AP26" s="2430"/>
      <c r="AQ26" s="2504"/>
      <c r="AR26" s="2499"/>
      <c r="AS26" s="2060"/>
      <c r="AT26" s="1970"/>
      <c r="AU26" s="2060"/>
      <c r="AV26" s="2580"/>
      <c r="AW26" s="2060"/>
      <c r="AX26" s="1970"/>
      <c r="AY26" s="1972"/>
      <c r="AZ26" s="1974"/>
      <c r="BA26" s="2060"/>
      <c r="BB26" s="2563"/>
      <c r="BC26" s="2573"/>
      <c r="BD26" s="2573"/>
      <c r="BE26" s="2583"/>
      <c r="BF26" s="2616"/>
      <c r="BG26" s="2613"/>
    </row>
    <row r="27" spans="1:59" ht="13.5" customHeight="1">
      <c r="A27" s="2335"/>
      <c r="B27" s="2449"/>
      <c r="C27" s="2438"/>
      <c r="D27" s="2446" t="s">
        <v>133</v>
      </c>
      <c r="E27" s="1123"/>
      <c r="F27" s="2054">
        <v>193620</v>
      </c>
      <c r="G27" s="2484"/>
      <c r="H27" s="2054">
        <v>184250</v>
      </c>
      <c r="I27" s="2484"/>
      <c r="J27" s="1231"/>
      <c r="K27" s="2577"/>
      <c r="L27" s="1972" t="s">
        <v>255</v>
      </c>
      <c r="M27" s="2458">
        <v>1810</v>
      </c>
      <c r="N27" s="2451"/>
      <c r="O27" s="2454" t="s">
        <v>1017</v>
      </c>
      <c r="P27" s="2457">
        <v>1720</v>
      </c>
      <c r="Q27" s="2451"/>
      <c r="R27" s="2454" t="s">
        <v>1017</v>
      </c>
      <c r="S27" s="1972" t="s">
        <v>255</v>
      </c>
      <c r="T27" s="2490">
        <v>69110</v>
      </c>
      <c r="U27" s="2454"/>
      <c r="V27" s="2491">
        <v>690</v>
      </c>
      <c r="W27" s="2451"/>
      <c r="X27" s="2454" t="s">
        <v>1017</v>
      </c>
      <c r="Y27" s="2058"/>
      <c r="Z27" s="1144"/>
      <c r="AA27" s="2019" t="s">
        <v>1044</v>
      </c>
      <c r="AB27" s="2603">
        <v>460500</v>
      </c>
      <c r="AC27" s="1972"/>
      <c r="AD27" s="1974">
        <v>4600</v>
      </c>
      <c r="AE27" s="1152"/>
      <c r="AF27" s="2060"/>
      <c r="AG27" s="2610" t="s">
        <v>1042</v>
      </c>
      <c r="AH27" s="1972"/>
      <c r="AI27" s="2019"/>
      <c r="AJ27" s="1972"/>
      <c r="AK27" s="1974"/>
      <c r="AL27" s="1959"/>
      <c r="AM27" s="2545"/>
      <c r="AN27" s="2548"/>
      <c r="AO27" s="1959"/>
      <c r="AP27" s="2430" t="s">
        <v>1140</v>
      </c>
      <c r="AQ27" s="2504">
        <v>4000</v>
      </c>
      <c r="AR27" s="2499">
        <v>4500</v>
      </c>
      <c r="AS27" s="2060"/>
      <c r="AT27" s="1970"/>
      <c r="AU27" s="2060"/>
      <c r="AV27" s="2501">
        <v>0.15</v>
      </c>
      <c r="AW27" s="2060"/>
      <c r="AX27" s="1970"/>
      <c r="AY27" s="1972"/>
      <c r="AZ27" s="1974"/>
      <c r="BA27" s="2060"/>
      <c r="BB27" s="2509">
        <v>0.02</v>
      </c>
      <c r="BC27" s="2423">
        <v>0.03</v>
      </c>
      <c r="BD27" s="2423">
        <v>0.05</v>
      </c>
      <c r="BE27" s="2584">
        <v>0.06</v>
      </c>
      <c r="BF27" s="2616"/>
      <c r="BG27" s="2614"/>
    </row>
    <row r="28" spans="1:59">
      <c r="A28" s="2335"/>
      <c r="B28" s="2449"/>
      <c r="C28" s="2438"/>
      <c r="D28" s="2441"/>
      <c r="E28" s="1123"/>
      <c r="F28" s="2019"/>
      <c r="G28" s="2485"/>
      <c r="H28" s="2019"/>
      <c r="I28" s="2485"/>
      <c r="J28" s="1231"/>
      <c r="K28" s="2577"/>
      <c r="L28" s="1972"/>
      <c r="M28" s="2458"/>
      <c r="N28" s="2452"/>
      <c r="O28" s="2455"/>
      <c r="P28" s="2458"/>
      <c r="Q28" s="2452"/>
      <c r="R28" s="2455"/>
      <c r="S28" s="1972"/>
      <c r="T28" s="2178"/>
      <c r="U28" s="2455"/>
      <c r="V28" s="2492"/>
      <c r="W28" s="2452"/>
      <c r="X28" s="2455"/>
      <c r="Y28" s="2058"/>
      <c r="Z28" s="1144"/>
      <c r="AA28" s="2019"/>
      <c r="AB28" s="2603"/>
      <c r="AC28" s="1972"/>
      <c r="AD28" s="1974"/>
      <c r="AE28" s="1152"/>
      <c r="AF28" s="2060"/>
      <c r="AG28" s="2610"/>
      <c r="AH28" s="1972"/>
      <c r="AI28" s="2019"/>
      <c r="AJ28" s="1972"/>
      <c r="AK28" s="1974"/>
      <c r="AL28" s="1959"/>
      <c r="AM28" s="2545"/>
      <c r="AN28" s="2548"/>
      <c r="AO28" s="1959"/>
      <c r="AP28" s="2430"/>
      <c r="AQ28" s="2504"/>
      <c r="AR28" s="2499"/>
      <c r="AS28" s="2060"/>
      <c r="AT28" s="1970"/>
      <c r="AU28" s="2060"/>
      <c r="AV28" s="2501"/>
      <c r="AW28" s="2060"/>
      <c r="AX28" s="1970"/>
      <c r="AY28" s="1972"/>
      <c r="AZ28" s="1974"/>
      <c r="BA28" s="2060"/>
      <c r="BB28" s="2509"/>
      <c r="BC28" s="2423"/>
      <c r="BD28" s="2423"/>
      <c r="BE28" s="2584"/>
      <c r="BF28" s="2616"/>
      <c r="BG28" s="2614"/>
    </row>
    <row r="29" spans="1:59">
      <c r="A29" s="2335"/>
      <c r="B29" s="2449"/>
      <c r="C29" s="2438"/>
      <c r="D29" s="2441"/>
      <c r="E29" s="1123"/>
      <c r="F29" s="2019"/>
      <c r="G29" s="2485"/>
      <c r="H29" s="2019"/>
      <c r="I29" s="2485"/>
      <c r="J29" s="1231"/>
      <c r="K29" s="2577"/>
      <c r="L29" s="1972"/>
      <c r="M29" s="2458"/>
      <c r="N29" s="2452"/>
      <c r="O29" s="2455"/>
      <c r="P29" s="2458"/>
      <c r="Q29" s="2452"/>
      <c r="R29" s="2455"/>
      <c r="S29" s="1972"/>
      <c r="T29" s="2178"/>
      <c r="U29" s="2455"/>
      <c r="V29" s="2492"/>
      <c r="W29" s="2452"/>
      <c r="X29" s="2455"/>
      <c r="Y29" s="2058"/>
      <c r="Z29" s="1144"/>
      <c r="AA29" s="2019" t="s">
        <v>1045</v>
      </c>
      <c r="AB29" s="2603">
        <v>494300</v>
      </c>
      <c r="AC29" s="1972"/>
      <c r="AD29" s="1974">
        <v>4940</v>
      </c>
      <c r="AE29" s="1152"/>
      <c r="AF29" s="2060"/>
      <c r="AG29" s="1166"/>
      <c r="AH29" s="1972"/>
      <c r="AI29" s="2019"/>
      <c r="AJ29" s="1972"/>
      <c r="AK29" s="1974"/>
      <c r="AL29" s="1959"/>
      <c r="AM29" s="2545"/>
      <c r="AN29" s="2548"/>
      <c r="AO29" s="1959"/>
      <c r="AP29" s="2430" t="s">
        <v>1141</v>
      </c>
      <c r="AQ29" s="2504">
        <v>3600</v>
      </c>
      <c r="AR29" s="2499">
        <v>4000</v>
      </c>
      <c r="AS29" s="2060"/>
      <c r="AT29" s="1970"/>
      <c r="AU29" s="2060"/>
      <c r="AV29" s="2501"/>
      <c r="AW29" s="2060"/>
      <c r="AX29" s="1970"/>
      <c r="AY29" s="1972"/>
      <c r="AZ29" s="1974"/>
      <c r="BA29" s="2060"/>
      <c r="BB29" s="2509"/>
      <c r="BC29" s="2423"/>
      <c r="BD29" s="2423"/>
      <c r="BE29" s="2584"/>
      <c r="BF29" s="2616"/>
      <c r="BG29" s="2614"/>
    </row>
    <row r="30" spans="1:59">
      <c r="A30" s="2335"/>
      <c r="B30" s="2450"/>
      <c r="C30" s="2439"/>
      <c r="D30" s="2447"/>
      <c r="E30" s="1123"/>
      <c r="F30" s="2055"/>
      <c r="G30" s="2486"/>
      <c r="H30" s="2055"/>
      <c r="I30" s="2486"/>
      <c r="J30" s="1231"/>
      <c r="K30" s="2577"/>
      <c r="L30" s="1972"/>
      <c r="M30" s="2459"/>
      <c r="N30" s="2453"/>
      <c r="O30" s="2456"/>
      <c r="P30" s="2459"/>
      <c r="Q30" s="2453"/>
      <c r="R30" s="2456"/>
      <c r="S30" s="1972"/>
      <c r="T30" s="2175"/>
      <c r="U30" s="2456"/>
      <c r="V30" s="2493"/>
      <c r="W30" s="2453"/>
      <c r="X30" s="2456"/>
      <c r="Y30" s="2058"/>
      <c r="Z30" s="1144"/>
      <c r="AA30" s="2019"/>
      <c r="AB30" s="2603"/>
      <c r="AC30" s="1972"/>
      <c r="AD30" s="1974"/>
      <c r="AE30" s="1152"/>
      <c r="AF30" s="2060"/>
      <c r="AG30" s="1186"/>
      <c r="AH30" s="1972"/>
      <c r="AI30" s="2055"/>
      <c r="AJ30" s="1972"/>
      <c r="AK30" s="1975"/>
      <c r="AL30" s="1959"/>
      <c r="AM30" s="2546"/>
      <c r="AN30" s="2549"/>
      <c r="AO30" s="1959"/>
      <c r="AP30" s="2503"/>
      <c r="AQ30" s="2505"/>
      <c r="AR30" s="2500"/>
      <c r="AS30" s="2060"/>
      <c r="AT30" s="1971"/>
      <c r="AU30" s="2060"/>
      <c r="AV30" s="2502"/>
      <c r="AW30" s="2060"/>
      <c r="AX30" s="1971"/>
      <c r="AY30" s="1972"/>
      <c r="AZ30" s="1974"/>
      <c r="BA30" s="2060"/>
      <c r="BB30" s="2510"/>
      <c r="BC30" s="2424"/>
      <c r="BD30" s="2424"/>
      <c r="BE30" s="2585"/>
      <c r="BF30" s="2616"/>
      <c r="BG30" s="2615"/>
    </row>
    <row r="31" spans="1:59" ht="13.5" customHeight="1">
      <c r="A31" s="2335"/>
      <c r="B31" s="2448" t="s">
        <v>1159</v>
      </c>
      <c r="C31" s="2437" t="s">
        <v>1021</v>
      </c>
      <c r="D31" s="2440" t="s">
        <v>1136</v>
      </c>
      <c r="E31" s="1123"/>
      <c r="F31" s="2443">
        <v>117180</v>
      </c>
      <c r="G31" s="2460">
        <v>186010</v>
      </c>
      <c r="H31" s="2443">
        <v>109370</v>
      </c>
      <c r="I31" s="2460">
        <v>178200</v>
      </c>
      <c r="J31" s="1231"/>
      <c r="K31" s="2577"/>
      <c r="L31" s="1972" t="s">
        <v>255</v>
      </c>
      <c r="M31" s="2476">
        <v>1050</v>
      </c>
      <c r="N31" s="2431">
        <v>1730</v>
      </c>
      <c r="O31" s="2471" t="s">
        <v>1017</v>
      </c>
      <c r="P31" s="2477">
        <v>980</v>
      </c>
      <c r="Q31" s="2431">
        <v>1660</v>
      </c>
      <c r="R31" s="2471" t="s">
        <v>1017</v>
      </c>
      <c r="S31" s="1972" t="s">
        <v>255</v>
      </c>
      <c r="T31" s="2487">
        <v>138230</v>
      </c>
      <c r="U31" s="2471">
        <v>69110</v>
      </c>
      <c r="V31" s="2481">
        <v>1380</v>
      </c>
      <c r="W31" s="2431">
        <v>690</v>
      </c>
      <c r="X31" s="2471" t="s">
        <v>1017</v>
      </c>
      <c r="Y31" s="2058"/>
      <c r="Z31" s="32"/>
      <c r="AA31" s="2019" t="s">
        <v>1047</v>
      </c>
      <c r="AB31" s="2603">
        <v>528100</v>
      </c>
      <c r="AC31" s="1972"/>
      <c r="AD31" s="1974">
        <v>5280</v>
      </c>
      <c r="AE31" s="1152"/>
      <c r="AF31" s="2060"/>
      <c r="AG31" s="1186"/>
      <c r="AH31" s="1972" t="s">
        <v>255</v>
      </c>
      <c r="AI31" s="2018">
        <v>13190</v>
      </c>
      <c r="AJ31" s="1972" t="s">
        <v>255</v>
      </c>
      <c r="AK31" s="1973">
        <v>70</v>
      </c>
      <c r="AL31" s="1959" t="s">
        <v>255</v>
      </c>
      <c r="AM31" s="2544">
        <v>3600</v>
      </c>
      <c r="AN31" s="2547">
        <v>4000</v>
      </c>
      <c r="AO31" s="1959" t="s">
        <v>255</v>
      </c>
      <c r="AP31" s="2429" t="s">
        <v>1137</v>
      </c>
      <c r="AQ31" s="2508">
        <v>7100</v>
      </c>
      <c r="AR31" s="2498">
        <v>7900</v>
      </c>
      <c r="AS31" s="2060" t="s">
        <v>78</v>
      </c>
      <c r="AT31" s="1969">
        <v>410</v>
      </c>
      <c r="AU31" s="2060" t="s">
        <v>78</v>
      </c>
      <c r="AV31" s="2579" t="s">
        <v>460</v>
      </c>
      <c r="AW31" s="2060" t="s">
        <v>78</v>
      </c>
      <c r="AX31" s="1969">
        <v>7840</v>
      </c>
      <c r="AY31" s="1972" t="s">
        <v>255</v>
      </c>
      <c r="AZ31" s="1973">
        <v>70</v>
      </c>
      <c r="BA31" s="2060" t="s">
        <v>78</v>
      </c>
      <c r="BB31" s="2562" t="s">
        <v>450</v>
      </c>
      <c r="BC31" s="2572" t="s">
        <v>450</v>
      </c>
      <c r="BD31" s="2572" t="s">
        <v>450</v>
      </c>
      <c r="BE31" s="2582" t="s">
        <v>450</v>
      </c>
      <c r="BF31" s="2611"/>
      <c r="BG31" s="2612"/>
    </row>
    <row r="32" spans="1:59">
      <c r="A32" s="2335"/>
      <c r="B32" s="2449"/>
      <c r="C32" s="2438"/>
      <c r="D32" s="2441"/>
      <c r="E32" s="1123"/>
      <c r="F32" s="2444"/>
      <c r="G32" s="2461"/>
      <c r="H32" s="2444"/>
      <c r="I32" s="2461"/>
      <c r="J32" s="1231"/>
      <c r="K32" s="2577"/>
      <c r="L32" s="1972"/>
      <c r="M32" s="2477"/>
      <c r="N32" s="2432"/>
      <c r="O32" s="2472"/>
      <c r="P32" s="2477"/>
      <c r="Q32" s="2432"/>
      <c r="R32" s="2472"/>
      <c r="S32" s="1972"/>
      <c r="T32" s="2488"/>
      <c r="U32" s="2472"/>
      <c r="V32" s="2482"/>
      <c r="W32" s="2432"/>
      <c r="X32" s="2472"/>
      <c r="Y32" s="2058"/>
      <c r="Z32" s="32"/>
      <c r="AA32" s="2019"/>
      <c r="AB32" s="2603"/>
      <c r="AC32" s="1972"/>
      <c r="AD32" s="1974"/>
      <c r="AE32" s="1152"/>
      <c r="AF32" s="2060"/>
      <c r="AG32" s="1166"/>
      <c r="AH32" s="1972"/>
      <c r="AI32" s="2019"/>
      <c r="AJ32" s="1972"/>
      <c r="AK32" s="1974"/>
      <c r="AL32" s="1959"/>
      <c r="AM32" s="2545"/>
      <c r="AN32" s="2548"/>
      <c r="AO32" s="1959"/>
      <c r="AP32" s="2430"/>
      <c r="AQ32" s="2504"/>
      <c r="AR32" s="2499"/>
      <c r="AS32" s="2060"/>
      <c r="AT32" s="1970"/>
      <c r="AU32" s="2060"/>
      <c r="AV32" s="2580"/>
      <c r="AW32" s="2060"/>
      <c r="AX32" s="1970"/>
      <c r="AY32" s="1972"/>
      <c r="AZ32" s="1974"/>
      <c r="BA32" s="2060"/>
      <c r="BB32" s="2563"/>
      <c r="BC32" s="2573"/>
      <c r="BD32" s="2573"/>
      <c r="BE32" s="2583"/>
      <c r="BF32" s="2611"/>
      <c r="BG32" s="2613"/>
    </row>
    <row r="33" spans="1:59">
      <c r="A33" s="2335"/>
      <c r="B33" s="2449"/>
      <c r="C33" s="2438"/>
      <c r="D33" s="2441"/>
      <c r="E33" s="1123"/>
      <c r="F33" s="2444"/>
      <c r="G33" s="2461"/>
      <c r="H33" s="2444"/>
      <c r="I33" s="2461"/>
      <c r="J33" s="1231"/>
      <c r="K33" s="2577"/>
      <c r="L33" s="1972"/>
      <c r="M33" s="2477"/>
      <c r="N33" s="2432"/>
      <c r="O33" s="2472"/>
      <c r="P33" s="2477"/>
      <c r="Q33" s="2432"/>
      <c r="R33" s="2472"/>
      <c r="S33" s="1972"/>
      <c r="T33" s="2488"/>
      <c r="U33" s="2472"/>
      <c r="V33" s="2482"/>
      <c r="W33" s="2432"/>
      <c r="X33" s="2472"/>
      <c r="Y33" s="2058"/>
      <c r="Z33" s="32"/>
      <c r="AA33" s="2019" t="s">
        <v>1160</v>
      </c>
      <c r="AB33" s="2603">
        <v>562000</v>
      </c>
      <c r="AC33" s="1972"/>
      <c r="AD33" s="1974">
        <v>5620</v>
      </c>
      <c r="AE33" s="1152"/>
      <c r="AF33" s="2060"/>
      <c r="AG33" s="1166"/>
      <c r="AH33" s="1972"/>
      <c r="AI33" s="2019"/>
      <c r="AJ33" s="1972"/>
      <c r="AK33" s="1974"/>
      <c r="AL33" s="1959"/>
      <c r="AM33" s="2545"/>
      <c r="AN33" s="2548"/>
      <c r="AO33" s="1959"/>
      <c r="AP33" s="2430" t="s">
        <v>1138</v>
      </c>
      <c r="AQ33" s="2504">
        <v>3900</v>
      </c>
      <c r="AR33" s="2499">
        <v>4300</v>
      </c>
      <c r="AS33" s="2060"/>
      <c r="AT33" s="1970"/>
      <c r="AU33" s="2060"/>
      <c r="AV33" s="2580"/>
      <c r="AW33" s="2060"/>
      <c r="AX33" s="1970"/>
      <c r="AY33" s="1972"/>
      <c r="AZ33" s="1974"/>
      <c r="BA33" s="2060"/>
      <c r="BB33" s="2563"/>
      <c r="BC33" s="2573"/>
      <c r="BD33" s="2573"/>
      <c r="BE33" s="2583"/>
      <c r="BF33" s="2611"/>
      <c r="BG33" s="2613"/>
    </row>
    <row r="34" spans="1:59">
      <c r="A34" s="2335"/>
      <c r="B34" s="2449"/>
      <c r="C34" s="2438"/>
      <c r="D34" s="2441"/>
      <c r="E34" s="1123"/>
      <c r="F34" s="2445"/>
      <c r="G34" s="2461"/>
      <c r="H34" s="2445"/>
      <c r="I34" s="2461"/>
      <c r="J34" s="1231"/>
      <c r="K34" s="2577"/>
      <c r="L34" s="1972"/>
      <c r="M34" s="2478"/>
      <c r="N34" s="2433"/>
      <c r="O34" s="2473"/>
      <c r="P34" s="2478"/>
      <c r="Q34" s="2433"/>
      <c r="R34" s="2473"/>
      <c r="S34" s="1972"/>
      <c r="T34" s="2489"/>
      <c r="U34" s="2473"/>
      <c r="V34" s="2483"/>
      <c r="W34" s="2433"/>
      <c r="X34" s="2473"/>
      <c r="Y34" s="2058"/>
      <c r="Z34" s="32"/>
      <c r="AA34" s="2019"/>
      <c r="AB34" s="2603"/>
      <c r="AC34" s="1972"/>
      <c r="AD34" s="1974"/>
      <c r="AE34" s="1152"/>
      <c r="AF34" s="2060"/>
      <c r="AG34" s="1166"/>
      <c r="AH34" s="1972"/>
      <c r="AI34" s="2019"/>
      <c r="AJ34" s="1972"/>
      <c r="AK34" s="1974"/>
      <c r="AL34" s="1959"/>
      <c r="AM34" s="2545"/>
      <c r="AN34" s="2548"/>
      <c r="AO34" s="1959"/>
      <c r="AP34" s="2430"/>
      <c r="AQ34" s="2504"/>
      <c r="AR34" s="2499"/>
      <c r="AS34" s="2060"/>
      <c r="AT34" s="1970"/>
      <c r="AU34" s="2060"/>
      <c r="AV34" s="2580"/>
      <c r="AW34" s="2060"/>
      <c r="AX34" s="1970"/>
      <c r="AY34" s="1972"/>
      <c r="AZ34" s="1974"/>
      <c r="BA34" s="2060"/>
      <c r="BB34" s="2563"/>
      <c r="BC34" s="2573"/>
      <c r="BD34" s="2573"/>
      <c r="BE34" s="2583"/>
      <c r="BF34" s="2611"/>
      <c r="BG34" s="2613"/>
    </row>
    <row r="35" spans="1:59" ht="13.5" customHeight="1">
      <c r="A35" s="2335"/>
      <c r="B35" s="2449"/>
      <c r="C35" s="2438"/>
      <c r="D35" s="2446" t="s">
        <v>133</v>
      </c>
      <c r="E35" s="1123"/>
      <c r="F35" s="2054">
        <v>186010</v>
      </c>
      <c r="G35" s="2484"/>
      <c r="H35" s="2054">
        <v>178200</v>
      </c>
      <c r="I35" s="2484"/>
      <c r="J35" s="1231"/>
      <c r="K35" s="2577"/>
      <c r="L35" s="1972" t="s">
        <v>255</v>
      </c>
      <c r="M35" s="2458">
        <v>1730</v>
      </c>
      <c r="N35" s="2451"/>
      <c r="O35" s="2454" t="s">
        <v>1017</v>
      </c>
      <c r="P35" s="2457">
        <v>1660</v>
      </c>
      <c r="Q35" s="2451"/>
      <c r="R35" s="2454" t="s">
        <v>1017</v>
      </c>
      <c r="S35" s="1972" t="s">
        <v>255</v>
      </c>
      <c r="T35" s="2490">
        <v>69110</v>
      </c>
      <c r="U35" s="2454"/>
      <c r="V35" s="2491">
        <v>690</v>
      </c>
      <c r="W35" s="2451"/>
      <c r="X35" s="2454" t="s">
        <v>1017</v>
      </c>
      <c r="Y35" s="2058"/>
      <c r="Z35" s="1144"/>
      <c r="AA35" s="2019" t="s">
        <v>1051</v>
      </c>
      <c r="AB35" s="2603">
        <v>595800</v>
      </c>
      <c r="AC35" s="1972"/>
      <c r="AD35" s="1974">
        <v>5950</v>
      </c>
      <c r="AE35" s="1152"/>
      <c r="AF35" s="2060"/>
      <c r="AG35" s="1166"/>
      <c r="AH35" s="1972"/>
      <c r="AI35" s="2019"/>
      <c r="AJ35" s="1972"/>
      <c r="AK35" s="1974"/>
      <c r="AL35" s="1959"/>
      <c r="AM35" s="2545"/>
      <c r="AN35" s="2548"/>
      <c r="AO35" s="1959"/>
      <c r="AP35" s="2430" t="s">
        <v>1140</v>
      </c>
      <c r="AQ35" s="2504">
        <v>3400</v>
      </c>
      <c r="AR35" s="2499">
        <v>3800</v>
      </c>
      <c r="AS35" s="2060"/>
      <c r="AT35" s="1970"/>
      <c r="AU35" s="2060"/>
      <c r="AV35" s="2501">
        <v>0.14000000000000001</v>
      </c>
      <c r="AW35" s="2060"/>
      <c r="AX35" s="1970"/>
      <c r="AY35" s="1972"/>
      <c r="AZ35" s="1974"/>
      <c r="BA35" s="2060"/>
      <c r="BB35" s="2509">
        <v>0.02</v>
      </c>
      <c r="BC35" s="2423">
        <v>0.03</v>
      </c>
      <c r="BD35" s="2423">
        <v>0.05</v>
      </c>
      <c r="BE35" s="2584">
        <v>0.06</v>
      </c>
      <c r="BF35" s="2611"/>
      <c r="BG35" s="2614"/>
    </row>
    <row r="36" spans="1:59">
      <c r="A36" s="2335"/>
      <c r="B36" s="2449"/>
      <c r="C36" s="2438"/>
      <c r="D36" s="2441"/>
      <c r="E36" s="1123"/>
      <c r="F36" s="2019"/>
      <c r="G36" s="2485"/>
      <c r="H36" s="2019"/>
      <c r="I36" s="2485"/>
      <c r="J36" s="1231"/>
      <c r="K36" s="2577"/>
      <c r="L36" s="1972"/>
      <c r="M36" s="2458"/>
      <c r="N36" s="2452"/>
      <c r="O36" s="2455"/>
      <c r="P36" s="2458"/>
      <c r="Q36" s="2452"/>
      <c r="R36" s="2455"/>
      <c r="S36" s="1972"/>
      <c r="T36" s="2178"/>
      <c r="U36" s="2455"/>
      <c r="V36" s="2492"/>
      <c r="W36" s="2452"/>
      <c r="X36" s="2455"/>
      <c r="Y36" s="2058"/>
      <c r="Z36" s="1144"/>
      <c r="AA36" s="2019"/>
      <c r="AB36" s="2603"/>
      <c r="AC36" s="1972"/>
      <c r="AD36" s="1974"/>
      <c r="AE36" s="1152"/>
      <c r="AF36" s="2060"/>
      <c r="AG36" s="1166"/>
      <c r="AH36" s="1972"/>
      <c r="AI36" s="2019"/>
      <c r="AJ36" s="1972"/>
      <c r="AK36" s="1974"/>
      <c r="AL36" s="1959"/>
      <c r="AM36" s="2545"/>
      <c r="AN36" s="2548"/>
      <c r="AO36" s="1959"/>
      <c r="AP36" s="2430"/>
      <c r="AQ36" s="2504"/>
      <c r="AR36" s="2499"/>
      <c r="AS36" s="2060"/>
      <c r="AT36" s="1970"/>
      <c r="AU36" s="2060"/>
      <c r="AV36" s="2501"/>
      <c r="AW36" s="2060"/>
      <c r="AX36" s="1970"/>
      <c r="AY36" s="1972"/>
      <c r="AZ36" s="1974"/>
      <c r="BA36" s="2060"/>
      <c r="BB36" s="2509"/>
      <c r="BC36" s="2423"/>
      <c r="BD36" s="2423"/>
      <c r="BE36" s="2584"/>
      <c r="BF36" s="2611"/>
      <c r="BG36" s="2614"/>
    </row>
    <row r="37" spans="1:59">
      <c r="A37" s="2335"/>
      <c r="B37" s="2449"/>
      <c r="C37" s="2438"/>
      <c r="D37" s="2441"/>
      <c r="E37" s="1123"/>
      <c r="F37" s="2019"/>
      <c r="G37" s="2485"/>
      <c r="H37" s="2019"/>
      <c r="I37" s="2485"/>
      <c r="J37" s="1231"/>
      <c r="K37" s="2577"/>
      <c r="L37" s="1972"/>
      <c r="M37" s="2458"/>
      <c r="N37" s="2452"/>
      <c r="O37" s="2455"/>
      <c r="P37" s="2458"/>
      <c r="Q37" s="2452"/>
      <c r="R37" s="2455"/>
      <c r="S37" s="1972"/>
      <c r="T37" s="2178"/>
      <c r="U37" s="2455"/>
      <c r="V37" s="2492"/>
      <c r="W37" s="2452"/>
      <c r="X37" s="2455"/>
      <c r="Y37" s="2058"/>
      <c r="Z37" s="1144"/>
      <c r="AA37" s="2019" t="s">
        <v>1052</v>
      </c>
      <c r="AB37" s="2603">
        <v>629600</v>
      </c>
      <c r="AC37" s="1972"/>
      <c r="AD37" s="1974">
        <v>6290</v>
      </c>
      <c r="AE37" s="1152"/>
      <c r="AF37" s="2060"/>
      <c r="AG37" s="1166"/>
      <c r="AH37" s="1972"/>
      <c r="AI37" s="2019"/>
      <c r="AJ37" s="1972"/>
      <c r="AK37" s="1974"/>
      <c r="AL37" s="1959"/>
      <c r="AM37" s="2545"/>
      <c r="AN37" s="2548"/>
      <c r="AO37" s="1959"/>
      <c r="AP37" s="2430" t="s">
        <v>1141</v>
      </c>
      <c r="AQ37" s="2504">
        <v>3000</v>
      </c>
      <c r="AR37" s="2499">
        <v>3400</v>
      </c>
      <c r="AS37" s="2060"/>
      <c r="AT37" s="1970"/>
      <c r="AU37" s="2060"/>
      <c r="AV37" s="2501"/>
      <c r="AW37" s="2060"/>
      <c r="AX37" s="1970"/>
      <c r="AY37" s="1972"/>
      <c r="AZ37" s="1974"/>
      <c r="BA37" s="2060"/>
      <c r="BB37" s="2509"/>
      <c r="BC37" s="2423"/>
      <c r="BD37" s="2423"/>
      <c r="BE37" s="2584"/>
      <c r="BF37" s="2611"/>
      <c r="BG37" s="2614"/>
    </row>
    <row r="38" spans="1:59">
      <c r="A38" s="2335"/>
      <c r="B38" s="2450"/>
      <c r="C38" s="2439"/>
      <c r="D38" s="2447"/>
      <c r="E38" s="1123"/>
      <c r="F38" s="2055"/>
      <c r="G38" s="2486"/>
      <c r="H38" s="2055"/>
      <c r="I38" s="2486"/>
      <c r="J38" s="1231"/>
      <c r="K38" s="2577"/>
      <c r="L38" s="1972"/>
      <c r="M38" s="2459"/>
      <c r="N38" s="2453"/>
      <c r="O38" s="2456"/>
      <c r="P38" s="2459"/>
      <c r="Q38" s="2453"/>
      <c r="R38" s="2456"/>
      <c r="S38" s="1972"/>
      <c r="T38" s="2175"/>
      <c r="U38" s="2456"/>
      <c r="V38" s="2493"/>
      <c r="W38" s="2453"/>
      <c r="X38" s="2456"/>
      <c r="Y38" s="2058"/>
      <c r="Z38" s="1144"/>
      <c r="AA38" s="2019"/>
      <c r="AB38" s="2603"/>
      <c r="AC38" s="1972"/>
      <c r="AD38" s="1974"/>
      <c r="AE38" s="1152"/>
      <c r="AF38" s="2060"/>
      <c r="AG38" s="1166"/>
      <c r="AH38" s="1972"/>
      <c r="AI38" s="2055"/>
      <c r="AJ38" s="1972"/>
      <c r="AK38" s="1975"/>
      <c r="AL38" s="1959"/>
      <c r="AM38" s="2546"/>
      <c r="AN38" s="2549"/>
      <c r="AO38" s="1959"/>
      <c r="AP38" s="2503"/>
      <c r="AQ38" s="2505"/>
      <c r="AR38" s="2500"/>
      <c r="AS38" s="2060"/>
      <c r="AT38" s="1971"/>
      <c r="AU38" s="2060"/>
      <c r="AV38" s="2502"/>
      <c r="AW38" s="2060"/>
      <c r="AX38" s="1971"/>
      <c r="AY38" s="1972"/>
      <c r="AZ38" s="1974"/>
      <c r="BA38" s="2060"/>
      <c r="BB38" s="2510"/>
      <c r="BC38" s="2424"/>
      <c r="BD38" s="2424"/>
      <c r="BE38" s="2585"/>
      <c r="BF38" s="2611"/>
      <c r="BG38" s="2615"/>
    </row>
    <row r="39" spans="1:59" ht="13.5" customHeight="1">
      <c r="A39" s="2335"/>
      <c r="B39" s="2448" t="s">
        <v>1161</v>
      </c>
      <c r="C39" s="2437" t="s">
        <v>1021</v>
      </c>
      <c r="D39" s="2440" t="s">
        <v>1136</v>
      </c>
      <c r="E39" s="1123"/>
      <c r="F39" s="2443">
        <v>111820</v>
      </c>
      <c r="G39" s="2460">
        <v>180650</v>
      </c>
      <c r="H39" s="2443">
        <v>105130</v>
      </c>
      <c r="I39" s="2460">
        <v>173960</v>
      </c>
      <c r="J39" s="1231"/>
      <c r="K39" s="2577"/>
      <c r="L39" s="1972" t="s">
        <v>255</v>
      </c>
      <c r="M39" s="2476">
        <v>1000</v>
      </c>
      <c r="N39" s="2431">
        <v>1680</v>
      </c>
      <c r="O39" s="2471" t="s">
        <v>1017</v>
      </c>
      <c r="P39" s="2477">
        <v>930</v>
      </c>
      <c r="Q39" s="2431">
        <v>1610</v>
      </c>
      <c r="R39" s="2471" t="s">
        <v>1017</v>
      </c>
      <c r="S39" s="1972" t="s">
        <v>255</v>
      </c>
      <c r="T39" s="2487">
        <v>138230</v>
      </c>
      <c r="U39" s="2471">
        <v>69110</v>
      </c>
      <c r="V39" s="2481">
        <v>1380</v>
      </c>
      <c r="W39" s="2431">
        <v>690</v>
      </c>
      <c r="X39" s="2471" t="s">
        <v>1017</v>
      </c>
      <c r="Y39" s="2058"/>
      <c r="Z39" s="32"/>
      <c r="AA39" s="2019" t="s">
        <v>1054</v>
      </c>
      <c r="AB39" s="2603">
        <v>663500</v>
      </c>
      <c r="AC39" s="1972"/>
      <c r="AD39" s="1974">
        <v>6630</v>
      </c>
      <c r="AE39" s="1152"/>
      <c r="AF39" s="2060"/>
      <c r="AG39" s="1186"/>
      <c r="AH39" s="1972" t="s">
        <v>255</v>
      </c>
      <c r="AI39" s="2018">
        <v>12060</v>
      </c>
      <c r="AJ39" s="1972" t="s">
        <v>255</v>
      </c>
      <c r="AK39" s="1973">
        <v>60</v>
      </c>
      <c r="AL39" s="1959" t="s">
        <v>255</v>
      </c>
      <c r="AM39" s="2544">
        <v>3100</v>
      </c>
      <c r="AN39" s="2547">
        <v>3400</v>
      </c>
      <c r="AO39" s="1959" t="s">
        <v>255</v>
      </c>
      <c r="AP39" s="2429" t="s">
        <v>1137</v>
      </c>
      <c r="AQ39" s="2508">
        <v>6100</v>
      </c>
      <c r="AR39" s="2498">
        <v>6800</v>
      </c>
      <c r="AS39" s="2060" t="s">
        <v>78</v>
      </c>
      <c r="AT39" s="1969">
        <v>350</v>
      </c>
      <c r="AU39" s="2060" t="s">
        <v>78</v>
      </c>
      <c r="AV39" s="2579" t="s">
        <v>460</v>
      </c>
      <c r="AW39" s="2060" t="s">
        <v>78</v>
      </c>
      <c r="AX39" s="1969">
        <v>6720</v>
      </c>
      <c r="AY39" s="1972" t="s">
        <v>255</v>
      </c>
      <c r="AZ39" s="1973">
        <v>60</v>
      </c>
      <c r="BA39" s="2060" t="s">
        <v>78</v>
      </c>
      <c r="BB39" s="2562" t="s">
        <v>450</v>
      </c>
      <c r="BC39" s="2572" t="s">
        <v>450</v>
      </c>
      <c r="BD39" s="2572" t="s">
        <v>450</v>
      </c>
      <c r="BE39" s="2582" t="s">
        <v>450</v>
      </c>
      <c r="BF39" s="2616"/>
      <c r="BG39" s="2612"/>
    </row>
    <row r="40" spans="1:59">
      <c r="A40" s="2335"/>
      <c r="B40" s="2449"/>
      <c r="C40" s="2438"/>
      <c r="D40" s="2441"/>
      <c r="E40" s="1123"/>
      <c r="F40" s="2444"/>
      <c r="G40" s="2461"/>
      <c r="H40" s="2444"/>
      <c r="I40" s="2461"/>
      <c r="J40" s="1231"/>
      <c r="K40" s="2577"/>
      <c r="L40" s="1972"/>
      <c r="M40" s="2477"/>
      <c r="N40" s="2432"/>
      <c r="O40" s="2472"/>
      <c r="P40" s="2477"/>
      <c r="Q40" s="2432"/>
      <c r="R40" s="2472"/>
      <c r="S40" s="1972"/>
      <c r="T40" s="2488"/>
      <c r="U40" s="2472"/>
      <c r="V40" s="2482"/>
      <c r="W40" s="2432"/>
      <c r="X40" s="2472"/>
      <c r="Y40" s="2058"/>
      <c r="Z40" s="32"/>
      <c r="AA40" s="2019"/>
      <c r="AB40" s="2603"/>
      <c r="AC40" s="1972"/>
      <c r="AD40" s="1974"/>
      <c r="AE40" s="1152"/>
      <c r="AF40" s="2060"/>
      <c r="AG40" s="1166"/>
      <c r="AH40" s="1972"/>
      <c r="AI40" s="2019"/>
      <c r="AJ40" s="1972"/>
      <c r="AK40" s="1974"/>
      <c r="AL40" s="1959"/>
      <c r="AM40" s="2545"/>
      <c r="AN40" s="2548"/>
      <c r="AO40" s="1959"/>
      <c r="AP40" s="2430"/>
      <c r="AQ40" s="2504"/>
      <c r="AR40" s="2499"/>
      <c r="AS40" s="2060"/>
      <c r="AT40" s="1970"/>
      <c r="AU40" s="2060"/>
      <c r="AV40" s="2580"/>
      <c r="AW40" s="2060"/>
      <c r="AX40" s="1970"/>
      <c r="AY40" s="1972"/>
      <c r="AZ40" s="1974"/>
      <c r="BA40" s="2060"/>
      <c r="BB40" s="2563"/>
      <c r="BC40" s="2573"/>
      <c r="BD40" s="2573"/>
      <c r="BE40" s="2583"/>
      <c r="BF40" s="2616"/>
      <c r="BG40" s="2613"/>
    </row>
    <row r="41" spans="1:59">
      <c r="A41" s="2335"/>
      <c r="B41" s="2449"/>
      <c r="C41" s="2438"/>
      <c r="D41" s="2441"/>
      <c r="E41" s="1123"/>
      <c r="F41" s="2444"/>
      <c r="G41" s="2461"/>
      <c r="H41" s="2444"/>
      <c r="I41" s="2461"/>
      <c r="J41" s="1231"/>
      <c r="K41" s="2577"/>
      <c r="L41" s="1972"/>
      <c r="M41" s="2477"/>
      <c r="N41" s="2432"/>
      <c r="O41" s="2472"/>
      <c r="P41" s="2477"/>
      <c r="Q41" s="2432"/>
      <c r="R41" s="2472"/>
      <c r="S41" s="1972"/>
      <c r="T41" s="2488"/>
      <c r="U41" s="2472"/>
      <c r="V41" s="2482"/>
      <c r="W41" s="2432"/>
      <c r="X41" s="2472"/>
      <c r="Y41" s="2058"/>
      <c r="Z41" s="32"/>
      <c r="AA41" s="1189"/>
      <c r="AB41" s="1314"/>
      <c r="AC41" s="1972"/>
      <c r="AD41" s="1324"/>
      <c r="AE41" s="1152"/>
      <c r="AF41" s="2060"/>
      <c r="AG41" s="1166"/>
      <c r="AH41" s="1972"/>
      <c r="AI41" s="2019"/>
      <c r="AJ41" s="1972"/>
      <c r="AK41" s="1974"/>
      <c r="AL41" s="1959"/>
      <c r="AM41" s="2545"/>
      <c r="AN41" s="2548"/>
      <c r="AO41" s="1959"/>
      <c r="AP41" s="2430" t="s">
        <v>1138</v>
      </c>
      <c r="AQ41" s="2504">
        <v>3300</v>
      </c>
      <c r="AR41" s="2499">
        <v>3700</v>
      </c>
      <c r="AS41" s="2060"/>
      <c r="AT41" s="1970"/>
      <c r="AU41" s="2060"/>
      <c r="AV41" s="2580"/>
      <c r="AW41" s="2060"/>
      <c r="AX41" s="1970"/>
      <c r="AY41" s="1972"/>
      <c r="AZ41" s="1974"/>
      <c r="BA41" s="2060"/>
      <c r="BB41" s="2563"/>
      <c r="BC41" s="2573"/>
      <c r="BD41" s="2573"/>
      <c r="BE41" s="2583"/>
      <c r="BF41" s="2616"/>
      <c r="BG41" s="2613"/>
    </row>
    <row r="42" spans="1:59">
      <c r="A42" s="2335"/>
      <c r="B42" s="2449"/>
      <c r="C42" s="2438"/>
      <c r="D42" s="2441"/>
      <c r="E42" s="1123"/>
      <c r="F42" s="2445"/>
      <c r="G42" s="2461"/>
      <c r="H42" s="2445"/>
      <c r="I42" s="2461"/>
      <c r="J42" s="1231"/>
      <c r="K42" s="2577"/>
      <c r="L42" s="1972"/>
      <c r="M42" s="2478"/>
      <c r="N42" s="2433"/>
      <c r="O42" s="2473"/>
      <c r="P42" s="2478"/>
      <c r="Q42" s="2433"/>
      <c r="R42" s="2473"/>
      <c r="S42" s="1972"/>
      <c r="T42" s="2489"/>
      <c r="U42" s="2473"/>
      <c r="V42" s="2483"/>
      <c r="W42" s="2433"/>
      <c r="X42" s="2473"/>
      <c r="Y42" s="2058"/>
      <c r="Z42" s="32"/>
      <c r="AA42" s="1189"/>
      <c r="AB42" s="1314"/>
      <c r="AC42" s="1972"/>
      <c r="AD42" s="1324"/>
      <c r="AE42" s="1152"/>
      <c r="AF42" s="2060"/>
      <c r="AG42" s="1166"/>
      <c r="AH42" s="1972"/>
      <c r="AI42" s="2019"/>
      <c r="AJ42" s="1972"/>
      <c r="AK42" s="1974"/>
      <c r="AL42" s="1959"/>
      <c r="AM42" s="2545"/>
      <c r="AN42" s="2548"/>
      <c r="AO42" s="1959"/>
      <c r="AP42" s="2430"/>
      <c r="AQ42" s="2504"/>
      <c r="AR42" s="2499"/>
      <c r="AS42" s="2060"/>
      <c r="AT42" s="1970"/>
      <c r="AU42" s="2060"/>
      <c r="AV42" s="2580"/>
      <c r="AW42" s="2060"/>
      <c r="AX42" s="1970"/>
      <c r="AY42" s="1972"/>
      <c r="AZ42" s="1974"/>
      <c r="BA42" s="2060"/>
      <c r="BB42" s="2563"/>
      <c r="BC42" s="2573"/>
      <c r="BD42" s="2573"/>
      <c r="BE42" s="2583"/>
      <c r="BF42" s="2616"/>
      <c r="BG42" s="2613"/>
    </row>
    <row r="43" spans="1:59" ht="13.5" customHeight="1">
      <c r="A43" s="2335"/>
      <c r="B43" s="2449"/>
      <c r="C43" s="2438"/>
      <c r="D43" s="2446" t="s">
        <v>133</v>
      </c>
      <c r="E43" s="1123"/>
      <c r="F43" s="2054">
        <v>180650</v>
      </c>
      <c r="G43" s="2484"/>
      <c r="H43" s="2054">
        <v>173960</v>
      </c>
      <c r="I43" s="2484"/>
      <c r="J43" s="1231"/>
      <c r="K43" s="2577"/>
      <c r="L43" s="1972" t="s">
        <v>255</v>
      </c>
      <c r="M43" s="2458">
        <v>1680</v>
      </c>
      <c r="N43" s="2451"/>
      <c r="O43" s="2454" t="s">
        <v>1017</v>
      </c>
      <c r="P43" s="2457">
        <v>1610</v>
      </c>
      <c r="Q43" s="2451"/>
      <c r="R43" s="2454" t="s">
        <v>1017</v>
      </c>
      <c r="S43" s="1972" t="s">
        <v>255</v>
      </c>
      <c r="T43" s="2490">
        <v>69110</v>
      </c>
      <c r="U43" s="2454"/>
      <c r="V43" s="2491">
        <v>690</v>
      </c>
      <c r="W43" s="2451"/>
      <c r="X43" s="2454" t="s">
        <v>1017</v>
      </c>
      <c r="Y43" s="2058"/>
      <c r="Z43" s="1144"/>
      <c r="AA43" s="1357"/>
      <c r="AB43" s="5"/>
      <c r="AC43" s="1972"/>
      <c r="AD43" s="1359"/>
      <c r="AE43" s="1152"/>
      <c r="AF43" s="2060"/>
      <c r="AG43" s="1166"/>
      <c r="AH43" s="1972"/>
      <c r="AI43" s="2019"/>
      <c r="AJ43" s="1972"/>
      <c r="AK43" s="1974"/>
      <c r="AL43" s="1959"/>
      <c r="AM43" s="2545"/>
      <c r="AN43" s="2548"/>
      <c r="AO43" s="1959"/>
      <c r="AP43" s="2430" t="s">
        <v>1140</v>
      </c>
      <c r="AQ43" s="2504">
        <v>2900</v>
      </c>
      <c r="AR43" s="2499">
        <v>3200</v>
      </c>
      <c r="AS43" s="2060"/>
      <c r="AT43" s="1970"/>
      <c r="AU43" s="2060"/>
      <c r="AV43" s="2501">
        <v>0.13</v>
      </c>
      <c r="AW43" s="2060"/>
      <c r="AX43" s="1970"/>
      <c r="AY43" s="1972"/>
      <c r="AZ43" s="1974"/>
      <c r="BA43" s="2060"/>
      <c r="BB43" s="2509">
        <v>0.02</v>
      </c>
      <c r="BC43" s="2423">
        <v>0.03</v>
      </c>
      <c r="BD43" s="2423">
        <v>0.05</v>
      </c>
      <c r="BE43" s="2584">
        <v>0.06</v>
      </c>
      <c r="BF43" s="2616"/>
      <c r="BG43" s="2614"/>
    </row>
    <row r="44" spans="1:59">
      <c r="A44" s="2335"/>
      <c r="B44" s="2449"/>
      <c r="C44" s="2438"/>
      <c r="D44" s="2441"/>
      <c r="E44" s="1123"/>
      <c r="F44" s="2019"/>
      <c r="G44" s="2485"/>
      <c r="H44" s="2019"/>
      <c r="I44" s="2485"/>
      <c r="J44" s="1231"/>
      <c r="K44" s="2577"/>
      <c r="L44" s="1972"/>
      <c r="M44" s="2458"/>
      <c r="N44" s="2452"/>
      <c r="O44" s="2455"/>
      <c r="P44" s="2458"/>
      <c r="Q44" s="2452"/>
      <c r="R44" s="2455"/>
      <c r="S44" s="1972"/>
      <c r="T44" s="2178"/>
      <c r="U44" s="2455"/>
      <c r="V44" s="2492"/>
      <c r="W44" s="2452"/>
      <c r="X44" s="2455"/>
      <c r="Y44" s="2058"/>
      <c r="Z44" s="1144"/>
      <c r="AA44" s="1357"/>
      <c r="AB44" s="5"/>
      <c r="AC44" s="1972"/>
      <c r="AD44" s="1359"/>
      <c r="AE44" s="1152"/>
      <c r="AF44" s="2060"/>
      <c r="AG44" s="1166"/>
      <c r="AH44" s="1972"/>
      <c r="AI44" s="2019"/>
      <c r="AJ44" s="1972"/>
      <c r="AK44" s="1974"/>
      <c r="AL44" s="1959"/>
      <c r="AM44" s="2545"/>
      <c r="AN44" s="2548"/>
      <c r="AO44" s="1959"/>
      <c r="AP44" s="2430"/>
      <c r="AQ44" s="2504"/>
      <c r="AR44" s="2499"/>
      <c r="AS44" s="2060"/>
      <c r="AT44" s="1970"/>
      <c r="AU44" s="2060"/>
      <c r="AV44" s="2501"/>
      <c r="AW44" s="2060"/>
      <c r="AX44" s="1970"/>
      <c r="AY44" s="1972"/>
      <c r="AZ44" s="1974"/>
      <c r="BA44" s="2060"/>
      <c r="BB44" s="2509"/>
      <c r="BC44" s="2423"/>
      <c r="BD44" s="2423"/>
      <c r="BE44" s="2584"/>
      <c r="BF44" s="2616"/>
      <c r="BG44" s="2614"/>
    </row>
    <row r="45" spans="1:59">
      <c r="A45" s="2335"/>
      <c r="B45" s="2449"/>
      <c r="C45" s="2438"/>
      <c r="D45" s="2441"/>
      <c r="E45" s="1123"/>
      <c r="F45" s="2019"/>
      <c r="G45" s="2485"/>
      <c r="H45" s="2019"/>
      <c r="I45" s="2485"/>
      <c r="J45" s="1231"/>
      <c r="K45" s="2577"/>
      <c r="L45" s="1972"/>
      <c r="M45" s="2458"/>
      <c r="N45" s="2452"/>
      <c r="O45" s="2455"/>
      <c r="P45" s="2458"/>
      <c r="Q45" s="2452"/>
      <c r="R45" s="2455"/>
      <c r="S45" s="1972"/>
      <c r="T45" s="2178"/>
      <c r="U45" s="2455"/>
      <c r="V45" s="2492"/>
      <c r="W45" s="2452"/>
      <c r="X45" s="2455"/>
      <c r="Y45" s="2058"/>
      <c r="Z45" s="1144"/>
      <c r="AA45" s="1357"/>
      <c r="AB45" s="5"/>
      <c r="AC45" s="1972"/>
      <c r="AD45" s="1359"/>
      <c r="AE45" s="1152"/>
      <c r="AF45" s="2060"/>
      <c r="AG45" s="1166"/>
      <c r="AH45" s="1972"/>
      <c r="AI45" s="2019"/>
      <c r="AJ45" s="1972"/>
      <c r="AK45" s="1974"/>
      <c r="AL45" s="1959"/>
      <c r="AM45" s="2545"/>
      <c r="AN45" s="2548"/>
      <c r="AO45" s="1959"/>
      <c r="AP45" s="2430" t="s">
        <v>1141</v>
      </c>
      <c r="AQ45" s="2504">
        <v>2600</v>
      </c>
      <c r="AR45" s="2499">
        <v>2900</v>
      </c>
      <c r="AS45" s="2060"/>
      <c r="AT45" s="1970"/>
      <c r="AU45" s="2060"/>
      <c r="AV45" s="2501"/>
      <c r="AW45" s="2060"/>
      <c r="AX45" s="1970"/>
      <c r="AY45" s="1972"/>
      <c r="AZ45" s="1974"/>
      <c r="BA45" s="2060"/>
      <c r="BB45" s="2509"/>
      <c r="BC45" s="2423"/>
      <c r="BD45" s="2423"/>
      <c r="BE45" s="2584"/>
      <c r="BF45" s="2616"/>
      <c r="BG45" s="2614"/>
    </row>
    <row r="46" spans="1:59">
      <c r="A46" s="2213"/>
      <c r="B46" s="2450"/>
      <c r="C46" s="2439"/>
      <c r="D46" s="2447"/>
      <c r="E46" s="1123"/>
      <c r="F46" s="2055"/>
      <c r="G46" s="2486"/>
      <c r="H46" s="2055"/>
      <c r="I46" s="2486"/>
      <c r="J46" s="1231"/>
      <c r="K46" s="2578"/>
      <c r="L46" s="1972"/>
      <c r="M46" s="2459"/>
      <c r="N46" s="2453"/>
      <c r="O46" s="2456"/>
      <c r="P46" s="2459"/>
      <c r="Q46" s="2453"/>
      <c r="R46" s="2456"/>
      <c r="S46" s="1972"/>
      <c r="T46" s="2175"/>
      <c r="U46" s="2456"/>
      <c r="V46" s="2493"/>
      <c r="W46" s="2453"/>
      <c r="X46" s="2456"/>
      <c r="Y46" s="2058"/>
      <c r="Z46" s="1144"/>
      <c r="AA46" s="1347"/>
      <c r="AB46" s="1348"/>
      <c r="AC46" s="1972"/>
      <c r="AD46" s="1349"/>
      <c r="AE46" s="1152"/>
      <c r="AF46" s="2060"/>
      <c r="AG46" s="1200"/>
      <c r="AH46" s="1972"/>
      <c r="AI46" s="2055"/>
      <c r="AJ46" s="1972"/>
      <c r="AK46" s="1975"/>
      <c r="AL46" s="1959"/>
      <c r="AM46" s="2546"/>
      <c r="AN46" s="2549"/>
      <c r="AO46" s="1959"/>
      <c r="AP46" s="2503"/>
      <c r="AQ46" s="2505"/>
      <c r="AR46" s="2500"/>
      <c r="AS46" s="2060"/>
      <c r="AT46" s="1971"/>
      <c r="AU46" s="2060"/>
      <c r="AV46" s="2502"/>
      <c r="AW46" s="2060"/>
      <c r="AX46" s="1971"/>
      <c r="AY46" s="1972"/>
      <c r="AZ46" s="1974"/>
      <c r="BA46" s="2060"/>
      <c r="BB46" s="2510"/>
      <c r="BC46" s="2424"/>
      <c r="BD46" s="2424"/>
      <c r="BE46" s="2585"/>
      <c r="BF46" s="2616"/>
      <c r="BG46" s="2615"/>
    </row>
    <row r="47" spans="1:59">
      <c r="AA47" s="85"/>
      <c r="AB47" s="86"/>
      <c r="AD47" s="87"/>
      <c r="AT47" s="78"/>
      <c r="AU47" s="78"/>
      <c r="AV47" s="78"/>
      <c r="AW47" s="79"/>
      <c r="AX47" s="79"/>
      <c r="AY47" s="79"/>
      <c r="AZ47" s="79"/>
      <c r="BA47" s="79"/>
      <c r="BB47" s="78"/>
      <c r="BC47" s="78"/>
      <c r="BD47" s="78"/>
      <c r="BE47" s="78"/>
      <c r="BF47" s="78"/>
      <c r="BG47" s="78"/>
    </row>
    <row r="48" spans="1:59">
      <c r="AA48" s="85"/>
      <c r="AB48" s="86"/>
      <c r="AD48" s="87"/>
      <c r="AT48" s="78"/>
      <c r="AU48" s="78"/>
      <c r="AV48" s="78"/>
      <c r="AW48" s="79"/>
      <c r="AX48" s="79"/>
      <c r="AY48" s="79"/>
      <c r="AZ48" s="79"/>
      <c r="BA48" s="79"/>
      <c r="BB48" s="78"/>
      <c r="BC48" s="78"/>
      <c r="BD48" s="78"/>
      <c r="BE48" s="78"/>
      <c r="BF48" s="78"/>
      <c r="BG48" s="78"/>
    </row>
    <row r="49" spans="1:59">
      <c r="B49" s="28">
        <v>1</v>
      </c>
      <c r="C49" s="28">
        <v>2</v>
      </c>
      <c r="D49" s="28">
        <v>3</v>
      </c>
      <c r="E49" s="28">
        <v>4</v>
      </c>
      <c r="F49" s="28">
        <v>5</v>
      </c>
      <c r="G49" s="28">
        <v>6</v>
      </c>
      <c r="H49" s="28">
        <v>7</v>
      </c>
      <c r="I49" s="28">
        <v>8</v>
      </c>
      <c r="J49" s="28">
        <v>9</v>
      </c>
      <c r="K49" s="28">
        <v>10</v>
      </c>
      <c r="L49" s="28">
        <v>11</v>
      </c>
      <c r="M49" s="28">
        <v>12</v>
      </c>
      <c r="N49" s="28">
        <v>13</v>
      </c>
      <c r="O49" s="28">
        <v>14</v>
      </c>
      <c r="P49" s="28">
        <v>15</v>
      </c>
      <c r="Q49" s="28">
        <v>16</v>
      </c>
      <c r="R49" s="28">
        <v>17</v>
      </c>
      <c r="S49" s="28">
        <v>18</v>
      </c>
      <c r="T49" s="28">
        <v>19</v>
      </c>
      <c r="U49" s="28">
        <v>20</v>
      </c>
      <c r="V49" s="28">
        <v>21</v>
      </c>
      <c r="W49" s="28">
        <v>22</v>
      </c>
      <c r="X49" s="28">
        <v>23</v>
      </c>
      <c r="Y49" s="28">
        <v>24</v>
      </c>
      <c r="Z49" s="28">
        <v>25</v>
      </c>
      <c r="AA49" s="28">
        <v>26</v>
      </c>
      <c r="AB49" s="28">
        <v>27</v>
      </c>
      <c r="AC49" s="28">
        <v>28</v>
      </c>
      <c r="AD49" s="28">
        <v>29</v>
      </c>
      <c r="AE49" s="28">
        <v>30</v>
      </c>
      <c r="AF49" s="28">
        <v>31</v>
      </c>
      <c r="AG49" s="28">
        <v>32</v>
      </c>
      <c r="AH49" s="28">
        <v>33</v>
      </c>
      <c r="AI49" s="28">
        <v>34</v>
      </c>
      <c r="AJ49" s="28">
        <v>35</v>
      </c>
      <c r="AK49" s="28">
        <v>36</v>
      </c>
      <c r="AL49" s="28">
        <v>37</v>
      </c>
      <c r="AM49" s="28">
        <v>38</v>
      </c>
      <c r="AN49" s="28">
        <v>39</v>
      </c>
      <c r="AO49" s="28">
        <v>40</v>
      </c>
      <c r="AP49" s="28">
        <v>41</v>
      </c>
      <c r="AQ49" s="28">
        <v>42</v>
      </c>
      <c r="AR49" s="28">
        <v>43</v>
      </c>
      <c r="AS49" s="28">
        <v>44</v>
      </c>
      <c r="AT49" s="28">
        <v>45</v>
      </c>
      <c r="AU49" s="28">
        <v>46</v>
      </c>
      <c r="AV49" s="28">
        <v>47</v>
      </c>
      <c r="AW49" s="28">
        <v>48</v>
      </c>
      <c r="AX49" s="28">
        <v>49</v>
      </c>
      <c r="AY49" s="28">
        <v>50</v>
      </c>
      <c r="AZ49" s="28">
        <v>51</v>
      </c>
      <c r="BA49" s="28">
        <v>52</v>
      </c>
      <c r="BB49" s="28">
        <v>53</v>
      </c>
      <c r="BC49" s="28">
        <v>54</v>
      </c>
      <c r="BD49" s="28">
        <v>55</v>
      </c>
      <c r="BE49" s="28">
        <v>56</v>
      </c>
      <c r="BF49" s="28">
        <v>57</v>
      </c>
      <c r="BG49" s="28">
        <v>58</v>
      </c>
    </row>
    <row r="50" spans="1:59">
      <c r="A50" s="2211" t="s">
        <v>132</v>
      </c>
      <c r="B50" s="28">
        <v>20</v>
      </c>
      <c r="D50" s="28" t="str">
        <f>D7</f>
        <v>１､２歳児</v>
      </c>
      <c r="E50" s="28">
        <f>E7</f>
        <v>0</v>
      </c>
      <c r="F50" s="28">
        <f>F7</f>
        <v>144690</v>
      </c>
      <c r="G50" s="28">
        <f>G7</f>
        <v>213520</v>
      </c>
      <c r="H50" s="28">
        <f t="shared" ref="H50:BF50" si="0">H7</f>
        <v>129070</v>
      </c>
      <c r="I50" s="28">
        <f t="shared" si="0"/>
        <v>197900</v>
      </c>
      <c r="J50" s="28">
        <f t="shared" si="0"/>
        <v>0</v>
      </c>
      <c r="K50" s="28">
        <f t="shared" si="0"/>
        <v>0.84</v>
      </c>
      <c r="L50" s="28" t="str">
        <f t="shared" si="0"/>
        <v>＋</v>
      </c>
      <c r="M50" s="28">
        <f t="shared" si="0"/>
        <v>1320</v>
      </c>
      <c r="N50" s="28">
        <f t="shared" si="0"/>
        <v>2000</v>
      </c>
      <c r="O50" s="28" t="str">
        <f t="shared" si="0"/>
        <v>×加算率</v>
      </c>
      <c r="P50" s="28">
        <f t="shared" si="0"/>
        <v>1170</v>
      </c>
      <c r="Q50" s="28">
        <f t="shared" si="0"/>
        <v>1850</v>
      </c>
      <c r="R50" s="28" t="str">
        <f t="shared" si="0"/>
        <v>×加算率</v>
      </c>
      <c r="S50" s="28" t="str">
        <f t="shared" si="0"/>
        <v>＋</v>
      </c>
      <c r="T50" s="28">
        <f t="shared" si="0"/>
        <v>138230</v>
      </c>
      <c r="U50" s="28">
        <f t="shared" si="0"/>
        <v>69110</v>
      </c>
      <c r="V50" s="28">
        <f t="shared" si="0"/>
        <v>1380</v>
      </c>
      <c r="W50" s="28">
        <f t="shared" si="0"/>
        <v>690</v>
      </c>
      <c r="X50" s="28" t="str">
        <f t="shared" si="0"/>
        <v>×加算率</v>
      </c>
      <c r="Y50" s="28" t="str">
        <f t="shared" si="0"/>
        <v>＋</v>
      </c>
      <c r="Z50" s="28">
        <f t="shared" si="0"/>
        <v>0</v>
      </c>
      <c r="AA50" s="28">
        <f t="shared" si="0"/>
        <v>0</v>
      </c>
      <c r="AB50" s="28">
        <f t="shared" si="0"/>
        <v>0</v>
      </c>
      <c r="AC50" s="28" t="str">
        <f t="shared" si="0"/>
        <v>＋</v>
      </c>
      <c r="AD50" s="28">
        <f t="shared" si="0"/>
        <v>0</v>
      </c>
      <c r="AE50" s="28">
        <f t="shared" si="0"/>
        <v>0</v>
      </c>
      <c r="AF50" s="28" t="str">
        <f t="shared" si="0"/>
        <v>÷</v>
      </c>
      <c r="AG50" s="28">
        <f t="shared" si="0"/>
        <v>0</v>
      </c>
      <c r="AH50" s="28" t="str">
        <f t="shared" si="0"/>
        <v>＋</v>
      </c>
      <c r="AI50" s="28">
        <f t="shared" si="0"/>
        <v>21090</v>
      </c>
      <c r="AJ50" s="28" t="str">
        <f t="shared" si="0"/>
        <v>＋</v>
      </c>
      <c r="AK50" s="28">
        <f t="shared" si="0"/>
        <v>150</v>
      </c>
      <c r="AL50" s="28" t="str">
        <f t="shared" si="0"/>
        <v>＋</v>
      </c>
      <c r="AM50" s="28">
        <f t="shared" si="0"/>
        <v>5500</v>
      </c>
      <c r="AN50" s="28">
        <f t="shared" si="0"/>
        <v>6000</v>
      </c>
      <c r="AO50" s="28" t="str">
        <f t="shared" si="0"/>
        <v>＋</v>
      </c>
      <c r="AP50" s="28" t="str">
        <f t="shared" si="0"/>
        <v>ａ地域</v>
      </c>
      <c r="AQ50" s="28">
        <f t="shared" si="0"/>
        <v>10600</v>
      </c>
      <c r="AR50" s="28">
        <f t="shared" si="0"/>
        <v>11800</v>
      </c>
      <c r="AS50" s="28" t="str">
        <f t="shared" si="0"/>
        <v>－</v>
      </c>
      <c r="AT50" s="28">
        <f t="shared" si="0"/>
        <v>820</v>
      </c>
      <c r="AU50" s="28" t="str">
        <f t="shared" si="0"/>
        <v>－</v>
      </c>
      <c r="AV50" s="28">
        <f>AV11</f>
        <v>0.12</v>
      </c>
      <c r="AW50" s="28" t="str">
        <f t="shared" si="0"/>
        <v>－</v>
      </c>
      <c r="AX50" s="28"/>
      <c r="AY50" s="28"/>
      <c r="AZ50" s="28">
        <f>AZ7</f>
        <v>150</v>
      </c>
      <c r="BA50" s="28"/>
      <c r="BB50" s="234">
        <f>BB11</f>
        <v>0.02</v>
      </c>
      <c r="BC50" s="234">
        <f>BC11</f>
        <v>0.03</v>
      </c>
      <c r="BD50" s="234">
        <f>BD11</f>
        <v>0.05</v>
      </c>
      <c r="BE50" s="234">
        <f>BE11</f>
        <v>0.06</v>
      </c>
      <c r="BF50" s="28">
        <f t="shared" si="0"/>
        <v>0</v>
      </c>
      <c r="BG50" s="234">
        <f>BG11</f>
        <v>0</v>
      </c>
    </row>
    <row r="51" spans="1:59">
      <c r="A51" s="2211"/>
      <c r="B51" s="28">
        <v>31</v>
      </c>
      <c r="D51" s="28" t="str">
        <f>D15</f>
        <v>１､２歳児</v>
      </c>
      <c r="E51" s="28">
        <f>E15</f>
        <v>0</v>
      </c>
      <c r="F51" s="28">
        <f>F15</f>
        <v>129060</v>
      </c>
      <c r="G51" s="28">
        <f>G15</f>
        <v>197890</v>
      </c>
      <c r="H51" s="28">
        <f t="shared" ref="H51:BF51" si="1">H15</f>
        <v>117350</v>
      </c>
      <c r="I51" s="28">
        <f t="shared" si="1"/>
        <v>186180</v>
      </c>
      <c r="J51" s="28">
        <f t="shared" si="1"/>
        <v>0</v>
      </c>
      <c r="K51" s="28">
        <f t="shared" si="1"/>
        <v>0</v>
      </c>
      <c r="L51" s="28" t="str">
        <f t="shared" si="1"/>
        <v>＋</v>
      </c>
      <c r="M51" s="28">
        <f t="shared" si="1"/>
        <v>1170</v>
      </c>
      <c r="N51" s="28">
        <f t="shared" si="1"/>
        <v>1850</v>
      </c>
      <c r="O51" s="28" t="str">
        <f t="shared" si="1"/>
        <v>×加算率</v>
      </c>
      <c r="P51" s="28">
        <f t="shared" si="1"/>
        <v>1050</v>
      </c>
      <c r="Q51" s="28">
        <f t="shared" si="1"/>
        <v>1730</v>
      </c>
      <c r="R51" s="28" t="str">
        <f t="shared" si="1"/>
        <v>×加算率</v>
      </c>
      <c r="S51" s="28" t="str">
        <f t="shared" si="1"/>
        <v>＋</v>
      </c>
      <c r="T51" s="28">
        <f t="shared" si="1"/>
        <v>138230</v>
      </c>
      <c r="U51" s="28">
        <f t="shared" si="1"/>
        <v>69110</v>
      </c>
      <c r="V51" s="28">
        <f t="shared" si="1"/>
        <v>1380</v>
      </c>
      <c r="W51" s="28">
        <f t="shared" si="1"/>
        <v>690</v>
      </c>
      <c r="X51" s="28" t="str">
        <f t="shared" si="1"/>
        <v>×加算率</v>
      </c>
      <c r="Y51" s="28">
        <f t="shared" si="1"/>
        <v>0</v>
      </c>
      <c r="Z51" s="28">
        <f t="shared" si="1"/>
        <v>0</v>
      </c>
      <c r="AA51" s="28" t="str">
        <f t="shared" si="1"/>
        <v>　 211人～　279人</v>
      </c>
      <c r="AB51" s="28">
        <f t="shared" si="1"/>
        <v>257500</v>
      </c>
      <c r="AC51" s="28">
        <f t="shared" si="1"/>
        <v>0</v>
      </c>
      <c r="AD51" s="28">
        <f t="shared" si="1"/>
        <v>2570</v>
      </c>
      <c r="AE51" s="28">
        <f t="shared" si="1"/>
        <v>0</v>
      </c>
      <c r="AF51" s="28">
        <f t="shared" si="1"/>
        <v>0</v>
      </c>
      <c r="AG51" s="28">
        <f t="shared" si="1"/>
        <v>0</v>
      </c>
      <c r="AH51" s="28" t="str">
        <f t="shared" si="1"/>
        <v>＋</v>
      </c>
      <c r="AI51" s="28">
        <f t="shared" si="1"/>
        <v>17140</v>
      </c>
      <c r="AJ51" s="28" t="str">
        <f t="shared" si="1"/>
        <v>＋</v>
      </c>
      <c r="AK51" s="28">
        <f t="shared" si="1"/>
        <v>110</v>
      </c>
      <c r="AL51" s="28" t="str">
        <f t="shared" si="1"/>
        <v>＋</v>
      </c>
      <c r="AM51" s="28">
        <f t="shared" si="1"/>
        <v>4800</v>
      </c>
      <c r="AN51" s="28">
        <f t="shared" si="1"/>
        <v>5300</v>
      </c>
      <c r="AO51" s="28" t="str">
        <f t="shared" si="1"/>
        <v>＋</v>
      </c>
      <c r="AP51" s="28" t="str">
        <f t="shared" si="1"/>
        <v>ａ地域</v>
      </c>
      <c r="AQ51" s="28">
        <f t="shared" si="1"/>
        <v>9400</v>
      </c>
      <c r="AR51" s="28">
        <f t="shared" si="1"/>
        <v>10500</v>
      </c>
      <c r="AS51" s="28" t="str">
        <f t="shared" si="1"/>
        <v>－</v>
      </c>
      <c r="AT51" s="28">
        <f t="shared" si="1"/>
        <v>610</v>
      </c>
      <c r="AU51" s="28" t="str">
        <f t="shared" si="1"/>
        <v>－</v>
      </c>
      <c r="AV51" s="28">
        <f>AV19</f>
        <v>0.11</v>
      </c>
      <c r="AW51" s="28" t="str">
        <f t="shared" si="1"/>
        <v>－</v>
      </c>
      <c r="AX51" s="28"/>
      <c r="AY51" s="28"/>
      <c r="AZ51" s="28">
        <f>AZ15</f>
        <v>110</v>
      </c>
      <c r="BA51" s="28"/>
      <c r="BB51" s="234">
        <f>BB19</f>
        <v>0.02</v>
      </c>
      <c r="BC51" s="234">
        <f>BC19</f>
        <v>0.03</v>
      </c>
      <c r="BD51" s="234">
        <f>BD19</f>
        <v>0.04</v>
      </c>
      <c r="BE51" s="234">
        <f>BE19</f>
        <v>0.06</v>
      </c>
      <c r="BF51" s="28">
        <f t="shared" si="1"/>
        <v>0</v>
      </c>
      <c r="BG51" s="234">
        <f>BG19</f>
        <v>0</v>
      </c>
    </row>
    <row r="52" spans="1:59">
      <c r="A52" s="2211"/>
      <c r="B52" s="28">
        <v>41</v>
      </c>
      <c r="D52" s="28" t="str">
        <f>D23</f>
        <v>１､２歳児</v>
      </c>
      <c r="E52" s="28">
        <f>E23</f>
        <v>0</v>
      </c>
      <c r="F52" s="28">
        <f>F23</f>
        <v>124790</v>
      </c>
      <c r="G52" s="28">
        <f>G23</f>
        <v>193620</v>
      </c>
      <c r="H52" s="28">
        <f t="shared" ref="H52:BF52" si="2">H23</f>
        <v>115420</v>
      </c>
      <c r="I52" s="28">
        <f t="shared" si="2"/>
        <v>184250</v>
      </c>
      <c r="J52" s="28">
        <f t="shared" si="2"/>
        <v>0</v>
      </c>
      <c r="K52" s="28">
        <f t="shared" si="2"/>
        <v>0</v>
      </c>
      <c r="L52" s="28" t="str">
        <f t="shared" si="2"/>
        <v>＋</v>
      </c>
      <c r="M52" s="28">
        <f t="shared" si="2"/>
        <v>1130</v>
      </c>
      <c r="N52" s="28">
        <f t="shared" si="2"/>
        <v>1810</v>
      </c>
      <c r="O52" s="28" t="str">
        <f t="shared" si="2"/>
        <v>×加算率</v>
      </c>
      <c r="P52" s="28">
        <f t="shared" si="2"/>
        <v>1040</v>
      </c>
      <c r="Q52" s="28">
        <f t="shared" si="2"/>
        <v>1720</v>
      </c>
      <c r="R52" s="28" t="str">
        <f t="shared" si="2"/>
        <v>×加算率</v>
      </c>
      <c r="S52" s="28" t="str">
        <f t="shared" si="2"/>
        <v>＋</v>
      </c>
      <c r="T52" s="28">
        <f t="shared" si="2"/>
        <v>138230</v>
      </c>
      <c r="U52" s="28">
        <f t="shared" si="2"/>
        <v>69110</v>
      </c>
      <c r="V52" s="28">
        <f t="shared" si="2"/>
        <v>1380</v>
      </c>
      <c r="W52" s="28">
        <f t="shared" si="2"/>
        <v>690</v>
      </c>
      <c r="X52" s="28" t="str">
        <f t="shared" si="2"/>
        <v>×加算率</v>
      </c>
      <c r="Y52" s="28">
        <f t="shared" si="2"/>
        <v>0</v>
      </c>
      <c r="Z52" s="28">
        <f t="shared" si="2"/>
        <v>0</v>
      </c>
      <c r="AA52" s="28" t="str">
        <f t="shared" si="2"/>
        <v xml:space="preserve"> 　490人～　559人</v>
      </c>
      <c r="AB52" s="28">
        <f t="shared" si="2"/>
        <v>392800</v>
      </c>
      <c r="AC52" s="28">
        <f t="shared" si="2"/>
        <v>0</v>
      </c>
      <c r="AD52" s="28">
        <f t="shared" si="2"/>
        <v>3920</v>
      </c>
      <c r="AE52" s="28">
        <f t="shared" si="2"/>
        <v>0</v>
      </c>
      <c r="AF52" s="28">
        <f t="shared" si="2"/>
        <v>0</v>
      </c>
      <c r="AG52" s="28">
        <f t="shared" si="2"/>
        <v>0</v>
      </c>
      <c r="AH52" s="28" t="str">
        <f t="shared" si="2"/>
        <v>＋</v>
      </c>
      <c r="AI52" s="28">
        <f t="shared" si="2"/>
        <v>14770</v>
      </c>
      <c r="AJ52" s="28" t="str">
        <f t="shared" si="2"/>
        <v>＋</v>
      </c>
      <c r="AK52" s="28">
        <f t="shared" si="2"/>
        <v>90</v>
      </c>
      <c r="AL52" s="28" t="str">
        <f t="shared" si="2"/>
        <v>＋</v>
      </c>
      <c r="AM52" s="28">
        <f t="shared" si="2"/>
        <v>4300</v>
      </c>
      <c r="AN52" s="28">
        <f t="shared" si="2"/>
        <v>4800</v>
      </c>
      <c r="AO52" s="28" t="str">
        <f t="shared" si="2"/>
        <v>＋</v>
      </c>
      <c r="AP52" s="28" t="str">
        <f t="shared" si="2"/>
        <v>ａ地域</v>
      </c>
      <c r="AQ52" s="28">
        <f t="shared" si="2"/>
        <v>8400</v>
      </c>
      <c r="AR52" s="28">
        <f t="shared" si="2"/>
        <v>9400</v>
      </c>
      <c r="AS52" s="28" t="str">
        <f t="shared" si="2"/>
        <v>－</v>
      </c>
      <c r="AT52" s="28">
        <f t="shared" si="2"/>
        <v>490</v>
      </c>
      <c r="AU52" s="28" t="str">
        <f t="shared" si="2"/>
        <v>－</v>
      </c>
      <c r="AV52" s="28">
        <f>AV27</f>
        <v>0.15</v>
      </c>
      <c r="AW52" s="28" t="str">
        <f t="shared" si="2"/>
        <v>－</v>
      </c>
      <c r="AX52" s="28"/>
      <c r="AY52" s="28"/>
      <c r="AZ52" s="28">
        <f>AZ23</f>
        <v>90</v>
      </c>
      <c r="BA52" s="28"/>
      <c r="BB52" s="234">
        <f>BB27</f>
        <v>0.02</v>
      </c>
      <c r="BC52" s="234">
        <f>BC27</f>
        <v>0.03</v>
      </c>
      <c r="BD52" s="234">
        <f>BD27</f>
        <v>0.05</v>
      </c>
      <c r="BE52" s="234">
        <f>BE27</f>
        <v>0.06</v>
      </c>
      <c r="BF52" s="28">
        <f t="shared" si="2"/>
        <v>0</v>
      </c>
      <c r="BG52" s="234">
        <f>BG27</f>
        <v>0</v>
      </c>
    </row>
    <row r="53" spans="1:59">
      <c r="A53" s="2211"/>
      <c r="B53" s="28">
        <v>51</v>
      </c>
      <c r="D53" s="28" t="str">
        <f>D31</f>
        <v>１､２歳児</v>
      </c>
      <c r="E53" s="28">
        <f>E31</f>
        <v>0</v>
      </c>
      <c r="F53" s="28">
        <f>F31</f>
        <v>117180</v>
      </c>
      <c r="G53" s="28">
        <f>G31</f>
        <v>186010</v>
      </c>
      <c r="H53" s="28">
        <f t="shared" ref="H53:BF53" si="3">H31</f>
        <v>109370</v>
      </c>
      <c r="I53" s="28">
        <f t="shared" si="3"/>
        <v>178200</v>
      </c>
      <c r="J53" s="28">
        <f t="shared" si="3"/>
        <v>0</v>
      </c>
      <c r="K53" s="28">
        <f t="shared" si="3"/>
        <v>0</v>
      </c>
      <c r="L53" s="28" t="str">
        <f t="shared" si="3"/>
        <v>＋</v>
      </c>
      <c r="M53" s="28">
        <f t="shared" si="3"/>
        <v>1050</v>
      </c>
      <c r="N53" s="28">
        <f t="shared" si="3"/>
        <v>1730</v>
      </c>
      <c r="O53" s="28" t="str">
        <f t="shared" si="3"/>
        <v>×加算率</v>
      </c>
      <c r="P53" s="28">
        <f t="shared" si="3"/>
        <v>980</v>
      </c>
      <c r="Q53" s="28">
        <f t="shared" si="3"/>
        <v>1660</v>
      </c>
      <c r="R53" s="28" t="str">
        <f t="shared" si="3"/>
        <v>×加算率</v>
      </c>
      <c r="S53" s="28" t="str">
        <f t="shared" si="3"/>
        <v>＋</v>
      </c>
      <c r="T53" s="28">
        <f t="shared" si="3"/>
        <v>138230</v>
      </c>
      <c r="U53" s="28">
        <f t="shared" si="3"/>
        <v>69110</v>
      </c>
      <c r="V53" s="28">
        <f t="shared" si="3"/>
        <v>1380</v>
      </c>
      <c r="W53" s="28">
        <f t="shared" si="3"/>
        <v>690</v>
      </c>
      <c r="X53" s="28" t="str">
        <f t="shared" si="3"/>
        <v>×加算率</v>
      </c>
      <c r="Y53" s="28">
        <f t="shared" si="3"/>
        <v>0</v>
      </c>
      <c r="Z53" s="28">
        <f t="shared" si="3"/>
        <v>0</v>
      </c>
      <c r="AA53" s="28" t="str">
        <f t="shared" si="3"/>
        <v xml:space="preserve"> 　770人～　839人</v>
      </c>
      <c r="AB53" s="28">
        <f t="shared" si="3"/>
        <v>528100</v>
      </c>
      <c r="AC53" s="28">
        <f t="shared" si="3"/>
        <v>0</v>
      </c>
      <c r="AD53" s="28">
        <f t="shared" si="3"/>
        <v>5280</v>
      </c>
      <c r="AE53" s="28">
        <f t="shared" si="3"/>
        <v>0</v>
      </c>
      <c r="AF53" s="28">
        <f t="shared" si="3"/>
        <v>0</v>
      </c>
      <c r="AG53" s="28">
        <f t="shared" si="3"/>
        <v>0</v>
      </c>
      <c r="AH53" s="28" t="str">
        <f t="shared" si="3"/>
        <v>＋</v>
      </c>
      <c r="AI53" s="28">
        <f t="shared" si="3"/>
        <v>13190</v>
      </c>
      <c r="AJ53" s="28" t="str">
        <f t="shared" si="3"/>
        <v>＋</v>
      </c>
      <c r="AK53" s="28">
        <f t="shared" si="3"/>
        <v>70</v>
      </c>
      <c r="AL53" s="28" t="str">
        <f t="shared" si="3"/>
        <v>＋</v>
      </c>
      <c r="AM53" s="28">
        <f t="shared" si="3"/>
        <v>3600</v>
      </c>
      <c r="AN53" s="28">
        <f t="shared" si="3"/>
        <v>4000</v>
      </c>
      <c r="AO53" s="28" t="str">
        <f t="shared" si="3"/>
        <v>＋</v>
      </c>
      <c r="AP53" s="28" t="str">
        <f t="shared" si="3"/>
        <v>ａ地域</v>
      </c>
      <c r="AQ53" s="28">
        <f t="shared" si="3"/>
        <v>7100</v>
      </c>
      <c r="AR53" s="28">
        <f t="shared" si="3"/>
        <v>7900</v>
      </c>
      <c r="AS53" s="28" t="str">
        <f t="shared" si="3"/>
        <v>－</v>
      </c>
      <c r="AT53" s="28">
        <f t="shared" si="3"/>
        <v>410</v>
      </c>
      <c r="AU53" s="28" t="str">
        <f t="shared" si="3"/>
        <v>－</v>
      </c>
      <c r="AV53" s="28">
        <f>AV35</f>
        <v>0.14000000000000001</v>
      </c>
      <c r="AW53" s="28" t="str">
        <f t="shared" si="3"/>
        <v>－</v>
      </c>
      <c r="AX53" s="28"/>
      <c r="AY53" s="28"/>
      <c r="AZ53" s="28">
        <f>AZ31</f>
        <v>70</v>
      </c>
      <c r="BA53" s="28"/>
      <c r="BB53" s="234">
        <f>BB35</f>
        <v>0.02</v>
      </c>
      <c r="BC53" s="234">
        <f>BC35</f>
        <v>0.03</v>
      </c>
      <c r="BD53" s="234">
        <f>BD35</f>
        <v>0.05</v>
      </c>
      <c r="BE53" s="234">
        <f>BE35</f>
        <v>0.06</v>
      </c>
      <c r="BF53" s="28">
        <f t="shared" si="3"/>
        <v>0</v>
      </c>
      <c r="BG53" s="234">
        <f>BG35</f>
        <v>0</v>
      </c>
    </row>
    <row r="54" spans="1:59">
      <c r="A54" s="2211"/>
      <c r="B54" s="28">
        <v>61</v>
      </c>
      <c r="D54" s="28" t="str">
        <f>D39</f>
        <v>１､２歳児</v>
      </c>
      <c r="E54" s="28">
        <f>E39</f>
        <v>0</v>
      </c>
      <c r="F54" s="28">
        <f>F39</f>
        <v>111820</v>
      </c>
      <c r="G54" s="28">
        <f>G39</f>
        <v>180650</v>
      </c>
      <c r="H54" s="28">
        <f t="shared" ref="H54:BF54" si="4">H39</f>
        <v>105130</v>
      </c>
      <c r="I54" s="28">
        <f t="shared" si="4"/>
        <v>173960</v>
      </c>
      <c r="J54" s="28">
        <f t="shared" si="4"/>
        <v>0</v>
      </c>
      <c r="K54" s="28">
        <f t="shared" si="4"/>
        <v>0</v>
      </c>
      <c r="L54" s="28" t="str">
        <f t="shared" si="4"/>
        <v>＋</v>
      </c>
      <c r="M54" s="28">
        <f t="shared" si="4"/>
        <v>1000</v>
      </c>
      <c r="N54" s="28">
        <f t="shared" si="4"/>
        <v>1680</v>
      </c>
      <c r="O54" s="28" t="str">
        <f t="shared" si="4"/>
        <v>×加算率</v>
      </c>
      <c r="P54" s="28">
        <f t="shared" si="4"/>
        <v>930</v>
      </c>
      <c r="Q54" s="28">
        <f t="shared" si="4"/>
        <v>1610</v>
      </c>
      <c r="R54" s="28" t="str">
        <f t="shared" si="4"/>
        <v>×加算率</v>
      </c>
      <c r="S54" s="28" t="str">
        <f t="shared" si="4"/>
        <v>＋</v>
      </c>
      <c r="T54" s="28">
        <f t="shared" si="4"/>
        <v>138230</v>
      </c>
      <c r="U54" s="28">
        <f t="shared" si="4"/>
        <v>69110</v>
      </c>
      <c r="V54" s="28">
        <f t="shared" si="4"/>
        <v>1380</v>
      </c>
      <c r="W54" s="28">
        <f t="shared" si="4"/>
        <v>690</v>
      </c>
      <c r="X54" s="28" t="str">
        <f t="shared" si="4"/>
        <v>×加算率</v>
      </c>
      <c r="Y54" s="28">
        <f t="shared" si="4"/>
        <v>0</v>
      </c>
      <c r="Z54" s="28">
        <f t="shared" si="4"/>
        <v>0</v>
      </c>
      <c r="AA54" s="28" t="str">
        <f t="shared" si="4"/>
        <v xml:space="preserve"> 1,050人～</v>
      </c>
      <c r="AB54" s="28">
        <f t="shared" si="4"/>
        <v>663500</v>
      </c>
      <c r="AC54" s="28">
        <f t="shared" si="4"/>
        <v>0</v>
      </c>
      <c r="AD54" s="28">
        <f t="shared" si="4"/>
        <v>6630</v>
      </c>
      <c r="AE54" s="28">
        <f t="shared" si="4"/>
        <v>0</v>
      </c>
      <c r="AF54" s="28">
        <f t="shared" si="4"/>
        <v>0</v>
      </c>
      <c r="AG54" s="28">
        <f t="shared" si="4"/>
        <v>0</v>
      </c>
      <c r="AH54" s="28" t="str">
        <f t="shared" si="4"/>
        <v>＋</v>
      </c>
      <c r="AI54" s="28">
        <f t="shared" si="4"/>
        <v>12060</v>
      </c>
      <c r="AJ54" s="28" t="str">
        <f t="shared" si="4"/>
        <v>＋</v>
      </c>
      <c r="AK54" s="28">
        <f t="shared" si="4"/>
        <v>60</v>
      </c>
      <c r="AL54" s="28" t="str">
        <f t="shared" si="4"/>
        <v>＋</v>
      </c>
      <c r="AM54" s="28">
        <f t="shared" si="4"/>
        <v>3100</v>
      </c>
      <c r="AN54" s="28">
        <f t="shared" si="4"/>
        <v>3400</v>
      </c>
      <c r="AO54" s="28" t="str">
        <f t="shared" si="4"/>
        <v>＋</v>
      </c>
      <c r="AP54" s="28" t="str">
        <f t="shared" si="4"/>
        <v>ａ地域</v>
      </c>
      <c r="AQ54" s="28">
        <f t="shared" si="4"/>
        <v>6100</v>
      </c>
      <c r="AR54" s="28">
        <f t="shared" si="4"/>
        <v>6800</v>
      </c>
      <c r="AS54" s="28" t="str">
        <f t="shared" si="4"/>
        <v>－</v>
      </c>
      <c r="AT54" s="28">
        <f t="shared" si="4"/>
        <v>350</v>
      </c>
      <c r="AU54" s="28" t="str">
        <f t="shared" si="4"/>
        <v>－</v>
      </c>
      <c r="AV54" s="28">
        <f>AV43</f>
        <v>0.13</v>
      </c>
      <c r="AW54" s="28" t="str">
        <f t="shared" si="4"/>
        <v>－</v>
      </c>
      <c r="AX54" s="28"/>
      <c r="AY54" s="28"/>
      <c r="AZ54" s="28">
        <f>AZ39</f>
        <v>60</v>
      </c>
      <c r="BA54" s="28"/>
      <c r="BB54" s="234">
        <f>BB43</f>
        <v>0.02</v>
      </c>
      <c r="BC54" s="234">
        <f>BC43</f>
        <v>0.03</v>
      </c>
      <c r="BD54" s="234">
        <f>BD43</f>
        <v>0.05</v>
      </c>
      <c r="BE54" s="234">
        <f>BE43</f>
        <v>0.06</v>
      </c>
      <c r="BF54" s="28">
        <f t="shared" si="4"/>
        <v>0</v>
      </c>
      <c r="BG54" s="234">
        <f>BG43</f>
        <v>0</v>
      </c>
    </row>
    <row r="55" spans="1:59">
      <c r="AT55" s="78"/>
      <c r="AU55" s="78"/>
      <c r="AV55" s="78"/>
      <c r="AW55" s="79"/>
      <c r="AX55" s="79"/>
      <c r="AY55" s="79"/>
      <c r="AZ55" s="79"/>
      <c r="BA55" s="79"/>
      <c r="BB55" s="78"/>
      <c r="BC55" s="78"/>
      <c r="BD55" s="78"/>
      <c r="BE55" s="78"/>
      <c r="BF55" s="78"/>
      <c r="BG55" s="78"/>
    </row>
    <row r="56" spans="1:59">
      <c r="A56" s="2211" t="s">
        <v>133</v>
      </c>
      <c r="B56" s="28">
        <f>B50</f>
        <v>20</v>
      </c>
      <c r="D56" s="28" t="str">
        <f>D11</f>
        <v>乳児</v>
      </c>
      <c r="E56" s="28">
        <f t="shared" ref="E56:BG56" si="5">E11</f>
        <v>0</v>
      </c>
      <c r="F56" s="28">
        <f t="shared" si="5"/>
        <v>213520</v>
      </c>
      <c r="G56" s="28">
        <f t="shared" si="5"/>
        <v>0</v>
      </c>
      <c r="H56" s="28">
        <f t="shared" si="5"/>
        <v>197900</v>
      </c>
      <c r="I56" s="28">
        <f t="shared" si="5"/>
        <v>0</v>
      </c>
      <c r="J56" s="28">
        <f t="shared" si="5"/>
        <v>0</v>
      </c>
      <c r="K56" s="28">
        <f t="shared" si="5"/>
        <v>0</v>
      </c>
      <c r="L56" s="28" t="str">
        <f t="shared" si="5"/>
        <v>＋</v>
      </c>
      <c r="M56" s="28">
        <f t="shared" si="5"/>
        <v>2000</v>
      </c>
      <c r="N56" s="28">
        <f t="shared" si="5"/>
        <v>0</v>
      </c>
      <c r="O56" s="28" t="str">
        <f t="shared" si="5"/>
        <v>×加算率</v>
      </c>
      <c r="P56" s="28">
        <f t="shared" si="5"/>
        <v>1850</v>
      </c>
      <c r="Q56" s="28">
        <f t="shared" si="5"/>
        <v>0</v>
      </c>
      <c r="R56" s="28" t="str">
        <f t="shared" si="5"/>
        <v>×加算率</v>
      </c>
      <c r="S56" s="28" t="str">
        <f t="shared" si="5"/>
        <v>＋</v>
      </c>
      <c r="T56" s="28">
        <f t="shared" si="5"/>
        <v>69110</v>
      </c>
      <c r="U56" s="28">
        <f t="shared" si="5"/>
        <v>0</v>
      </c>
      <c r="V56" s="28">
        <f t="shared" si="5"/>
        <v>690</v>
      </c>
      <c r="W56" s="28">
        <f t="shared" si="5"/>
        <v>0</v>
      </c>
      <c r="X56" s="28" t="str">
        <f t="shared" si="5"/>
        <v>×加算率</v>
      </c>
      <c r="Y56" s="28">
        <f t="shared" si="5"/>
        <v>0</v>
      </c>
      <c r="Z56" s="28">
        <f t="shared" si="5"/>
        <v>0</v>
      </c>
      <c r="AA56" s="28">
        <f t="shared" si="5"/>
        <v>0</v>
      </c>
      <c r="AB56" s="28">
        <f t="shared" si="5"/>
        <v>0</v>
      </c>
      <c r="AC56" s="28">
        <f t="shared" si="5"/>
        <v>0</v>
      </c>
      <c r="AD56" s="28">
        <f t="shared" si="5"/>
        <v>0</v>
      </c>
      <c r="AE56" s="28">
        <f t="shared" si="5"/>
        <v>0</v>
      </c>
      <c r="AF56" s="28">
        <f t="shared" si="5"/>
        <v>0</v>
      </c>
      <c r="AG56" s="28">
        <f t="shared" si="5"/>
        <v>0</v>
      </c>
      <c r="AH56" s="28">
        <f t="shared" si="5"/>
        <v>0</v>
      </c>
      <c r="AI56" s="28">
        <f t="shared" si="5"/>
        <v>0</v>
      </c>
      <c r="AJ56" s="28">
        <f t="shared" si="5"/>
        <v>0</v>
      </c>
      <c r="AK56" s="28">
        <f t="shared" si="5"/>
        <v>0</v>
      </c>
      <c r="AL56" s="28">
        <f t="shared" si="5"/>
        <v>0</v>
      </c>
      <c r="AM56" s="28">
        <f t="shared" si="5"/>
        <v>0</v>
      </c>
      <c r="AN56" s="28">
        <f t="shared" si="5"/>
        <v>0</v>
      </c>
      <c r="AO56" s="28">
        <f t="shared" si="5"/>
        <v>0</v>
      </c>
      <c r="AP56" s="28" t="str">
        <f t="shared" si="5"/>
        <v>ｃ地域</v>
      </c>
      <c r="AQ56" s="28">
        <f t="shared" si="5"/>
        <v>5100</v>
      </c>
      <c r="AR56" s="28">
        <f t="shared" si="5"/>
        <v>5600</v>
      </c>
      <c r="AS56" s="28">
        <f t="shared" si="5"/>
        <v>0</v>
      </c>
      <c r="AT56" s="28">
        <f t="shared" si="5"/>
        <v>0</v>
      </c>
      <c r="AU56" s="28">
        <f t="shared" si="5"/>
        <v>0</v>
      </c>
      <c r="AV56" s="28"/>
      <c r="AW56" s="28">
        <f t="shared" si="5"/>
        <v>0</v>
      </c>
      <c r="AX56" s="28"/>
      <c r="AY56" s="28"/>
      <c r="AZ56" s="28"/>
      <c r="BA56" s="28"/>
      <c r="BB56" s="28"/>
      <c r="BC56" s="28"/>
      <c r="BD56" s="28"/>
      <c r="BE56" s="28"/>
      <c r="BF56" s="28">
        <f t="shared" si="5"/>
        <v>0</v>
      </c>
      <c r="BG56" s="28">
        <f t="shared" si="5"/>
        <v>0</v>
      </c>
    </row>
    <row r="57" spans="1:59">
      <c r="A57" s="2211"/>
      <c r="B57" s="28">
        <f>B51</f>
        <v>31</v>
      </c>
      <c r="D57" s="28" t="str">
        <f>D19</f>
        <v>乳児</v>
      </c>
      <c r="E57" s="28">
        <f t="shared" ref="E57:BG57" si="6">E19</f>
        <v>0</v>
      </c>
      <c r="F57" s="28">
        <f t="shared" si="6"/>
        <v>197890</v>
      </c>
      <c r="G57" s="28">
        <f t="shared" si="6"/>
        <v>0</v>
      </c>
      <c r="H57" s="28">
        <f t="shared" si="6"/>
        <v>186180</v>
      </c>
      <c r="I57" s="28">
        <f t="shared" si="6"/>
        <v>0</v>
      </c>
      <c r="J57" s="28">
        <f t="shared" si="6"/>
        <v>0</v>
      </c>
      <c r="K57" s="28">
        <f t="shared" si="6"/>
        <v>0</v>
      </c>
      <c r="L57" s="28" t="str">
        <f t="shared" si="6"/>
        <v>＋</v>
      </c>
      <c r="M57" s="28">
        <f t="shared" si="6"/>
        <v>1850</v>
      </c>
      <c r="N57" s="28">
        <f t="shared" si="6"/>
        <v>0</v>
      </c>
      <c r="O57" s="28" t="str">
        <f t="shared" si="6"/>
        <v>×加算率</v>
      </c>
      <c r="P57" s="28">
        <f t="shared" si="6"/>
        <v>1730</v>
      </c>
      <c r="Q57" s="28">
        <f t="shared" si="6"/>
        <v>0</v>
      </c>
      <c r="R57" s="28" t="str">
        <f t="shared" si="6"/>
        <v>×加算率</v>
      </c>
      <c r="S57" s="28" t="str">
        <f t="shared" si="6"/>
        <v>＋</v>
      </c>
      <c r="T57" s="28">
        <f t="shared" si="6"/>
        <v>69110</v>
      </c>
      <c r="U57" s="28">
        <f t="shared" si="6"/>
        <v>0</v>
      </c>
      <c r="V57" s="28">
        <f t="shared" si="6"/>
        <v>690</v>
      </c>
      <c r="W57" s="28">
        <f t="shared" si="6"/>
        <v>0</v>
      </c>
      <c r="X57" s="28" t="str">
        <f t="shared" si="6"/>
        <v>×加算率</v>
      </c>
      <c r="Y57" s="28">
        <f t="shared" si="6"/>
        <v>0</v>
      </c>
      <c r="Z57" s="28">
        <f t="shared" si="6"/>
        <v>0</v>
      </c>
      <c r="AA57" s="28" t="str">
        <f t="shared" si="6"/>
        <v xml:space="preserve"> 　350人～　419人</v>
      </c>
      <c r="AB57" s="28">
        <f t="shared" si="6"/>
        <v>325100</v>
      </c>
      <c r="AC57" s="28">
        <f t="shared" si="6"/>
        <v>0</v>
      </c>
      <c r="AD57" s="28">
        <f t="shared" si="6"/>
        <v>3250</v>
      </c>
      <c r="AE57" s="28">
        <f t="shared" si="6"/>
        <v>0</v>
      </c>
      <c r="AF57" s="28">
        <f t="shared" si="6"/>
        <v>0</v>
      </c>
      <c r="AG57" s="28">
        <f t="shared" si="6"/>
        <v>0</v>
      </c>
      <c r="AH57" s="28">
        <f t="shared" si="6"/>
        <v>0</v>
      </c>
      <c r="AI57" s="28">
        <f t="shared" si="6"/>
        <v>0</v>
      </c>
      <c r="AJ57" s="28">
        <f t="shared" si="6"/>
        <v>0</v>
      </c>
      <c r="AK57" s="28">
        <f t="shared" si="6"/>
        <v>0</v>
      </c>
      <c r="AL57" s="28">
        <f t="shared" si="6"/>
        <v>0</v>
      </c>
      <c r="AM57" s="28">
        <f t="shared" si="6"/>
        <v>0</v>
      </c>
      <c r="AN57" s="28">
        <f t="shared" si="6"/>
        <v>0</v>
      </c>
      <c r="AO57" s="28">
        <f t="shared" si="6"/>
        <v>0</v>
      </c>
      <c r="AP57" s="28" t="str">
        <f t="shared" si="6"/>
        <v>ｃ地域</v>
      </c>
      <c r="AQ57" s="28">
        <f t="shared" si="6"/>
        <v>4500</v>
      </c>
      <c r="AR57" s="28">
        <f t="shared" si="6"/>
        <v>5000</v>
      </c>
      <c r="AS57" s="28">
        <f t="shared" si="6"/>
        <v>0</v>
      </c>
      <c r="AT57" s="28">
        <f t="shared" si="6"/>
        <v>0</v>
      </c>
      <c r="AU57" s="28">
        <f t="shared" si="6"/>
        <v>0</v>
      </c>
      <c r="AV57" s="28"/>
      <c r="AW57" s="28">
        <f t="shared" si="6"/>
        <v>0</v>
      </c>
      <c r="AX57" s="28"/>
      <c r="AY57" s="28"/>
      <c r="AZ57" s="28"/>
      <c r="BA57" s="28"/>
      <c r="BB57" s="28"/>
      <c r="BC57" s="28"/>
      <c r="BD57" s="28"/>
      <c r="BE57" s="28"/>
      <c r="BF57" s="28">
        <f t="shared" si="6"/>
        <v>0</v>
      </c>
      <c r="BG57" s="28">
        <f t="shared" si="6"/>
        <v>0</v>
      </c>
    </row>
    <row r="58" spans="1:59">
      <c r="A58" s="2211"/>
      <c r="B58" s="28">
        <f>B52</f>
        <v>41</v>
      </c>
      <c r="D58" s="28" t="str">
        <f>D27</f>
        <v>乳児</v>
      </c>
      <c r="E58" s="28">
        <f t="shared" ref="E58:BG58" si="7">E27</f>
        <v>0</v>
      </c>
      <c r="F58" s="28">
        <f t="shared" si="7"/>
        <v>193620</v>
      </c>
      <c r="G58" s="28">
        <f t="shared" si="7"/>
        <v>0</v>
      </c>
      <c r="H58" s="28">
        <f t="shared" si="7"/>
        <v>184250</v>
      </c>
      <c r="I58" s="28">
        <f t="shared" si="7"/>
        <v>0</v>
      </c>
      <c r="J58" s="28">
        <f t="shared" si="7"/>
        <v>0</v>
      </c>
      <c r="K58" s="28">
        <f t="shared" si="7"/>
        <v>0</v>
      </c>
      <c r="L58" s="28" t="str">
        <f t="shared" si="7"/>
        <v>＋</v>
      </c>
      <c r="M58" s="28">
        <f t="shared" si="7"/>
        <v>1810</v>
      </c>
      <c r="N58" s="28">
        <f t="shared" si="7"/>
        <v>0</v>
      </c>
      <c r="O58" s="28" t="str">
        <f t="shared" si="7"/>
        <v>×加算率</v>
      </c>
      <c r="P58" s="28">
        <f t="shared" si="7"/>
        <v>1720</v>
      </c>
      <c r="Q58" s="28">
        <f t="shared" si="7"/>
        <v>0</v>
      </c>
      <c r="R58" s="28" t="str">
        <f t="shared" si="7"/>
        <v>×加算率</v>
      </c>
      <c r="S58" s="28" t="str">
        <f t="shared" si="7"/>
        <v>＋</v>
      </c>
      <c r="T58" s="28">
        <f t="shared" si="7"/>
        <v>69110</v>
      </c>
      <c r="U58" s="28">
        <f t="shared" si="7"/>
        <v>0</v>
      </c>
      <c r="V58" s="28">
        <f t="shared" si="7"/>
        <v>690</v>
      </c>
      <c r="W58" s="28">
        <f t="shared" si="7"/>
        <v>0</v>
      </c>
      <c r="X58" s="28" t="str">
        <f t="shared" si="7"/>
        <v>×加算率</v>
      </c>
      <c r="Y58" s="28">
        <f t="shared" si="7"/>
        <v>0</v>
      </c>
      <c r="Z58" s="28">
        <f t="shared" si="7"/>
        <v>0</v>
      </c>
      <c r="AA58" s="28" t="str">
        <f t="shared" si="7"/>
        <v>　 630人～　699人</v>
      </c>
      <c r="AB58" s="28">
        <f t="shared" si="7"/>
        <v>460500</v>
      </c>
      <c r="AC58" s="28">
        <f t="shared" si="7"/>
        <v>0</v>
      </c>
      <c r="AD58" s="28">
        <f t="shared" si="7"/>
        <v>4600</v>
      </c>
      <c r="AE58" s="28">
        <f t="shared" si="7"/>
        <v>0</v>
      </c>
      <c r="AF58" s="28">
        <f t="shared" si="7"/>
        <v>0</v>
      </c>
      <c r="AG58" s="28" t="str">
        <f t="shared" si="7"/>
        <v>利用子ども数</v>
      </c>
      <c r="AH58" s="28">
        <f t="shared" si="7"/>
        <v>0</v>
      </c>
      <c r="AI58" s="28">
        <f t="shared" si="7"/>
        <v>0</v>
      </c>
      <c r="AJ58" s="28">
        <f t="shared" si="7"/>
        <v>0</v>
      </c>
      <c r="AK58" s="28">
        <f t="shared" si="7"/>
        <v>0</v>
      </c>
      <c r="AL58" s="28">
        <f t="shared" si="7"/>
        <v>0</v>
      </c>
      <c r="AM58" s="28">
        <f t="shared" si="7"/>
        <v>0</v>
      </c>
      <c r="AN58" s="28">
        <f t="shared" si="7"/>
        <v>0</v>
      </c>
      <c r="AO58" s="28">
        <f t="shared" si="7"/>
        <v>0</v>
      </c>
      <c r="AP58" s="28" t="str">
        <f t="shared" si="7"/>
        <v>ｃ地域</v>
      </c>
      <c r="AQ58" s="28">
        <f t="shared" si="7"/>
        <v>4000</v>
      </c>
      <c r="AR58" s="28">
        <f t="shared" si="7"/>
        <v>4500</v>
      </c>
      <c r="AS58" s="28">
        <f t="shared" si="7"/>
        <v>0</v>
      </c>
      <c r="AT58" s="28">
        <f t="shared" si="7"/>
        <v>0</v>
      </c>
      <c r="AU58" s="28">
        <f t="shared" si="7"/>
        <v>0</v>
      </c>
      <c r="AV58" s="28"/>
      <c r="AW58" s="28">
        <f t="shared" si="7"/>
        <v>0</v>
      </c>
      <c r="AX58" s="28"/>
      <c r="AY58" s="28"/>
      <c r="AZ58" s="28"/>
      <c r="BA58" s="28"/>
      <c r="BB58" s="28"/>
      <c r="BC58" s="28"/>
      <c r="BD58" s="28"/>
      <c r="BE58" s="28"/>
      <c r="BF58" s="28">
        <f t="shared" si="7"/>
        <v>0</v>
      </c>
      <c r="BG58" s="28">
        <f t="shared" si="7"/>
        <v>0</v>
      </c>
    </row>
    <row r="59" spans="1:59">
      <c r="A59" s="2211"/>
      <c r="B59" s="28">
        <f>B53</f>
        <v>51</v>
      </c>
      <c r="D59" s="28" t="str">
        <f>D35</f>
        <v>乳児</v>
      </c>
      <c r="E59" s="28">
        <f t="shared" ref="E59:BG59" si="8">E35</f>
        <v>0</v>
      </c>
      <c r="F59" s="28">
        <f t="shared" si="8"/>
        <v>186010</v>
      </c>
      <c r="G59" s="28">
        <f t="shared" si="8"/>
        <v>0</v>
      </c>
      <c r="H59" s="28">
        <f t="shared" si="8"/>
        <v>178200</v>
      </c>
      <c r="I59" s="28">
        <f t="shared" si="8"/>
        <v>0</v>
      </c>
      <c r="J59" s="28">
        <f t="shared" si="8"/>
        <v>0</v>
      </c>
      <c r="K59" s="28">
        <f t="shared" si="8"/>
        <v>0</v>
      </c>
      <c r="L59" s="28" t="str">
        <f t="shared" si="8"/>
        <v>＋</v>
      </c>
      <c r="M59" s="28">
        <f t="shared" si="8"/>
        <v>1730</v>
      </c>
      <c r="N59" s="28">
        <f t="shared" si="8"/>
        <v>0</v>
      </c>
      <c r="O59" s="28" t="str">
        <f t="shared" si="8"/>
        <v>×加算率</v>
      </c>
      <c r="P59" s="28">
        <f t="shared" si="8"/>
        <v>1660</v>
      </c>
      <c r="Q59" s="28">
        <f t="shared" si="8"/>
        <v>0</v>
      </c>
      <c r="R59" s="28" t="str">
        <f t="shared" si="8"/>
        <v>×加算率</v>
      </c>
      <c r="S59" s="28" t="str">
        <f t="shared" si="8"/>
        <v>＋</v>
      </c>
      <c r="T59" s="28">
        <f t="shared" si="8"/>
        <v>69110</v>
      </c>
      <c r="U59" s="28">
        <f t="shared" si="8"/>
        <v>0</v>
      </c>
      <c r="V59" s="28">
        <f t="shared" si="8"/>
        <v>690</v>
      </c>
      <c r="W59" s="28">
        <f t="shared" si="8"/>
        <v>0</v>
      </c>
      <c r="X59" s="28" t="str">
        <f t="shared" si="8"/>
        <v>×加算率</v>
      </c>
      <c r="Y59" s="28">
        <f t="shared" si="8"/>
        <v>0</v>
      </c>
      <c r="Z59" s="28">
        <f t="shared" si="8"/>
        <v>0</v>
      </c>
      <c r="AA59" s="28" t="str">
        <f t="shared" si="8"/>
        <v xml:space="preserve"> 　910人～　979人</v>
      </c>
      <c r="AB59" s="28">
        <f t="shared" si="8"/>
        <v>595800</v>
      </c>
      <c r="AC59" s="28">
        <f t="shared" si="8"/>
        <v>0</v>
      </c>
      <c r="AD59" s="28">
        <f t="shared" si="8"/>
        <v>5950</v>
      </c>
      <c r="AE59" s="28">
        <f t="shared" si="8"/>
        <v>0</v>
      </c>
      <c r="AF59" s="28">
        <f t="shared" si="8"/>
        <v>0</v>
      </c>
      <c r="AG59" s="28">
        <f t="shared" si="8"/>
        <v>0</v>
      </c>
      <c r="AH59" s="28">
        <f t="shared" si="8"/>
        <v>0</v>
      </c>
      <c r="AI59" s="28">
        <f t="shared" si="8"/>
        <v>0</v>
      </c>
      <c r="AJ59" s="28">
        <f t="shared" si="8"/>
        <v>0</v>
      </c>
      <c r="AK59" s="28">
        <f t="shared" si="8"/>
        <v>0</v>
      </c>
      <c r="AL59" s="28">
        <f t="shared" si="8"/>
        <v>0</v>
      </c>
      <c r="AM59" s="28">
        <f t="shared" si="8"/>
        <v>0</v>
      </c>
      <c r="AN59" s="28">
        <f t="shared" si="8"/>
        <v>0</v>
      </c>
      <c r="AO59" s="28">
        <f t="shared" si="8"/>
        <v>0</v>
      </c>
      <c r="AP59" s="28" t="str">
        <f t="shared" si="8"/>
        <v>ｃ地域</v>
      </c>
      <c r="AQ59" s="28">
        <f t="shared" si="8"/>
        <v>3400</v>
      </c>
      <c r="AR59" s="28">
        <f t="shared" si="8"/>
        <v>3800</v>
      </c>
      <c r="AS59" s="28">
        <f t="shared" si="8"/>
        <v>0</v>
      </c>
      <c r="AT59" s="28">
        <f t="shared" si="8"/>
        <v>0</v>
      </c>
      <c r="AU59" s="28">
        <f t="shared" si="8"/>
        <v>0</v>
      </c>
      <c r="AV59" s="28"/>
      <c r="AW59" s="28">
        <f t="shared" si="8"/>
        <v>0</v>
      </c>
      <c r="AX59" s="28"/>
      <c r="AY59" s="28"/>
      <c r="AZ59" s="28"/>
      <c r="BA59" s="28"/>
      <c r="BB59" s="28"/>
      <c r="BC59" s="28"/>
      <c r="BD59" s="28"/>
      <c r="BE59" s="28"/>
      <c r="BF59" s="28">
        <f t="shared" si="8"/>
        <v>0</v>
      </c>
      <c r="BG59" s="28">
        <f t="shared" si="8"/>
        <v>0</v>
      </c>
    </row>
    <row r="60" spans="1:59">
      <c r="A60" s="2211"/>
      <c r="B60" s="28">
        <f>B54</f>
        <v>61</v>
      </c>
      <c r="D60" s="28" t="str">
        <f>D43</f>
        <v>乳児</v>
      </c>
      <c r="E60" s="28">
        <f t="shared" ref="E60:BG60" si="9">E43</f>
        <v>0</v>
      </c>
      <c r="F60" s="28">
        <f t="shared" si="9"/>
        <v>180650</v>
      </c>
      <c r="G60" s="28">
        <f t="shared" si="9"/>
        <v>0</v>
      </c>
      <c r="H60" s="28">
        <f t="shared" si="9"/>
        <v>173960</v>
      </c>
      <c r="I60" s="28">
        <f t="shared" si="9"/>
        <v>0</v>
      </c>
      <c r="J60" s="28">
        <f t="shared" si="9"/>
        <v>0</v>
      </c>
      <c r="K60" s="28">
        <f t="shared" si="9"/>
        <v>0</v>
      </c>
      <c r="L60" s="28" t="str">
        <f t="shared" si="9"/>
        <v>＋</v>
      </c>
      <c r="M60" s="28">
        <f t="shared" si="9"/>
        <v>1680</v>
      </c>
      <c r="N60" s="28">
        <f t="shared" si="9"/>
        <v>0</v>
      </c>
      <c r="O60" s="28" t="str">
        <f t="shared" si="9"/>
        <v>×加算率</v>
      </c>
      <c r="P60" s="28">
        <f t="shared" si="9"/>
        <v>1610</v>
      </c>
      <c r="Q60" s="28">
        <f t="shared" si="9"/>
        <v>0</v>
      </c>
      <c r="R60" s="28" t="str">
        <f t="shared" si="9"/>
        <v>×加算率</v>
      </c>
      <c r="S60" s="28" t="str">
        <f t="shared" si="9"/>
        <v>＋</v>
      </c>
      <c r="T60" s="28">
        <f t="shared" si="9"/>
        <v>69110</v>
      </c>
      <c r="U60" s="28">
        <f t="shared" si="9"/>
        <v>0</v>
      </c>
      <c r="V60" s="28">
        <f t="shared" si="9"/>
        <v>690</v>
      </c>
      <c r="W60" s="28">
        <f t="shared" si="9"/>
        <v>0</v>
      </c>
      <c r="X60" s="28" t="str">
        <f t="shared" si="9"/>
        <v>×加算率</v>
      </c>
      <c r="Y60" s="28">
        <f t="shared" si="9"/>
        <v>0</v>
      </c>
      <c r="Z60" s="28">
        <f t="shared" si="9"/>
        <v>0</v>
      </c>
      <c r="AA60" s="28">
        <f t="shared" si="9"/>
        <v>0</v>
      </c>
      <c r="AB60" s="28">
        <f t="shared" si="9"/>
        <v>0</v>
      </c>
      <c r="AC60" s="28">
        <f t="shared" si="9"/>
        <v>0</v>
      </c>
      <c r="AD60" s="28">
        <f t="shared" si="9"/>
        <v>0</v>
      </c>
      <c r="AE60" s="28">
        <f t="shared" si="9"/>
        <v>0</v>
      </c>
      <c r="AF60" s="28">
        <f t="shared" si="9"/>
        <v>0</v>
      </c>
      <c r="AG60" s="28">
        <f t="shared" si="9"/>
        <v>0</v>
      </c>
      <c r="AH60" s="28">
        <f t="shared" si="9"/>
        <v>0</v>
      </c>
      <c r="AI60" s="28">
        <f t="shared" si="9"/>
        <v>0</v>
      </c>
      <c r="AJ60" s="28">
        <f t="shared" si="9"/>
        <v>0</v>
      </c>
      <c r="AK60" s="28">
        <f t="shared" si="9"/>
        <v>0</v>
      </c>
      <c r="AL60" s="28">
        <f t="shared" si="9"/>
        <v>0</v>
      </c>
      <c r="AM60" s="28">
        <f t="shared" si="9"/>
        <v>0</v>
      </c>
      <c r="AN60" s="28">
        <f t="shared" si="9"/>
        <v>0</v>
      </c>
      <c r="AO60" s="28">
        <f t="shared" si="9"/>
        <v>0</v>
      </c>
      <c r="AP60" s="28" t="str">
        <f t="shared" si="9"/>
        <v>ｃ地域</v>
      </c>
      <c r="AQ60" s="28">
        <f t="shared" si="9"/>
        <v>2900</v>
      </c>
      <c r="AR60" s="28">
        <f t="shared" si="9"/>
        <v>3200</v>
      </c>
      <c r="AS60" s="28">
        <f t="shared" si="9"/>
        <v>0</v>
      </c>
      <c r="AT60" s="28">
        <f t="shared" si="9"/>
        <v>0</v>
      </c>
      <c r="AU60" s="28">
        <f t="shared" si="9"/>
        <v>0</v>
      </c>
      <c r="AV60" s="28"/>
      <c r="AW60" s="28">
        <f t="shared" si="9"/>
        <v>0</v>
      </c>
      <c r="AX60" s="28"/>
      <c r="AY60" s="28"/>
      <c r="AZ60" s="28"/>
      <c r="BA60" s="28"/>
      <c r="BB60" s="28"/>
      <c r="BC60" s="28"/>
      <c r="BD60" s="28"/>
      <c r="BE60" s="28"/>
      <c r="BF60" s="28">
        <f t="shared" si="9"/>
        <v>0</v>
      </c>
      <c r="BG60" s="28">
        <f t="shared" si="9"/>
        <v>0</v>
      </c>
    </row>
    <row r="62" spans="1:59">
      <c r="A62" s="232" t="s">
        <v>135</v>
      </c>
      <c r="B62" s="28">
        <v>1</v>
      </c>
      <c r="C62" s="28">
        <f>AD13</f>
        <v>2400</v>
      </c>
    </row>
    <row r="63" spans="1:59">
      <c r="A63" s="28" t="e">
        <f>IF(ROUNDDOWN(VLOOKUP('入力（加算）事20'!$F$30,$B$62:$C$75,2,TRUE)/'入力（加算）事20'!$I$62,-1)&lt;10,ROUNDDOWN(VLOOKUP('入力（加算）事20'!$F$30,$B$62:$C$75,2,TRUE)/'入力（加算）事20'!$I$62,0),ROUNDDOWN(VLOOKUP('入力（加算）事20'!$F$30,$B$62:$C$75,2,TRUE)/'入力（加算）事20'!$I$62,-1))</f>
        <v>#N/A</v>
      </c>
      <c r="B63" s="28">
        <v>211</v>
      </c>
      <c r="C63" s="28">
        <f>AD15</f>
        <v>2570</v>
      </c>
    </row>
    <row r="64" spans="1:59">
      <c r="A64" s="232"/>
      <c r="B64" s="28">
        <v>280</v>
      </c>
      <c r="C64" s="28">
        <f>AD17</f>
        <v>2910</v>
      </c>
    </row>
    <row r="65" spans="1:3">
      <c r="A65" s="232"/>
      <c r="B65" s="28">
        <v>350</v>
      </c>
      <c r="C65" s="28">
        <f>AD19</f>
        <v>3250</v>
      </c>
    </row>
    <row r="66" spans="1:3">
      <c r="A66" s="232"/>
      <c r="B66" s="28">
        <v>420</v>
      </c>
      <c r="C66" s="28">
        <f>AD21</f>
        <v>3590</v>
      </c>
    </row>
    <row r="67" spans="1:3">
      <c r="A67" s="232"/>
      <c r="B67" s="28">
        <v>490</v>
      </c>
      <c r="C67" s="28">
        <f>AD23</f>
        <v>3920</v>
      </c>
    </row>
    <row r="68" spans="1:3">
      <c r="A68" s="232"/>
      <c r="B68" s="28">
        <v>560</v>
      </c>
      <c r="C68" s="28">
        <f>AD25</f>
        <v>4260</v>
      </c>
    </row>
    <row r="69" spans="1:3">
      <c r="A69" s="232"/>
      <c r="B69" s="28">
        <v>630</v>
      </c>
      <c r="C69" s="28">
        <f>AD27</f>
        <v>4600</v>
      </c>
    </row>
    <row r="70" spans="1:3">
      <c r="A70" s="232"/>
      <c r="B70" s="28">
        <v>700</v>
      </c>
      <c r="C70" s="28">
        <f>AD29</f>
        <v>4940</v>
      </c>
    </row>
    <row r="71" spans="1:3">
      <c r="A71" s="232"/>
      <c r="B71" s="28">
        <v>770</v>
      </c>
      <c r="C71" s="28">
        <f>AD31</f>
        <v>5280</v>
      </c>
    </row>
    <row r="72" spans="1:3">
      <c r="A72" s="232"/>
      <c r="B72" s="28">
        <v>840</v>
      </c>
      <c r="C72" s="28">
        <f>AD33</f>
        <v>5620</v>
      </c>
    </row>
    <row r="73" spans="1:3">
      <c r="A73" s="232"/>
      <c r="B73" s="28">
        <v>910</v>
      </c>
      <c r="C73" s="28">
        <f>AD35</f>
        <v>5950</v>
      </c>
    </row>
    <row r="74" spans="1:3">
      <c r="A74" s="232"/>
      <c r="B74" s="28">
        <v>980</v>
      </c>
      <c r="C74" s="28">
        <f>AD37</f>
        <v>6290</v>
      </c>
    </row>
    <row r="75" spans="1:3">
      <c r="A75" s="232"/>
      <c r="B75" s="28">
        <v>1050</v>
      </c>
      <c r="C75" s="28">
        <f>AD39</f>
        <v>6630</v>
      </c>
    </row>
    <row r="76" spans="1:3">
      <c r="A76" s="209"/>
    </row>
    <row r="77" spans="1:3" ht="21">
      <c r="A77" s="231" t="s">
        <v>505</v>
      </c>
      <c r="B77" s="28" t="s">
        <v>514</v>
      </c>
      <c r="C77" s="222" t="e">
        <f>VLOOKUP($B$82,$B$50:$BG$54,53,TRUE)</f>
        <v>#N/A</v>
      </c>
    </row>
    <row r="78" spans="1:3">
      <c r="A78" s="231"/>
      <c r="B78" s="28" t="s">
        <v>515</v>
      </c>
      <c r="C78" s="222" t="e">
        <f>VLOOKUP($B$82,$B$50:$BG$54,54,TRUE)</f>
        <v>#N/A</v>
      </c>
    </row>
    <row r="79" spans="1:3">
      <c r="B79" s="28" t="s">
        <v>516</v>
      </c>
      <c r="C79" s="222" t="e">
        <f>VLOOKUP($B$82,$B$50:$BG$54,55,TRUE)</f>
        <v>#N/A</v>
      </c>
    </row>
    <row r="80" spans="1:3">
      <c r="B80" s="222" t="s">
        <v>517</v>
      </c>
      <c r="C80" s="222" t="e">
        <f>VLOOKUP($B$82,$B$50:$BG$54,56,TRUE)</f>
        <v>#N/A</v>
      </c>
    </row>
    <row r="81" spans="1:3">
      <c r="B81" s="222" t="s">
        <v>537</v>
      </c>
      <c r="C81" s="222">
        <v>0</v>
      </c>
    </row>
    <row r="82" spans="1:3">
      <c r="A82" s="223" t="s">
        <v>513</v>
      </c>
      <c r="B82" s="224">
        <f>'入力（加算）事20'!$D$8</f>
        <v>0</v>
      </c>
      <c r="C82" s="27"/>
    </row>
  </sheetData>
  <sheetProtection algorithmName="SHA-512" hashValue="9kBt5HwIjNwqrXz4MX9AQIdhfEG++SjMQW7F+tjub6+1JDK24VhQWPOYID6PV8UTfJ09laUbqDE6Ru18h8t3sw==" saltValue="D9zdwW48wRQ6u2ME6P5l7w==" spinCount="100000" sheet="1" objects="1" scenarios="1" selectLockedCells="1"/>
  <autoFilter ref="A4:AR46" xr:uid="{00000000-0009-0000-0000-00001F000000}"/>
  <customSheetViews>
    <customSheetView guid="{2E52E5FF-9846-4DC5-A671-268FE925398C}" scale="85" showPageBreaks="1" printArea="1" showAutoFilter="1" state="hidden" view="pageBreakPreview" topLeftCell="D1">
      <pane ySplit="5" topLeftCell="A27" activePane="bottomLeft" state="frozen"/>
      <selection pane="bottomLeft" activeCell="K7" sqref="K7:K46"/>
      <colBreaks count="2" manualBreakCount="2">
        <brk id="24" max="45" man="1"/>
        <brk id="40" max="45" man="1"/>
      </colBreaks>
      <pageMargins left="0.39370078740157483" right="0.39370078740157483" top="0.78740157480314965" bottom="0.39370078740157483" header="0.39370078740157483" footer="0.15748031496062992"/>
      <pageSetup paperSize="9" scale="75" pageOrder="overThenDown" orientation="portrait" r:id="rId1"/>
      <headerFooter differentFirst="1">
        <firstHeader>&amp;L&amp;"ＤＦ特太ゴシック体,標準"&amp;18事業所内保育事業（定員２０人以上）（保育認定）</firstHeader>
      </headerFooter>
      <autoFilter ref="A4:AR46" xr:uid="{AA0EA7BB-B32F-4C70-83F4-C8FA97E59681}"/>
    </customSheetView>
    <customSheetView guid="{BADA99B3-B36A-4925-87A7-F72FC97D3DBA}" scale="85" showPageBreaks="1" printArea="1" showAutoFilter="1" state="hidden" view="pageBreakPreview" topLeftCell="D1">
      <pane ySplit="5" topLeftCell="A27" activePane="bottomLeft" state="frozen"/>
      <selection pane="bottomLeft" activeCell="K7" sqref="K7:K46"/>
      <colBreaks count="2" manualBreakCount="2">
        <brk id="24" max="45" man="1"/>
        <brk id="40" max="45" man="1"/>
      </colBreaks>
      <pageMargins left="0.39370078740157483" right="0.39370078740157483" top="0.78740157480314965" bottom="0.39370078740157483" header="0.39370078740157483" footer="0.15748031496062992"/>
      <pageSetup paperSize="9" scale="75" pageOrder="overThenDown" orientation="portrait" r:id="rId2"/>
      <headerFooter differentFirst="1">
        <firstHeader>&amp;L&amp;"ＤＦ特太ゴシック体,標準"&amp;18事業所内保育事業（定員２０人以上）（保育認定）</firstHeader>
      </headerFooter>
      <autoFilter ref="A4:AR46" xr:uid="{89CCF262-11B0-4009-8826-C0FBE4A9A2AB}"/>
    </customSheetView>
  </customSheetViews>
  <mergeCells count="492">
    <mergeCell ref="A56:A60"/>
    <mergeCell ref="AQ45:AQ46"/>
    <mergeCell ref="AR45:AR46"/>
    <mergeCell ref="AI39:AI46"/>
    <mergeCell ref="AJ39:AJ46"/>
    <mergeCell ref="AM1:AN2"/>
    <mergeCell ref="AP1:AR2"/>
    <mergeCell ref="AT1:AT4"/>
    <mergeCell ref="S39:S42"/>
    <mergeCell ref="T39:T42"/>
    <mergeCell ref="U39:U42"/>
    <mergeCell ref="V39:V42"/>
    <mergeCell ref="W39:W42"/>
    <mergeCell ref="X39:X42"/>
    <mergeCell ref="AH39:AH46"/>
    <mergeCell ref="S43:S46"/>
    <mergeCell ref="T43:T46"/>
    <mergeCell ref="U43:U46"/>
    <mergeCell ref="V43:V46"/>
    <mergeCell ref="W43:W46"/>
    <mergeCell ref="AS39:AS46"/>
    <mergeCell ref="AT39:AT46"/>
    <mergeCell ref="AP43:AP44"/>
    <mergeCell ref="A50:A54"/>
    <mergeCell ref="AV43:AV46"/>
    <mergeCell ref="BB43:BB46"/>
    <mergeCell ref="BG43:BG46"/>
    <mergeCell ref="AK39:AK46"/>
    <mergeCell ref="AL39:AL46"/>
    <mergeCell ref="AO39:AO46"/>
    <mergeCell ref="AP39:AP40"/>
    <mergeCell ref="AQ39:AQ40"/>
    <mergeCell ref="AR39:AR40"/>
    <mergeCell ref="AP45:AP46"/>
    <mergeCell ref="AU39:AU46"/>
    <mergeCell ref="AV39:AV42"/>
    <mergeCell ref="AW39:AW46"/>
    <mergeCell ref="BB39:BB42"/>
    <mergeCell ref="AQ43:AQ44"/>
    <mergeCell ref="AR43:AR44"/>
    <mergeCell ref="AP41:AP42"/>
    <mergeCell ref="AQ41:AQ42"/>
    <mergeCell ref="AR41:AR42"/>
    <mergeCell ref="AM39:AM46"/>
    <mergeCell ref="AN39:AN46"/>
    <mergeCell ref="AX39:AX46"/>
    <mergeCell ref="AY39:AY46"/>
    <mergeCell ref="AZ39:AZ46"/>
    <mergeCell ref="Q43:Q46"/>
    <mergeCell ref="R43:R46"/>
    <mergeCell ref="N39:N42"/>
    <mergeCell ref="O39:O42"/>
    <mergeCell ref="BG1:BG4"/>
    <mergeCell ref="AM3:AN3"/>
    <mergeCell ref="AQ3:AR3"/>
    <mergeCell ref="AM5:AN5"/>
    <mergeCell ref="AP5:AR5"/>
    <mergeCell ref="AV1:AV4"/>
    <mergeCell ref="AV31:AV34"/>
    <mergeCell ref="AW31:AW38"/>
    <mergeCell ref="BB31:BB34"/>
    <mergeCell ref="AR27:AR28"/>
    <mergeCell ref="AT23:AT30"/>
    <mergeCell ref="AW7:AW14"/>
    <mergeCell ref="O35:O38"/>
    <mergeCell ref="P35:P38"/>
    <mergeCell ref="P39:P42"/>
    <mergeCell ref="BG31:BG34"/>
    <mergeCell ref="BG35:BG38"/>
    <mergeCell ref="X31:X34"/>
    <mergeCell ref="BF39:BF46"/>
    <mergeCell ref="BG39:BG42"/>
    <mergeCell ref="M43:M46"/>
    <mergeCell ref="W35:W38"/>
    <mergeCell ref="X35:X38"/>
    <mergeCell ref="B39:B46"/>
    <mergeCell ref="C39:C46"/>
    <mergeCell ref="D39:D42"/>
    <mergeCell ref="F39:F42"/>
    <mergeCell ref="G39:G42"/>
    <mergeCell ref="H39:H42"/>
    <mergeCell ref="I39:I42"/>
    <mergeCell ref="Q39:Q42"/>
    <mergeCell ref="R39:R42"/>
    <mergeCell ref="M39:M42"/>
    <mergeCell ref="D43:D46"/>
    <mergeCell ref="F43:F46"/>
    <mergeCell ref="G43:G46"/>
    <mergeCell ref="H43:H46"/>
    <mergeCell ref="I43:I46"/>
    <mergeCell ref="L43:L46"/>
    <mergeCell ref="X43:X46"/>
    <mergeCell ref="N43:N46"/>
    <mergeCell ref="D35:D38"/>
    <mergeCell ref="O43:O46"/>
    <mergeCell ref="P43:P46"/>
    <mergeCell ref="L39:L42"/>
    <mergeCell ref="M35:M38"/>
    <mergeCell ref="N35:N38"/>
    <mergeCell ref="AQ31:AQ32"/>
    <mergeCell ref="AP35:AP36"/>
    <mergeCell ref="AJ31:AJ38"/>
    <mergeCell ref="V31:V34"/>
    <mergeCell ref="AK31:AK38"/>
    <mergeCell ref="AL31:AL38"/>
    <mergeCell ref="AO31:AO38"/>
    <mergeCell ref="Q31:Q34"/>
    <mergeCell ref="R31:R34"/>
    <mergeCell ref="Q35:Q38"/>
    <mergeCell ref="R35:R38"/>
    <mergeCell ref="S31:S34"/>
    <mergeCell ref="W31:W34"/>
    <mergeCell ref="S35:S38"/>
    <mergeCell ref="T35:T38"/>
    <mergeCell ref="U35:U38"/>
    <mergeCell ref="AH31:AH38"/>
    <mergeCell ref="AI31:AI38"/>
    <mergeCell ref="V35:V38"/>
    <mergeCell ref="P31:P34"/>
    <mergeCell ref="AN31:AN38"/>
    <mergeCell ref="BF31:BF38"/>
    <mergeCell ref="AP33:AP34"/>
    <mergeCell ref="AQ33:AQ34"/>
    <mergeCell ref="AV35:AV38"/>
    <mergeCell ref="BB35:BB38"/>
    <mergeCell ref="AP37:AP38"/>
    <mergeCell ref="AR31:AR32"/>
    <mergeCell ref="AS31:AS38"/>
    <mergeCell ref="AT31:AT38"/>
    <mergeCell ref="AU31:AU38"/>
    <mergeCell ref="AQ37:AQ38"/>
    <mergeCell ref="AR37:AR38"/>
    <mergeCell ref="AR33:AR34"/>
    <mergeCell ref="AQ35:AQ36"/>
    <mergeCell ref="AR35:AR36"/>
    <mergeCell ref="BD31:BD34"/>
    <mergeCell ref="AP31:AP32"/>
    <mergeCell ref="BE35:BE38"/>
    <mergeCell ref="BA31:BA38"/>
    <mergeCell ref="BC31:BC34"/>
    <mergeCell ref="F35:F38"/>
    <mergeCell ref="G35:G38"/>
    <mergeCell ref="H35:H38"/>
    <mergeCell ref="I35:I38"/>
    <mergeCell ref="L35:L38"/>
    <mergeCell ref="L23:L26"/>
    <mergeCell ref="M23:M26"/>
    <mergeCell ref="N23:N26"/>
    <mergeCell ref="O23:O26"/>
    <mergeCell ref="F31:F34"/>
    <mergeCell ref="G31:G34"/>
    <mergeCell ref="H31:H34"/>
    <mergeCell ref="I31:I34"/>
    <mergeCell ref="L31:L34"/>
    <mergeCell ref="M31:M34"/>
    <mergeCell ref="N31:N34"/>
    <mergeCell ref="O31:O34"/>
    <mergeCell ref="P23:P26"/>
    <mergeCell ref="Q23:Q26"/>
    <mergeCell ref="R23:R26"/>
    <mergeCell ref="T23:T26"/>
    <mergeCell ref="V27:V30"/>
    <mergeCell ref="L27:L30"/>
    <mergeCell ref="M27:M30"/>
    <mergeCell ref="N27:N30"/>
    <mergeCell ref="O27:O30"/>
    <mergeCell ref="P27:P30"/>
    <mergeCell ref="Q27:Q30"/>
    <mergeCell ref="R27:R30"/>
    <mergeCell ref="S27:S30"/>
    <mergeCell ref="T27:T30"/>
    <mergeCell ref="BG27:BG30"/>
    <mergeCell ref="AQ29:AQ30"/>
    <mergeCell ref="AR29:AR30"/>
    <mergeCell ref="AW23:AW30"/>
    <mergeCell ref="BB23:BB26"/>
    <mergeCell ref="BF23:BF30"/>
    <mergeCell ref="BG23:BG26"/>
    <mergeCell ref="AU23:AU30"/>
    <mergeCell ref="BA23:BA30"/>
    <mergeCell ref="AQ23:AQ24"/>
    <mergeCell ref="AR23:AR24"/>
    <mergeCell ref="AS23:AS30"/>
    <mergeCell ref="AR25:AR26"/>
    <mergeCell ref="AQ27:AQ28"/>
    <mergeCell ref="BC27:BC30"/>
    <mergeCell ref="BD27:BD30"/>
    <mergeCell ref="BE27:BE30"/>
    <mergeCell ref="AV23:AV26"/>
    <mergeCell ref="AV27:AV30"/>
    <mergeCell ref="AQ25:AQ26"/>
    <mergeCell ref="BB27:BB30"/>
    <mergeCell ref="B23:B30"/>
    <mergeCell ref="C23:C30"/>
    <mergeCell ref="D23:D26"/>
    <mergeCell ref="F23:F26"/>
    <mergeCell ref="G23:G26"/>
    <mergeCell ref="H23:H26"/>
    <mergeCell ref="H27:H30"/>
    <mergeCell ref="G27:G30"/>
    <mergeCell ref="I23:I26"/>
    <mergeCell ref="F19:F22"/>
    <mergeCell ref="G19:G22"/>
    <mergeCell ref="H19:H22"/>
    <mergeCell ref="I19:I22"/>
    <mergeCell ref="L19:L22"/>
    <mergeCell ref="M19:M22"/>
    <mergeCell ref="N19:N22"/>
    <mergeCell ref="O19:O22"/>
    <mergeCell ref="P19:P22"/>
    <mergeCell ref="BG15:BG18"/>
    <mergeCell ref="AP17:AP18"/>
    <mergeCell ref="AQ17:AQ18"/>
    <mergeCell ref="AR17:AR18"/>
    <mergeCell ref="BG19:BG22"/>
    <mergeCell ref="AV15:AV18"/>
    <mergeCell ref="AW15:AW22"/>
    <mergeCell ref="BB15:BB18"/>
    <mergeCell ref="AP19:AP20"/>
    <mergeCell ref="AQ19:AQ20"/>
    <mergeCell ref="AR19:AR20"/>
    <mergeCell ref="AV19:AV22"/>
    <mergeCell ref="BB19:BB22"/>
    <mergeCell ref="BF15:BF22"/>
    <mergeCell ref="AP15:AP16"/>
    <mergeCell ref="AQ15:AQ16"/>
    <mergeCell ref="AR15:AR16"/>
    <mergeCell ref="AS15:AS22"/>
    <mergeCell ref="AT15:AT22"/>
    <mergeCell ref="AP21:AP22"/>
    <mergeCell ref="AQ21:AQ22"/>
    <mergeCell ref="AU15:AU22"/>
    <mergeCell ref="AR21:AR22"/>
    <mergeCell ref="BA15:BA22"/>
    <mergeCell ref="Q19:Q22"/>
    <mergeCell ref="R19:R22"/>
    <mergeCell ref="S19:S22"/>
    <mergeCell ref="S15:S18"/>
    <mergeCell ref="R15:R18"/>
    <mergeCell ref="T15:T18"/>
    <mergeCell ref="U15:U18"/>
    <mergeCell ref="T19:T22"/>
    <mergeCell ref="U19:U22"/>
    <mergeCell ref="BF7:BF14"/>
    <mergeCell ref="BG7:BG10"/>
    <mergeCell ref="AP9:AP10"/>
    <mergeCell ref="AQ9:AQ10"/>
    <mergeCell ref="AR9:AR10"/>
    <mergeCell ref="AQ11:AQ12"/>
    <mergeCell ref="AV11:AV14"/>
    <mergeCell ref="BB11:BB14"/>
    <mergeCell ref="BG11:BG14"/>
    <mergeCell ref="AP13:AP14"/>
    <mergeCell ref="AQ13:AQ14"/>
    <mergeCell ref="AR13:AR14"/>
    <mergeCell ref="AR7:AR8"/>
    <mergeCell ref="AS7:AS14"/>
    <mergeCell ref="AT7:AT14"/>
    <mergeCell ref="AU7:AU14"/>
    <mergeCell ref="AV7:AV10"/>
    <mergeCell ref="BA7:BA14"/>
    <mergeCell ref="AX7:AX14"/>
    <mergeCell ref="AY7:AY14"/>
    <mergeCell ref="AZ7:AZ14"/>
    <mergeCell ref="AP7:AP8"/>
    <mergeCell ref="AQ7:AQ8"/>
    <mergeCell ref="AR11:AR12"/>
    <mergeCell ref="AL7:AL14"/>
    <mergeCell ref="AO7:AO14"/>
    <mergeCell ref="AM7:AM14"/>
    <mergeCell ref="AN7:AN14"/>
    <mergeCell ref="AM15:AM22"/>
    <mergeCell ref="AH15:AH22"/>
    <mergeCell ref="AI15:AI22"/>
    <mergeCell ref="AJ15:AJ22"/>
    <mergeCell ref="AN15:AN22"/>
    <mergeCell ref="AK15:AK22"/>
    <mergeCell ref="AL15:AL22"/>
    <mergeCell ref="AO15:AO22"/>
    <mergeCell ref="AP11:AP12"/>
    <mergeCell ref="V15:V18"/>
    <mergeCell ref="V19:V22"/>
    <mergeCell ref="AH23:AH30"/>
    <mergeCell ref="AI23:AI30"/>
    <mergeCell ref="AJ23:AJ30"/>
    <mergeCell ref="AK23:AK30"/>
    <mergeCell ref="AL23:AL30"/>
    <mergeCell ref="AF7:AF46"/>
    <mergeCell ref="AP27:AP28"/>
    <mergeCell ref="AP29:AP30"/>
    <mergeCell ref="AG25:AG26"/>
    <mergeCell ref="AP25:AP26"/>
    <mergeCell ref="AO23:AO30"/>
    <mergeCell ref="AM23:AM30"/>
    <mergeCell ref="W7:W10"/>
    <mergeCell ref="X7:X10"/>
    <mergeCell ref="Y7:Y46"/>
    <mergeCell ref="W15:W18"/>
    <mergeCell ref="X15:X18"/>
    <mergeCell ref="W19:W22"/>
    <mergeCell ref="X19:X22"/>
    <mergeCell ref="AN23:AN30"/>
    <mergeCell ref="AM31:AM38"/>
    <mergeCell ref="B31:B38"/>
    <mergeCell ref="C31:C38"/>
    <mergeCell ref="D31:D34"/>
    <mergeCell ref="O7:O10"/>
    <mergeCell ref="D11:D14"/>
    <mergeCell ref="F11:F14"/>
    <mergeCell ref="G11:G14"/>
    <mergeCell ref="H11:H14"/>
    <mergeCell ref="U7:U10"/>
    <mergeCell ref="S23:S26"/>
    <mergeCell ref="L11:L14"/>
    <mergeCell ref="M11:M14"/>
    <mergeCell ref="N11:N14"/>
    <mergeCell ref="O11:O14"/>
    <mergeCell ref="P11:P14"/>
    <mergeCell ref="Q11:Q14"/>
    <mergeCell ref="R11:R14"/>
    <mergeCell ref="S11:S14"/>
    <mergeCell ref="Q15:Q18"/>
    <mergeCell ref="U23:U26"/>
    <mergeCell ref="U27:U30"/>
    <mergeCell ref="L15:L18"/>
    <mergeCell ref="M15:M18"/>
    <mergeCell ref="N15:N18"/>
    <mergeCell ref="D19:D22"/>
    <mergeCell ref="A1:A4"/>
    <mergeCell ref="B1:B4"/>
    <mergeCell ref="C1:C4"/>
    <mergeCell ref="D1:D4"/>
    <mergeCell ref="F1:I1"/>
    <mergeCell ref="I15:I18"/>
    <mergeCell ref="I27:I30"/>
    <mergeCell ref="A7:A46"/>
    <mergeCell ref="B7:B14"/>
    <mergeCell ref="C7:C14"/>
    <mergeCell ref="D7:D10"/>
    <mergeCell ref="F7:F10"/>
    <mergeCell ref="G7:G10"/>
    <mergeCell ref="D27:D30"/>
    <mergeCell ref="F27:F30"/>
    <mergeCell ref="H7:H10"/>
    <mergeCell ref="I11:I14"/>
    <mergeCell ref="I7:I10"/>
    <mergeCell ref="B15:B22"/>
    <mergeCell ref="C15:C22"/>
    <mergeCell ref="D15:D18"/>
    <mergeCell ref="F15:F18"/>
    <mergeCell ref="G15:G18"/>
    <mergeCell ref="F3:G3"/>
    <mergeCell ref="M1:R1"/>
    <mergeCell ref="T1:X2"/>
    <mergeCell ref="K1:K4"/>
    <mergeCell ref="H3:I3"/>
    <mergeCell ref="F2:G2"/>
    <mergeCell ref="H2:I2"/>
    <mergeCell ref="AA1:AG2"/>
    <mergeCell ref="AI1:AK2"/>
    <mergeCell ref="V3:X3"/>
    <mergeCell ref="AD3:AD4"/>
    <mergeCell ref="AG3:AG4"/>
    <mergeCell ref="R7:R10"/>
    <mergeCell ref="K7:K46"/>
    <mergeCell ref="H15:H18"/>
    <mergeCell ref="S7:S10"/>
    <mergeCell ref="T7:T10"/>
    <mergeCell ref="V7:V10"/>
    <mergeCell ref="V23:V26"/>
    <mergeCell ref="AK3:AK4"/>
    <mergeCell ref="M2:O2"/>
    <mergeCell ref="P2:R2"/>
    <mergeCell ref="T11:T14"/>
    <mergeCell ref="U11:U14"/>
    <mergeCell ref="V11:V14"/>
    <mergeCell ref="T31:T34"/>
    <mergeCell ref="U31:U34"/>
    <mergeCell ref="W11:W14"/>
    <mergeCell ref="X11:X14"/>
    <mergeCell ref="W27:W30"/>
    <mergeCell ref="X27:X30"/>
    <mergeCell ref="AG27:AG28"/>
    <mergeCell ref="W23:W26"/>
    <mergeCell ref="X23:X26"/>
    <mergeCell ref="O15:O18"/>
    <mergeCell ref="P15:P18"/>
    <mergeCell ref="BC39:BC42"/>
    <mergeCell ref="BD39:BD42"/>
    <mergeCell ref="BE39:BE42"/>
    <mergeCell ref="BC43:BC46"/>
    <mergeCell ref="BD43:BD46"/>
    <mergeCell ref="BE43:BE46"/>
    <mergeCell ref="BA39:BA46"/>
    <mergeCell ref="F5:G5"/>
    <mergeCell ref="H5:I5"/>
    <mergeCell ref="M5:O5"/>
    <mergeCell ref="P5:R5"/>
    <mergeCell ref="T5:X5"/>
    <mergeCell ref="AA5:AG5"/>
    <mergeCell ref="AI5:AK5"/>
    <mergeCell ref="AC7:AC46"/>
    <mergeCell ref="AH7:AH14"/>
    <mergeCell ref="AI7:AI14"/>
    <mergeCell ref="AJ7:AJ14"/>
    <mergeCell ref="AK7:AK14"/>
    <mergeCell ref="L7:L10"/>
    <mergeCell ref="M7:M10"/>
    <mergeCell ref="N7:N10"/>
    <mergeCell ref="P7:P10"/>
    <mergeCell ref="Q7:Q10"/>
    <mergeCell ref="AP23:AP24"/>
    <mergeCell ref="BE31:BE34"/>
    <mergeCell ref="BC35:BC38"/>
    <mergeCell ref="BD35:BD38"/>
    <mergeCell ref="AZ15:AZ22"/>
    <mergeCell ref="AX23:AX30"/>
    <mergeCell ref="AY23:AY30"/>
    <mergeCell ref="AZ23:AZ30"/>
    <mergeCell ref="AX31:AX38"/>
    <mergeCell ref="AY31:AY38"/>
    <mergeCell ref="AZ31:AZ38"/>
    <mergeCell ref="BC15:BC18"/>
    <mergeCell ref="BD15:BD18"/>
    <mergeCell ref="BE15:BE18"/>
    <mergeCell ref="BC19:BC22"/>
    <mergeCell ref="BD19:BD22"/>
    <mergeCell ref="BE19:BE22"/>
    <mergeCell ref="BC23:BC26"/>
    <mergeCell ref="BD23:BD26"/>
    <mergeCell ref="BE23:BE26"/>
    <mergeCell ref="BC7:BC10"/>
    <mergeCell ref="BD7:BD10"/>
    <mergeCell ref="BE7:BE10"/>
    <mergeCell ref="BC11:BC14"/>
    <mergeCell ref="BD11:BD14"/>
    <mergeCell ref="BE11:BE14"/>
    <mergeCell ref="AX15:AX22"/>
    <mergeCell ref="BB7:BB10"/>
    <mergeCell ref="AX1:AZ2"/>
    <mergeCell ref="BB1:BE1"/>
    <mergeCell ref="BB2:BB4"/>
    <mergeCell ref="BC2:BC4"/>
    <mergeCell ref="BD2:BD4"/>
    <mergeCell ref="BE2:BE4"/>
    <mergeCell ref="AZ3:AZ4"/>
    <mergeCell ref="AX5:AZ5"/>
    <mergeCell ref="BB5:BE5"/>
    <mergeCell ref="AY15:AY22"/>
    <mergeCell ref="AA10:AB11"/>
    <mergeCell ref="AA13:AA14"/>
    <mergeCell ref="AB13:AB14"/>
    <mergeCell ref="AD13:AD14"/>
    <mergeCell ref="AA15:AA16"/>
    <mergeCell ref="AB15:AB16"/>
    <mergeCell ref="AD15:AD16"/>
    <mergeCell ref="AA17:AA18"/>
    <mergeCell ref="AB17:AB18"/>
    <mergeCell ref="AD17:AD18"/>
    <mergeCell ref="AA19:AA20"/>
    <mergeCell ref="AB19:AB20"/>
    <mergeCell ref="AD19:AD20"/>
    <mergeCell ref="AA21:AA22"/>
    <mergeCell ref="AB21:AB22"/>
    <mergeCell ref="AD21:AD22"/>
    <mergeCell ref="AA23:AA24"/>
    <mergeCell ref="AB23:AB24"/>
    <mergeCell ref="AD23:AD24"/>
    <mergeCell ref="AA25:AA26"/>
    <mergeCell ref="AB25:AB26"/>
    <mergeCell ref="AD25:AD26"/>
    <mergeCell ref="AA27:AA28"/>
    <mergeCell ref="AB27:AB28"/>
    <mergeCell ref="AD27:AD28"/>
    <mergeCell ref="AA29:AA30"/>
    <mergeCell ref="AB29:AB30"/>
    <mergeCell ref="AD29:AD30"/>
    <mergeCell ref="AA37:AA38"/>
    <mergeCell ref="AB37:AB38"/>
    <mergeCell ref="AD37:AD38"/>
    <mergeCell ref="AA39:AA40"/>
    <mergeCell ref="AB39:AB40"/>
    <mergeCell ref="AD39:AD40"/>
    <mergeCell ref="AA31:AA32"/>
    <mergeCell ref="AB31:AB32"/>
    <mergeCell ref="AD31:AD32"/>
    <mergeCell ref="AA33:AA34"/>
    <mergeCell ref="AB33:AB34"/>
    <mergeCell ref="AD33:AD34"/>
    <mergeCell ref="AA35:AA36"/>
    <mergeCell ref="AB35:AB36"/>
    <mergeCell ref="AD35:AD36"/>
  </mergeCells>
  <phoneticPr fontId="4"/>
  <pageMargins left="0.39370078740157483" right="0.39370078740157483" top="0.78740157480314965" bottom="0.39370078740157483" header="0.39370078740157483" footer="0.15748031496062992"/>
  <pageSetup paperSize="9" scale="75" pageOrder="overThenDown" orientation="portrait" r:id="rId3"/>
  <headerFooter differentFirst="1">
    <firstHeader>&amp;L&amp;"ＤＦ特太ゴシック体,標準"&amp;18事業所内保育事業（定員２０人以上）（保育認定）</firstHeader>
  </headerFooter>
  <colBreaks count="2" manualBreakCount="2">
    <brk id="24" max="45" man="1"/>
    <brk id="40" max="45" man="1"/>
  </colBreaks>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rgb="FFFFFF00"/>
  </sheetPr>
  <dimension ref="A1:W31"/>
  <sheetViews>
    <sheetView view="pageBreakPreview" zoomScale="85" zoomScaleNormal="70" zoomScaleSheetLayoutView="85" workbookViewId="0">
      <selection activeCell="AA52" sqref="Y6:AB78"/>
    </sheetView>
  </sheetViews>
  <sheetFormatPr defaultColWidth="2.5" defaultRowHeight="25.5" customHeight="1"/>
  <cols>
    <col min="1" max="1" width="23" style="219" customWidth="1"/>
    <col min="2" max="2" width="2.5" style="219" customWidth="1"/>
    <col min="3" max="21" width="2.625" style="219" customWidth="1"/>
    <col min="22" max="22" width="1.25" style="219" customWidth="1"/>
    <col min="23" max="23" width="59.75" style="221" customWidth="1"/>
    <col min="24" max="16384" width="2.5" style="219"/>
  </cols>
  <sheetData>
    <row r="1" spans="1:23" ht="25.5" customHeight="1">
      <c r="A1" s="217" t="s">
        <v>32</v>
      </c>
      <c r="B1" s="218"/>
      <c r="C1" s="218"/>
      <c r="D1" s="218"/>
      <c r="E1" s="218"/>
      <c r="F1" s="218"/>
      <c r="G1" s="218"/>
      <c r="H1" s="218"/>
      <c r="I1" s="218"/>
      <c r="J1" s="218"/>
      <c r="K1" s="218"/>
      <c r="L1" s="218"/>
      <c r="M1" s="218"/>
      <c r="N1" s="218"/>
      <c r="O1" s="218"/>
      <c r="P1" s="218"/>
      <c r="Q1" s="218"/>
      <c r="R1" s="218"/>
      <c r="S1" s="218"/>
      <c r="T1" s="218"/>
      <c r="U1" s="218"/>
      <c r="V1" s="218"/>
      <c r="W1" s="218"/>
    </row>
    <row r="3" spans="1:23" ht="30" customHeight="1">
      <c r="A3" s="2080" t="s">
        <v>462</v>
      </c>
      <c r="B3" s="2083" t="s">
        <v>306</v>
      </c>
      <c r="C3" s="2116" t="s">
        <v>463</v>
      </c>
      <c r="D3" s="2117"/>
      <c r="E3" s="2117"/>
      <c r="F3" s="2117"/>
      <c r="G3" s="2117"/>
      <c r="H3" s="2117"/>
      <c r="I3" s="2117"/>
      <c r="J3" s="2117"/>
      <c r="K3" s="2117"/>
      <c r="L3" s="2117"/>
      <c r="M3" s="2117"/>
      <c r="N3" s="2117"/>
      <c r="O3" s="2117"/>
      <c r="P3" s="2117"/>
      <c r="Q3" s="2117"/>
      <c r="R3" s="2117"/>
      <c r="S3" s="2117"/>
      <c r="T3" s="2117"/>
      <c r="U3" s="2117"/>
      <c r="V3" s="2118"/>
      <c r="W3" s="2359" t="s">
        <v>464</v>
      </c>
    </row>
    <row r="4" spans="1:23" ht="20.100000000000001" customHeight="1">
      <c r="A4" s="2127"/>
      <c r="B4" s="2104"/>
      <c r="C4" s="2119" t="s">
        <v>465</v>
      </c>
      <c r="D4" s="2120"/>
      <c r="E4" s="2120"/>
      <c r="F4" s="2120"/>
      <c r="G4" s="2120"/>
      <c r="H4" s="2120"/>
      <c r="I4" s="2120"/>
      <c r="J4" s="2120"/>
      <c r="K4" s="2120"/>
      <c r="L4" s="2121">
        <v>48900</v>
      </c>
      <c r="M4" s="2122"/>
      <c r="N4" s="2122"/>
      <c r="O4" s="2120" t="s">
        <v>466</v>
      </c>
      <c r="P4" s="2120"/>
      <c r="Q4" s="2120"/>
      <c r="R4" s="2120"/>
      <c r="S4" s="2120"/>
      <c r="T4" s="2120"/>
      <c r="U4" s="2120"/>
      <c r="V4" s="2123"/>
      <c r="W4" s="2408"/>
    </row>
    <row r="5" spans="1:23" ht="20.100000000000001" customHeight="1">
      <c r="A5" s="2128"/>
      <c r="B5" s="2105"/>
      <c r="C5" s="2111" t="s">
        <v>467</v>
      </c>
      <c r="D5" s="2112"/>
      <c r="E5" s="2112"/>
      <c r="F5" s="2112"/>
      <c r="G5" s="2112"/>
      <c r="H5" s="2112"/>
      <c r="I5" s="2112"/>
      <c r="J5" s="2112"/>
      <c r="K5" s="2112"/>
      <c r="L5" s="2113">
        <v>6110</v>
      </c>
      <c r="M5" s="2114"/>
      <c r="N5" s="2114"/>
      <c r="O5" s="2112" t="s">
        <v>468</v>
      </c>
      <c r="P5" s="2112"/>
      <c r="Q5" s="2112"/>
      <c r="R5" s="2112"/>
      <c r="S5" s="2112"/>
      <c r="T5" s="2112"/>
      <c r="U5" s="2112"/>
      <c r="V5" s="2115"/>
      <c r="W5" s="2409"/>
    </row>
    <row r="6" spans="1:23" ht="25.5" customHeight="1">
      <c r="A6" s="1134"/>
      <c r="B6" s="1134"/>
      <c r="C6" s="1211"/>
      <c r="D6" s="1212"/>
      <c r="E6" s="1212"/>
      <c r="F6" s="1212"/>
      <c r="G6" s="1212"/>
      <c r="H6" s="1213"/>
      <c r="I6" s="1213"/>
      <c r="J6" s="1213"/>
      <c r="K6" s="1213"/>
      <c r="L6" s="1211"/>
      <c r="M6" s="1213"/>
      <c r="N6" s="1213"/>
      <c r="O6" s="1213"/>
      <c r="P6" s="1213"/>
      <c r="Q6" s="1208"/>
      <c r="R6" s="1208"/>
      <c r="S6" s="1208"/>
      <c r="T6" s="1208"/>
      <c r="U6" s="1208"/>
      <c r="V6" s="1208"/>
      <c r="W6" s="1274"/>
    </row>
    <row r="7" spans="1:23" ht="25.5" customHeight="1">
      <c r="A7" s="2116" t="s">
        <v>1183</v>
      </c>
      <c r="B7" s="2135" t="s">
        <v>359</v>
      </c>
      <c r="C7" s="2106"/>
      <c r="D7" s="2602">
        <v>11000</v>
      </c>
      <c r="E7" s="2602"/>
      <c r="F7" s="2602"/>
      <c r="G7" s="2602"/>
      <c r="H7" s="2602"/>
      <c r="I7" s="2602"/>
      <c r="J7" s="1202" t="s">
        <v>1184</v>
      </c>
      <c r="K7" s="2139" t="s">
        <v>1185</v>
      </c>
      <c r="L7" s="2139"/>
      <c r="M7" s="2139"/>
      <c r="N7" s="2139"/>
      <c r="O7" s="2139"/>
      <c r="P7" s="2139"/>
      <c r="Q7" s="2139"/>
      <c r="R7" s="2139"/>
      <c r="S7" s="2139"/>
      <c r="T7" s="2139"/>
      <c r="U7" s="2139"/>
      <c r="V7" s="2140"/>
      <c r="W7" s="2133" t="s">
        <v>1186</v>
      </c>
    </row>
    <row r="8" spans="1:23" ht="25.5" customHeight="1">
      <c r="A8" s="2134"/>
      <c r="B8" s="2136"/>
      <c r="C8" s="2108"/>
      <c r="D8" s="1203"/>
      <c r="E8" s="1203"/>
      <c r="F8" s="1203"/>
      <c r="G8" s="1204"/>
      <c r="H8" s="1204"/>
      <c r="I8" s="1204"/>
      <c r="J8" s="1204"/>
      <c r="K8" s="1204"/>
      <c r="L8" s="1204"/>
      <c r="M8" s="2112" t="s">
        <v>274</v>
      </c>
      <c r="N8" s="2112"/>
      <c r="O8" s="2112"/>
      <c r="P8" s="2112"/>
      <c r="Q8" s="2112"/>
      <c r="R8" s="2112"/>
      <c r="S8" s="2112"/>
      <c r="T8" s="2112"/>
      <c r="U8" s="2112"/>
      <c r="V8" s="2115"/>
      <c r="W8" s="2133"/>
    </row>
    <row r="9" spans="1:23" ht="25.5" customHeight="1">
      <c r="A9" s="1134"/>
      <c r="B9" s="1134"/>
      <c r="C9" s="1340"/>
      <c r="D9" s="1340"/>
      <c r="E9" s="1340"/>
      <c r="F9" s="1340"/>
      <c r="G9" s="1340"/>
      <c r="H9" s="1340"/>
      <c r="I9" s="1340"/>
      <c r="J9" s="1340"/>
      <c r="K9" s="1340"/>
      <c r="L9" s="1340"/>
      <c r="M9" s="1340"/>
      <c r="N9" s="1340"/>
      <c r="O9" s="1340"/>
      <c r="P9" s="1340"/>
      <c r="Q9" s="1340"/>
      <c r="R9" s="1340"/>
      <c r="S9" s="1340"/>
      <c r="T9" s="1340"/>
      <c r="U9" s="1340"/>
      <c r="V9" s="1340"/>
      <c r="W9" s="1341"/>
    </row>
    <row r="10" spans="1:23" ht="32.25" customHeight="1">
      <c r="A10" s="2080" t="s">
        <v>469</v>
      </c>
      <c r="B10" s="2083" t="s">
        <v>470</v>
      </c>
      <c r="C10" s="2086" t="s">
        <v>471</v>
      </c>
      <c r="D10" s="2087"/>
      <c r="E10" s="2087"/>
      <c r="F10" s="2087"/>
      <c r="G10" s="2087"/>
      <c r="H10" s="2088">
        <v>1840</v>
      </c>
      <c r="I10" s="2088"/>
      <c r="J10" s="2088"/>
      <c r="K10" s="2088"/>
      <c r="L10" s="2089"/>
      <c r="M10" s="2086" t="s">
        <v>472</v>
      </c>
      <c r="N10" s="2087"/>
      <c r="O10" s="2087"/>
      <c r="P10" s="2087"/>
      <c r="Q10" s="2087"/>
      <c r="R10" s="2088">
        <v>1270</v>
      </c>
      <c r="S10" s="2088"/>
      <c r="T10" s="2088"/>
      <c r="U10" s="2088"/>
      <c r="V10" s="2089"/>
      <c r="W10" s="2133" t="s">
        <v>473</v>
      </c>
    </row>
    <row r="11" spans="1:23" ht="32.25" customHeight="1">
      <c r="A11" s="2081"/>
      <c r="B11" s="2084"/>
      <c r="C11" s="2086" t="s">
        <v>474</v>
      </c>
      <c r="D11" s="2087"/>
      <c r="E11" s="2087"/>
      <c r="F11" s="2087"/>
      <c r="G11" s="2087"/>
      <c r="H11" s="2088">
        <v>1630</v>
      </c>
      <c r="I11" s="2088"/>
      <c r="J11" s="2088"/>
      <c r="K11" s="2088"/>
      <c r="L11" s="2089"/>
      <c r="M11" s="2086" t="s">
        <v>475</v>
      </c>
      <c r="N11" s="2087"/>
      <c r="O11" s="2087"/>
      <c r="P11" s="2087"/>
      <c r="Q11" s="2087"/>
      <c r="R11" s="2088">
        <v>110</v>
      </c>
      <c r="S11" s="2088"/>
      <c r="T11" s="2088"/>
      <c r="U11" s="2088"/>
      <c r="V11" s="2089"/>
      <c r="W11" s="2133"/>
    </row>
    <row r="12" spans="1:23" ht="32.25" customHeight="1">
      <c r="A12" s="2082"/>
      <c r="B12" s="2085"/>
      <c r="C12" s="2086" t="s">
        <v>476</v>
      </c>
      <c r="D12" s="2087"/>
      <c r="E12" s="2087"/>
      <c r="F12" s="2087"/>
      <c r="G12" s="2087"/>
      <c r="H12" s="2088">
        <v>1610</v>
      </c>
      <c r="I12" s="2088"/>
      <c r="J12" s="2088"/>
      <c r="K12" s="2088"/>
      <c r="L12" s="2089"/>
      <c r="M12" s="2101"/>
      <c r="N12" s="2102"/>
      <c r="O12" s="2102"/>
      <c r="P12" s="2102"/>
      <c r="Q12" s="2102"/>
      <c r="R12" s="2102"/>
      <c r="S12" s="2102"/>
      <c r="T12" s="2102"/>
      <c r="U12" s="2102"/>
      <c r="V12" s="2103"/>
      <c r="W12" s="2133"/>
    </row>
    <row r="13" spans="1:23" ht="32.25" customHeight="1">
      <c r="A13" s="1117"/>
      <c r="B13" s="1117"/>
      <c r="C13" s="1211"/>
      <c r="D13" s="1212"/>
      <c r="E13" s="1212"/>
      <c r="F13" s="1212"/>
      <c r="G13" s="1212"/>
      <c r="H13" s="1213"/>
      <c r="I13" s="1213"/>
      <c r="J13" s="1213"/>
      <c r="K13" s="1213"/>
      <c r="L13" s="1211"/>
      <c r="M13" s="1213"/>
      <c r="N13" s="1213"/>
      <c r="O13" s="1213"/>
      <c r="P13" s="1213"/>
      <c r="Q13" s="1208"/>
      <c r="R13" s="1208"/>
      <c r="S13" s="1208"/>
      <c r="T13" s="1208"/>
      <c r="U13" s="1208"/>
      <c r="V13" s="1208"/>
      <c r="W13" s="1274"/>
    </row>
    <row r="14" spans="1:23" ht="32.25" customHeight="1">
      <c r="A14" s="1119" t="s">
        <v>477</v>
      </c>
      <c r="B14" s="1120" t="s">
        <v>478</v>
      </c>
      <c r="C14" s="2090">
        <v>6180</v>
      </c>
      <c r="D14" s="2090"/>
      <c r="E14" s="2090"/>
      <c r="F14" s="2090"/>
      <c r="G14" s="2090"/>
      <c r="H14" s="2090"/>
      <c r="I14" s="2090"/>
      <c r="J14" s="2090"/>
      <c r="K14" s="2090"/>
      <c r="L14" s="2090"/>
      <c r="M14" s="2090"/>
      <c r="N14" s="2090"/>
      <c r="O14" s="2090"/>
      <c r="P14" s="2090"/>
      <c r="Q14" s="2090"/>
      <c r="R14" s="2090"/>
      <c r="S14" s="2090"/>
      <c r="T14" s="2090"/>
      <c r="U14" s="2090"/>
      <c r="V14" s="2091"/>
      <c r="W14" s="1329" t="s">
        <v>479</v>
      </c>
    </row>
    <row r="15" spans="1:23" ht="32.25" customHeight="1">
      <c r="A15" s="1117"/>
      <c r="B15" s="1117"/>
      <c r="C15" s="1211"/>
      <c r="D15" s="1212"/>
      <c r="E15" s="1212"/>
      <c r="F15" s="1212"/>
      <c r="G15" s="1212"/>
      <c r="H15" s="1213"/>
      <c r="I15" s="1213"/>
      <c r="J15" s="1213"/>
      <c r="K15" s="1213"/>
      <c r="L15" s="1211"/>
      <c r="M15" s="1213"/>
      <c r="N15" s="1213"/>
      <c r="O15" s="1213"/>
      <c r="P15" s="1213"/>
      <c r="Q15" s="1208"/>
      <c r="R15" s="1208"/>
      <c r="S15" s="1208"/>
      <c r="T15" s="1208"/>
      <c r="U15" s="1208"/>
      <c r="V15" s="1208"/>
      <c r="W15" s="1330"/>
    </row>
    <row r="16" spans="1:23" ht="32.25" customHeight="1">
      <c r="A16" s="1119" t="s">
        <v>480</v>
      </c>
      <c r="B16" s="1120" t="s">
        <v>481</v>
      </c>
      <c r="C16" s="2092">
        <v>155870</v>
      </c>
      <c r="D16" s="2092"/>
      <c r="E16" s="2092"/>
      <c r="F16" s="2092"/>
      <c r="G16" s="2092"/>
      <c r="H16" s="2092"/>
      <c r="I16" s="2092"/>
      <c r="J16" s="2092"/>
      <c r="K16" s="2092"/>
      <c r="L16" s="2092"/>
      <c r="M16" s="2092"/>
      <c r="N16" s="2092"/>
      <c r="O16" s="2092"/>
      <c r="P16" s="2092"/>
      <c r="Q16" s="2092"/>
      <c r="R16" s="2092"/>
      <c r="S16" s="2092"/>
      <c r="T16" s="2092"/>
      <c r="U16" s="2092"/>
      <c r="V16" s="2093"/>
      <c r="W16" s="1329" t="s">
        <v>479</v>
      </c>
    </row>
    <row r="17" spans="1:23" ht="32.25" customHeight="1">
      <c r="A17" s="1117"/>
      <c r="B17" s="1117"/>
      <c r="C17" s="1211"/>
      <c r="D17" s="1212"/>
      <c r="E17" s="1212"/>
      <c r="F17" s="1212"/>
      <c r="G17" s="1212"/>
      <c r="H17" s="1213"/>
      <c r="I17" s="1213"/>
      <c r="J17" s="1213"/>
      <c r="K17" s="1213"/>
      <c r="L17" s="1211"/>
      <c r="M17" s="1208"/>
      <c r="N17" s="1213"/>
      <c r="O17" s="1213"/>
      <c r="P17" s="1213"/>
      <c r="Q17" s="1208"/>
      <c r="R17" s="1208"/>
      <c r="S17" s="1208"/>
      <c r="T17" s="1208"/>
      <c r="U17" s="1208"/>
      <c r="V17" s="1208"/>
      <c r="W17" s="1330"/>
    </row>
    <row r="18" spans="1:23" ht="32.25" customHeight="1">
      <c r="A18" s="1119" t="s">
        <v>482</v>
      </c>
      <c r="B18" s="1120" t="s">
        <v>483</v>
      </c>
      <c r="C18" s="2148">
        <v>160000</v>
      </c>
      <c r="D18" s="2148"/>
      <c r="E18" s="2148"/>
      <c r="F18" s="2148"/>
      <c r="G18" s="2148"/>
      <c r="H18" s="2148"/>
      <c r="I18" s="2148"/>
      <c r="J18" s="2148"/>
      <c r="K18" s="2148"/>
      <c r="L18" s="2148"/>
      <c r="M18" s="2148"/>
      <c r="N18" s="2148"/>
      <c r="O18" s="2148"/>
      <c r="P18" s="2148"/>
      <c r="Q18" s="2148"/>
      <c r="R18" s="2148"/>
      <c r="S18" s="2148"/>
      <c r="T18" s="2148"/>
      <c r="U18" s="2148"/>
      <c r="V18" s="2149"/>
      <c r="W18" s="1329" t="s">
        <v>479</v>
      </c>
    </row>
    <row r="19" spans="1:23" ht="25.5" customHeight="1">
      <c r="A19" s="1117"/>
      <c r="B19" s="1117"/>
      <c r="C19" s="1211"/>
      <c r="D19" s="1212"/>
      <c r="E19" s="1212"/>
      <c r="F19" s="1212"/>
      <c r="G19" s="1212"/>
      <c r="H19" s="1213"/>
      <c r="I19" s="1213"/>
      <c r="J19" s="1213"/>
      <c r="K19" s="1213"/>
      <c r="L19" s="1211"/>
      <c r="M19" s="1208"/>
      <c r="N19" s="1213"/>
      <c r="O19" s="1213"/>
      <c r="P19" s="1213"/>
      <c r="Q19" s="1208"/>
      <c r="R19" s="1208"/>
      <c r="S19" s="1208"/>
      <c r="T19" s="1208"/>
      <c r="U19" s="1208"/>
      <c r="V19" s="1208"/>
      <c r="W19" s="1274" t="s">
        <v>484</v>
      </c>
    </row>
    <row r="20" spans="1:23" s="220" customFormat="1" ht="20.25" customHeight="1">
      <c r="A20" s="2080" t="s">
        <v>266</v>
      </c>
      <c r="B20" s="2142" t="s">
        <v>485</v>
      </c>
      <c r="C20" s="2066" t="s">
        <v>795</v>
      </c>
      <c r="D20" s="1220"/>
      <c r="E20" s="2069" t="s">
        <v>268</v>
      </c>
      <c r="F20" s="2069"/>
      <c r="G20" s="2069"/>
      <c r="H20" s="2069"/>
      <c r="I20" s="2069"/>
      <c r="J20" s="1221"/>
      <c r="K20" s="2079" t="s">
        <v>269</v>
      </c>
      <c r="L20" s="2079"/>
      <c r="M20" s="2079"/>
      <c r="N20" s="2079"/>
      <c r="O20" s="2079"/>
      <c r="P20" s="2079"/>
      <c r="Q20" s="2079"/>
      <c r="R20" s="2079"/>
      <c r="S20" s="1220"/>
      <c r="T20" s="1221"/>
      <c r="U20" s="1221"/>
      <c r="V20" s="1222"/>
      <c r="W20" s="2266" t="s">
        <v>270</v>
      </c>
    </row>
    <row r="21" spans="1:23" s="220" customFormat="1" ht="30" customHeight="1">
      <c r="A21" s="2127"/>
      <c r="B21" s="2143"/>
      <c r="C21" s="2078"/>
      <c r="D21" s="1223" t="s">
        <v>271</v>
      </c>
      <c r="E21" s="2074">
        <v>76960</v>
      </c>
      <c r="F21" s="2074"/>
      <c r="G21" s="2074"/>
      <c r="H21" s="2074"/>
      <c r="I21" s="2074"/>
      <c r="J21" s="1223" t="s">
        <v>272</v>
      </c>
      <c r="K21" s="2075">
        <v>760</v>
      </c>
      <c r="L21" s="2075"/>
      <c r="M21" s="2075"/>
      <c r="N21" s="2075"/>
      <c r="O21" s="2075"/>
      <c r="P21" s="2075"/>
      <c r="Q21" s="2075"/>
      <c r="R21" s="2075"/>
      <c r="S21" s="1224" t="s">
        <v>273</v>
      </c>
      <c r="T21" s="1223"/>
      <c r="U21" s="1223"/>
      <c r="V21" s="1225"/>
      <c r="W21" s="2407"/>
    </row>
    <row r="22" spans="1:23" s="220" customFormat="1" ht="30" customHeight="1">
      <c r="A22" s="2127"/>
      <c r="B22" s="2143"/>
      <c r="C22" s="2067"/>
      <c r="D22" s="1226"/>
      <c r="E22" s="1227"/>
      <c r="F22" s="1227"/>
      <c r="G22" s="1227"/>
      <c r="H22" s="1227"/>
      <c r="I22" s="2076" t="s">
        <v>274</v>
      </c>
      <c r="J22" s="2076"/>
      <c r="K22" s="2076"/>
      <c r="L22" s="2076"/>
      <c r="M22" s="2076"/>
      <c r="N22" s="2076"/>
      <c r="O22" s="2076"/>
      <c r="P22" s="2076"/>
      <c r="Q22" s="2076"/>
      <c r="R22" s="2076"/>
      <c r="S22" s="2076"/>
      <c r="T22" s="2076"/>
      <c r="U22" s="2076"/>
      <c r="V22" s="2077"/>
      <c r="W22" s="2407"/>
    </row>
    <row r="23" spans="1:23" s="220" customFormat="1" ht="20.25" customHeight="1">
      <c r="A23" s="2127"/>
      <c r="B23" s="2143"/>
      <c r="C23" s="2066" t="s">
        <v>1070</v>
      </c>
      <c r="D23" s="1220"/>
      <c r="E23" s="2069" t="s">
        <v>268</v>
      </c>
      <c r="F23" s="2069"/>
      <c r="G23" s="2069"/>
      <c r="H23" s="2069"/>
      <c r="I23" s="2069"/>
      <c r="J23" s="1221"/>
      <c r="K23" s="2079" t="s">
        <v>269</v>
      </c>
      <c r="L23" s="2079"/>
      <c r="M23" s="2079"/>
      <c r="N23" s="2079"/>
      <c r="O23" s="2079"/>
      <c r="P23" s="2079"/>
      <c r="Q23" s="2079"/>
      <c r="R23" s="2079"/>
      <c r="S23" s="1220"/>
      <c r="T23" s="1221"/>
      <c r="U23" s="1221"/>
      <c r="V23" s="1222"/>
      <c r="W23" s="2407"/>
    </row>
    <row r="24" spans="1:23" s="220" customFormat="1" ht="30" customHeight="1">
      <c r="A24" s="2127"/>
      <c r="B24" s="2143"/>
      <c r="C24" s="2078"/>
      <c r="D24" s="1223" t="s">
        <v>271</v>
      </c>
      <c r="E24" s="2074">
        <v>50000</v>
      </c>
      <c r="F24" s="2074"/>
      <c r="G24" s="2074"/>
      <c r="H24" s="2074"/>
      <c r="I24" s="2074"/>
      <c r="J24" s="1223" t="s">
        <v>272</v>
      </c>
      <c r="K24" s="2075">
        <v>500</v>
      </c>
      <c r="L24" s="2075"/>
      <c r="M24" s="2075"/>
      <c r="N24" s="2075"/>
      <c r="O24" s="2075"/>
      <c r="P24" s="2075"/>
      <c r="Q24" s="2075"/>
      <c r="R24" s="2075"/>
      <c r="S24" s="1224" t="s">
        <v>273</v>
      </c>
      <c r="T24" s="1223"/>
      <c r="U24" s="1223"/>
      <c r="V24" s="1225"/>
      <c r="W24" s="2407"/>
    </row>
    <row r="25" spans="1:23" s="220" customFormat="1" ht="30" customHeight="1">
      <c r="A25" s="2127"/>
      <c r="B25" s="2143"/>
      <c r="C25" s="2067"/>
      <c r="D25" s="1226"/>
      <c r="E25" s="1227"/>
      <c r="F25" s="1227"/>
      <c r="G25" s="1227"/>
      <c r="H25" s="1227"/>
      <c r="I25" s="2076" t="s">
        <v>274</v>
      </c>
      <c r="J25" s="2076"/>
      <c r="K25" s="2076"/>
      <c r="L25" s="2076"/>
      <c r="M25" s="2076"/>
      <c r="N25" s="2076"/>
      <c r="O25" s="2076"/>
      <c r="P25" s="2076"/>
      <c r="Q25" s="2076"/>
      <c r="R25" s="2076"/>
      <c r="S25" s="2076"/>
      <c r="T25" s="2076"/>
      <c r="U25" s="2076"/>
      <c r="V25" s="2077"/>
      <c r="W25" s="2407"/>
    </row>
    <row r="26" spans="1:23" s="220" customFormat="1" ht="20.25" customHeight="1">
      <c r="A26" s="2127"/>
      <c r="B26" s="2143"/>
      <c r="C26" s="2066" t="s">
        <v>1071</v>
      </c>
      <c r="D26" s="2068" t="s">
        <v>268</v>
      </c>
      <c r="E26" s="2069"/>
      <c r="F26" s="2069"/>
      <c r="G26" s="2069"/>
      <c r="H26" s="2069"/>
      <c r="I26" s="2069"/>
      <c r="J26" s="2069"/>
      <c r="K26" s="2069"/>
      <c r="L26" s="2069"/>
      <c r="M26" s="1228"/>
      <c r="N26" s="1228"/>
      <c r="O26" s="1228"/>
      <c r="P26" s="1228"/>
      <c r="Q26" s="1228"/>
      <c r="R26" s="1228"/>
      <c r="S26" s="1228"/>
      <c r="T26" s="1228"/>
      <c r="U26" s="1228"/>
      <c r="V26" s="1229"/>
      <c r="W26" s="2407"/>
    </row>
    <row r="27" spans="1:23" s="220" customFormat="1" ht="30" customHeight="1">
      <c r="A27" s="2128"/>
      <c r="B27" s="2144"/>
      <c r="C27" s="2067"/>
      <c r="D27" s="2070">
        <v>10000</v>
      </c>
      <c r="E27" s="2071"/>
      <c r="F27" s="2071"/>
      <c r="G27" s="2071"/>
      <c r="H27" s="2071"/>
      <c r="I27" s="2071"/>
      <c r="J27" s="2072" t="s">
        <v>275</v>
      </c>
      <c r="K27" s="2072"/>
      <c r="L27" s="2072"/>
      <c r="M27" s="2072"/>
      <c r="N27" s="2072"/>
      <c r="O27" s="2072"/>
      <c r="P27" s="2072"/>
      <c r="Q27" s="2072"/>
      <c r="R27" s="2072"/>
      <c r="S27" s="2072"/>
      <c r="T27" s="2072"/>
      <c r="U27" s="2072"/>
      <c r="V27" s="2073"/>
      <c r="W27" s="2136"/>
    </row>
    <row r="28" spans="1:23" ht="32.25" customHeight="1">
      <c r="A28" s="1117"/>
      <c r="B28" s="1117"/>
      <c r="C28" s="1211"/>
      <c r="D28" s="1212"/>
      <c r="E28" s="1212"/>
      <c r="F28" s="1212"/>
      <c r="G28" s="1212"/>
      <c r="H28" s="1213"/>
      <c r="I28" s="1213"/>
      <c r="J28" s="1213"/>
      <c r="K28" s="1213"/>
      <c r="L28" s="1211"/>
      <c r="M28" s="1208"/>
      <c r="N28" s="1213"/>
      <c r="O28" s="1213"/>
      <c r="P28" s="1213"/>
      <c r="Q28" s="1208"/>
      <c r="R28" s="1208"/>
      <c r="S28" s="1208"/>
      <c r="T28" s="1208"/>
      <c r="U28" s="1208"/>
      <c r="V28" s="1208"/>
      <c r="W28" s="1274" t="s">
        <v>484</v>
      </c>
    </row>
    <row r="29" spans="1:23" ht="32.25" customHeight="1">
      <c r="A29" s="1119" t="s">
        <v>486</v>
      </c>
      <c r="B29" s="1120" t="s">
        <v>384</v>
      </c>
      <c r="C29" s="2092">
        <v>150000</v>
      </c>
      <c r="D29" s="2092"/>
      <c r="E29" s="2092"/>
      <c r="F29" s="2092"/>
      <c r="G29" s="2092"/>
      <c r="H29" s="2092"/>
      <c r="I29" s="2092"/>
      <c r="J29" s="2092"/>
      <c r="K29" s="2092"/>
      <c r="L29" s="2092"/>
      <c r="M29" s="2092"/>
      <c r="N29" s="2092"/>
      <c r="O29" s="2092"/>
      <c r="P29" s="2092"/>
      <c r="Q29" s="2092"/>
      <c r="R29" s="2092"/>
      <c r="S29" s="2092"/>
      <c r="T29" s="2092"/>
      <c r="U29" s="2092"/>
      <c r="V29" s="2093"/>
      <c r="W29" s="1329" t="s">
        <v>479</v>
      </c>
    </row>
    <row r="30" spans="1:23" ht="32.25" customHeight="1">
      <c r="A30" s="2514"/>
      <c r="B30" s="2514"/>
      <c r="C30" s="2514"/>
      <c r="D30" s="2514"/>
      <c r="E30" s="2514"/>
      <c r="F30" s="2514"/>
      <c r="G30" s="2514"/>
      <c r="H30" s="2514"/>
      <c r="I30" s="2514"/>
      <c r="J30" s="2514"/>
      <c r="K30" s="2514"/>
      <c r="L30" s="2514"/>
      <c r="M30" s="2514"/>
      <c r="N30" s="2514"/>
      <c r="O30" s="2514"/>
      <c r="P30" s="2514"/>
      <c r="Q30" s="2514"/>
      <c r="R30" s="2514"/>
      <c r="S30" s="2514"/>
      <c r="T30" s="2514"/>
      <c r="U30" s="2514"/>
      <c r="V30" s="2514"/>
      <c r="W30" s="2514"/>
    </row>
    <row r="31" spans="1:23" ht="32.25" customHeight="1">
      <c r="A31" s="2514" t="s">
        <v>487</v>
      </c>
      <c r="B31" s="2514"/>
      <c r="C31" s="2514"/>
      <c r="D31" s="2514"/>
      <c r="E31" s="2514"/>
      <c r="F31" s="2514"/>
      <c r="G31" s="2514"/>
      <c r="H31" s="2514"/>
      <c r="I31" s="2514"/>
      <c r="J31" s="2514"/>
      <c r="K31" s="2514"/>
      <c r="L31" s="2514"/>
      <c r="M31" s="2514"/>
      <c r="N31" s="2514"/>
      <c r="O31" s="2514"/>
      <c r="P31" s="2514"/>
      <c r="Q31" s="2514"/>
      <c r="R31" s="2514"/>
      <c r="S31" s="2514"/>
      <c r="T31" s="2514"/>
      <c r="U31" s="2514"/>
      <c r="V31" s="2514"/>
      <c r="W31" s="2514"/>
    </row>
  </sheetData>
  <sheetProtection algorithmName="SHA-512" hashValue="NIIFTUOf6e958KIBP++reSfx2/JPFJ+Y82k1BJvFvUMKyAfo6cngNFn4fF6oWzpIISVBl4lY9AkLmC+mtT6FeQ==" saltValue="kLqob9F/834kEFH4kS76pw==" spinCount="100000" sheet="1" objects="1" scenarios="1"/>
  <customSheetViews>
    <customSheetView guid="{2E52E5FF-9846-4DC5-A671-268FE925398C}" scale="60" showPageBreaks="1" state="hidden" view="pageBreakPreview">
      <selection activeCell="K7" sqref="K7:K46"/>
      <pageMargins left="0.39370078740157483" right="0.39370078740157483" top="0.39370078740157483" bottom="0.39370078740157483" header="0.31496062992125984" footer="0.15748031496062992"/>
      <printOptions horizontalCentered="1"/>
      <pageSetup paperSize="9" scale="71" orientation="portrait" r:id="rId1"/>
      <headerFooter alignWithMargins="0"/>
    </customSheetView>
    <customSheetView guid="{BADA99B3-B36A-4925-87A7-F72FC97D3DBA}" scale="60" showPageBreaks="1" state="hidden" view="pageBreakPreview">
      <selection activeCell="K7" sqref="K7:K46"/>
      <pageMargins left="0.39370078740157483" right="0.39370078740157483" top="0.39370078740157483" bottom="0.39370078740157483" header="0.31496062992125984" footer="0.15748031496062992"/>
      <printOptions horizontalCentered="1"/>
      <pageSetup paperSize="9" scale="71" orientation="portrait" r:id="rId2"/>
      <headerFooter alignWithMargins="0"/>
    </customSheetView>
  </customSheetViews>
  <mergeCells count="56">
    <mergeCell ref="W7:W8"/>
    <mergeCell ref="M8:V8"/>
    <mergeCell ref="A7:A8"/>
    <mergeCell ref="B7:B8"/>
    <mergeCell ref="C7:C8"/>
    <mergeCell ref="D7:I7"/>
    <mergeCell ref="K7:V7"/>
    <mergeCell ref="A3:A5"/>
    <mergeCell ref="B3:B5"/>
    <mergeCell ref="C3:V3"/>
    <mergeCell ref="W3:W5"/>
    <mergeCell ref="C4:K4"/>
    <mergeCell ref="L4:N4"/>
    <mergeCell ref="O4:V4"/>
    <mergeCell ref="C5:K5"/>
    <mergeCell ref="L5:N5"/>
    <mergeCell ref="O5:V5"/>
    <mergeCell ref="A10:A12"/>
    <mergeCell ref="B10:B12"/>
    <mergeCell ref="C10:G10"/>
    <mergeCell ref="H10:L10"/>
    <mergeCell ref="M10:Q10"/>
    <mergeCell ref="W10:W12"/>
    <mergeCell ref="C11:G11"/>
    <mergeCell ref="H11:L11"/>
    <mergeCell ref="M11:Q11"/>
    <mergeCell ref="R11:V11"/>
    <mergeCell ref="C12:G12"/>
    <mergeCell ref="H12:L12"/>
    <mergeCell ref="M12:V12"/>
    <mergeCell ref="R10:V10"/>
    <mergeCell ref="C29:V29"/>
    <mergeCell ref="A30:W30"/>
    <mergeCell ref="A31:W31"/>
    <mergeCell ref="W20:W27"/>
    <mergeCell ref="C14:V14"/>
    <mergeCell ref="C16:V16"/>
    <mergeCell ref="C18:V18"/>
    <mergeCell ref="A20:A27"/>
    <mergeCell ref="B20:B27"/>
    <mergeCell ref="C20:C22"/>
    <mergeCell ref="E20:I20"/>
    <mergeCell ref="K20:R20"/>
    <mergeCell ref="E21:I21"/>
    <mergeCell ref="K21:R21"/>
    <mergeCell ref="I22:V22"/>
    <mergeCell ref="C23:C25"/>
    <mergeCell ref="C26:C27"/>
    <mergeCell ref="D26:L26"/>
    <mergeCell ref="D27:I27"/>
    <mergeCell ref="J27:V27"/>
    <mergeCell ref="E23:I23"/>
    <mergeCell ref="K23:R23"/>
    <mergeCell ref="E24:I24"/>
    <mergeCell ref="K24:R24"/>
    <mergeCell ref="I25:V25"/>
  </mergeCells>
  <phoneticPr fontId="60"/>
  <printOptions horizontalCentered="1"/>
  <pageMargins left="0.39370078740157483" right="0.39370078740157483" top="0.39370078740157483" bottom="0.39370078740157483" header="0.31496062992125984" footer="0.15748031496062992"/>
  <pageSetup paperSize="9" scale="71" orientation="portrait" r:id="rId3"/>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2">
    <tabColor rgb="FF7030A0"/>
    <pageSetUpPr fitToPage="1"/>
  </sheetPr>
  <dimension ref="A1:DB99"/>
  <sheetViews>
    <sheetView view="pageBreakPreview" zoomScale="85" zoomScaleNormal="85" zoomScaleSheetLayoutView="85" workbookViewId="0">
      <selection activeCell="AF12" sqref="AF12:AH12"/>
    </sheetView>
  </sheetViews>
  <sheetFormatPr defaultColWidth="8.625" defaultRowHeight="13.5" outlineLevelRow="1" outlineLevelCol="1"/>
  <cols>
    <col min="1" max="9" width="3" style="306" customWidth="1"/>
    <col min="10" max="12" width="2.875" style="306" customWidth="1"/>
    <col min="13" max="34" width="3" style="306" customWidth="1"/>
    <col min="35" max="35" width="3.875" style="306" customWidth="1"/>
    <col min="36" max="36" width="3" style="306" customWidth="1"/>
    <col min="37" max="37" width="3.875" style="306" customWidth="1"/>
    <col min="38" max="38" width="3" style="306" customWidth="1"/>
    <col min="39" max="40" width="3.125" style="306" customWidth="1"/>
    <col min="41" max="45" width="3" style="306" customWidth="1"/>
    <col min="46" max="46" width="3.125" style="306" customWidth="1"/>
    <col min="47" max="51" width="3" style="306" customWidth="1"/>
    <col min="52" max="53" width="3.125" style="340" customWidth="1"/>
    <col min="54" max="54" width="8.625" style="305" customWidth="1" outlineLevel="1"/>
    <col min="55" max="55" width="8.625" style="306" customWidth="1" outlineLevel="1"/>
    <col min="56" max="57" width="8.625" style="380" customWidth="1" outlineLevel="1"/>
    <col min="58" max="76" width="8.625" style="306" customWidth="1" outlineLevel="1"/>
    <col min="77" max="77" width="10.375" style="306" customWidth="1" outlineLevel="1"/>
    <col min="78" max="88" width="8.625" style="306" customWidth="1" outlineLevel="1"/>
    <col min="89" max="16384" width="8.625" style="306"/>
  </cols>
  <sheetData>
    <row r="1" spans="1:88" ht="24.95" customHeight="1">
      <c r="A1" s="302" t="s">
        <v>989</v>
      </c>
      <c r="B1" s="302"/>
      <c r="C1" s="303"/>
      <c r="D1" s="303"/>
      <c r="E1" s="303"/>
      <c r="F1" s="303"/>
      <c r="G1" s="303"/>
      <c r="H1" s="303"/>
      <c r="I1" s="303"/>
      <c r="J1" s="303"/>
      <c r="K1" s="303"/>
      <c r="L1" s="303"/>
      <c r="M1" s="303"/>
      <c r="N1" s="303"/>
      <c r="O1" s="303"/>
      <c r="P1" s="303"/>
      <c r="Q1" s="303"/>
      <c r="R1" s="303"/>
      <c r="S1" s="303"/>
      <c r="T1" s="303"/>
      <c r="U1" s="303"/>
      <c r="V1" s="303"/>
      <c r="W1" s="303"/>
      <c r="X1" s="303"/>
      <c r="Y1" s="304"/>
      <c r="Z1" s="304"/>
      <c r="AA1" s="304"/>
      <c r="AB1" s="304"/>
      <c r="AC1" s="304"/>
      <c r="AD1" s="304"/>
      <c r="AE1" s="304"/>
      <c r="AF1" s="304"/>
      <c r="AG1" s="304"/>
      <c r="AH1" s="304"/>
      <c r="AI1" s="304"/>
      <c r="AJ1" s="304"/>
      <c r="AK1" s="304"/>
      <c r="AL1" s="304"/>
      <c r="AM1" s="304"/>
      <c r="AN1" s="304"/>
      <c r="AO1" s="304"/>
      <c r="AP1" s="304"/>
      <c r="AQ1" s="2745" t="e">
        <f>CONCATENATE(#REF!,"/",#REF!,"/",#REF!)</f>
        <v>#REF!</v>
      </c>
      <c r="AR1" s="2745"/>
      <c r="AS1" s="2745"/>
      <c r="AT1" s="2745"/>
      <c r="AU1" s="2745"/>
      <c r="AV1" s="2745"/>
      <c r="AW1" s="2745"/>
      <c r="AX1" s="2745"/>
      <c r="AY1" s="2745"/>
      <c r="AZ1" s="2745"/>
      <c r="BA1" s="1064"/>
      <c r="CJ1" s="306">
        <v>0</v>
      </c>
    </row>
    <row r="2" spans="1:88" ht="24.95" customHeight="1">
      <c r="A2" s="341" t="s">
        <v>934</v>
      </c>
      <c r="B2" s="310"/>
      <c r="C2" s="311"/>
      <c r="D2" s="311"/>
      <c r="E2" s="311"/>
      <c r="F2" s="311"/>
      <c r="G2" s="311"/>
      <c r="H2" s="311"/>
      <c r="I2" s="311"/>
      <c r="J2" s="311"/>
      <c r="K2" s="311"/>
      <c r="L2" s="311"/>
      <c r="M2" s="311"/>
      <c r="N2" s="311"/>
      <c r="O2" s="311"/>
      <c r="P2" s="311"/>
      <c r="Q2" s="311"/>
      <c r="R2" s="311"/>
      <c r="S2" s="311"/>
      <c r="T2" s="311"/>
      <c r="U2" s="311"/>
      <c r="V2" s="311"/>
      <c r="W2" s="311"/>
      <c r="X2" s="311"/>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12"/>
      <c r="BA2" s="1052"/>
      <c r="CJ2" s="306">
        <v>0</v>
      </c>
    </row>
    <row r="3" spans="1:88" ht="24.95" customHeight="1" thickBot="1">
      <c r="A3" s="2746" t="s">
        <v>972</v>
      </c>
      <c r="B3" s="2746"/>
      <c r="C3" s="2746"/>
      <c r="D3" s="2746"/>
      <c r="E3" s="2746"/>
      <c r="F3" s="2746"/>
      <c r="G3" s="2746"/>
      <c r="H3" s="2746"/>
      <c r="I3" s="2746"/>
      <c r="J3" s="2746"/>
      <c r="K3" s="2746"/>
      <c r="L3" s="2746"/>
      <c r="M3" s="2746"/>
      <c r="N3" s="2746"/>
      <c r="O3" s="2746"/>
      <c r="P3" s="2746"/>
      <c r="Q3" s="2746"/>
      <c r="R3" s="2746"/>
      <c r="S3" s="2746"/>
      <c r="T3" s="2746"/>
      <c r="U3" s="2746"/>
      <c r="V3" s="2746"/>
      <c r="W3" s="2746"/>
      <c r="X3" s="2746"/>
      <c r="Y3" s="2747"/>
      <c r="Z3" s="2747"/>
      <c r="AA3" s="2747"/>
      <c r="AB3" s="2747"/>
      <c r="AC3" s="2747"/>
      <c r="AD3" s="2747"/>
      <c r="AE3" s="2747"/>
      <c r="AF3" s="2747"/>
      <c r="AG3" s="2747"/>
      <c r="AH3" s="2747"/>
      <c r="AI3" s="2747"/>
      <c r="AJ3" s="2747"/>
      <c r="AK3" s="2747"/>
      <c r="AL3" s="2747"/>
      <c r="AM3" s="2747"/>
      <c r="AN3" s="2747"/>
      <c r="AO3" s="2747"/>
      <c r="AP3" s="2747"/>
      <c r="AQ3" s="2747"/>
      <c r="AR3" s="2747"/>
      <c r="AS3" s="2747"/>
      <c r="AT3" s="2747"/>
      <c r="AU3" s="2747"/>
      <c r="AV3" s="2747"/>
      <c r="AW3" s="2747"/>
      <c r="AX3" s="2747"/>
      <c r="AY3" s="2747"/>
      <c r="AZ3" s="2747"/>
      <c r="BA3" s="1052"/>
      <c r="CG3" s="306" t="s">
        <v>936</v>
      </c>
      <c r="CJ3" s="306">
        <v>0</v>
      </c>
    </row>
    <row r="4" spans="1:88" s="314" customFormat="1" ht="24.95" customHeight="1" thickBot="1">
      <c r="A4" s="2748" t="s">
        <v>707</v>
      </c>
      <c r="B4" s="2749"/>
      <c r="C4" s="2752" t="s">
        <v>716</v>
      </c>
      <c r="D4" s="2753"/>
      <c r="E4" s="2753"/>
      <c r="F4" s="2753"/>
      <c r="G4" s="2753"/>
      <c r="H4" s="2753"/>
      <c r="I4" s="2754"/>
      <c r="J4" s="2758" t="s">
        <v>717</v>
      </c>
      <c r="K4" s="2759"/>
      <c r="L4" s="2759"/>
      <c r="M4" s="2759"/>
      <c r="N4" s="2759"/>
      <c r="O4" s="2759"/>
      <c r="P4" s="2759"/>
      <c r="Q4" s="2759"/>
      <c r="R4" s="2759"/>
      <c r="S4" s="2759"/>
      <c r="T4" s="2759"/>
      <c r="U4" s="2759"/>
      <c r="V4" s="2759"/>
      <c r="W4" s="2759"/>
      <c r="X4" s="2760"/>
      <c r="Y4" s="2752" t="s">
        <v>718</v>
      </c>
      <c r="Z4" s="2753"/>
      <c r="AA4" s="2753"/>
      <c r="AB4" s="2753"/>
      <c r="AC4" s="2753"/>
      <c r="AD4" s="2753"/>
      <c r="AE4" s="2754"/>
      <c r="AF4" s="2761" t="s">
        <v>719</v>
      </c>
      <c r="AG4" s="2762"/>
      <c r="AH4" s="2749"/>
      <c r="AI4" s="2761" t="s">
        <v>899</v>
      </c>
      <c r="AJ4" s="2762"/>
      <c r="AK4" s="2749"/>
      <c r="AL4" s="2766" t="s">
        <v>720</v>
      </c>
      <c r="AM4" s="2767"/>
      <c r="AN4" s="2767"/>
      <c r="AO4" s="2767"/>
      <c r="AP4" s="2767"/>
      <c r="AQ4" s="2767"/>
      <c r="AR4" s="2767"/>
      <c r="AS4" s="2767"/>
      <c r="AT4" s="2767"/>
      <c r="AU4" s="2767"/>
      <c r="AV4" s="2767"/>
      <c r="AW4" s="2767"/>
      <c r="AX4" s="2767"/>
      <c r="AY4" s="2767"/>
      <c r="AZ4" s="2768"/>
      <c r="BA4" s="1052"/>
      <c r="BB4" s="2734" t="s">
        <v>721</v>
      </c>
      <c r="BC4" s="2664"/>
      <c r="BD4" s="2664"/>
      <c r="BE4" s="2664"/>
      <c r="BF4" s="2664"/>
      <c r="BG4" s="2664"/>
      <c r="BH4" s="2665"/>
      <c r="BI4" s="2664" t="s">
        <v>937</v>
      </c>
      <c r="BJ4" s="2665"/>
      <c r="BK4" s="317" t="s">
        <v>900</v>
      </c>
      <c r="BL4" s="317" t="s">
        <v>722</v>
      </c>
      <c r="BM4" s="317" t="s">
        <v>732</v>
      </c>
      <c r="BN4" s="317" t="s">
        <v>735</v>
      </c>
      <c r="BO4" s="317" t="s">
        <v>736</v>
      </c>
      <c r="BP4" s="317" t="s">
        <v>737</v>
      </c>
      <c r="BQ4" s="317" t="s">
        <v>738</v>
      </c>
      <c r="BR4" s="317" t="s">
        <v>739</v>
      </c>
      <c r="BS4" s="317" t="s">
        <v>740</v>
      </c>
      <c r="BT4" s="317" t="s">
        <v>741</v>
      </c>
      <c r="BU4" s="317" t="s">
        <v>742</v>
      </c>
      <c r="BV4" s="317" t="s">
        <v>743</v>
      </c>
      <c r="BX4" s="2735" t="s">
        <v>708</v>
      </c>
      <c r="BY4" s="2735"/>
      <c r="BZ4" s="307" t="s">
        <v>709</v>
      </c>
      <c r="CA4" s="307" t="s">
        <v>710</v>
      </c>
      <c r="CB4" s="1055" t="s">
        <v>711</v>
      </c>
      <c r="CC4" s="308" t="s">
        <v>712</v>
      </c>
      <c r="CD4" s="2725"/>
      <c r="CE4" s="2668"/>
      <c r="CF4" s="1055" t="s">
        <v>927</v>
      </c>
      <c r="CG4" s="309" t="s">
        <v>713</v>
      </c>
      <c r="CH4" s="396" t="s">
        <v>714</v>
      </c>
      <c r="CI4" s="309" t="s">
        <v>802</v>
      </c>
      <c r="CJ4" s="306">
        <v>0</v>
      </c>
    </row>
    <row r="5" spans="1:88" s="314" customFormat="1" ht="24.95" customHeight="1">
      <c r="A5" s="2750"/>
      <c r="B5" s="2751"/>
      <c r="C5" s="2755"/>
      <c r="D5" s="2756"/>
      <c r="E5" s="2756"/>
      <c r="F5" s="2756"/>
      <c r="G5" s="2756"/>
      <c r="H5" s="2756"/>
      <c r="I5" s="2757"/>
      <c r="J5" s="2726" t="s">
        <v>724</v>
      </c>
      <c r="K5" s="2727"/>
      <c r="L5" s="2728"/>
      <c r="M5" s="2729" t="s">
        <v>725</v>
      </c>
      <c r="N5" s="2727"/>
      <c r="O5" s="2727" t="s">
        <v>711</v>
      </c>
      <c r="P5" s="2728"/>
      <c r="Q5" s="2729" t="s">
        <v>806</v>
      </c>
      <c r="R5" s="2727"/>
      <c r="S5" s="2727"/>
      <c r="T5" s="2727"/>
      <c r="U5" s="2727"/>
      <c r="V5" s="2727"/>
      <c r="W5" s="2727"/>
      <c r="X5" s="2730"/>
      <c r="Y5" s="2755"/>
      <c r="Z5" s="2756"/>
      <c r="AA5" s="2756"/>
      <c r="AB5" s="2756"/>
      <c r="AC5" s="2756"/>
      <c r="AD5" s="2756"/>
      <c r="AE5" s="2757"/>
      <c r="AF5" s="2763"/>
      <c r="AG5" s="2764"/>
      <c r="AH5" s="2751"/>
      <c r="AI5" s="2763"/>
      <c r="AJ5" s="2764"/>
      <c r="AK5" s="2765"/>
      <c r="AL5" s="2731" t="s">
        <v>925</v>
      </c>
      <c r="AM5" s="2732"/>
      <c r="AN5" s="2732"/>
      <c r="AO5" s="2733"/>
      <c r="AP5" s="2733" t="s">
        <v>726</v>
      </c>
      <c r="AQ5" s="2733"/>
      <c r="AR5" s="2733"/>
      <c r="AS5" s="2733"/>
      <c r="AT5" s="2733" t="s">
        <v>727</v>
      </c>
      <c r="AU5" s="2733"/>
      <c r="AV5" s="2769"/>
      <c r="AW5" s="2769"/>
      <c r="AX5" s="2769"/>
      <c r="AY5" s="2769"/>
      <c r="AZ5" s="2770"/>
      <c r="BA5" s="1052"/>
      <c r="BB5" s="1071" t="s">
        <v>728</v>
      </c>
      <c r="BC5" s="318" t="s">
        <v>729</v>
      </c>
      <c r="BD5" s="318" t="s">
        <v>730</v>
      </c>
      <c r="BE5" s="318" t="s">
        <v>731</v>
      </c>
      <c r="BF5" s="318" t="s">
        <v>891</v>
      </c>
      <c r="BG5" s="318" t="s">
        <v>801</v>
      </c>
      <c r="BH5" s="1072" t="s">
        <v>935</v>
      </c>
      <c r="BI5" s="1068" t="s">
        <v>938</v>
      </c>
      <c r="BJ5" s="1065" t="s">
        <v>939</v>
      </c>
      <c r="BK5" s="968">
        <v>1</v>
      </c>
      <c r="BL5" s="968">
        <v>2</v>
      </c>
      <c r="BM5" s="968">
        <v>3</v>
      </c>
      <c r="BN5" s="968">
        <v>4</v>
      </c>
      <c r="BO5" s="968">
        <v>5</v>
      </c>
      <c r="BP5" s="968">
        <v>6</v>
      </c>
      <c r="BQ5" s="968">
        <v>7</v>
      </c>
      <c r="BR5" s="968">
        <v>8</v>
      </c>
      <c r="BS5" s="968">
        <v>9</v>
      </c>
      <c r="BT5" s="968">
        <v>10</v>
      </c>
      <c r="BU5" s="968">
        <v>11</v>
      </c>
      <c r="BV5" s="968">
        <v>12</v>
      </c>
      <c r="BX5" s="309" t="e">
        <f>#REF!</f>
        <v>#REF!</v>
      </c>
      <c r="BY5" s="309"/>
      <c r="BZ5" s="307" t="e">
        <f>#REF!&amp;"月"</f>
        <v>#REF!</v>
      </c>
      <c r="CA5" s="307" t="e">
        <f>#REF!&amp;"月"</f>
        <v>#REF!</v>
      </c>
      <c r="CB5" s="1055"/>
      <c r="CC5" s="1055"/>
      <c r="CD5" s="1055"/>
      <c r="CE5" s="309"/>
      <c r="CF5" s="1056" t="e">
        <f>#REF!</f>
        <v>#REF!</v>
      </c>
      <c r="CG5" s="313" t="e">
        <f>#REF!</f>
        <v>#REF!</v>
      </c>
      <c r="CH5" s="313" t="e">
        <f>#REF!</f>
        <v>#REF!</v>
      </c>
      <c r="CI5" s="309"/>
      <c r="CJ5" s="306">
        <v>0</v>
      </c>
    </row>
    <row r="6" spans="1:88" ht="24.95" customHeight="1">
      <c r="A6" s="2715">
        <v>1</v>
      </c>
      <c r="B6" s="2716"/>
      <c r="C6" s="2701" t="s">
        <v>1166</v>
      </c>
      <c r="D6" s="2702"/>
      <c r="E6" s="2702"/>
      <c r="F6" s="2702"/>
      <c r="G6" s="2702"/>
      <c r="H6" s="2702"/>
      <c r="I6" s="2703"/>
      <c r="J6" s="2701" t="s">
        <v>1167</v>
      </c>
      <c r="K6" s="2702"/>
      <c r="L6" s="2717"/>
      <c r="M6" s="2718" t="s">
        <v>900</v>
      </c>
      <c r="N6" s="2719"/>
      <c r="O6" s="2720" t="s">
        <v>242</v>
      </c>
      <c r="P6" s="2717"/>
      <c r="Q6" s="2695" t="s">
        <v>1168</v>
      </c>
      <c r="R6" s="2696"/>
      <c r="S6" s="2696"/>
      <c r="T6" s="2696"/>
      <c r="U6" s="2696"/>
      <c r="V6" s="2696"/>
      <c r="W6" s="2696"/>
      <c r="X6" s="2697"/>
      <c r="Y6" s="2721" t="str">
        <f>IFERROR(VLOOKUP(C6,#REF!,2,FALSE),"")</f>
        <v/>
      </c>
      <c r="Z6" s="2722"/>
      <c r="AA6" s="2722"/>
      <c r="AB6" s="2722"/>
      <c r="AC6" s="2722"/>
      <c r="AD6" s="2722"/>
      <c r="AE6" s="2723"/>
      <c r="AF6" s="2701" t="s">
        <v>715</v>
      </c>
      <c r="AG6" s="2702"/>
      <c r="AH6" s="2703"/>
      <c r="AI6" s="1053" t="s">
        <v>900</v>
      </c>
      <c r="AJ6" s="1089" t="s">
        <v>916</v>
      </c>
      <c r="AK6" s="1054" t="s">
        <v>743</v>
      </c>
      <c r="AL6" s="2704">
        <v>6000</v>
      </c>
      <c r="AM6" s="2705"/>
      <c r="AN6" s="2705"/>
      <c r="AO6" s="320" t="s">
        <v>733</v>
      </c>
      <c r="AP6" s="321" t="s">
        <v>244</v>
      </c>
      <c r="AQ6" s="2724">
        <f>IFERROR(BJ6-BI6+1,"")</f>
        <v>12</v>
      </c>
      <c r="AR6" s="2724"/>
      <c r="AS6" s="320" t="s">
        <v>240</v>
      </c>
      <c r="AT6" s="321" t="s">
        <v>734</v>
      </c>
      <c r="AU6" s="2707" t="e">
        <f>IF(SUM(BB6:BG6)&gt;0,CONCATENATE("ｴﾗｰ ",IF(BB6=1,"①",""),IF(BC6=1,"②",""),IF(BD6=1,"③",""),IF(BE6=1,"④",""),IF(BF6=1,"⑤",""),IF(BG6=1,"⑥","")),IFERROR(AL6*AQ6,""))</f>
        <v>#REF!</v>
      </c>
      <c r="AV6" s="2707"/>
      <c r="AW6" s="2707"/>
      <c r="AX6" s="2707"/>
      <c r="AY6" s="2707"/>
      <c r="AZ6" s="322" t="s">
        <v>733</v>
      </c>
      <c r="BA6" s="1052"/>
      <c r="BB6" s="1073">
        <f>IF(AND(AL6&lt;&gt;0,OR(J6="",M6="",Q6="",Y6="",AF6="",C6="",AQ6="")),1,0)</f>
        <v>1</v>
      </c>
      <c r="BC6" s="323">
        <f>IFERROR(IF(OR(J6=$BY$10,J6=$BY$11),IF(BI6&gt;=HLOOKUP(M6,$BK$4:$BV$5,2,FALSE),0,1),0),0)</f>
        <v>0</v>
      </c>
      <c r="BD6" s="646" t="e">
        <f>IF(AL6="","",IF($CH$5&lt;AL6,1,0))</f>
        <v>#REF!</v>
      </c>
      <c r="BE6" s="391">
        <f t="shared" ref="BE6:BE50" si="0">IF(COUNTIF(Q6,"*延長*"),1,IF(COUNTIF(Q6,"*一時*"),1,IF(COUNTIF(Q6,"*時間外*"),1,IF(OR(Q6="園長",Q6="施設長"),1,0))))</f>
        <v>0</v>
      </c>
      <c r="BF6" s="324">
        <f t="shared" ref="BF6:BF50" si="1">IF(AND($AL6=40000,OR(Y6=$CI$7,Y6=$CI$8,Y6=$CI$9)),1,0)</f>
        <v>0</v>
      </c>
      <c r="BG6" s="324">
        <f t="shared" ref="BG6:BG50" si="2">IF(OR(Y6=$CI$6),1,0)</f>
        <v>0</v>
      </c>
      <c r="BH6" s="1074" t="s">
        <v>946</v>
      </c>
      <c r="BI6" s="1069">
        <f t="shared" ref="BI6:BI50" si="3">IFERROR(HLOOKUP($AI6,$BK$4:$BV$5,2,FALSE),"")</f>
        <v>1</v>
      </c>
      <c r="BJ6" s="1066">
        <f t="shared" ref="BJ6:BJ50" si="4">IFERROR(HLOOKUP($AK6,$BK$4:$BV$5,2,FALSE),"")</f>
        <v>12</v>
      </c>
      <c r="BK6" s="391">
        <f t="shared" ref="BK6:BV15" si="5">IF(AND($BI6&lt;=BK$5,BK$5&lt;=$BJ6),$AL6,0)</f>
        <v>6000</v>
      </c>
      <c r="BL6" s="391">
        <f t="shared" si="5"/>
        <v>6000</v>
      </c>
      <c r="BM6" s="391">
        <f t="shared" si="5"/>
        <v>6000</v>
      </c>
      <c r="BN6" s="391">
        <f t="shared" si="5"/>
        <v>6000</v>
      </c>
      <c r="BO6" s="391">
        <f t="shared" si="5"/>
        <v>6000</v>
      </c>
      <c r="BP6" s="391">
        <f t="shared" si="5"/>
        <v>6000</v>
      </c>
      <c r="BQ6" s="391">
        <f t="shared" si="5"/>
        <v>6000</v>
      </c>
      <c r="BR6" s="391">
        <f t="shared" si="5"/>
        <v>6000</v>
      </c>
      <c r="BS6" s="391">
        <f t="shared" si="5"/>
        <v>6000</v>
      </c>
      <c r="BT6" s="391">
        <f t="shared" si="5"/>
        <v>6000</v>
      </c>
      <c r="BU6" s="391">
        <f t="shared" si="5"/>
        <v>6000</v>
      </c>
      <c r="BV6" s="391">
        <f t="shared" si="5"/>
        <v>6000</v>
      </c>
      <c r="BW6" s="325"/>
      <c r="BX6" s="309" t="e">
        <f>IF(2017+ROW()-6&lt;=$BX$5+1,2017+ROW()-6,"")</f>
        <v>#REF!</v>
      </c>
      <c r="BY6" s="309" t="str">
        <f t="shared" ref="BY6:BY17" si="6">IFERROR(TEXT(DATE($BX6,4,1),"ge")&amp;"("&amp;TEXT(DATE($BX6,4,1),"yyyy")&amp;")","")</f>
        <v/>
      </c>
      <c r="BZ6" s="992" t="e">
        <f>HLOOKUP(BZ5,$BK$4:$BV$5,2,FALSE)</f>
        <v>#REF!</v>
      </c>
      <c r="CA6" s="332" t="e">
        <f>HLOOKUP(CA5,$BK$4:$BV$5,2,FALSE)</f>
        <v>#REF!</v>
      </c>
      <c r="CB6" s="1055" t="s">
        <v>243</v>
      </c>
      <c r="CC6" s="1055" t="s">
        <v>715</v>
      </c>
      <c r="CD6" s="1055"/>
      <c r="CE6" s="309"/>
      <c r="CF6" s="309"/>
      <c r="CG6" s="313">
        <f>MAX($AL$6:$AL$50)</f>
        <v>6000</v>
      </c>
      <c r="CH6" s="397">
        <f>MIN($AL$6:$AL$50)</f>
        <v>6000</v>
      </c>
      <c r="CI6" s="309" t="s">
        <v>807</v>
      </c>
      <c r="CJ6" s="306">
        <v>0</v>
      </c>
    </row>
    <row r="7" spans="1:88" ht="24.95" customHeight="1">
      <c r="A7" s="2715">
        <v>2</v>
      </c>
      <c r="B7" s="2716"/>
      <c r="C7" s="2701"/>
      <c r="D7" s="2702"/>
      <c r="E7" s="2702"/>
      <c r="F7" s="2702"/>
      <c r="G7" s="2702"/>
      <c r="H7" s="2702"/>
      <c r="I7" s="2703"/>
      <c r="J7" s="2701"/>
      <c r="K7" s="2702"/>
      <c r="L7" s="2717"/>
      <c r="M7" s="2718"/>
      <c r="N7" s="2719"/>
      <c r="O7" s="2720"/>
      <c r="P7" s="2717"/>
      <c r="Q7" s="2695"/>
      <c r="R7" s="2696"/>
      <c r="S7" s="2696"/>
      <c r="T7" s="2696"/>
      <c r="U7" s="2696"/>
      <c r="V7" s="2696"/>
      <c r="W7" s="2696"/>
      <c r="X7" s="2697"/>
      <c r="Y7" s="2721" t="str">
        <f>IFERROR(VLOOKUP(C7,#REF!,2,FALSE),"")</f>
        <v/>
      </c>
      <c r="Z7" s="2722"/>
      <c r="AA7" s="2722"/>
      <c r="AB7" s="2722"/>
      <c r="AC7" s="2722"/>
      <c r="AD7" s="2722"/>
      <c r="AE7" s="2723"/>
      <c r="AF7" s="2701"/>
      <c r="AG7" s="2702"/>
      <c r="AH7" s="2703"/>
      <c r="AI7" s="1053"/>
      <c r="AJ7" s="1089" t="s">
        <v>916</v>
      </c>
      <c r="AK7" s="1054"/>
      <c r="AL7" s="2704"/>
      <c r="AM7" s="2705"/>
      <c r="AN7" s="2705"/>
      <c r="AO7" s="320" t="s">
        <v>733</v>
      </c>
      <c r="AP7" s="321" t="s">
        <v>244</v>
      </c>
      <c r="AQ7" s="2724" t="str">
        <f t="shared" ref="AQ7:AQ50" si="7">IFERROR(BJ7-BI7+1,"")</f>
        <v/>
      </c>
      <c r="AR7" s="2724"/>
      <c r="AS7" s="320" t="s">
        <v>240</v>
      </c>
      <c r="AT7" s="321" t="s">
        <v>734</v>
      </c>
      <c r="AU7" s="2707" t="str">
        <f>IF(SUM(BB7:BG7)&gt;0,CONCATENATE("ｴﾗｰ ",IF(BB7=1,"①",""),IF(BC7=1,"②",""),IF(BD7=1,"③",""),IF(BE7=1,"④",""),IF(BF7=1,"⑤",""),IF(BG7=1,"⑥","")),IFERROR(AL7*AQ7,""))</f>
        <v/>
      </c>
      <c r="AV7" s="2707"/>
      <c r="AW7" s="2707"/>
      <c r="AX7" s="2707"/>
      <c r="AY7" s="2707"/>
      <c r="AZ7" s="322" t="s">
        <v>733</v>
      </c>
      <c r="BA7" s="1052"/>
      <c r="BB7" s="1073">
        <f t="shared" ref="BB7:BB50" si="8">IF(AND(AL7&lt;&gt;0,OR(J7="",M7="",Q7="",Y7="",AF7="",C7="",AQ7="")),1,0)</f>
        <v>0</v>
      </c>
      <c r="BC7" s="323">
        <f t="shared" ref="BC7:BC50" si="9">IFERROR(IF(OR(J7=$BY$10,J7=$BY$11),IF(BI7&gt;=HLOOKUP(M7,$BK$4:$BV$5,2,FALSE),0,1),0),0)</f>
        <v>0</v>
      </c>
      <c r="BD7" s="646" t="str">
        <f t="shared" ref="BD7:BD35" si="10">IF(AL7="","",IF($CH$5&lt;AL7,1,0))</f>
        <v/>
      </c>
      <c r="BE7" s="391">
        <f t="shared" si="0"/>
        <v>0</v>
      </c>
      <c r="BF7" s="324">
        <f t="shared" si="1"/>
        <v>0</v>
      </c>
      <c r="BG7" s="729">
        <f t="shared" si="2"/>
        <v>0</v>
      </c>
      <c r="BH7" s="1074">
        <f>COUNTIF($BK$6:$BK$50,40000)</f>
        <v>0</v>
      </c>
      <c r="BI7" s="1069" t="str">
        <f t="shared" si="3"/>
        <v/>
      </c>
      <c r="BJ7" s="1066" t="str">
        <f t="shared" si="4"/>
        <v/>
      </c>
      <c r="BK7" s="391">
        <f t="shared" si="5"/>
        <v>0</v>
      </c>
      <c r="BL7" s="391">
        <f t="shared" si="5"/>
        <v>0</v>
      </c>
      <c r="BM7" s="391">
        <f t="shared" si="5"/>
        <v>0</v>
      </c>
      <c r="BN7" s="391">
        <f t="shared" si="5"/>
        <v>0</v>
      </c>
      <c r="BO7" s="391">
        <f t="shared" si="5"/>
        <v>0</v>
      </c>
      <c r="BP7" s="391">
        <f t="shared" si="5"/>
        <v>0</v>
      </c>
      <c r="BQ7" s="391">
        <f t="shared" si="5"/>
        <v>0</v>
      </c>
      <c r="BR7" s="391">
        <f t="shared" si="5"/>
        <v>0</v>
      </c>
      <c r="BS7" s="391">
        <f t="shared" si="5"/>
        <v>0</v>
      </c>
      <c r="BT7" s="391">
        <f t="shared" si="5"/>
        <v>0</v>
      </c>
      <c r="BU7" s="391">
        <f t="shared" si="5"/>
        <v>0</v>
      </c>
      <c r="BV7" s="391">
        <f t="shared" si="5"/>
        <v>0</v>
      </c>
      <c r="BW7" s="325"/>
      <c r="BX7" s="309" t="e">
        <f t="shared" ref="BX7:BX17" si="11">IF(2017+ROW()-6&lt;=$BX$5+1,2017+ROW()-6,"")</f>
        <v>#REF!</v>
      </c>
      <c r="BY7" s="309" t="str">
        <f t="shared" si="6"/>
        <v/>
      </c>
      <c r="BZ7" s="309"/>
      <c r="CA7" s="307"/>
      <c r="CB7" s="315" t="s">
        <v>244</v>
      </c>
      <c r="CC7" s="315" t="s">
        <v>723</v>
      </c>
      <c r="CD7" s="315"/>
      <c r="CE7" s="316"/>
      <c r="CF7" s="317"/>
      <c r="CG7" s="317"/>
      <c r="CH7" s="317"/>
      <c r="CI7" s="316" t="s">
        <v>808</v>
      </c>
      <c r="CJ7" s="306">
        <v>0</v>
      </c>
    </row>
    <row r="8" spans="1:88" ht="24.95" customHeight="1">
      <c r="A8" s="2715">
        <v>3</v>
      </c>
      <c r="B8" s="2716"/>
      <c r="C8" s="2701"/>
      <c r="D8" s="2702"/>
      <c r="E8" s="2702"/>
      <c r="F8" s="2702"/>
      <c r="G8" s="2702"/>
      <c r="H8" s="2702"/>
      <c r="I8" s="2703"/>
      <c r="J8" s="2701"/>
      <c r="K8" s="2702"/>
      <c r="L8" s="2717"/>
      <c r="M8" s="2718"/>
      <c r="N8" s="2719"/>
      <c r="O8" s="2720"/>
      <c r="P8" s="2717"/>
      <c r="Q8" s="2695"/>
      <c r="R8" s="2696"/>
      <c r="S8" s="2696"/>
      <c r="T8" s="2696"/>
      <c r="U8" s="2696"/>
      <c r="V8" s="2696"/>
      <c r="W8" s="2696"/>
      <c r="X8" s="2697"/>
      <c r="Y8" s="2721" t="str">
        <f>IFERROR(VLOOKUP(C8,#REF!,2,FALSE),"")</f>
        <v/>
      </c>
      <c r="Z8" s="2722"/>
      <c r="AA8" s="2722"/>
      <c r="AB8" s="2722"/>
      <c r="AC8" s="2722"/>
      <c r="AD8" s="2722"/>
      <c r="AE8" s="2723"/>
      <c r="AF8" s="2701"/>
      <c r="AG8" s="2702"/>
      <c r="AH8" s="2703"/>
      <c r="AI8" s="1084"/>
      <c r="AJ8" s="1089" t="s">
        <v>916</v>
      </c>
      <c r="AK8" s="1085"/>
      <c r="AL8" s="2704"/>
      <c r="AM8" s="2705"/>
      <c r="AN8" s="2705"/>
      <c r="AO8" s="320" t="s">
        <v>733</v>
      </c>
      <c r="AP8" s="321" t="s">
        <v>244</v>
      </c>
      <c r="AQ8" s="2724" t="str">
        <f t="shared" si="7"/>
        <v/>
      </c>
      <c r="AR8" s="2724"/>
      <c r="AS8" s="320" t="s">
        <v>240</v>
      </c>
      <c r="AT8" s="321" t="s">
        <v>734</v>
      </c>
      <c r="AU8" s="2707" t="str">
        <f t="shared" ref="AU8:AU50" si="12">IF(SUM(BB8:BG8)&gt;0,CONCATENATE("ｴﾗｰ ",IF(BB8=1,"①",""),IF(BC8=1,"②",""),IF(BD8=1,"③",""),IF(BE8=1,"④",""),IF(BF8=1,"⑤",""),IF(BG8=1,"⑥","")),IFERROR(AL8*AQ8,""))</f>
        <v/>
      </c>
      <c r="AV8" s="2707"/>
      <c r="AW8" s="2707"/>
      <c r="AX8" s="2707"/>
      <c r="AY8" s="2707"/>
      <c r="AZ8" s="322" t="s">
        <v>733</v>
      </c>
      <c r="BA8" s="1052"/>
      <c r="BB8" s="1073">
        <f t="shared" si="8"/>
        <v>0</v>
      </c>
      <c r="BC8" s="323">
        <f t="shared" si="9"/>
        <v>0</v>
      </c>
      <c r="BD8" s="646" t="str">
        <f t="shared" si="10"/>
        <v/>
      </c>
      <c r="BE8" s="391">
        <f t="shared" si="0"/>
        <v>0</v>
      </c>
      <c r="BF8" s="324">
        <f t="shared" si="1"/>
        <v>0</v>
      </c>
      <c r="BG8" s="729">
        <f t="shared" si="2"/>
        <v>0</v>
      </c>
      <c r="BH8" s="1074" t="s">
        <v>947</v>
      </c>
      <c r="BI8" s="1069" t="str">
        <f t="shared" si="3"/>
        <v/>
      </c>
      <c r="BJ8" s="1066" t="str">
        <f t="shared" si="4"/>
        <v/>
      </c>
      <c r="BK8" s="391">
        <f t="shared" si="5"/>
        <v>0</v>
      </c>
      <c r="BL8" s="391">
        <f t="shared" si="5"/>
        <v>0</v>
      </c>
      <c r="BM8" s="391">
        <f t="shared" si="5"/>
        <v>0</v>
      </c>
      <c r="BN8" s="391">
        <f t="shared" si="5"/>
        <v>0</v>
      </c>
      <c r="BO8" s="391">
        <f t="shared" si="5"/>
        <v>0</v>
      </c>
      <c r="BP8" s="391">
        <f t="shared" si="5"/>
        <v>0</v>
      </c>
      <c r="BQ8" s="391">
        <f t="shared" si="5"/>
        <v>0</v>
      </c>
      <c r="BR8" s="391">
        <f t="shared" si="5"/>
        <v>0</v>
      </c>
      <c r="BS8" s="391">
        <f t="shared" si="5"/>
        <v>0</v>
      </c>
      <c r="BT8" s="391">
        <f t="shared" si="5"/>
        <v>0</v>
      </c>
      <c r="BU8" s="391">
        <f t="shared" si="5"/>
        <v>0</v>
      </c>
      <c r="BV8" s="391">
        <f t="shared" si="5"/>
        <v>0</v>
      </c>
      <c r="BW8" s="325"/>
      <c r="BX8" s="309" t="e">
        <f t="shared" si="11"/>
        <v>#REF!</v>
      </c>
      <c r="BY8" s="309" t="str">
        <f t="shared" si="6"/>
        <v/>
      </c>
      <c r="BZ8" s="319"/>
      <c r="CA8" s="319"/>
      <c r="CB8" s="314"/>
      <c r="CC8" s="314"/>
      <c r="CD8" s="314"/>
      <c r="CE8" s="314"/>
      <c r="CF8" s="314"/>
      <c r="CG8" s="314"/>
      <c r="CH8" s="314"/>
      <c r="CI8" s="316" t="s">
        <v>809</v>
      </c>
      <c r="CJ8" s="306">
        <v>0</v>
      </c>
    </row>
    <row r="9" spans="1:88" ht="24.95" customHeight="1">
      <c r="A9" s="2715">
        <v>4</v>
      </c>
      <c r="B9" s="2716"/>
      <c r="C9" s="2701"/>
      <c r="D9" s="2702"/>
      <c r="E9" s="2702"/>
      <c r="F9" s="2702"/>
      <c r="G9" s="2702"/>
      <c r="H9" s="2702"/>
      <c r="I9" s="2703"/>
      <c r="J9" s="2701"/>
      <c r="K9" s="2702"/>
      <c r="L9" s="2717"/>
      <c r="M9" s="2718"/>
      <c r="N9" s="2719"/>
      <c r="O9" s="2720"/>
      <c r="P9" s="2717"/>
      <c r="Q9" s="2695"/>
      <c r="R9" s="2696"/>
      <c r="S9" s="2696"/>
      <c r="T9" s="2696"/>
      <c r="U9" s="2696"/>
      <c r="V9" s="2696"/>
      <c r="W9" s="2696"/>
      <c r="X9" s="2697"/>
      <c r="Y9" s="2721" t="str">
        <f>IFERROR(VLOOKUP(C9,#REF!,2,FALSE),"")</f>
        <v/>
      </c>
      <c r="Z9" s="2722"/>
      <c r="AA9" s="2722"/>
      <c r="AB9" s="2722"/>
      <c r="AC9" s="2722"/>
      <c r="AD9" s="2722"/>
      <c r="AE9" s="2723"/>
      <c r="AF9" s="2701"/>
      <c r="AG9" s="2702"/>
      <c r="AH9" s="2703"/>
      <c r="AI9" s="1084"/>
      <c r="AJ9" s="1089" t="s">
        <v>916</v>
      </c>
      <c r="AK9" s="1085"/>
      <c r="AL9" s="2704"/>
      <c r="AM9" s="2705"/>
      <c r="AN9" s="2705"/>
      <c r="AO9" s="320" t="s">
        <v>733</v>
      </c>
      <c r="AP9" s="321" t="s">
        <v>244</v>
      </c>
      <c r="AQ9" s="2724" t="str">
        <f t="shared" si="7"/>
        <v/>
      </c>
      <c r="AR9" s="2724"/>
      <c r="AS9" s="320" t="s">
        <v>240</v>
      </c>
      <c r="AT9" s="321" t="s">
        <v>734</v>
      </c>
      <c r="AU9" s="2707" t="str">
        <f t="shared" si="12"/>
        <v/>
      </c>
      <c r="AV9" s="2707"/>
      <c r="AW9" s="2707"/>
      <c r="AX9" s="2707"/>
      <c r="AY9" s="2707"/>
      <c r="AZ9" s="322" t="s">
        <v>733</v>
      </c>
      <c r="BA9" s="1052"/>
      <c r="BB9" s="1073">
        <f t="shared" si="8"/>
        <v>0</v>
      </c>
      <c r="BC9" s="323">
        <f t="shared" si="9"/>
        <v>0</v>
      </c>
      <c r="BD9" s="646" t="str">
        <f t="shared" si="10"/>
        <v/>
      </c>
      <c r="BE9" s="391">
        <f t="shared" si="0"/>
        <v>0</v>
      </c>
      <c r="BF9" s="324">
        <f t="shared" si="1"/>
        <v>0</v>
      </c>
      <c r="BG9" s="729">
        <f t="shared" si="2"/>
        <v>0</v>
      </c>
      <c r="BH9" s="1074">
        <f>COUNTIF($BL$6:$BL$50,40000)</f>
        <v>0</v>
      </c>
      <c r="BI9" s="1069" t="str">
        <f t="shared" si="3"/>
        <v/>
      </c>
      <c r="BJ9" s="1066" t="str">
        <f t="shared" si="4"/>
        <v/>
      </c>
      <c r="BK9" s="391">
        <f t="shared" si="5"/>
        <v>0</v>
      </c>
      <c r="BL9" s="391">
        <f t="shared" si="5"/>
        <v>0</v>
      </c>
      <c r="BM9" s="391">
        <f t="shared" si="5"/>
        <v>0</v>
      </c>
      <c r="BN9" s="391">
        <f t="shared" si="5"/>
        <v>0</v>
      </c>
      <c r="BO9" s="391">
        <f t="shared" si="5"/>
        <v>0</v>
      </c>
      <c r="BP9" s="391">
        <f t="shared" si="5"/>
        <v>0</v>
      </c>
      <c r="BQ9" s="391">
        <f t="shared" si="5"/>
        <v>0</v>
      </c>
      <c r="BR9" s="391">
        <f t="shared" si="5"/>
        <v>0</v>
      </c>
      <c r="BS9" s="391">
        <f t="shared" si="5"/>
        <v>0</v>
      </c>
      <c r="BT9" s="391">
        <f t="shared" si="5"/>
        <v>0</v>
      </c>
      <c r="BU9" s="391">
        <f t="shared" si="5"/>
        <v>0</v>
      </c>
      <c r="BV9" s="391">
        <f t="shared" si="5"/>
        <v>0</v>
      </c>
      <c r="BW9" s="325"/>
      <c r="BX9" s="309" t="e">
        <f t="shared" si="11"/>
        <v>#REF!</v>
      </c>
      <c r="BY9" s="309" t="str">
        <f t="shared" si="6"/>
        <v/>
      </c>
      <c r="BZ9" s="319"/>
      <c r="CA9" s="319"/>
      <c r="CB9" s="325"/>
      <c r="CC9" s="325"/>
      <c r="CD9" s="325"/>
      <c r="CI9" s="309" t="s">
        <v>810</v>
      </c>
      <c r="CJ9" s="306">
        <v>0</v>
      </c>
    </row>
    <row r="10" spans="1:88" ht="24.95" customHeight="1">
      <c r="A10" s="2715">
        <v>5</v>
      </c>
      <c r="B10" s="2716"/>
      <c r="C10" s="2701"/>
      <c r="D10" s="2702"/>
      <c r="E10" s="2702"/>
      <c r="F10" s="2702"/>
      <c r="G10" s="2702"/>
      <c r="H10" s="2702"/>
      <c r="I10" s="2703"/>
      <c r="J10" s="2701"/>
      <c r="K10" s="2702"/>
      <c r="L10" s="2717"/>
      <c r="M10" s="2718"/>
      <c r="N10" s="2719"/>
      <c r="O10" s="2720"/>
      <c r="P10" s="2717"/>
      <c r="Q10" s="2695"/>
      <c r="R10" s="2696"/>
      <c r="S10" s="2696"/>
      <c r="T10" s="2696"/>
      <c r="U10" s="2696"/>
      <c r="V10" s="2696"/>
      <c r="W10" s="2696"/>
      <c r="X10" s="2697"/>
      <c r="Y10" s="2721" t="str">
        <f>IFERROR(VLOOKUP(C10,#REF!,2,FALSE),"")</f>
        <v/>
      </c>
      <c r="Z10" s="2722"/>
      <c r="AA10" s="2722"/>
      <c r="AB10" s="2722"/>
      <c r="AC10" s="2722"/>
      <c r="AD10" s="2722"/>
      <c r="AE10" s="2723"/>
      <c r="AF10" s="2701"/>
      <c r="AG10" s="2702"/>
      <c r="AH10" s="2703"/>
      <c r="AI10" s="1084"/>
      <c r="AJ10" s="1089" t="s">
        <v>916</v>
      </c>
      <c r="AK10" s="1085"/>
      <c r="AL10" s="2704"/>
      <c r="AM10" s="2705"/>
      <c r="AN10" s="2705"/>
      <c r="AO10" s="320" t="s">
        <v>733</v>
      </c>
      <c r="AP10" s="321" t="s">
        <v>244</v>
      </c>
      <c r="AQ10" s="2724" t="str">
        <f t="shared" si="7"/>
        <v/>
      </c>
      <c r="AR10" s="2724"/>
      <c r="AS10" s="320" t="s">
        <v>240</v>
      </c>
      <c r="AT10" s="321" t="s">
        <v>734</v>
      </c>
      <c r="AU10" s="2707" t="str">
        <f t="shared" si="12"/>
        <v/>
      </c>
      <c r="AV10" s="2707"/>
      <c r="AW10" s="2707"/>
      <c r="AX10" s="2707"/>
      <c r="AY10" s="2707"/>
      <c r="AZ10" s="322" t="s">
        <v>733</v>
      </c>
      <c r="BA10" s="1052"/>
      <c r="BB10" s="1073">
        <f t="shared" si="8"/>
        <v>0</v>
      </c>
      <c r="BC10" s="323">
        <f t="shared" si="9"/>
        <v>0</v>
      </c>
      <c r="BD10" s="646" t="str">
        <f t="shared" si="10"/>
        <v/>
      </c>
      <c r="BE10" s="391">
        <f t="shared" si="0"/>
        <v>0</v>
      </c>
      <c r="BF10" s="324">
        <f t="shared" si="1"/>
        <v>0</v>
      </c>
      <c r="BG10" s="729">
        <f t="shared" si="2"/>
        <v>0</v>
      </c>
      <c r="BH10" s="1074" t="s">
        <v>948</v>
      </c>
      <c r="BI10" s="1069" t="str">
        <f t="shared" si="3"/>
        <v/>
      </c>
      <c r="BJ10" s="1066" t="str">
        <f t="shared" si="4"/>
        <v/>
      </c>
      <c r="BK10" s="391">
        <f t="shared" si="5"/>
        <v>0</v>
      </c>
      <c r="BL10" s="391">
        <f t="shared" si="5"/>
        <v>0</v>
      </c>
      <c r="BM10" s="391">
        <f t="shared" si="5"/>
        <v>0</v>
      </c>
      <c r="BN10" s="391">
        <f t="shared" si="5"/>
        <v>0</v>
      </c>
      <c r="BO10" s="391">
        <f t="shared" si="5"/>
        <v>0</v>
      </c>
      <c r="BP10" s="391">
        <f t="shared" si="5"/>
        <v>0</v>
      </c>
      <c r="BQ10" s="391">
        <f t="shared" si="5"/>
        <v>0</v>
      </c>
      <c r="BR10" s="391">
        <f t="shared" si="5"/>
        <v>0</v>
      </c>
      <c r="BS10" s="391">
        <f t="shared" si="5"/>
        <v>0</v>
      </c>
      <c r="BT10" s="391">
        <f t="shared" si="5"/>
        <v>0</v>
      </c>
      <c r="BU10" s="391">
        <f t="shared" si="5"/>
        <v>0</v>
      </c>
      <c r="BV10" s="391">
        <f t="shared" si="5"/>
        <v>0</v>
      </c>
      <c r="BW10" s="325"/>
      <c r="BX10" s="309" t="e">
        <f t="shared" si="11"/>
        <v>#REF!</v>
      </c>
      <c r="BY10" s="309" t="str">
        <f t="shared" si="6"/>
        <v/>
      </c>
      <c r="BZ10" s="319"/>
      <c r="CA10" s="319"/>
      <c r="CB10" s="325"/>
      <c r="CC10" s="325"/>
      <c r="CD10" s="325"/>
      <c r="CI10" s="309" t="s">
        <v>811</v>
      </c>
      <c r="CJ10" s="306">
        <v>0</v>
      </c>
    </row>
    <row r="11" spans="1:88" ht="24.95" customHeight="1">
      <c r="A11" s="2715">
        <v>6</v>
      </c>
      <c r="B11" s="2716"/>
      <c r="C11" s="2701"/>
      <c r="D11" s="2702"/>
      <c r="E11" s="2702"/>
      <c r="F11" s="2702"/>
      <c r="G11" s="2702"/>
      <c r="H11" s="2702"/>
      <c r="I11" s="2703"/>
      <c r="J11" s="2701"/>
      <c r="K11" s="2702"/>
      <c r="L11" s="2717"/>
      <c r="M11" s="2718"/>
      <c r="N11" s="2719"/>
      <c r="O11" s="2720"/>
      <c r="P11" s="2717"/>
      <c r="Q11" s="2695"/>
      <c r="R11" s="2696"/>
      <c r="S11" s="2696"/>
      <c r="T11" s="2696"/>
      <c r="U11" s="2696"/>
      <c r="V11" s="2696"/>
      <c r="W11" s="2696"/>
      <c r="X11" s="2697"/>
      <c r="Y11" s="2721" t="str">
        <f>IFERROR(VLOOKUP(C11,#REF!,2,FALSE),"")</f>
        <v/>
      </c>
      <c r="Z11" s="2722"/>
      <c r="AA11" s="2722"/>
      <c r="AB11" s="2722"/>
      <c r="AC11" s="2722"/>
      <c r="AD11" s="2722"/>
      <c r="AE11" s="2723"/>
      <c r="AF11" s="2701"/>
      <c r="AG11" s="2702"/>
      <c r="AH11" s="2703"/>
      <c r="AI11" s="1084"/>
      <c r="AJ11" s="1089" t="s">
        <v>916</v>
      </c>
      <c r="AK11" s="1085"/>
      <c r="AL11" s="2704"/>
      <c r="AM11" s="2705"/>
      <c r="AN11" s="2705"/>
      <c r="AO11" s="320" t="s">
        <v>733</v>
      </c>
      <c r="AP11" s="321" t="s">
        <v>244</v>
      </c>
      <c r="AQ11" s="2724" t="str">
        <f t="shared" si="7"/>
        <v/>
      </c>
      <c r="AR11" s="2724"/>
      <c r="AS11" s="320" t="s">
        <v>240</v>
      </c>
      <c r="AT11" s="321" t="s">
        <v>734</v>
      </c>
      <c r="AU11" s="2707" t="str">
        <f t="shared" si="12"/>
        <v/>
      </c>
      <c r="AV11" s="2707"/>
      <c r="AW11" s="2707"/>
      <c r="AX11" s="2707"/>
      <c r="AY11" s="2707"/>
      <c r="AZ11" s="322" t="s">
        <v>733</v>
      </c>
      <c r="BA11" s="1052"/>
      <c r="BB11" s="1073">
        <f t="shared" si="8"/>
        <v>0</v>
      </c>
      <c r="BC11" s="323">
        <f t="shared" si="9"/>
        <v>0</v>
      </c>
      <c r="BD11" s="646" t="str">
        <f t="shared" si="10"/>
        <v/>
      </c>
      <c r="BE11" s="391">
        <f t="shared" si="0"/>
        <v>0</v>
      </c>
      <c r="BF11" s="324">
        <f t="shared" si="1"/>
        <v>0</v>
      </c>
      <c r="BG11" s="729">
        <f t="shared" si="2"/>
        <v>0</v>
      </c>
      <c r="BH11" s="1074">
        <f>COUNTIF($BM$6:$BM$50,40000)</f>
        <v>0</v>
      </c>
      <c r="BI11" s="1069" t="str">
        <f t="shared" si="3"/>
        <v/>
      </c>
      <c r="BJ11" s="1066" t="str">
        <f t="shared" si="4"/>
        <v/>
      </c>
      <c r="BK11" s="391">
        <f t="shared" si="5"/>
        <v>0</v>
      </c>
      <c r="BL11" s="391">
        <f t="shared" si="5"/>
        <v>0</v>
      </c>
      <c r="BM11" s="391">
        <f t="shared" si="5"/>
        <v>0</v>
      </c>
      <c r="BN11" s="391">
        <f t="shared" si="5"/>
        <v>0</v>
      </c>
      <c r="BO11" s="391">
        <f t="shared" si="5"/>
        <v>0</v>
      </c>
      <c r="BP11" s="391">
        <f t="shared" si="5"/>
        <v>0</v>
      </c>
      <c r="BQ11" s="391">
        <f t="shared" si="5"/>
        <v>0</v>
      </c>
      <c r="BR11" s="391">
        <f t="shared" si="5"/>
        <v>0</v>
      </c>
      <c r="BS11" s="391">
        <f t="shared" si="5"/>
        <v>0</v>
      </c>
      <c r="BT11" s="391">
        <f t="shared" si="5"/>
        <v>0</v>
      </c>
      <c r="BU11" s="391">
        <f t="shared" si="5"/>
        <v>0</v>
      </c>
      <c r="BV11" s="391">
        <f t="shared" si="5"/>
        <v>0</v>
      </c>
      <c r="BW11" s="325"/>
      <c r="BX11" s="309" t="e">
        <f t="shared" si="11"/>
        <v>#REF!</v>
      </c>
      <c r="BY11" s="309" t="str">
        <f t="shared" si="6"/>
        <v/>
      </c>
      <c r="BZ11" s="319"/>
      <c r="CA11" s="319"/>
      <c r="CB11" s="325"/>
      <c r="CC11" s="325"/>
      <c r="CD11" s="325"/>
      <c r="CI11" s="309" t="s">
        <v>804</v>
      </c>
      <c r="CJ11" s="306">
        <v>0</v>
      </c>
    </row>
    <row r="12" spans="1:88" ht="24.95" customHeight="1">
      <c r="A12" s="2715">
        <v>7</v>
      </c>
      <c r="B12" s="2716"/>
      <c r="C12" s="2701"/>
      <c r="D12" s="2702"/>
      <c r="E12" s="2702"/>
      <c r="F12" s="2702"/>
      <c r="G12" s="2702"/>
      <c r="H12" s="2702"/>
      <c r="I12" s="2703"/>
      <c r="J12" s="2701"/>
      <c r="K12" s="2702"/>
      <c r="L12" s="2717"/>
      <c r="M12" s="2718"/>
      <c r="N12" s="2719"/>
      <c r="O12" s="2720"/>
      <c r="P12" s="2717"/>
      <c r="Q12" s="2695"/>
      <c r="R12" s="2696"/>
      <c r="S12" s="2696"/>
      <c r="T12" s="2696"/>
      <c r="U12" s="2696"/>
      <c r="V12" s="2696"/>
      <c r="W12" s="2696"/>
      <c r="X12" s="2697"/>
      <c r="Y12" s="2721" t="str">
        <f>IFERROR(VLOOKUP(C12,#REF!,2,FALSE),"")</f>
        <v/>
      </c>
      <c r="Z12" s="2722"/>
      <c r="AA12" s="2722"/>
      <c r="AB12" s="2722"/>
      <c r="AC12" s="2722"/>
      <c r="AD12" s="2722"/>
      <c r="AE12" s="2723"/>
      <c r="AF12" s="2701"/>
      <c r="AG12" s="2702"/>
      <c r="AH12" s="2703"/>
      <c r="AI12" s="1084"/>
      <c r="AJ12" s="1089" t="s">
        <v>916</v>
      </c>
      <c r="AK12" s="1085"/>
      <c r="AL12" s="2704"/>
      <c r="AM12" s="2705"/>
      <c r="AN12" s="2705"/>
      <c r="AO12" s="320" t="s">
        <v>733</v>
      </c>
      <c r="AP12" s="321" t="s">
        <v>244</v>
      </c>
      <c r="AQ12" s="2724" t="str">
        <f t="shared" si="7"/>
        <v/>
      </c>
      <c r="AR12" s="2724"/>
      <c r="AS12" s="320" t="s">
        <v>240</v>
      </c>
      <c r="AT12" s="321" t="s">
        <v>734</v>
      </c>
      <c r="AU12" s="2707" t="str">
        <f t="shared" si="12"/>
        <v/>
      </c>
      <c r="AV12" s="2707"/>
      <c r="AW12" s="2707"/>
      <c r="AX12" s="2707"/>
      <c r="AY12" s="2707"/>
      <c r="AZ12" s="322" t="s">
        <v>733</v>
      </c>
      <c r="BA12" s="1052"/>
      <c r="BB12" s="1073">
        <f t="shared" si="8"/>
        <v>0</v>
      </c>
      <c r="BC12" s="323">
        <f t="shared" si="9"/>
        <v>0</v>
      </c>
      <c r="BD12" s="646" t="str">
        <f t="shared" si="10"/>
        <v/>
      </c>
      <c r="BE12" s="391">
        <f t="shared" si="0"/>
        <v>0</v>
      </c>
      <c r="BF12" s="324">
        <f t="shared" si="1"/>
        <v>0</v>
      </c>
      <c r="BG12" s="729">
        <f t="shared" si="2"/>
        <v>0</v>
      </c>
      <c r="BH12" s="1074" t="s">
        <v>949</v>
      </c>
      <c r="BI12" s="1069" t="str">
        <f t="shared" si="3"/>
        <v/>
      </c>
      <c r="BJ12" s="1066" t="str">
        <f t="shared" si="4"/>
        <v/>
      </c>
      <c r="BK12" s="391">
        <f t="shared" si="5"/>
        <v>0</v>
      </c>
      <c r="BL12" s="391">
        <f t="shared" si="5"/>
        <v>0</v>
      </c>
      <c r="BM12" s="391">
        <f t="shared" si="5"/>
        <v>0</v>
      </c>
      <c r="BN12" s="391">
        <f t="shared" si="5"/>
        <v>0</v>
      </c>
      <c r="BO12" s="391">
        <f t="shared" si="5"/>
        <v>0</v>
      </c>
      <c r="BP12" s="391">
        <f t="shared" si="5"/>
        <v>0</v>
      </c>
      <c r="BQ12" s="391">
        <f t="shared" si="5"/>
        <v>0</v>
      </c>
      <c r="BR12" s="391">
        <f t="shared" si="5"/>
        <v>0</v>
      </c>
      <c r="BS12" s="391">
        <f t="shared" si="5"/>
        <v>0</v>
      </c>
      <c r="BT12" s="391">
        <f t="shared" si="5"/>
        <v>0</v>
      </c>
      <c r="BU12" s="391">
        <f t="shared" si="5"/>
        <v>0</v>
      </c>
      <c r="BV12" s="391">
        <f t="shared" si="5"/>
        <v>0</v>
      </c>
      <c r="BW12" s="325"/>
      <c r="BX12" s="309" t="e">
        <f t="shared" si="11"/>
        <v>#REF!</v>
      </c>
      <c r="BY12" s="309" t="str">
        <f t="shared" si="6"/>
        <v/>
      </c>
      <c r="BZ12" s="319"/>
      <c r="CA12" s="319"/>
      <c r="CB12" s="325"/>
      <c r="CC12" s="325"/>
      <c r="CD12" s="325"/>
      <c r="CI12" s="309" t="s">
        <v>803</v>
      </c>
      <c r="CJ12" s="306">
        <v>0</v>
      </c>
    </row>
    <row r="13" spans="1:88" ht="24.95" customHeight="1">
      <c r="A13" s="2715">
        <v>8</v>
      </c>
      <c r="B13" s="2716"/>
      <c r="C13" s="2701"/>
      <c r="D13" s="2702"/>
      <c r="E13" s="2702"/>
      <c r="F13" s="2702"/>
      <c r="G13" s="2702"/>
      <c r="H13" s="2702"/>
      <c r="I13" s="2703"/>
      <c r="J13" s="2701"/>
      <c r="K13" s="2702"/>
      <c r="L13" s="2717"/>
      <c r="M13" s="2718"/>
      <c r="N13" s="2719"/>
      <c r="O13" s="2720"/>
      <c r="P13" s="2717"/>
      <c r="Q13" s="2695"/>
      <c r="R13" s="2696"/>
      <c r="S13" s="2696"/>
      <c r="T13" s="2696"/>
      <c r="U13" s="2696"/>
      <c r="V13" s="2696"/>
      <c r="W13" s="2696"/>
      <c r="X13" s="2697"/>
      <c r="Y13" s="2721" t="str">
        <f>IFERROR(VLOOKUP(C13,#REF!,2,FALSE),"")</f>
        <v/>
      </c>
      <c r="Z13" s="2722"/>
      <c r="AA13" s="2722"/>
      <c r="AB13" s="2722"/>
      <c r="AC13" s="2722"/>
      <c r="AD13" s="2722"/>
      <c r="AE13" s="2723"/>
      <c r="AF13" s="2701"/>
      <c r="AG13" s="2702"/>
      <c r="AH13" s="2703"/>
      <c r="AI13" s="1084"/>
      <c r="AJ13" s="1089" t="s">
        <v>916</v>
      </c>
      <c r="AK13" s="1085"/>
      <c r="AL13" s="2704"/>
      <c r="AM13" s="2705"/>
      <c r="AN13" s="2705"/>
      <c r="AO13" s="320" t="s">
        <v>733</v>
      </c>
      <c r="AP13" s="321" t="s">
        <v>244</v>
      </c>
      <c r="AQ13" s="2724" t="str">
        <f t="shared" si="7"/>
        <v/>
      </c>
      <c r="AR13" s="2724"/>
      <c r="AS13" s="320" t="s">
        <v>240</v>
      </c>
      <c r="AT13" s="321" t="s">
        <v>734</v>
      </c>
      <c r="AU13" s="2707" t="str">
        <f t="shared" si="12"/>
        <v/>
      </c>
      <c r="AV13" s="2707"/>
      <c r="AW13" s="2707"/>
      <c r="AX13" s="2707"/>
      <c r="AY13" s="2707"/>
      <c r="AZ13" s="322" t="s">
        <v>733</v>
      </c>
      <c r="BA13" s="1052"/>
      <c r="BB13" s="1073">
        <f t="shared" si="8"/>
        <v>0</v>
      </c>
      <c r="BC13" s="323">
        <f t="shared" si="9"/>
        <v>0</v>
      </c>
      <c r="BD13" s="646" t="str">
        <f t="shared" si="10"/>
        <v/>
      </c>
      <c r="BE13" s="391">
        <f t="shared" si="0"/>
        <v>0</v>
      </c>
      <c r="BF13" s="324">
        <f t="shared" si="1"/>
        <v>0</v>
      </c>
      <c r="BG13" s="729">
        <f t="shared" si="2"/>
        <v>0</v>
      </c>
      <c r="BH13" s="1074">
        <f>COUNTIF($BN$6:$BN$50,40000)</f>
        <v>0</v>
      </c>
      <c r="BI13" s="1069" t="str">
        <f t="shared" si="3"/>
        <v/>
      </c>
      <c r="BJ13" s="1066" t="str">
        <f t="shared" si="4"/>
        <v/>
      </c>
      <c r="BK13" s="391">
        <f t="shared" si="5"/>
        <v>0</v>
      </c>
      <c r="BL13" s="391">
        <f t="shared" si="5"/>
        <v>0</v>
      </c>
      <c r="BM13" s="391">
        <f t="shared" si="5"/>
        <v>0</v>
      </c>
      <c r="BN13" s="391">
        <f t="shared" si="5"/>
        <v>0</v>
      </c>
      <c r="BO13" s="391">
        <f t="shared" si="5"/>
        <v>0</v>
      </c>
      <c r="BP13" s="391">
        <f t="shared" si="5"/>
        <v>0</v>
      </c>
      <c r="BQ13" s="391">
        <f t="shared" si="5"/>
        <v>0</v>
      </c>
      <c r="BR13" s="391">
        <f t="shared" si="5"/>
        <v>0</v>
      </c>
      <c r="BS13" s="391">
        <f t="shared" si="5"/>
        <v>0</v>
      </c>
      <c r="BT13" s="391">
        <f t="shared" si="5"/>
        <v>0</v>
      </c>
      <c r="BU13" s="391">
        <f t="shared" si="5"/>
        <v>0</v>
      </c>
      <c r="BV13" s="391">
        <f t="shared" si="5"/>
        <v>0</v>
      </c>
      <c r="BW13" s="325"/>
      <c r="BX13" s="309" t="e">
        <f t="shared" si="11"/>
        <v>#REF!</v>
      </c>
      <c r="BY13" s="309" t="str">
        <f t="shared" si="6"/>
        <v/>
      </c>
      <c r="BZ13" s="319"/>
      <c r="CA13" s="319"/>
      <c r="CB13" s="325"/>
      <c r="CC13" s="325"/>
      <c r="CD13" s="325"/>
      <c r="CI13" s="309" t="s">
        <v>812</v>
      </c>
      <c r="CJ13" s="306">
        <v>0</v>
      </c>
    </row>
    <row r="14" spans="1:88" ht="24.95" customHeight="1">
      <c r="A14" s="2715">
        <v>9</v>
      </c>
      <c r="B14" s="2716"/>
      <c r="C14" s="2701"/>
      <c r="D14" s="2702"/>
      <c r="E14" s="2702"/>
      <c r="F14" s="2702"/>
      <c r="G14" s="2702"/>
      <c r="H14" s="2702"/>
      <c r="I14" s="2703"/>
      <c r="J14" s="2701"/>
      <c r="K14" s="2702"/>
      <c r="L14" s="2717"/>
      <c r="M14" s="2718"/>
      <c r="N14" s="2719"/>
      <c r="O14" s="2720"/>
      <c r="P14" s="2717"/>
      <c r="Q14" s="2695"/>
      <c r="R14" s="2696"/>
      <c r="S14" s="2696"/>
      <c r="T14" s="2696"/>
      <c r="U14" s="2696"/>
      <c r="V14" s="2696"/>
      <c r="W14" s="2696"/>
      <c r="X14" s="2697"/>
      <c r="Y14" s="2721" t="str">
        <f>IFERROR(VLOOKUP(C14,#REF!,2,FALSE),"")</f>
        <v/>
      </c>
      <c r="Z14" s="2722"/>
      <c r="AA14" s="2722"/>
      <c r="AB14" s="2722"/>
      <c r="AC14" s="2722"/>
      <c r="AD14" s="2722"/>
      <c r="AE14" s="2723"/>
      <c r="AF14" s="2701"/>
      <c r="AG14" s="2702"/>
      <c r="AH14" s="2703"/>
      <c r="AI14" s="1084"/>
      <c r="AJ14" s="1089" t="s">
        <v>916</v>
      </c>
      <c r="AK14" s="1085"/>
      <c r="AL14" s="2704"/>
      <c r="AM14" s="2705"/>
      <c r="AN14" s="2705"/>
      <c r="AO14" s="320" t="s">
        <v>733</v>
      </c>
      <c r="AP14" s="321" t="s">
        <v>244</v>
      </c>
      <c r="AQ14" s="2724" t="str">
        <f t="shared" si="7"/>
        <v/>
      </c>
      <c r="AR14" s="2724"/>
      <c r="AS14" s="320" t="s">
        <v>240</v>
      </c>
      <c r="AT14" s="321" t="s">
        <v>734</v>
      </c>
      <c r="AU14" s="2707" t="str">
        <f t="shared" si="12"/>
        <v/>
      </c>
      <c r="AV14" s="2707"/>
      <c r="AW14" s="2707"/>
      <c r="AX14" s="2707"/>
      <c r="AY14" s="2707"/>
      <c r="AZ14" s="322" t="s">
        <v>733</v>
      </c>
      <c r="BA14" s="1052"/>
      <c r="BB14" s="1073">
        <f t="shared" si="8"/>
        <v>0</v>
      </c>
      <c r="BC14" s="323">
        <f t="shared" si="9"/>
        <v>0</v>
      </c>
      <c r="BD14" s="646" t="str">
        <f t="shared" si="10"/>
        <v/>
      </c>
      <c r="BE14" s="391">
        <f t="shared" si="0"/>
        <v>0</v>
      </c>
      <c r="BF14" s="324">
        <f t="shared" si="1"/>
        <v>0</v>
      </c>
      <c r="BG14" s="729">
        <f t="shared" si="2"/>
        <v>0</v>
      </c>
      <c r="BH14" s="1074" t="s">
        <v>950</v>
      </c>
      <c r="BI14" s="1069" t="str">
        <f t="shared" si="3"/>
        <v/>
      </c>
      <c r="BJ14" s="1066" t="str">
        <f t="shared" si="4"/>
        <v/>
      </c>
      <c r="BK14" s="391">
        <f t="shared" si="5"/>
        <v>0</v>
      </c>
      <c r="BL14" s="391">
        <f t="shared" si="5"/>
        <v>0</v>
      </c>
      <c r="BM14" s="391">
        <f t="shared" si="5"/>
        <v>0</v>
      </c>
      <c r="BN14" s="391">
        <f t="shared" si="5"/>
        <v>0</v>
      </c>
      <c r="BO14" s="391">
        <f t="shared" si="5"/>
        <v>0</v>
      </c>
      <c r="BP14" s="391">
        <f t="shared" si="5"/>
        <v>0</v>
      </c>
      <c r="BQ14" s="391">
        <f t="shared" si="5"/>
        <v>0</v>
      </c>
      <c r="BR14" s="391">
        <f t="shared" si="5"/>
        <v>0</v>
      </c>
      <c r="BS14" s="391">
        <f t="shared" si="5"/>
        <v>0</v>
      </c>
      <c r="BT14" s="391">
        <f t="shared" si="5"/>
        <v>0</v>
      </c>
      <c r="BU14" s="391">
        <f t="shared" si="5"/>
        <v>0</v>
      </c>
      <c r="BV14" s="391">
        <f t="shared" si="5"/>
        <v>0</v>
      </c>
      <c r="BW14" s="325"/>
      <c r="BX14" s="309" t="e">
        <f t="shared" si="11"/>
        <v>#REF!</v>
      </c>
      <c r="BY14" s="309" t="str">
        <f t="shared" si="6"/>
        <v/>
      </c>
      <c r="BZ14" s="319"/>
      <c r="CA14" s="319"/>
      <c r="CB14" s="325"/>
      <c r="CC14" s="325"/>
      <c r="CD14" s="325"/>
      <c r="CI14" s="309" t="s">
        <v>805</v>
      </c>
      <c r="CJ14" s="306">
        <v>0</v>
      </c>
    </row>
    <row r="15" spans="1:88" ht="24.95" customHeight="1">
      <c r="A15" s="2715">
        <v>10</v>
      </c>
      <c r="B15" s="2716"/>
      <c r="C15" s="2701"/>
      <c r="D15" s="2702"/>
      <c r="E15" s="2702"/>
      <c r="F15" s="2702"/>
      <c r="G15" s="2702"/>
      <c r="H15" s="2702"/>
      <c r="I15" s="2703"/>
      <c r="J15" s="2701"/>
      <c r="K15" s="2702"/>
      <c r="L15" s="2717"/>
      <c r="M15" s="2718"/>
      <c r="N15" s="2719"/>
      <c r="O15" s="2720"/>
      <c r="P15" s="2717"/>
      <c r="Q15" s="2695"/>
      <c r="R15" s="2696"/>
      <c r="S15" s="2696"/>
      <c r="T15" s="2696"/>
      <c r="U15" s="2696"/>
      <c r="V15" s="2696"/>
      <c r="W15" s="2696"/>
      <c r="X15" s="2697"/>
      <c r="Y15" s="2721" t="str">
        <f>IFERROR(VLOOKUP(C15,#REF!,2,FALSE),"")</f>
        <v/>
      </c>
      <c r="Z15" s="2722"/>
      <c r="AA15" s="2722"/>
      <c r="AB15" s="2722"/>
      <c r="AC15" s="2722"/>
      <c r="AD15" s="2722"/>
      <c r="AE15" s="2723"/>
      <c r="AF15" s="2701"/>
      <c r="AG15" s="2702"/>
      <c r="AH15" s="2703"/>
      <c r="AI15" s="1053"/>
      <c r="AJ15" s="1089" t="s">
        <v>916</v>
      </c>
      <c r="AK15" s="1054"/>
      <c r="AL15" s="2704"/>
      <c r="AM15" s="2705"/>
      <c r="AN15" s="2705"/>
      <c r="AO15" s="320" t="s">
        <v>733</v>
      </c>
      <c r="AP15" s="321" t="s">
        <v>244</v>
      </c>
      <c r="AQ15" s="2724" t="str">
        <f t="shared" si="7"/>
        <v/>
      </c>
      <c r="AR15" s="2724"/>
      <c r="AS15" s="320" t="s">
        <v>240</v>
      </c>
      <c r="AT15" s="321" t="s">
        <v>734</v>
      </c>
      <c r="AU15" s="2707" t="str">
        <f t="shared" si="12"/>
        <v/>
      </c>
      <c r="AV15" s="2707"/>
      <c r="AW15" s="2707"/>
      <c r="AX15" s="2707"/>
      <c r="AY15" s="2707"/>
      <c r="AZ15" s="322" t="s">
        <v>733</v>
      </c>
      <c r="BA15" s="1052"/>
      <c r="BB15" s="1073">
        <f t="shared" si="8"/>
        <v>0</v>
      </c>
      <c r="BC15" s="323">
        <f t="shared" si="9"/>
        <v>0</v>
      </c>
      <c r="BD15" s="646" t="str">
        <f t="shared" si="10"/>
        <v/>
      </c>
      <c r="BE15" s="391">
        <f t="shared" si="0"/>
        <v>0</v>
      </c>
      <c r="BF15" s="324">
        <f t="shared" si="1"/>
        <v>0</v>
      </c>
      <c r="BG15" s="729">
        <f t="shared" si="2"/>
        <v>0</v>
      </c>
      <c r="BH15" s="1074">
        <f>COUNTIF($BO$6:$BO$50,40000)</f>
        <v>0</v>
      </c>
      <c r="BI15" s="1069" t="str">
        <f t="shared" si="3"/>
        <v/>
      </c>
      <c r="BJ15" s="1066" t="str">
        <f t="shared" si="4"/>
        <v/>
      </c>
      <c r="BK15" s="391">
        <f t="shared" si="5"/>
        <v>0</v>
      </c>
      <c r="BL15" s="391">
        <f t="shared" si="5"/>
        <v>0</v>
      </c>
      <c r="BM15" s="391">
        <f t="shared" si="5"/>
        <v>0</v>
      </c>
      <c r="BN15" s="391">
        <f t="shared" si="5"/>
        <v>0</v>
      </c>
      <c r="BO15" s="391">
        <f t="shared" si="5"/>
        <v>0</v>
      </c>
      <c r="BP15" s="391">
        <f t="shared" si="5"/>
        <v>0</v>
      </c>
      <c r="BQ15" s="391">
        <f t="shared" si="5"/>
        <v>0</v>
      </c>
      <c r="BR15" s="391">
        <f t="shared" si="5"/>
        <v>0</v>
      </c>
      <c r="BS15" s="391">
        <f t="shared" si="5"/>
        <v>0</v>
      </c>
      <c r="BT15" s="391">
        <f t="shared" si="5"/>
        <v>0</v>
      </c>
      <c r="BU15" s="391">
        <f t="shared" si="5"/>
        <v>0</v>
      </c>
      <c r="BV15" s="391">
        <f t="shared" si="5"/>
        <v>0</v>
      </c>
      <c r="BW15" s="325"/>
      <c r="BX15" s="309" t="e">
        <f t="shared" si="11"/>
        <v>#REF!</v>
      </c>
      <c r="BY15" s="309" t="str">
        <f t="shared" si="6"/>
        <v/>
      </c>
      <c r="BZ15" s="319"/>
      <c r="CA15" s="319"/>
      <c r="CB15" s="325"/>
      <c r="CC15" s="325"/>
      <c r="CD15" s="325"/>
      <c r="CI15" s="309"/>
      <c r="CJ15" s="306">
        <v>0</v>
      </c>
    </row>
    <row r="16" spans="1:88" ht="24.95" customHeight="1">
      <c r="A16" s="2715">
        <v>11</v>
      </c>
      <c r="B16" s="2716"/>
      <c r="C16" s="2701"/>
      <c r="D16" s="2702"/>
      <c r="E16" s="2702"/>
      <c r="F16" s="2702"/>
      <c r="G16" s="2702"/>
      <c r="H16" s="2702"/>
      <c r="I16" s="2703"/>
      <c r="J16" s="2701"/>
      <c r="K16" s="2702"/>
      <c r="L16" s="2717"/>
      <c r="M16" s="2718"/>
      <c r="N16" s="2719"/>
      <c r="O16" s="2720"/>
      <c r="P16" s="2717"/>
      <c r="Q16" s="2695"/>
      <c r="R16" s="2696"/>
      <c r="S16" s="2696"/>
      <c r="T16" s="2696"/>
      <c r="U16" s="2696"/>
      <c r="V16" s="2696"/>
      <c r="W16" s="2696"/>
      <c r="X16" s="2697"/>
      <c r="Y16" s="2721" t="str">
        <f>IFERROR(VLOOKUP(C16,#REF!,2,FALSE),"")</f>
        <v/>
      </c>
      <c r="Z16" s="2722"/>
      <c r="AA16" s="2722"/>
      <c r="AB16" s="2722"/>
      <c r="AC16" s="2722"/>
      <c r="AD16" s="2722"/>
      <c r="AE16" s="2723"/>
      <c r="AF16" s="2701"/>
      <c r="AG16" s="2702"/>
      <c r="AH16" s="2703"/>
      <c r="AI16" s="1053"/>
      <c r="AJ16" s="1089" t="s">
        <v>916</v>
      </c>
      <c r="AK16" s="1054"/>
      <c r="AL16" s="2704"/>
      <c r="AM16" s="2705"/>
      <c r="AN16" s="2705"/>
      <c r="AO16" s="320" t="s">
        <v>733</v>
      </c>
      <c r="AP16" s="321" t="s">
        <v>244</v>
      </c>
      <c r="AQ16" s="2724" t="str">
        <f t="shared" si="7"/>
        <v/>
      </c>
      <c r="AR16" s="2724"/>
      <c r="AS16" s="320" t="s">
        <v>240</v>
      </c>
      <c r="AT16" s="321" t="s">
        <v>734</v>
      </c>
      <c r="AU16" s="2707" t="str">
        <f t="shared" si="12"/>
        <v/>
      </c>
      <c r="AV16" s="2707"/>
      <c r="AW16" s="2707"/>
      <c r="AX16" s="2707"/>
      <c r="AY16" s="2707"/>
      <c r="AZ16" s="322" t="s">
        <v>733</v>
      </c>
      <c r="BA16" s="1052"/>
      <c r="BB16" s="1073">
        <f t="shared" si="8"/>
        <v>0</v>
      </c>
      <c r="BC16" s="323">
        <f t="shared" si="9"/>
        <v>0</v>
      </c>
      <c r="BD16" s="646" t="str">
        <f t="shared" si="10"/>
        <v/>
      </c>
      <c r="BE16" s="391">
        <f t="shared" si="0"/>
        <v>0</v>
      </c>
      <c r="BF16" s="324">
        <f t="shared" si="1"/>
        <v>0</v>
      </c>
      <c r="BG16" s="729">
        <f t="shared" si="2"/>
        <v>0</v>
      </c>
      <c r="BH16" s="1074" t="s">
        <v>951</v>
      </c>
      <c r="BI16" s="1069" t="str">
        <f t="shared" si="3"/>
        <v/>
      </c>
      <c r="BJ16" s="1066" t="str">
        <f t="shared" si="4"/>
        <v/>
      </c>
      <c r="BK16" s="391">
        <f t="shared" ref="BK16:BV25" si="13">IF(AND($BI16&lt;=BK$5,BK$5&lt;=$BJ16),$AL16,0)</f>
        <v>0</v>
      </c>
      <c r="BL16" s="391">
        <f t="shared" si="13"/>
        <v>0</v>
      </c>
      <c r="BM16" s="391">
        <f t="shared" si="13"/>
        <v>0</v>
      </c>
      <c r="BN16" s="391">
        <f t="shared" si="13"/>
        <v>0</v>
      </c>
      <c r="BO16" s="391">
        <f t="shared" si="13"/>
        <v>0</v>
      </c>
      <c r="BP16" s="391">
        <f t="shared" si="13"/>
        <v>0</v>
      </c>
      <c r="BQ16" s="391">
        <f t="shared" si="13"/>
        <v>0</v>
      </c>
      <c r="BR16" s="391">
        <f t="shared" si="13"/>
        <v>0</v>
      </c>
      <c r="BS16" s="391">
        <f t="shared" si="13"/>
        <v>0</v>
      </c>
      <c r="BT16" s="391">
        <f t="shared" si="13"/>
        <v>0</v>
      </c>
      <c r="BU16" s="391">
        <f t="shared" si="13"/>
        <v>0</v>
      </c>
      <c r="BV16" s="391">
        <f t="shared" si="13"/>
        <v>0</v>
      </c>
      <c r="BW16" s="325"/>
      <c r="BX16" s="309" t="e">
        <f t="shared" si="11"/>
        <v>#REF!</v>
      </c>
      <c r="BY16" s="309" t="str">
        <f t="shared" si="6"/>
        <v/>
      </c>
      <c r="BZ16" s="319"/>
      <c r="CA16" s="319"/>
      <c r="CB16" s="325"/>
      <c r="CC16" s="325"/>
      <c r="CD16" s="325"/>
      <c r="CI16" s="309"/>
      <c r="CJ16" s="306">
        <v>0</v>
      </c>
    </row>
    <row r="17" spans="1:88" ht="24.95" customHeight="1">
      <c r="A17" s="2715">
        <v>12</v>
      </c>
      <c r="B17" s="2716"/>
      <c r="C17" s="2701"/>
      <c r="D17" s="2702"/>
      <c r="E17" s="2702"/>
      <c r="F17" s="2702"/>
      <c r="G17" s="2702"/>
      <c r="H17" s="2702"/>
      <c r="I17" s="2703"/>
      <c r="J17" s="2701"/>
      <c r="K17" s="2702"/>
      <c r="L17" s="2717"/>
      <c r="M17" s="2718"/>
      <c r="N17" s="2719"/>
      <c r="O17" s="2720"/>
      <c r="P17" s="2717"/>
      <c r="Q17" s="2695"/>
      <c r="R17" s="2696"/>
      <c r="S17" s="2696"/>
      <c r="T17" s="2696"/>
      <c r="U17" s="2696"/>
      <c r="V17" s="2696"/>
      <c r="W17" s="2696"/>
      <c r="X17" s="2697"/>
      <c r="Y17" s="2721" t="str">
        <f>IFERROR(VLOOKUP(C17,#REF!,2,FALSE),"")</f>
        <v/>
      </c>
      <c r="Z17" s="2722"/>
      <c r="AA17" s="2722"/>
      <c r="AB17" s="2722"/>
      <c r="AC17" s="2722"/>
      <c r="AD17" s="2722"/>
      <c r="AE17" s="2723"/>
      <c r="AF17" s="2701"/>
      <c r="AG17" s="2702"/>
      <c r="AH17" s="2703"/>
      <c r="AI17" s="1053"/>
      <c r="AJ17" s="1089" t="s">
        <v>916</v>
      </c>
      <c r="AK17" s="1054"/>
      <c r="AL17" s="2704"/>
      <c r="AM17" s="2705"/>
      <c r="AN17" s="2705"/>
      <c r="AO17" s="320" t="s">
        <v>733</v>
      </c>
      <c r="AP17" s="321" t="s">
        <v>244</v>
      </c>
      <c r="AQ17" s="2724" t="str">
        <f t="shared" si="7"/>
        <v/>
      </c>
      <c r="AR17" s="2724"/>
      <c r="AS17" s="320" t="s">
        <v>240</v>
      </c>
      <c r="AT17" s="321" t="s">
        <v>734</v>
      </c>
      <c r="AU17" s="2707" t="str">
        <f t="shared" si="12"/>
        <v/>
      </c>
      <c r="AV17" s="2707"/>
      <c r="AW17" s="2707"/>
      <c r="AX17" s="2707"/>
      <c r="AY17" s="2707"/>
      <c r="AZ17" s="322" t="s">
        <v>733</v>
      </c>
      <c r="BA17" s="1052"/>
      <c r="BB17" s="1073">
        <f t="shared" si="8"/>
        <v>0</v>
      </c>
      <c r="BC17" s="323">
        <f t="shared" si="9"/>
        <v>0</v>
      </c>
      <c r="BD17" s="646" t="str">
        <f t="shared" si="10"/>
        <v/>
      </c>
      <c r="BE17" s="391">
        <f t="shared" si="0"/>
        <v>0</v>
      </c>
      <c r="BF17" s="324">
        <f t="shared" si="1"/>
        <v>0</v>
      </c>
      <c r="BG17" s="729">
        <f t="shared" si="2"/>
        <v>0</v>
      </c>
      <c r="BH17" s="1074">
        <f>COUNTIF($BP$6:$BP$50,40000)</f>
        <v>0</v>
      </c>
      <c r="BI17" s="1069" t="str">
        <f t="shared" si="3"/>
        <v/>
      </c>
      <c r="BJ17" s="1066" t="str">
        <f t="shared" si="4"/>
        <v/>
      </c>
      <c r="BK17" s="391">
        <f t="shared" si="13"/>
        <v>0</v>
      </c>
      <c r="BL17" s="391">
        <f t="shared" si="13"/>
        <v>0</v>
      </c>
      <c r="BM17" s="391">
        <f t="shared" si="13"/>
        <v>0</v>
      </c>
      <c r="BN17" s="391">
        <f t="shared" si="13"/>
        <v>0</v>
      </c>
      <c r="BO17" s="391">
        <f t="shared" si="13"/>
        <v>0</v>
      </c>
      <c r="BP17" s="391">
        <f t="shared" si="13"/>
        <v>0</v>
      </c>
      <c r="BQ17" s="391">
        <f t="shared" si="13"/>
        <v>0</v>
      </c>
      <c r="BR17" s="391">
        <f t="shared" si="13"/>
        <v>0</v>
      </c>
      <c r="BS17" s="391">
        <f t="shared" si="13"/>
        <v>0</v>
      </c>
      <c r="BT17" s="391">
        <f t="shared" si="13"/>
        <v>0</v>
      </c>
      <c r="BU17" s="391">
        <f t="shared" si="13"/>
        <v>0</v>
      </c>
      <c r="BV17" s="391">
        <f t="shared" si="13"/>
        <v>0</v>
      </c>
      <c r="BW17" s="325"/>
      <c r="BX17" s="309" t="e">
        <f t="shared" si="11"/>
        <v>#REF!</v>
      </c>
      <c r="BY17" s="309" t="str">
        <f t="shared" si="6"/>
        <v/>
      </c>
      <c r="BZ17" s="319"/>
      <c r="CA17" s="319"/>
      <c r="CB17" s="325"/>
      <c r="CC17" s="325"/>
      <c r="CD17" s="325"/>
      <c r="CI17" s="309"/>
      <c r="CJ17" s="306">
        <v>0</v>
      </c>
    </row>
    <row r="18" spans="1:88" ht="24.95" customHeight="1">
      <c r="A18" s="2715">
        <v>13</v>
      </c>
      <c r="B18" s="2716"/>
      <c r="C18" s="2701"/>
      <c r="D18" s="2702"/>
      <c r="E18" s="2702"/>
      <c r="F18" s="2702"/>
      <c r="G18" s="2702"/>
      <c r="H18" s="2702"/>
      <c r="I18" s="2703"/>
      <c r="J18" s="2701"/>
      <c r="K18" s="2702"/>
      <c r="L18" s="2717"/>
      <c r="M18" s="2718"/>
      <c r="N18" s="2719"/>
      <c r="O18" s="2720"/>
      <c r="P18" s="2717"/>
      <c r="Q18" s="2695"/>
      <c r="R18" s="2696"/>
      <c r="S18" s="2696"/>
      <c r="T18" s="2696"/>
      <c r="U18" s="2696"/>
      <c r="V18" s="2696"/>
      <c r="W18" s="2696"/>
      <c r="X18" s="2697"/>
      <c r="Y18" s="2721" t="str">
        <f>IFERROR(VLOOKUP(C18,#REF!,2,FALSE),"")</f>
        <v/>
      </c>
      <c r="Z18" s="2722"/>
      <c r="AA18" s="2722"/>
      <c r="AB18" s="2722"/>
      <c r="AC18" s="2722"/>
      <c r="AD18" s="2722"/>
      <c r="AE18" s="2723"/>
      <c r="AF18" s="2701"/>
      <c r="AG18" s="2702"/>
      <c r="AH18" s="2703"/>
      <c r="AI18" s="1053"/>
      <c r="AJ18" s="1089" t="s">
        <v>916</v>
      </c>
      <c r="AK18" s="1054"/>
      <c r="AL18" s="2704"/>
      <c r="AM18" s="2705"/>
      <c r="AN18" s="2705"/>
      <c r="AO18" s="320" t="s">
        <v>733</v>
      </c>
      <c r="AP18" s="321" t="s">
        <v>244</v>
      </c>
      <c r="AQ18" s="2724" t="str">
        <f t="shared" si="7"/>
        <v/>
      </c>
      <c r="AR18" s="2724"/>
      <c r="AS18" s="320" t="s">
        <v>240</v>
      </c>
      <c r="AT18" s="321" t="s">
        <v>734</v>
      </c>
      <c r="AU18" s="2707" t="str">
        <f t="shared" si="12"/>
        <v/>
      </c>
      <c r="AV18" s="2707"/>
      <c r="AW18" s="2707"/>
      <c r="AX18" s="2707"/>
      <c r="AY18" s="2707"/>
      <c r="AZ18" s="322" t="s">
        <v>733</v>
      </c>
      <c r="BA18" s="1052"/>
      <c r="BB18" s="1073">
        <f t="shared" si="8"/>
        <v>0</v>
      </c>
      <c r="BC18" s="323">
        <f t="shared" si="9"/>
        <v>0</v>
      </c>
      <c r="BD18" s="646" t="str">
        <f t="shared" si="10"/>
        <v/>
      </c>
      <c r="BE18" s="391">
        <f t="shared" si="0"/>
        <v>0</v>
      </c>
      <c r="BF18" s="324">
        <f t="shared" si="1"/>
        <v>0</v>
      </c>
      <c r="BG18" s="729">
        <f t="shared" si="2"/>
        <v>0</v>
      </c>
      <c r="BH18" s="1074" t="s">
        <v>952</v>
      </c>
      <c r="BI18" s="1069" t="str">
        <f t="shared" si="3"/>
        <v/>
      </c>
      <c r="BJ18" s="1066" t="str">
        <f t="shared" si="4"/>
        <v/>
      </c>
      <c r="BK18" s="391">
        <f t="shared" si="13"/>
        <v>0</v>
      </c>
      <c r="BL18" s="391">
        <f t="shared" si="13"/>
        <v>0</v>
      </c>
      <c r="BM18" s="391">
        <f t="shared" si="13"/>
        <v>0</v>
      </c>
      <c r="BN18" s="391">
        <f t="shared" si="13"/>
        <v>0</v>
      </c>
      <c r="BO18" s="391">
        <f t="shared" si="13"/>
        <v>0</v>
      </c>
      <c r="BP18" s="391">
        <f t="shared" si="13"/>
        <v>0</v>
      </c>
      <c r="BQ18" s="391">
        <f t="shared" si="13"/>
        <v>0</v>
      </c>
      <c r="BR18" s="391">
        <f t="shared" si="13"/>
        <v>0</v>
      </c>
      <c r="BS18" s="391">
        <f t="shared" si="13"/>
        <v>0</v>
      </c>
      <c r="BT18" s="391">
        <f t="shared" si="13"/>
        <v>0</v>
      </c>
      <c r="BU18" s="391">
        <f t="shared" si="13"/>
        <v>0</v>
      </c>
      <c r="BV18" s="391">
        <f t="shared" si="13"/>
        <v>0</v>
      </c>
      <c r="BW18" s="325"/>
      <c r="BY18" s="325"/>
      <c r="BZ18" s="325"/>
      <c r="CA18" s="325"/>
      <c r="CB18" s="325"/>
      <c r="CC18" s="325"/>
      <c r="CD18" s="325"/>
      <c r="CJ18" s="306">
        <v>0</v>
      </c>
    </row>
    <row r="19" spans="1:88" ht="24.95" customHeight="1">
      <c r="A19" s="2715">
        <v>14</v>
      </c>
      <c r="B19" s="2716"/>
      <c r="C19" s="2701"/>
      <c r="D19" s="2702"/>
      <c r="E19" s="2702"/>
      <c r="F19" s="2702"/>
      <c r="G19" s="2702"/>
      <c r="H19" s="2702"/>
      <c r="I19" s="2703"/>
      <c r="J19" s="2701"/>
      <c r="K19" s="2702"/>
      <c r="L19" s="2717"/>
      <c r="M19" s="2718"/>
      <c r="N19" s="2719"/>
      <c r="O19" s="2720"/>
      <c r="P19" s="2717"/>
      <c r="Q19" s="2695"/>
      <c r="R19" s="2696"/>
      <c r="S19" s="2696"/>
      <c r="T19" s="2696"/>
      <c r="U19" s="2696"/>
      <c r="V19" s="2696"/>
      <c r="W19" s="2696"/>
      <c r="X19" s="2697"/>
      <c r="Y19" s="2721" t="str">
        <f>IFERROR(VLOOKUP(C19,#REF!,2,FALSE),"")</f>
        <v/>
      </c>
      <c r="Z19" s="2722"/>
      <c r="AA19" s="2722"/>
      <c r="AB19" s="2722"/>
      <c r="AC19" s="2722"/>
      <c r="AD19" s="2722"/>
      <c r="AE19" s="2723"/>
      <c r="AF19" s="2701"/>
      <c r="AG19" s="2702"/>
      <c r="AH19" s="2703"/>
      <c r="AI19" s="1053"/>
      <c r="AJ19" s="1089" t="s">
        <v>916</v>
      </c>
      <c r="AK19" s="1054"/>
      <c r="AL19" s="2704"/>
      <c r="AM19" s="2705"/>
      <c r="AN19" s="2705"/>
      <c r="AO19" s="320" t="s">
        <v>733</v>
      </c>
      <c r="AP19" s="321" t="s">
        <v>244</v>
      </c>
      <c r="AQ19" s="2724" t="str">
        <f t="shared" si="7"/>
        <v/>
      </c>
      <c r="AR19" s="2724"/>
      <c r="AS19" s="320" t="s">
        <v>240</v>
      </c>
      <c r="AT19" s="321" t="s">
        <v>734</v>
      </c>
      <c r="AU19" s="2707" t="str">
        <f t="shared" si="12"/>
        <v/>
      </c>
      <c r="AV19" s="2707"/>
      <c r="AW19" s="2707"/>
      <c r="AX19" s="2707"/>
      <c r="AY19" s="2707"/>
      <c r="AZ19" s="322" t="s">
        <v>733</v>
      </c>
      <c r="BA19" s="1052"/>
      <c r="BB19" s="1073">
        <f t="shared" si="8"/>
        <v>0</v>
      </c>
      <c r="BC19" s="323">
        <f t="shared" si="9"/>
        <v>0</v>
      </c>
      <c r="BD19" s="646" t="str">
        <f t="shared" si="10"/>
        <v/>
      </c>
      <c r="BE19" s="391">
        <f t="shared" si="0"/>
        <v>0</v>
      </c>
      <c r="BF19" s="324">
        <f t="shared" si="1"/>
        <v>0</v>
      </c>
      <c r="BG19" s="729">
        <f t="shared" si="2"/>
        <v>0</v>
      </c>
      <c r="BH19" s="1074">
        <f>COUNTIF($BQ$6:$BQ$50,40000)</f>
        <v>0</v>
      </c>
      <c r="BI19" s="1069" t="str">
        <f t="shared" si="3"/>
        <v/>
      </c>
      <c r="BJ19" s="1066" t="str">
        <f t="shared" si="4"/>
        <v/>
      </c>
      <c r="BK19" s="391">
        <f t="shared" si="13"/>
        <v>0</v>
      </c>
      <c r="BL19" s="391">
        <f t="shared" si="13"/>
        <v>0</v>
      </c>
      <c r="BM19" s="391">
        <f t="shared" si="13"/>
        <v>0</v>
      </c>
      <c r="BN19" s="391">
        <f t="shared" si="13"/>
        <v>0</v>
      </c>
      <c r="BO19" s="391">
        <f t="shared" si="13"/>
        <v>0</v>
      </c>
      <c r="BP19" s="391">
        <f t="shared" si="13"/>
        <v>0</v>
      </c>
      <c r="BQ19" s="391">
        <f t="shared" si="13"/>
        <v>0</v>
      </c>
      <c r="BR19" s="391">
        <f t="shared" si="13"/>
        <v>0</v>
      </c>
      <c r="BS19" s="391">
        <f t="shared" si="13"/>
        <v>0</v>
      </c>
      <c r="BT19" s="391">
        <f t="shared" si="13"/>
        <v>0</v>
      </c>
      <c r="BU19" s="391">
        <f t="shared" si="13"/>
        <v>0</v>
      </c>
      <c r="BV19" s="391">
        <f t="shared" si="13"/>
        <v>0</v>
      </c>
      <c r="BW19" s="325"/>
      <c r="BX19" s="168" t="s">
        <v>182</v>
      </c>
      <c r="BY19" s="168"/>
      <c r="BZ19" s="390"/>
      <c r="CA19" s="390"/>
      <c r="CB19" s="390"/>
      <c r="CC19" s="390"/>
      <c r="CD19" s="390"/>
      <c r="CE19" s="390"/>
      <c r="CF19" s="645"/>
      <c r="CG19" s="390"/>
      <c r="CH19" s="645"/>
      <c r="CJ19" s="306">
        <v>0</v>
      </c>
    </row>
    <row r="20" spans="1:88" ht="24.95" hidden="1" customHeight="1" outlineLevel="1">
      <c r="A20" s="2715">
        <v>15</v>
      </c>
      <c r="B20" s="2716"/>
      <c r="C20" s="2701"/>
      <c r="D20" s="2702"/>
      <c r="E20" s="2702"/>
      <c r="F20" s="2702"/>
      <c r="G20" s="2702"/>
      <c r="H20" s="2702"/>
      <c r="I20" s="2703"/>
      <c r="J20" s="2701"/>
      <c r="K20" s="2702"/>
      <c r="L20" s="2717"/>
      <c r="M20" s="2718"/>
      <c r="N20" s="2719"/>
      <c r="O20" s="2720"/>
      <c r="P20" s="2717"/>
      <c r="Q20" s="2695"/>
      <c r="R20" s="2696"/>
      <c r="S20" s="2696"/>
      <c r="T20" s="2696"/>
      <c r="U20" s="2696"/>
      <c r="V20" s="2696"/>
      <c r="W20" s="2696"/>
      <c r="X20" s="2697"/>
      <c r="Y20" s="2721" t="str">
        <f>IFERROR(VLOOKUP(C20,#REF!,2,FALSE),"")</f>
        <v/>
      </c>
      <c r="Z20" s="2722"/>
      <c r="AA20" s="2722"/>
      <c r="AB20" s="2722"/>
      <c r="AC20" s="2722"/>
      <c r="AD20" s="2722"/>
      <c r="AE20" s="2723"/>
      <c r="AF20" s="2701"/>
      <c r="AG20" s="2702"/>
      <c r="AH20" s="2703"/>
      <c r="AI20" s="1053"/>
      <c r="AJ20" s="1089" t="s">
        <v>916</v>
      </c>
      <c r="AK20" s="1054"/>
      <c r="AL20" s="2704"/>
      <c r="AM20" s="2705"/>
      <c r="AN20" s="2705"/>
      <c r="AO20" s="320" t="s">
        <v>733</v>
      </c>
      <c r="AP20" s="321" t="s">
        <v>244</v>
      </c>
      <c r="AQ20" s="2724" t="str">
        <f t="shared" si="7"/>
        <v/>
      </c>
      <c r="AR20" s="2724"/>
      <c r="AS20" s="320" t="s">
        <v>240</v>
      </c>
      <c r="AT20" s="321" t="s">
        <v>734</v>
      </c>
      <c r="AU20" s="2707" t="str">
        <f t="shared" si="12"/>
        <v/>
      </c>
      <c r="AV20" s="2707"/>
      <c r="AW20" s="2707"/>
      <c r="AX20" s="2707"/>
      <c r="AY20" s="2707"/>
      <c r="AZ20" s="322" t="s">
        <v>733</v>
      </c>
      <c r="BA20" s="1052"/>
      <c r="BB20" s="1073">
        <f t="shared" si="8"/>
        <v>0</v>
      </c>
      <c r="BC20" s="323">
        <f t="shared" si="9"/>
        <v>0</v>
      </c>
      <c r="BD20" s="646" t="str">
        <f t="shared" si="10"/>
        <v/>
      </c>
      <c r="BE20" s="391">
        <f t="shared" si="0"/>
        <v>0</v>
      </c>
      <c r="BF20" s="324">
        <f t="shared" si="1"/>
        <v>0</v>
      </c>
      <c r="BG20" s="729">
        <f t="shared" si="2"/>
        <v>0</v>
      </c>
      <c r="BH20" s="1074" t="s">
        <v>953</v>
      </c>
      <c r="BI20" s="1069" t="str">
        <f t="shared" si="3"/>
        <v/>
      </c>
      <c r="BJ20" s="1066" t="str">
        <f t="shared" si="4"/>
        <v/>
      </c>
      <c r="BK20" s="391">
        <f t="shared" si="13"/>
        <v>0</v>
      </c>
      <c r="BL20" s="391">
        <f t="shared" si="13"/>
        <v>0</v>
      </c>
      <c r="BM20" s="391">
        <f t="shared" si="13"/>
        <v>0</v>
      </c>
      <c r="BN20" s="391">
        <f t="shared" si="13"/>
        <v>0</v>
      </c>
      <c r="BO20" s="391">
        <f t="shared" si="13"/>
        <v>0</v>
      </c>
      <c r="BP20" s="391">
        <f t="shared" si="13"/>
        <v>0</v>
      </c>
      <c r="BQ20" s="391">
        <f t="shared" si="13"/>
        <v>0</v>
      </c>
      <c r="BR20" s="391">
        <f t="shared" si="13"/>
        <v>0</v>
      </c>
      <c r="BS20" s="391">
        <f t="shared" si="13"/>
        <v>0</v>
      </c>
      <c r="BT20" s="391">
        <f t="shared" si="13"/>
        <v>0</v>
      </c>
      <c r="BU20" s="391">
        <f t="shared" si="13"/>
        <v>0</v>
      </c>
      <c r="BV20" s="391">
        <f t="shared" si="13"/>
        <v>0</v>
      </c>
      <c r="BW20" s="325"/>
      <c r="BX20" s="169" t="e">
        <f>CONCATENATE(#REF!)</f>
        <v>#REF!</v>
      </c>
      <c r="BY20" s="169"/>
      <c r="BZ20" s="390"/>
      <c r="CA20" s="390"/>
      <c r="CB20" s="390"/>
      <c r="CC20" s="390"/>
      <c r="CD20" s="390"/>
      <c r="CE20" s="390"/>
      <c r="CF20" s="645"/>
      <c r="CG20" s="390"/>
      <c r="CH20" s="645"/>
      <c r="CJ20" s="306">
        <v>0</v>
      </c>
    </row>
    <row r="21" spans="1:88" ht="24.95" hidden="1" customHeight="1" outlineLevel="1">
      <c r="A21" s="2715">
        <v>16</v>
      </c>
      <c r="B21" s="2716"/>
      <c r="C21" s="2701"/>
      <c r="D21" s="2702"/>
      <c r="E21" s="2702"/>
      <c r="F21" s="2702"/>
      <c r="G21" s="2702"/>
      <c r="H21" s="2702"/>
      <c r="I21" s="2703"/>
      <c r="J21" s="2701"/>
      <c r="K21" s="2702"/>
      <c r="L21" s="2717"/>
      <c r="M21" s="2718"/>
      <c r="N21" s="2719"/>
      <c r="O21" s="2720"/>
      <c r="P21" s="2717"/>
      <c r="Q21" s="2695"/>
      <c r="R21" s="2696"/>
      <c r="S21" s="2696"/>
      <c r="T21" s="2696"/>
      <c r="U21" s="2696"/>
      <c r="V21" s="2696"/>
      <c r="W21" s="2696"/>
      <c r="X21" s="2697"/>
      <c r="Y21" s="2721" t="str">
        <f>IFERROR(VLOOKUP(C21,#REF!,2,FALSE),"")</f>
        <v/>
      </c>
      <c r="Z21" s="2722"/>
      <c r="AA21" s="2722"/>
      <c r="AB21" s="2722"/>
      <c r="AC21" s="2722"/>
      <c r="AD21" s="2722"/>
      <c r="AE21" s="2723"/>
      <c r="AF21" s="2701"/>
      <c r="AG21" s="2702"/>
      <c r="AH21" s="2703"/>
      <c r="AI21" s="1053"/>
      <c r="AJ21" s="1089" t="s">
        <v>916</v>
      </c>
      <c r="AK21" s="1054"/>
      <c r="AL21" s="2704"/>
      <c r="AM21" s="2705"/>
      <c r="AN21" s="2705"/>
      <c r="AO21" s="320" t="s">
        <v>733</v>
      </c>
      <c r="AP21" s="321" t="s">
        <v>244</v>
      </c>
      <c r="AQ21" s="2724" t="str">
        <f t="shared" si="7"/>
        <v/>
      </c>
      <c r="AR21" s="2724"/>
      <c r="AS21" s="320" t="s">
        <v>240</v>
      </c>
      <c r="AT21" s="321" t="s">
        <v>734</v>
      </c>
      <c r="AU21" s="2707" t="str">
        <f t="shared" si="12"/>
        <v/>
      </c>
      <c r="AV21" s="2707"/>
      <c r="AW21" s="2707"/>
      <c r="AX21" s="2707"/>
      <c r="AY21" s="2707"/>
      <c r="AZ21" s="322" t="s">
        <v>733</v>
      </c>
      <c r="BA21" s="1052"/>
      <c r="BB21" s="1073">
        <f t="shared" si="8"/>
        <v>0</v>
      </c>
      <c r="BC21" s="323">
        <f t="shared" si="9"/>
        <v>0</v>
      </c>
      <c r="BD21" s="646" t="str">
        <f t="shared" si="10"/>
        <v/>
      </c>
      <c r="BE21" s="391">
        <f t="shared" si="0"/>
        <v>0</v>
      </c>
      <c r="BF21" s="324">
        <f t="shared" si="1"/>
        <v>0</v>
      </c>
      <c r="BG21" s="729">
        <f t="shared" si="2"/>
        <v>0</v>
      </c>
      <c r="BH21" s="1074">
        <f>COUNTIF($BR$6:$BR$50,40000)</f>
        <v>0</v>
      </c>
      <c r="BI21" s="1069" t="str">
        <f t="shared" si="3"/>
        <v/>
      </c>
      <c r="BJ21" s="1066" t="str">
        <f t="shared" si="4"/>
        <v/>
      </c>
      <c r="BK21" s="391">
        <f t="shared" si="13"/>
        <v>0</v>
      </c>
      <c r="BL21" s="391">
        <f t="shared" si="13"/>
        <v>0</v>
      </c>
      <c r="BM21" s="391">
        <f t="shared" si="13"/>
        <v>0</v>
      </c>
      <c r="BN21" s="391">
        <f t="shared" si="13"/>
        <v>0</v>
      </c>
      <c r="BO21" s="391">
        <f t="shared" si="13"/>
        <v>0</v>
      </c>
      <c r="BP21" s="391">
        <f t="shared" si="13"/>
        <v>0</v>
      </c>
      <c r="BQ21" s="391">
        <f t="shared" si="13"/>
        <v>0</v>
      </c>
      <c r="BR21" s="391">
        <f t="shared" si="13"/>
        <v>0</v>
      </c>
      <c r="BS21" s="391">
        <f t="shared" si="13"/>
        <v>0</v>
      </c>
      <c r="BT21" s="391">
        <f t="shared" si="13"/>
        <v>0</v>
      </c>
      <c r="BU21" s="391">
        <f t="shared" si="13"/>
        <v>0</v>
      </c>
      <c r="BV21" s="391">
        <f t="shared" si="13"/>
        <v>0</v>
      </c>
      <c r="BW21" s="325"/>
      <c r="BX21" s="168" t="s">
        <v>241</v>
      </c>
      <c r="BY21" s="168" t="s">
        <v>917</v>
      </c>
      <c r="BZ21" s="398" t="s">
        <v>918</v>
      </c>
      <c r="CA21" s="398" t="s">
        <v>919</v>
      </c>
      <c r="CB21" s="398" t="s">
        <v>921</v>
      </c>
      <c r="CC21" s="398" t="s">
        <v>923</v>
      </c>
      <c r="CD21" s="398" t="s">
        <v>920</v>
      </c>
      <c r="CE21" s="398" t="s">
        <v>925</v>
      </c>
      <c r="CF21" s="398" t="s">
        <v>922</v>
      </c>
      <c r="CG21" s="398" t="s">
        <v>925</v>
      </c>
      <c r="CH21" s="398" t="s">
        <v>924</v>
      </c>
      <c r="CJ21" s="306">
        <v>0</v>
      </c>
    </row>
    <row r="22" spans="1:88" ht="24.95" hidden="1" customHeight="1" outlineLevel="1">
      <c r="A22" s="2715">
        <v>17</v>
      </c>
      <c r="B22" s="2716"/>
      <c r="C22" s="2701"/>
      <c r="D22" s="2702"/>
      <c r="E22" s="2702"/>
      <c r="F22" s="2702"/>
      <c r="G22" s="2702"/>
      <c r="H22" s="2702"/>
      <c r="I22" s="2703"/>
      <c r="J22" s="2701"/>
      <c r="K22" s="2702"/>
      <c r="L22" s="2717"/>
      <c r="M22" s="2718"/>
      <c r="N22" s="2719"/>
      <c r="O22" s="2720"/>
      <c r="P22" s="2717"/>
      <c r="Q22" s="2695"/>
      <c r="R22" s="2696"/>
      <c r="S22" s="2696"/>
      <c r="T22" s="2696"/>
      <c r="U22" s="2696"/>
      <c r="V22" s="2696"/>
      <c r="W22" s="2696"/>
      <c r="X22" s="2697"/>
      <c r="Y22" s="2721" t="str">
        <f>IFERROR(VLOOKUP(C22,#REF!,2,FALSE),"")</f>
        <v/>
      </c>
      <c r="Z22" s="2722"/>
      <c r="AA22" s="2722"/>
      <c r="AB22" s="2722"/>
      <c r="AC22" s="2722"/>
      <c r="AD22" s="2722"/>
      <c r="AE22" s="2723"/>
      <c r="AF22" s="2701"/>
      <c r="AG22" s="2702"/>
      <c r="AH22" s="2703"/>
      <c r="AI22" s="1053"/>
      <c r="AJ22" s="1089" t="s">
        <v>916</v>
      </c>
      <c r="AK22" s="1054"/>
      <c r="AL22" s="2704"/>
      <c r="AM22" s="2705"/>
      <c r="AN22" s="2705"/>
      <c r="AO22" s="320" t="s">
        <v>733</v>
      </c>
      <c r="AP22" s="321" t="s">
        <v>244</v>
      </c>
      <c r="AQ22" s="2724" t="str">
        <f t="shared" si="7"/>
        <v/>
      </c>
      <c r="AR22" s="2724"/>
      <c r="AS22" s="320" t="s">
        <v>240</v>
      </c>
      <c r="AT22" s="321" t="s">
        <v>734</v>
      </c>
      <c r="AU22" s="2707" t="str">
        <f t="shared" si="12"/>
        <v/>
      </c>
      <c r="AV22" s="2707"/>
      <c r="AW22" s="2707"/>
      <c r="AX22" s="2707"/>
      <c r="AY22" s="2707"/>
      <c r="AZ22" s="322" t="s">
        <v>733</v>
      </c>
      <c r="BA22" s="1052"/>
      <c r="BB22" s="1073">
        <f t="shared" si="8"/>
        <v>0</v>
      </c>
      <c r="BC22" s="323">
        <f t="shared" si="9"/>
        <v>0</v>
      </c>
      <c r="BD22" s="646" t="str">
        <f t="shared" si="10"/>
        <v/>
      </c>
      <c r="BE22" s="391">
        <f t="shared" si="0"/>
        <v>0</v>
      </c>
      <c r="BF22" s="324">
        <f t="shared" si="1"/>
        <v>0</v>
      </c>
      <c r="BG22" s="729">
        <f t="shared" si="2"/>
        <v>0</v>
      </c>
      <c r="BH22" s="1074" t="s">
        <v>954</v>
      </c>
      <c r="BI22" s="1069" t="str">
        <f t="shared" si="3"/>
        <v/>
      </c>
      <c r="BJ22" s="1066" t="str">
        <f t="shared" si="4"/>
        <v/>
      </c>
      <c r="BK22" s="391">
        <f t="shared" si="13"/>
        <v>0</v>
      </c>
      <c r="BL22" s="391">
        <f t="shared" si="13"/>
        <v>0</v>
      </c>
      <c r="BM22" s="391">
        <f t="shared" si="13"/>
        <v>0</v>
      </c>
      <c r="BN22" s="391">
        <f t="shared" si="13"/>
        <v>0</v>
      </c>
      <c r="BO22" s="391">
        <f t="shared" si="13"/>
        <v>0</v>
      </c>
      <c r="BP22" s="391">
        <f t="shared" si="13"/>
        <v>0</v>
      </c>
      <c r="BQ22" s="391">
        <f t="shared" si="13"/>
        <v>0</v>
      </c>
      <c r="BR22" s="391">
        <f t="shared" si="13"/>
        <v>0</v>
      </c>
      <c r="BS22" s="391">
        <f t="shared" si="13"/>
        <v>0</v>
      </c>
      <c r="BT22" s="391">
        <f t="shared" si="13"/>
        <v>0</v>
      </c>
      <c r="BU22" s="391">
        <f t="shared" si="13"/>
        <v>0</v>
      </c>
      <c r="BV22" s="391">
        <f t="shared" si="13"/>
        <v>0</v>
      </c>
      <c r="BW22" s="325"/>
      <c r="BX22" s="170" t="s">
        <v>234</v>
      </c>
      <c r="BY22" s="171">
        <f>'【試算用】様式3(保)'!$F$42</f>
        <v>0</v>
      </c>
      <c r="BZ22" s="171">
        <f>'【試算用】様式3(保)'!$F$43</f>
        <v>0</v>
      </c>
      <c r="CA22" s="171" t="e">
        <f>'【試算用】様式3(保)'!#REF!</f>
        <v>#REF!</v>
      </c>
      <c r="CB22" s="171" t="e">
        <f>'【試算用】様式3(保)'!#REF!</f>
        <v>#REF!</v>
      </c>
      <c r="CC22" s="171" t="e">
        <f>SUM(CA22:CB22)</f>
        <v>#REF!</v>
      </c>
      <c r="CD22" s="171" t="e">
        <f>'【試算用】様式3(保)'!#REF!</f>
        <v>#REF!</v>
      </c>
      <c r="CE22" s="171">
        <f>'【試算用】様式3(保)'!$O$40*BY22</f>
        <v>0</v>
      </c>
      <c r="CF22" s="171" t="e">
        <f>'【試算用】様式3(保)'!#REF!</f>
        <v>#REF!</v>
      </c>
      <c r="CG22" s="171">
        <f>'【試算用】様式3(保)'!$O$41*BZ22</f>
        <v>0</v>
      </c>
      <c r="CH22" s="171" t="e">
        <f>SUM(CD22,CF22)</f>
        <v>#REF!</v>
      </c>
      <c r="CJ22" s="306">
        <v>0</v>
      </c>
    </row>
    <row r="23" spans="1:88" ht="24.95" hidden="1" customHeight="1" outlineLevel="1">
      <c r="A23" s="2715">
        <v>18</v>
      </c>
      <c r="B23" s="2716"/>
      <c r="C23" s="2701"/>
      <c r="D23" s="2702"/>
      <c r="E23" s="2702"/>
      <c r="F23" s="2702"/>
      <c r="G23" s="2702"/>
      <c r="H23" s="2702"/>
      <c r="I23" s="2703"/>
      <c r="J23" s="2701"/>
      <c r="K23" s="2702"/>
      <c r="L23" s="2717"/>
      <c r="M23" s="2718"/>
      <c r="N23" s="2719"/>
      <c r="O23" s="2720"/>
      <c r="P23" s="2717"/>
      <c r="Q23" s="2695"/>
      <c r="R23" s="2696"/>
      <c r="S23" s="2696"/>
      <c r="T23" s="2696"/>
      <c r="U23" s="2696"/>
      <c r="V23" s="2696"/>
      <c r="W23" s="2696"/>
      <c r="X23" s="2697"/>
      <c r="Y23" s="2721" t="str">
        <f>IFERROR(VLOOKUP(C23,#REF!,2,FALSE),"")</f>
        <v/>
      </c>
      <c r="Z23" s="2722"/>
      <c r="AA23" s="2722"/>
      <c r="AB23" s="2722"/>
      <c r="AC23" s="2722"/>
      <c r="AD23" s="2722"/>
      <c r="AE23" s="2723"/>
      <c r="AF23" s="2701"/>
      <c r="AG23" s="2702"/>
      <c r="AH23" s="2703"/>
      <c r="AI23" s="1053"/>
      <c r="AJ23" s="1089" t="s">
        <v>916</v>
      </c>
      <c r="AK23" s="1054"/>
      <c r="AL23" s="2704"/>
      <c r="AM23" s="2705"/>
      <c r="AN23" s="2705"/>
      <c r="AO23" s="320" t="s">
        <v>733</v>
      </c>
      <c r="AP23" s="321" t="s">
        <v>244</v>
      </c>
      <c r="AQ23" s="2724" t="str">
        <f t="shared" si="7"/>
        <v/>
      </c>
      <c r="AR23" s="2724"/>
      <c r="AS23" s="320" t="s">
        <v>240</v>
      </c>
      <c r="AT23" s="321" t="s">
        <v>734</v>
      </c>
      <c r="AU23" s="2707" t="str">
        <f t="shared" si="12"/>
        <v/>
      </c>
      <c r="AV23" s="2707"/>
      <c r="AW23" s="2707"/>
      <c r="AX23" s="2707"/>
      <c r="AY23" s="2707"/>
      <c r="AZ23" s="322" t="s">
        <v>733</v>
      </c>
      <c r="BA23" s="1052"/>
      <c r="BB23" s="1073">
        <f t="shared" si="8"/>
        <v>0</v>
      </c>
      <c r="BC23" s="323">
        <f t="shared" si="9"/>
        <v>0</v>
      </c>
      <c r="BD23" s="646" t="str">
        <f t="shared" si="10"/>
        <v/>
      </c>
      <c r="BE23" s="391">
        <f t="shared" si="0"/>
        <v>0</v>
      </c>
      <c r="BF23" s="324">
        <f t="shared" si="1"/>
        <v>0</v>
      </c>
      <c r="BG23" s="729">
        <f t="shared" si="2"/>
        <v>0</v>
      </c>
      <c r="BH23" s="1074">
        <f>COUNTIF($BS$6:$BS$50,40000)</f>
        <v>0</v>
      </c>
      <c r="BI23" s="1069" t="str">
        <f t="shared" si="3"/>
        <v/>
      </c>
      <c r="BJ23" s="1066" t="str">
        <f t="shared" si="4"/>
        <v/>
      </c>
      <c r="BK23" s="391">
        <f t="shared" si="13"/>
        <v>0</v>
      </c>
      <c r="BL23" s="391">
        <f t="shared" si="13"/>
        <v>0</v>
      </c>
      <c r="BM23" s="391">
        <f t="shared" si="13"/>
        <v>0</v>
      </c>
      <c r="BN23" s="391">
        <f t="shared" si="13"/>
        <v>0</v>
      </c>
      <c r="BO23" s="391">
        <f t="shared" si="13"/>
        <v>0</v>
      </c>
      <c r="BP23" s="391">
        <f t="shared" si="13"/>
        <v>0</v>
      </c>
      <c r="BQ23" s="391">
        <f t="shared" si="13"/>
        <v>0</v>
      </c>
      <c r="BR23" s="391">
        <f t="shared" si="13"/>
        <v>0</v>
      </c>
      <c r="BS23" s="391">
        <f t="shared" si="13"/>
        <v>0</v>
      </c>
      <c r="BT23" s="391">
        <f t="shared" si="13"/>
        <v>0</v>
      </c>
      <c r="BU23" s="391">
        <f t="shared" si="13"/>
        <v>0</v>
      </c>
      <c r="BV23" s="391">
        <f t="shared" si="13"/>
        <v>0</v>
      </c>
      <c r="BW23" s="325"/>
      <c r="BX23" s="170" t="s">
        <v>87</v>
      </c>
      <c r="BY23" s="171" t="str">
        <f>'【試算用】様式3(認)'!$G$66</f>
        <v>加算見込額（年額）</v>
      </c>
      <c r="BZ23" s="171">
        <f>'【試算用】様式3(認)'!$G$67</f>
        <v>947520</v>
      </c>
      <c r="CA23" s="171" t="e">
        <f>'【試算用】様式3(認)'!#REF!</f>
        <v>#REF!</v>
      </c>
      <c r="CB23" s="171" t="e">
        <f>'【試算用】様式3(認)'!#REF!</f>
        <v>#REF!</v>
      </c>
      <c r="CC23" s="171" t="e">
        <f t="shared" ref="CC23:CC28" si="14">SUM(CA23:CB23)</f>
        <v>#REF!</v>
      </c>
      <c r="CD23" s="171" t="e">
        <f>'【試算用】様式3(認)'!#REF!</f>
        <v>#REF!</v>
      </c>
      <c r="CE23" s="171" t="e">
        <f>'【試算用】様式3(認)'!$O$45*BY23</f>
        <v>#VALUE!</v>
      </c>
      <c r="CF23" s="171" t="e">
        <f>'【試算用】様式3(認)'!#REF!</f>
        <v>#REF!</v>
      </c>
      <c r="CG23" s="171">
        <f>'【試算用】様式3(認)'!$O$46*BZ23</f>
        <v>5940950400</v>
      </c>
      <c r="CH23" s="171" t="e">
        <f t="shared" ref="CH23:CH28" si="15">SUM(CD23,CF23)</f>
        <v>#REF!</v>
      </c>
      <c r="CJ23" s="306">
        <v>0</v>
      </c>
    </row>
    <row r="24" spans="1:88" ht="24.95" hidden="1" customHeight="1" outlineLevel="1">
      <c r="A24" s="2715">
        <v>19</v>
      </c>
      <c r="B24" s="2716"/>
      <c r="C24" s="2701"/>
      <c r="D24" s="2702"/>
      <c r="E24" s="2702"/>
      <c r="F24" s="2702"/>
      <c r="G24" s="2702"/>
      <c r="H24" s="2702"/>
      <c r="I24" s="2703"/>
      <c r="J24" s="2701"/>
      <c r="K24" s="2702"/>
      <c r="L24" s="2717"/>
      <c r="M24" s="2718"/>
      <c r="N24" s="2719"/>
      <c r="O24" s="2720"/>
      <c r="P24" s="2717"/>
      <c r="Q24" s="2695"/>
      <c r="R24" s="2696"/>
      <c r="S24" s="2696"/>
      <c r="T24" s="2696"/>
      <c r="U24" s="2696"/>
      <c r="V24" s="2696"/>
      <c r="W24" s="2696"/>
      <c r="X24" s="2697"/>
      <c r="Y24" s="2721" t="str">
        <f>IFERROR(VLOOKUP(C24,#REF!,2,FALSE),"")</f>
        <v/>
      </c>
      <c r="Z24" s="2722"/>
      <c r="AA24" s="2722"/>
      <c r="AB24" s="2722"/>
      <c r="AC24" s="2722"/>
      <c r="AD24" s="2722"/>
      <c r="AE24" s="2723"/>
      <c r="AF24" s="2701"/>
      <c r="AG24" s="2702"/>
      <c r="AH24" s="2703"/>
      <c r="AI24" s="1053"/>
      <c r="AJ24" s="1089" t="s">
        <v>916</v>
      </c>
      <c r="AK24" s="1054"/>
      <c r="AL24" s="2704"/>
      <c r="AM24" s="2705"/>
      <c r="AN24" s="2705"/>
      <c r="AO24" s="320" t="s">
        <v>733</v>
      </c>
      <c r="AP24" s="321" t="s">
        <v>244</v>
      </c>
      <c r="AQ24" s="2724" t="str">
        <f t="shared" si="7"/>
        <v/>
      </c>
      <c r="AR24" s="2724"/>
      <c r="AS24" s="320" t="s">
        <v>240</v>
      </c>
      <c r="AT24" s="321" t="s">
        <v>734</v>
      </c>
      <c r="AU24" s="2707" t="str">
        <f t="shared" si="12"/>
        <v/>
      </c>
      <c r="AV24" s="2707"/>
      <c r="AW24" s="2707"/>
      <c r="AX24" s="2707"/>
      <c r="AY24" s="2707"/>
      <c r="AZ24" s="322" t="s">
        <v>733</v>
      </c>
      <c r="BA24" s="1052"/>
      <c r="BB24" s="1073">
        <f t="shared" si="8"/>
        <v>0</v>
      </c>
      <c r="BC24" s="323">
        <f t="shared" si="9"/>
        <v>0</v>
      </c>
      <c r="BD24" s="646" t="str">
        <f t="shared" si="10"/>
        <v/>
      </c>
      <c r="BE24" s="391">
        <f t="shared" si="0"/>
        <v>0</v>
      </c>
      <c r="BF24" s="324">
        <f t="shared" si="1"/>
        <v>0</v>
      </c>
      <c r="BG24" s="729">
        <f t="shared" si="2"/>
        <v>0</v>
      </c>
      <c r="BH24" s="1074" t="s">
        <v>955</v>
      </c>
      <c r="BI24" s="1069" t="str">
        <f t="shared" si="3"/>
        <v/>
      </c>
      <c r="BJ24" s="1066" t="str">
        <f t="shared" si="4"/>
        <v/>
      </c>
      <c r="BK24" s="391">
        <f t="shared" si="13"/>
        <v>0</v>
      </c>
      <c r="BL24" s="391">
        <f t="shared" si="13"/>
        <v>0</v>
      </c>
      <c r="BM24" s="391">
        <f t="shared" si="13"/>
        <v>0</v>
      </c>
      <c r="BN24" s="391">
        <f t="shared" si="13"/>
        <v>0</v>
      </c>
      <c r="BO24" s="391">
        <f t="shared" si="13"/>
        <v>0</v>
      </c>
      <c r="BP24" s="391">
        <f t="shared" si="13"/>
        <v>0</v>
      </c>
      <c r="BQ24" s="391">
        <f t="shared" si="13"/>
        <v>0</v>
      </c>
      <c r="BR24" s="391">
        <f t="shared" si="13"/>
        <v>0</v>
      </c>
      <c r="BS24" s="391">
        <f t="shared" si="13"/>
        <v>0</v>
      </c>
      <c r="BT24" s="391">
        <f t="shared" si="13"/>
        <v>0</v>
      </c>
      <c r="BU24" s="391">
        <f t="shared" si="13"/>
        <v>0</v>
      </c>
      <c r="BV24" s="391">
        <f t="shared" si="13"/>
        <v>0</v>
      </c>
      <c r="BW24" s="325"/>
      <c r="BX24" s="170" t="s">
        <v>5</v>
      </c>
      <c r="BY24" s="171" t="str">
        <f>'【試算用】様式3(幼)'!$F$38</f>
        <v>加算見込額（年額）</v>
      </c>
      <c r="BZ24" s="171" t="e">
        <f>'【試算用】様式3(幼)'!$F$39</f>
        <v>#VALUE!</v>
      </c>
      <c r="CA24" s="171" t="e">
        <f>'【試算用】様式3(幼)'!#REF!</f>
        <v>#REF!</v>
      </c>
      <c r="CB24" s="171" t="e">
        <f>'【試算用】様式3(幼)'!#REF!</f>
        <v>#REF!</v>
      </c>
      <c r="CC24" s="171" t="e">
        <f t="shared" si="14"/>
        <v>#REF!</v>
      </c>
      <c r="CD24" s="171" t="e">
        <f>'【試算用】様式3(幼)'!#REF!</f>
        <v>#REF!</v>
      </c>
      <c r="CE24" s="171" t="e">
        <f>'【試算用】様式3(幼)'!$O$35*BY24</f>
        <v>#VALUE!</v>
      </c>
      <c r="CF24" s="171" t="e">
        <f>'【試算用】様式3(幼)'!#REF!</f>
        <v>#REF!</v>
      </c>
      <c r="CG24" s="171" t="e">
        <f>'【試算用】様式3(幼)'!$O$36*BZ24</f>
        <v>#VALUE!</v>
      </c>
      <c r="CH24" s="171" t="e">
        <f t="shared" si="15"/>
        <v>#REF!</v>
      </c>
      <c r="CJ24" s="306">
        <v>0</v>
      </c>
    </row>
    <row r="25" spans="1:88" ht="24.95" hidden="1" customHeight="1" outlineLevel="1">
      <c r="A25" s="2715">
        <v>20</v>
      </c>
      <c r="B25" s="2716"/>
      <c r="C25" s="2701"/>
      <c r="D25" s="2702"/>
      <c r="E25" s="2702"/>
      <c r="F25" s="2702"/>
      <c r="G25" s="2702"/>
      <c r="H25" s="2702"/>
      <c r="I25" s="2703"/>
      <c r="J25" s="2701"/>
      <c r="K25" s="2702"/>
      <c r="L25" s="2717"/>
      <c r="M25" s="2718"/>
      <c r="N25" s="2719"/>
      <c r="O25" s="2720"/>
      <c r="P25" s="2717"/>
      <c r="Q25" s="2695"/>
      <c r="R25" s="2696"/>
      <c r="S25" s="2696"/>
      <c r="T25" s="2696"/>
      <c r="U25" s="2696"/>
      <c r="V25" s="2696"/>
      <c r="W25" s="2696"/>
      <c r="X25" s="2697"/>
      <c r="Y25" s="2721" t="str">
        <f>IFERROR(VLOOKUP(C25,#REF!,2,FALSE),"")</f>
        <v/>
      </c>
      <c r="Z25" s="2722"/>
      <c r="AA25" s="2722"/>
      <c r="AB25" s="2722"/>
      <c r="AC25" s="2722"/>
      <c r="AD25" s="2722"/>
      <c r="AE25" s="2723"/>
      <c r="AF25" s="2701"/>
      <c r="AG25" s="2702"/>
      <c r="AH25" s="2703"/>
      <c r="AI25" s="1053"/>
      <c r="AJ25" s="1089" t="s">
        <v>916</v>
      </c>
      <c r="AK25" s="1054"/>
      <c r="AL25" s="2704"/>
      <c r="AM25" s="2705"/>
      <c r="AN25" s="2705"/>
      <c r="AO25" s="320" t="s">
        <v>733</v>
      </c>
      <c r="AP25" s="321" t="s">
        <v>244</v>
      </c>
      <c r="AQ25" s="2724" t="str">
        <f t="shared" si="7"/>
        <v/>
      </c>
      <c r="AR25" s="2724"/>
      <c r="AS25" s="320" t="s">
        <v>240</v>
      </c>
      <c r="AT25" s="321" t="s">
        <v>734</v>
      </c>
      <c r="AU25" s="2707" t="str">
        <f>IF(SUM(BB25:BG25)&gt;0,CONCATENATE("ｴﾗｰ ",IF(BB25=1,"①",""),IF(BC25=1,"②",""),IF(BD25=1,"③",""),IF(BE25=1,"④",""),IF(BF25=1,"⑤",""),IF(BG25=1,"⑥","")),IFERROR(AL25*AQ25,""))</f>
        <v/>
      </c>
      <c r="AV25" s="2707"/>
      <c r="AW25" s="2707"/>
      <c r="AX25" s="2707"/>
      <c r="AY25" s="2707"/>
      <c r="AZ25" s="322" t="s">
        <v>733</v>
      </c>
      <c r="BA25" s="1052"/>
      <c r="BB25" s="1073">
        <f t="shared" si="8"/>
        <v>0</v>
      </c>
      <c r="BC25" s="323">
        <f t="shared" si="9"/>
        <v>0</v>
      </c>
      <c r="BD25" s="646" t="str">
        <f t="shared" si="10"/>
        <v/>
      </c>
      <c r="BE25" s="391">
        <f t="shared" si="0"/>
        <v>0</v>
      </c>
      <c r="BF25" s="324">
        <f t="shared" si="1"/>
        <v>0</v>
      </c>
      <c r="BG25" s="729">
        <f t="shared" si="2"/>
        <v>0</v>
      </c>
      <c r="BH25" s="1074">
        <f>COUNTIF($BT$6:$BT$50,40000)</f>
        <v>0</v>
      </c>
      <c r="BI25" s="1069" t="str">
        <f t="shared" si="3"/>
        <v/>
      </c>
      <c r="BJ25" s="1066" t="str">
        <f t="shared" si="4"/>
        <v/>
      </c>
      <c r="BK25" s="391">
        <f t="shared" si="13"/>
        <v>0</v>
      </c>
      <c r="BL25" s="391">
        <f t="shared" si="13"/>
        <v>0</v>
      </c>
      <c r="BM25" s="391">
        <f t="shared" si="13"/>
        <v>0</v>
      </c>
      <c r="BN25" s="391">
        <f t="shared" si="13"/>
        <v>0</v>
      </c>
      <c r="BO25" s="391">
        <f t="shared" si="13"/>
        <v>0</v>
      </c>
      <c r="BP25" s="391">
        <f t="shared" si="13"/>
        <v>0</v>
      </c>
      <c r="BQ25" s="391">
        <f t="shared" si="13"/>
        <v>0</v>
      </c>
      <c r="BR25" s="391">
        <f t="shared" si="13"/>
        <v>0</v>
      </c>
      <c r="BS25" s="391">
        <f t="shared" si="13"/>
        <v>0</v>
      </c>
      <c r="BT25" s="391">
        <f t="shared" si="13"/>
        <v>0</v>
      </c>
      <c r="BU25" s="391">
        <f t="shared" si="13"/>
        <v>0</v>
      </c>
      <c r="BV25" s="391">
        <f t="shared" si="13"/>
        <v>0</v>
      </c>
      <c r="BW25" s="325"/>
      <c r="BX25" s="170" t="s">
        <v>235</v>
      </c>
      <c r="BY25" s="171">
        <f>'【試算用】様式3(A・事19)'!$F$31</f>
        <v>0</v>
      </c>
      <c r="BZ25" s="171">
        <f>'【試算用】様式3(A・事19)'!$F$32</f>
        <v>0</v>
      </c>
      <c r="CA25" s="171" t="e">
        <f>'【試算用】様式3(A・事19)'!#REF!</f>
        <v>#REF!</v>
      </c>
      <c r="CB25" s="171" t="e">
        <f>'【試算用】様式3(A・事19)'!#REF!</f>
        <v>#REF!</v>
      </c>
      <c r="CC25" s="171" t="e">
        <f t="shared" si="14"/>
        <v>#REF!</v>
      </c>
      <c r="CD25" s="171" t="e">
        <f>'【試算用】様式3(A・事19)'!#REF!</f>
        <v>#REF!</v>
      </c>
      <c r="CE25" s="171" t="e">
        <f>'【試算用】様式3(A・事19)'!#REF!*BY25</f>
        <v>#REF!</v>
      </c>
      <c r="CF25" s="171" t="e">
        <f>'【試算用】様式3(A・事19)'!#REF!</f>
        <v>#REF!</v>
      </c>
      <c r="CG25" s="171" t="e">
        <f>'【試算用】様式3(A・事19)'!#REF!*BZ25</f>
        <v>#REF!</v>
      </c>
      <c r="CH25" s="171" t="e">
        <f t="shared" si="15"/>
        <v>#REF!</v>
      </c>
      <c r="CJ25" s="306">
        <v>0</v>
      </c>
    </row>
    <row r="26" spans="1:88" ht="24.95" hidden="1" customHeight="1" outlineLevel="1">
      <c r="A26" s="2715">
        <v>21</v>
      </c>
      <c r="B26" s="2716"/>
      <c r="C26" s="2701"/>
      <c r="D26" s="2702"/>
      <c r="E26" s="2702"/>
      <c r="F26" s="2702"/>
      <c r="G26" s="2702"/>
      <c r="H26" s="2702"/>
      <c r="I26" s="2703"/>
      <c r="J26" s="2701"/>
      <c r="K26" s="2702"/>
      <c r="L26" s="2717"/>
      <c r="M26" s="2718"/>
      <c r="N26" s="2719"/>
      <c r="O26" s="2720"/>
      <c r="P26" s="2717"/>
      <c r="Q26" s="2695"/>
      <c r="R26" s="2696"/>
      <c r="S26" s="2696"/>
      <c r="T26" s="2696"/>
      <c r="U26" s="2696"/>
      <c r="V26" s="2696"/>
      <c r="W26" s="2696"/>
      <c r="X26" s="2697"/>
      <c r="Y26" s="2721" t="str">
        <f>IFERROR(VLOOKUP(C26,#REF!,2,FALSE),"")</f>
        <v/>
      </c>
      <c r="Z26" s="2722"/>
      <c r="AA26" s="2722"/>
      <c r="AB26" s="2722"/>
      <c r="AC26" s="2722"/>
      <c r="AD26" s="2722"/>
      <c r="AE26" s="2723"/>
      <c r="AF26" s="2701"/>
      <c r="AG26" s="2702"/>
      <c r="AH26" s="2703"/>
      <c r="AI26" s="1053"/>
      <c r="AJ26" s="1089" t="s">
        <v>916</v>
      </c>
      <c r="AK26" s="1054"/>
      <c r="AL26" s="2704"/>
      <c r="AM26" s="2705"/>
      <c r="AN26" s="2705"/>
      <c r="AO26" s="320" t="s">
        <v>733</v>
      </c>
      <c r="AP26" s="321" t="s">
        <v>244</v>
      </c>
      <c r="AQ26" s="2724" t="str">
        <f t="shared" si="7"/>
        <v/>
      </c>
      <c r="AR26" s="2724"/>
      <c r="AS26" s="320" t="s">
        <v>240</v>
      </c>
      <c r="AT26" s="321" t="s">
        <v>734</v>
      </c>
      <c r="AU26" s="2707" t="str">
        <f t="shared" si="12"/>
        <v/>
      </c>
      <c r="AV26" s="2707"/>
      <c r="AW26" s="2707"/>
      <c r="AX26" s="2707"/>
      <c r="AY26" s="2707"/>
      <c r="AZ26" s="322" t="s">
        <v>733</v>
      </c>
      <c r="BA26" s="1052"/>
      <c r="BB26" s="1073">
        <f t="shared" si="8"/>
        <v>0</v>
      </c>
      <c r="BC26" s="323">
        <f t="shared" si="9"/>
        <v>0</v>
      </c>
      <c r="BD26" s="646" t="str">
        <f t="shared" si="10"/>
        <v/>
      </c>
      <c r="BE26" s="391">
        <f t="shared" si="0"/>
        <v>0</v>
      </c>
      <c r="BF26" s="324">
        <f t="shared" si="1"/>
        <v>0</v>
      </c>
      <c r="BG26" s="729">
        <f t="shared" si="2"/>
        <v>0</v>
      </c>
      <c r="BH26" s="1074" t="s">
        <v>956</v>
      </c>
      <c r="BI26" s="1069" t="str">
        <f t="shared" si="3"/>
        <v/>
      </c>
      <c r="BJ26" s="1066" t="str">
        <f t="shared" si="4"/>
        <v/>
      </c>
      <c r="BK26" s="391">
        <f t="shared" ref="BK26:BV35" si="16">IF(AND($BI26&lt;=BK$5,BK$5&lt;=$BJ26),$AL26,0)</f>
        <v>0</v>
      </c>
      <c r="BL26" s="391">
        <f t="shared" si="16"/>
        <v>0</v>
      </c>
      <c r="BM26" s="391">
        <f t="shared" si="16"/>
        <v>0</v>
      </c>
      <c r="BN26" s="391">
        <f t="shared" si="16"/>
        <v>0</v>
      </c>
      <c r="BO26" s="391">
        <f t="shared" si="16"/>
        <v>0</v>
      </c>
      <c r="BP26" s="391">
        <f t="shared" si="16"/>
        <v>0</v>
      </c>
      <c r="BQ26" s="391">
        <f t="shared" si="16"/>
        <v>0</v>
      </c>
      <c r="BR26" s="391">
        <f t="shared" si="16"/>
        <v>0</v>
      </c>
      <c r="BS26" s="391">
        <f t="shared" si="16"/>
        <v>0</v>
      </c>
      <c r="BT26" s="391">
        <f t="shared" si="16"/>
        <v>0</v>
      </c>
      <c r="BU26" s="391">
        <f t="shared" si="16"/>
        <v>0</v>
      </c>
      <c r="BV26" s="391">
        <f t="shared" si="16"/>
        <v>0</v>
      </c>
      <c r="BW26" s="325"/>
      <c r="BX26" s="170" t="s">
        <v>236</v>
      </c>
      <c r="BY26" s="1080" t="e">
        <f>'【試算用】様式3(家)'!$P$36</f>
        <v>#REF!</v>
      </c>
      <c r="BZ26" s="1080" t="e">
        <f>'【試算用】様式3(家)'!$P$37</f>
        <v>#REF!</v>
      </c>
      <c r="CA26" s="171" t="e">
        <f>'【試算用】様式3(家)'!#REF!</f>
        <v>#REF!</v>
      </c>
      <c r="CB26" s="171" t="e">
        <f>'【試算用】様式3(家)'!#REF!</f>
        <v>#REF!</v>
      </c>
      <c r="CC26" s="171" t="e">
        <f t="shared" si="14"/>
        <v>#REF!</v>
      </c>
      <c r="CD26" s="171" t="e">
        <f>'【試算用】様式3(家)'!#REF!</f>
        <v>#REF!</v>
      </c>
      <c r="CE26" s="171" t="e">
        <f>'【試算用】様式3(家)'!$O$38*BY26</f>
        <v>#REF!</v>
      </c>
      <c r="CF26" s="171" t="e">
        <f>'【試算用】様式3(家)'!#REF!</f>
        <v>#REF!</v>
      </c>
      <c r="CG26" s="171" t="e">
        <f>'【試算用】様式3(家)'!$O$39*BZ26</f>
        <v>#REF!</v>
      </c>
      <c r="CH26" s="171" t="e">
        <f t="shared" si="15"/>
        <v>#REF!</v>
      </c>
      <c r="CJ26" s="306">
        <v>0</v>
      </c>
    </row>
    <row r="27" spans="1:88" ht="24.95" hidden="1" customHeight="1" outlineLevel="1">
      <c r="A27" s="2715">
        <v>22</v>
      </c>
      <c r="B27" s="2716"/>
      <c r="C27" s="2701"/>
      <c r="D27" s="2702"/>
      <c r="E27" s="2702"/>
      <c r="F27" s="2702"/>
      <c r="G27" s="2702"/>
      <c r="H27" s="2702"/>
      <c r="I27" s="2703"/>
      <c r="J27" s="2701"/>
      <c r="K27" s="2702"/>
      <c r="L27" s="2717"/>
      <c r="M27" s="2718"/>
      <c r="N27" s="2719"/>
      <c r="O27" s="2720"/>
      <c r="P27" s="2717"/>
      <c r="Q27" s="2695"/>
      <c r="R27" s="2696"/>
      <c r="S27" s="2696"/>
      <c r="T27" s="2696"/>
      <c r="U27" s="2696"/>
      <c r="V27" s="2696"/>
      <c r="W27" s="2696"/>
      <c r="X27" s="2697"/>
      <c r="Y27" s="2721" t="str">
        <f>IFERROR(VLOOKUP(C27,#REF!,2,FALSE),"")</f>
        <v/>
      </c>
      <c r="Z27" s="2722"/>
      <c r="AA27" s="2722"/>
      <c r="AB27" s="2722"/>
      <c r="AC27" s="2722"/>
      <c r="AD27" s="2722"/>
      <c r="AE27" s="2723"/>
      <c r="AF27" s="2701"/>
      <c r="AG27" s="2702"/>
      <c r="AH27" s="2703"/>
      <c r="AI27" s="1053"/>
      <c r="AJ27" s="1089" t="s">
        <v>916</v>
      </c>
      <c r="AK27" s="1054"/>
      <c r="AL27" s="2704"/>
      <c r="AM27" s="2705"/>
      <c r="AN27" s="2705"/>
      <c r="AO27" s="320" t="s">
        <v>733</v>
      </c>
      <c r="AP27" s="321" t="s">
        <v>244</v>
      </c>
      <c r="AQ27" s="2724" t="str">
        <f t="shared" si="7"/>
        <v/>
      </c>
      <c r="AR27" s="2724"/>
      <c r="AS27" s="320" t="s">
        <v>240</v>
      </c>
      <c r="AT27" s="321" t="s">
        <v>734</v>
      </c>
      <c r="AU27" s="2707" t="str">
        <f t="shared" si="12"/>
        <v/>
      </c>
      <c r="AV27" s="2707"/>
      <c r="AW27" s="2707"/>
      <c r="AX27" s="2707"/>
      <c r="AY27" s="2707"/>
      <c r="AZ27" s="322" t="s">
        <v>733</v>
      </c>
      <c r="BA27" s="1052"/>
      <c r="BB27" s="1073">
        <f t="shared" si="8"/>
        <v>0</v>
      </c>
      <c r="BC27" s="323">
        <f t="shared" si="9"/>
        <v>0</v>
      </c>
      <c r="BD27" s="646" t="str">
        <f t="shared" si="10"/>
        <v/>
      </c>
      <c r="BE27" s="391">
        <f t="shared" si="0"/>
        <v>0</v>
      </c>
      <c r="BF27" s="324">
        <f t="shared" si="1"/>
        <v>0</v>
      </c>
      <c r="BG27" s="729">
        <f t="shared" si="2"/>
        <v>0</v>
      </c>
      <c r="BH27" s="1074">
        <f>COUNTIF($BU$6:$BU$50,40000)</f>
        <v>0</v>
      </c>
      <c r="BI27" s="1069" t="str">
        <f t="shared" si="3"/>
        <v/>
      </c>
      <c r="BJ27" s="1066" t="str">
        <f t="shared" si="4"/>
        <v/>
      </c>
      <c r="BK27" s="391">
        <f t="shared" si="16"/>
        <v>0</v>
      </c>
      <c r="BL27" s="391">
        <f t="shared" si="16"/>
        <v>0</v>
      </c>
      <c r="BM27" s="391">
        <f t="shared" si="16"/>
        <v>0</v>
      </c>
      <c r="BN27" s="391">
        <f t="shared" si="16"/>
        <v>0</v>
      </c>
      <c r="BO27" s="391">
        <f t="shared" si="16"/>
        <v>0</v>
      </c>
      <c r="BP27" s="391">
        <f t="shared" si="16"/>
        <v>0</v>
      </c>
      <c r="BQ27" s="391">
        <f t="shared" si="16"/>
        <v>0</v>
      </c>
      <c r="BR27" s="391">
        <f t="shared" si="16"/>
        <v>0</v>
      </c>
      <c r="BS27" s="391">
        <f t="shared" si="16"/>
        <v>0</v>
      </c>
      <c r="BT27" s="391">
        <f t="shared" si="16"/>
        <v>0</v>
      </c>
      <c r="BU27" s="391">
        <f t="shared" si="16"/>
        <v>0</v>
      </c>
      <c r="BV27" s="391">
        <f t="shared" si="16"/>
        <v>0</v>
      </c>
      <c r="BW27" s="325"/>
      <c r="BX27" s="170" t="s">
        <v>237</v>
      </c>
      <c r="BY27" s="171">
        <f>'【試算用】様式3(A・事19)'!$F$31</f>
        <v>0</v>
      </c>
      <c r="BZ27" s="171">
        <f>'【試算用】様式3(A・事19)'!$F$32</f>
        <v>0</v>
      </c>
      <c r="CA27" s="171" t="e">
        <f>'【試算用】様式3(A・事19)'!#REF!</f>
        <v>#REF!</v>
      </c>
      <c r="CB27" s="171" t="e">
        <f>'【試算用】様式3(A・事19)'!#REF!</f>
        <v>#REF!</v>
      </c>
      <c r="CC27" s="171" t="e">
        <f t="shared" si="14"/>
        <v>#REF!</v>
      </c>
      <c r="CD27" s="171" t="e">
        <f>'【試算用】様式3(A・事19)'!#REF!</f>
        <v>#REF!</v>
      </c>
      <c r="CE27" s="171" t="e">
        <f>'【試算用】様式3(A・事19)'!#REF!*BY27</f>
        <v>#REF!</v>
      </c>
      <c r="CF27" s="171" t="e">
        <f>'【試算用】様式3(A・事19)'!#REF!</f>
        <v>#REF!</v>
      </c>
      <c r="CG27" s="171" t="e">
        <f>'【試算用】様式3(A・事19)'!#REF!*BZ27</f>
        <v>#REF!</v>
      </c>
      <c r="CH27" s="171" t="e">
        <f t="shared" si="15"/>
        <v>#REF!</v>
      </c>
      <c r="CJ27" s="306">
        <v>0</v>
      </c>
    </row>
    <row r="28" spans="1:88" ht="24.95" hidden="1" customHeight="1" outlineLevel="1">
      <c r="A28" s="2715">
        <v>23</v>
      </c>
      <c r="B28" s="2716"/>
      <c r="C28" s="2701"/>
      <c r="D28" s="2702"/>
      <c r="E28" s="2702"/>
      <c r="F28" s="2702"/>
      <c r="G28" s="2702"/>
      <c r="H28" s="2702"/>
      <c r="I28" s="2703"/>
      <c r="J28" s="2701"/>
      <c r="K28" s="2702"/>
      <c r="L28" s="2717"/>
      <c r="M28" s="2718"/>
      <c r="N28" s="2719"/>
      <c r="O28" s="2720"/>
      <c r="P28" s="2717"/>
      <c r="Q28" s="2695"/>
      <c r="R28" s="2696"/>
      <c r="S28" s="2696"/>
      <c r="T28" s="2696"/>
      <c r="U28" s="2696"/>
      <c r="V28" s="2696"/>
      <c r="W28" s="2696"/>
      <c r="X28" s="2697"/>
      <c r="Y28" s="2721" t="str">
        <f>IFERROR(VLOOKUP(C28,#REF!,2,FALSE),"")</f>
        <v/>
      </c>
      <c r="Z28" s="2722"/>
      <c r="AA28" s="2722"/>
      <c r="AB28" s="2722"/>
      <c r="AC28" s="2722"/>
      <c r="AD28" s="2722"/>
      <c r="AE28" s="2723"/>
      <c r="AF28" s="2701"/>
      <c r="AG28" s="2702"/>
      <c r="AH28" s="2703"/>
      <c r="AI28" s="1053"/>
      <c r="AJ28" s="1089" t="s">
        <v>916</v>
      </c>
      <c r="AK28" s="1054"/>
      <c r="AL28" s="2704"/>
      <c r="AM28" s="2705"/>
      <c r="AN28" s="2705"/>
      <c r="AO28" s="320" t="s">
        <v>733</v>
      </c>
      <c r="AP28" s="321" t="s">
        <v>244</v>
      </c>
      <c r="AQ28" s="2724" t="str">
        <f t="shared" si="7"/>
        <v/>
      </c>
      <c r="AR28" s="2724"/>
      <c r="AS28" s="320" t="s">
        <v>240</v>
      </c>
      <c r="AT28" s="321" t="s">
        <v>734</v>
      </c>
      <c r="AU28" s="2707" t="str">
        <f t="shared" si="12"/>
        <v/>
      </c>
      <c r="AV28" s="2707"/>
      <c r="AW28" s="2707"/>
      <c r="AX28" s="2707"/>
      <c r="AY28" s="2707"/>
      <c r="AZ28" s="322" t="s">
        <v>733</v>
      </c>
      <c r="BA28" s="1052"/>
      <c r="BB28" s="1073">
        <f t="shared" si="8"/>
        <v>0</v>
      </c>
      <c r="BC28" s="323">
        <f t="shared" si="9"/>
        <v>0</v>
      </c>
      <c r="BD28" s="646" t="str">
        <f t="shared" si="10"/>
        <v/>
      </c>
      <c r="BE28" s="391">
        <f t="shared" si="0"/>
        <v>0</v>
      </c>
      <c r="BF28" s="324">
        <f t="shared" si="1"/>
        <v>0</v>
      </c>
      <c r="BG28" s="729">
        <f t="shared" si="2"/>
        <v>0</v>
      </c>
      <c r="BH28" s="1074" t="s">
        <v>957</v>
      </c>
      <c r="BI28" s="1069" t="str">
        <f t="shared" si="3"/>
        <v/>
      </c>
      <c r="BJ28" s="1066" t="str">
        <f t="shared" si="4"/>
        <v/>
      </c>
      <c r="BK28" s="391">
        <f t="shared" si="16"/>
        <v>0</v>
      </c>
      <c r="BL28" s="391">
        <f t="shared" si="16"/>
        <v>0</v>
      </c>
      <c r="BM28" s="391">
        <f t="shared" si="16"/>
        <v>0</v>
      </c>
      <c r="BN28" s="391">
        <f t="shared" si="16"/>
        <v>0</v>
      </c>
      <c r="BO28" s="391">
        <f t="shared" si="16"/>
        <v>0</v>
      </c>
      <c r="BP28" s="391">
        <f t="shared" si="16"/>
        <v>0</v>
      </c>
      <c r="BQ28" s="391">
        <f t="shared" si="16"/>
        <v>0</v>
      </c>
      <c r="BR28" s="391">
        <f t="shared" si="16"/>
        <v>0</v>
      </c>
      <c r="BS28" s="391">
        <f t="shared" si="16"/>
        <v>0</v>
      </c>
      <c r="BT28" s="391">
        <f t="shared" si="16"/>
        <v>0</v>
      </c>
      <c r="BU28" s="391">
        <f t="shared" si="16"/>
        <v>0</v>
      </c>
      <c r="BV28" s="391">
        <f t="shared" si="16"/>
        <v>0</v>
      </c>
      <c r="BW28" s="325"/>
      <c r="BX28" s="170" t="s">
        <v>238</v>
      </c>
      <c r="BY28" s="925">
        <f>'【試算用】様式3(事20)'!$F$30</f>
        <v>0</v>
      </c>
      <c r="BZ28" s="171">
        <f>'【試算用】様式3(事20)'!$F$31</f>
        <v>0</v>
      </c>
      <c r="CA28" s="171" t="e">
        <f>'【試算用】様式3(事20)'!#REF!</f>
        <v>#REF!</v>
      </c>
      <c r="CB28" s="171" t="e">
        <f>'【試算用】様式3(事20)'!#REF!</f>
        <v>#REF!</v>
      </c>
      <c r="CC28" s="171" t="e">
        <f t="shared" si="14"/>
        <v>#REF!</v>
      </c>
      <c r="CD28" s="171" t="e">
        <f>'【試算用】様式3(事20)'!#REF!</f>
        <v>#REF!</v>
      </c>
      <c r="CE28" s="171" t="e">
        <f>'【試算用】様式3(事20)'!#REF!*BY28</f>
        <v>#REF!</v>
      </c>
      <c r="CF28" s="171" t="e">
        <f>'【試算用】様式3(事20)'!#REF!</f>
        <v>#REF!</v>
      </c>
      <c r="CG28" s="171" t="e">
        <f>'【試算用】様式3(事20)'!#REF!*BZ28</f>
        <v>#REF!</v>
      </c>
      <c r="CH28" s="171" t="e">
        <f t="shared" si="15"/>
        <v>#REF!</v>
      </c>
      <c r="CJ28" s="306">
        <v>0</v>
      </c>
    </row>
    <row r="29" spans="1:88" ht="24.95" hidden="1" customHeight="1" outlineLevel="1">
      <c r="A29" s="2715">
        <v>24</v>
      </c>
      <c r="B29" s="2716"/>
      <c r="C29" s="2701"/>
      <c r="D29" s="2702"/>
      <c r="E29" s="2702"/>
      <c r="F29" s="2702"/>
      <c r="G29" s="2702"/>
      <c r="H29" s="2702"/>
      <c r="I29" s="2703"/>
      <c r="J29" s="2701"/>
      <c r="K29" s="2702"/>
      <c r="L29" s="2717"/>
      <c r="M29" s="2718"/>
      <c r="N29" s="2719"/>
      <c r="O29" s="2720"/>
      <c r="P29" s="2717"/>
      <c r="Q29" s="2695"/>
      <c r="R29" s="2696"/>
      <c r="S29" s="2696"/>
      <c r="T29" s="2696"/>
      <c r="U29" s="2696"/>
      <c r="V29" s="2696"/>
      <c r="W29" s="2696"/>
      <c r="X29" s="2697"/>
      <c r="Y29" s="2721" t="str">
        <f>IFERROR(VLOOKUP(C29,#REF!,2,FALSE),"")</f>
        <v/>
      </c>
      <c r="Z29" s="2722"/>
      <c r="AA29" s="2722"/>
      <c r="AB29" s="2722"/>
      <c r="AC29" s="2722"/>
      <c r="AD29" s="2722"/>
      <c r="AE29" s="2723"/>
      <c r="AF29" s="2701"/>
      <c r="AG29" s="2702"/>
      <c r="AH29" s="2703"/>
      <c r="AI29" s="1053"/>
      <c r="AJ29" s="1089" t="s">
        <v>916</v>
      </c>
      <c r="AK29" s="1054"/>
      <c r="AL29" s="2704"/>
      <c r="AM29" s="2705"/>
      <c r="AN29" s="2705"/>
      <c r="AO29" s="320" t="s">
        <v>733</v>
      </c>
      <c r="AP29" s="321" t="s">
        <v>244</v>
      </c>
      <c r="AQ29" s="2724" t="str">
        <f t="shared" si="7"/>
        <v/>
      </c>
      <c r="AR29" s="2724"/>
      <c r="AS29" s="320" t="s">
        <v>240</v>
      </c>
      <c r="AT29" s="321" t="s">
        <v>734</v>
      </c>
      <c r="AU29" s="2707" t="str">
        <f t="shared" si="12"/>
        <v/>
      </c>
      <c r="AV29" s="2707"/>
      <c r="AW29" s="2707"/>
      <c r="AX29" s="2707"/>
      <c r="AY29" s="2707"/>
      <c r="AZ29" s="322" t="s">
        <v>733</v>
      </c>
      <c r="BA29" s="1052"/>
      <c r="BB29" s="1073">
        <f t="shared" si="8"/>
        <v>0</v>
      </c>
      <c r="BC29" s="323">
        <f t="shared" si="9"/>
        <v>0</v>
      </c>
      <c r="BD29" s="646" t="str">
        <f t="shared" si="10"/>
        <v/>
      </c>
      <c r="BE29" s="391">
        <f t="shared" si="0"/>
        <v>0</v>
      </c>
      <c r="BF29" s="324">
        <f t="shared" si="1"/>
        <v>0</v>
      </c>
      <c r="BG29" s="729">
        <f t="shared" si="2"/>
        <v>0</v>
      </c>
      <c r="BH29" s="1074">
        <f>COUNTIF($BV$6:$BV$50,40000)</f>
        <v>0</v>
      </c>
      <c r="BI29" s="1069" t="str">
        <f t="shared" si="3"/>
        <v/>
      </c>
      <c r="BJ29" s="1066" t="str">
        <f t="shared" si="4"/>
        <v/>
      </c>
      <c r="BK29" s="391">
        <f t="shared" si="16"/>
        <v>0</v>
      </c>
      <c r="BL29" s="391">
        <f t="shared" si="16"/>
        <v>0</v>
      </c>
      <c r="BM29" s="391">
        <f t="shared" si="16"/>
        <v>0</v>
      </c>
      <c r="BN29" s="391">
        <f t="shared" si="16"/>
        <v>0</v>
      </c>
      <c r="BO29" s="391">
        <f t="shared" si="16"/>
        <v>0</v>
      </c>
      <c r="BP29" s="391">
        <f t="shared" si="16"/>
        <v>0</v>
      </c>
      <c r="BQ29" s="391">
        <f t="shared" si="16"/>
        <v>0</v>
      </c>
      <c r="BR29" s="391">
        <f t="shared" si="16"/>
        <v>0</v>
      </c>
      <c r="BS29" s="391">
        <f t="shared" si="16"/>
        <v>0</v>
      </c>
      <c r="BT29" s="391">
        <f t="shared" si="16"/>
        <v>0</v>
      </c>
      <c r="BU29" s="391">
        <f t="shared" si="16"/>
        <v>0</v>
      </c>
      <c r="BV29" s="391">
        <f t="shared" si="16"/>
        <v>0</v>
      </c>
      <c r="BW29" s="325"/>
      <c r="BY29" s="325"/>
      <c r="BZ29" s="325"/>
      <c r="CA29" s="325"/>
      <c r="CB29" s="325"/>
      <c r="CC29" s="325"/>
      <c r="CD29" s="325"/>
      <c r="CJ29" s="306">
        <v>0</v>
      </c>
    </row>
    <row r="30" spans="1:88" ht="24.95" hidden="1" customHeight="1" outlineLevel="1">
      <c r="A30" s="2715">
        <v>25</v>
      </c>
      <c r="B30" s="2716"/>
      <c r="C30" s="2701"/>
      <c r="D30" s="2702"/>
      <c r="E30" s="2702"/>
      <c r="F30" s="2702"/>
      <c r="G30" s="2702"/>
      <c r="H30" s="2702"/>
      <c r="I30" s="2703"/>
      <c r="J30" s="2701"/>
      <c r="K30" s="2702"/>
      <c r="L30" s="2717"/>
      <c r="M30" s="2718"/>
      <c r="N30" s="2719"/>
      <c r="O30" s="2720"/>
      <c r="P30" s="2717"/>
      <c r="Q30" s="2695"/>
      <c r="R30" s="2696"/>
      <c r="S30" s="2696"/>
      <c r="T30" s="2696"/>
      <c r="U30" s="2696"/>
      <c r="V30" s="2696"/>
      <c r="W30" s="2696"/>
      <c r="X30" s="2697"/>
      <c r="Y30" s="2721" t="str">
        <f>IFERROR(VLOOKUP(C30,#REF!,2,FALSE),"")</f>
        <v/>
      </c>
      <c r="Z30" s="2722"/>
      <c r="AA30" s="2722"/>
      <c r="AB30" s="2722"/>
      <c r="AC30" s="2722"/>
      <c r="AD30" s="2722"/>
      <c r="AE30" s="2723"/>
      <c r="AF30" s="2701"/>
      <c r="AG30" s="2702"/>
      <c r="AH30" s="2703"/>
      <c r="AI30" s="1053"/>
      <c r="AJ30" s="1089" t="s">
        <v>916</v>
      </c>
      <c r="AK30" s="1054"/>
      <c r="AL30" s="2704"/>
      <c r="AM30" s="2705"/>
      <c r="AN30" s="2705"/>
      <c r="AO30" s="320" t="s">
        <v>733</v>
      </c>
      <c r="AP30" s="321" t="s">
        <v>244</v>
      </c>
      <c r="AQ30" s="2724" t="str">
        <f t="shared" si="7"/>
        <v/>
      </c>
      <c r="AR30" s="2724"/>
      <c r="AS30" s="320" t="s">
        <v>240</v>
      </c>
      <c r="AT30" s="321" t="s">
        <v>734</v>
      </c>
      <c r="AU30" s="2707" t="str">
        <f t="shared" si="12"/>
        <v/>
      </c>
      <c r="AV30" s="2707"/>
      <c r="AW30" s="2707"/>
      <c r="AX30" s="2707"/>
      <c r="AY30" s="2707"/>
      <c r="AZ30" s="322" t="s">
        <v>733</v>
      </c>
      <c r="BA30" s="1052"/>
      <c r="BB30" s="1073">
        <f t="shared" si="8"/>
        <v>0</v>
      </c>
      <c r="BC30" s="323">
        <f t="shared" si="9"/>
        <v>0</v>
      </c>
      <c r="BD30" s="646" t="str">
        <f t="shared" si="10"/>
        <v/>
      </c>
      <c r="BE30" s="391">
        <f t="shared" si="0"/>
        <v>0</v>
      </c>
      <c r="BF30" s="324">
        <f t="shared" si="1"/>
        <v>0</v>
      </c>
      <c r="BG30" s="729">
        <f t="shared" si="2"/>
        <v>0</v>
      </c>
      <c r="BH30" s="1075"/>
      <c r="BI30" s="1069" t="str">
        <f t="shared" si="3"/>
        <v/>
      </c>
      <c r="BJ30" s="1066" t="str">
        <f t="shared" si="4"/>
        <v/>
      </c>
      <c r="BK30" s="391">
        <f t="shared" si="16"/>
        <v>0</v>
      </c>
      <c r="BL30" s="391">
        <f t="shared" si="16"/>
        <v>0</v>
      </c>
      <c r="BM30" s="391">
        <f t="shared" si="16"/>
        <v>0</v>
      </c>
      <c r="BN30" s="391">
        <f t="shared" si="16"/>
        <v>0</v>
      </c>
      <c r="BO30" s="391">
        <f t="shared" si="16"/>
        <v>0</v>
      </c>
      <c r="BP30" s="391">
        <f t="shared" si="16"/>
        <v>0</v>
      </c>
      <c r="BQ30" s="391">
        <f t="shared" si="16"/>
        <v>0</v>
      </c>
      <c r="BR30" s="391">
        <f t="shared" si="16"/>
        <v>0</v>
      </c>
      <c r="BS30" s="391">
        <f t="shared" si="16"/>
        <v>0</v>
      </c>
      <c r="BT30" s="391">
        <f t="shared" si="16"/>
        <v>0</v>
      </c>
      <c r="BU30" s="391">
        <f t="shared" si="16"/>
        <v>0</v>
      </c>
      <c r="BV30" s="391">
        <f t="shared" si="16"/>
        <v>0</v>
      </c>
      <c r="BW30" s="325"/>
      <c r="BY30" s="325"/>
      <c r="BZ30" s="325"/>
      <c r="CA30" s="325"/>
      <c r="CB30" s="325"/>
      <c r="CC30" s="325"/>
      <c r="CD30" s="325"/>
      <c r="CJ30" s="306">
        <v>0</v>
      </c>
    </row>
    <row r="31" spans="1:88" ht="24.95" hidden="1" customHeight="1" outlineLevel="1">
      <c r="A31" s="2715">
        <v>26</v>
      </c>
      <c r="B31" s="2716"/>
      <c r="C31" s="2701"/>
      <c r="D31" s="2702"/>
      <c r="E31" s="2702"/>
      <c r="F31" s="2702"/>
      <c r="G31" s="2702"/>
      <c r="H31" s="2702"/>
      <c r="I31" s="2703"/>
      <c r="J31" s="2701"/>
      <c r="K31" s="2702"/>
      <c r="L31" s="2717"/>
      <c r="M31" s="2718"/>
      <c r="N31" s="2719"/>
      <c r="O31" s="2720"/>
      <c r="P31" s="2717"/>
      <c r="Q31" s="2695"/>
      <c r="R31" s="2696"/>
      <c r="S31" s="2696"/>
      <c r="T31" s="2696"/>
      <c r="U31" s="2696"/>
      <c r="V31" s="2696"/>
      <c r="W31" s="2696"/>
      <c r="X31" s="2697"/>
      <c r="Y31" s="2721" t="str">
        <f>IFERROR(VLOOKUP(C31,#REF!,2,FALSE),"")</f>
        <v/>
      </c>
      <c r="Z31" s="2722"/>
      <c r="AA31" s="2722"/>
      <c r="AB31" s="2722"/>
      <c r="AC31" s="2722"/>
      <c r="AD31" s="2722"/>
      <c r="AE31" s="2723"/>
      <c r="AF31" s="2701"/>
      <c r="AG31" s="2702"/>
      <c r="AH31" s="2703"/>
      <c r="AI31" s="1053"/>
      <c r="AJ31" s="1089" t="s">
        <v>916</v>
      </c>
      <c r="AK31" s="1054"/>
      <c r="AL31" s="2704"/>
      <c r="AM31" s="2705"/>
      <c r="AN31" s="2705"/>
      <c r="AO31" s="320" t="s">
        <v>733</v>
      </c>
      <c r="AP31" s="321" t="s">
        <v>244</v>
      </c>
      <c r="AQ31" s="2724" t="str">
        <f t="shared" si="7"/>
        <v/>
      </c>
      <c r="AR31" s="2724"/>
      <c r="AS31" s="320" t="s">
        <v>240</v>
      </c>
      <c r="AT31" s="321" t="s">
        <v>734</v>
      </c>
      <c r="AU31" s="2707" t="str">
        <f t="shared" si="12"/>
        <v/>
      </c>
      <c r="AV31" s="2707"/>
      <c r="AW31" s="2707"/>
      <c r="AX31" s="2707"/>
      <c r="AY31" s="2707"/>
      <c r="AZ31" s="322" t="s">
        <v>733</v>
      </c>
      <c r="BA31" s="1052"/>
      <c r="BB31" s="1073">
        <f t="shared" si="8"/>
        <v>0</v>
      </c>
      <c r="BC31" s="323">
        <f t="shared" si="9"/>
        <v>0</v>
      </c>
      <c r="BD31" s="646" t="str">
        <f t="shared" si="10"/>
        <v/>
      </c>
      <c r="BE31" s="391">
        <f t="shared" si="0"/>
        <v>0</v>
      </c>
      <c r="BF31" s="324">
        <f t="shared" si="1"/>
        <v>0</v>
      </c>
      <c r="BG31" s="729">
        <f t="shared" si="2"/>
        <v>0</v>
      </c>
      <c r="BH31" s="1075"/>
      <c r="BI31" s="1069" t="str">
        <f t="shared" si="3"/>
        <v/>
      </c>
      <c r="BJ31" s="1066" t="str">
        <f t="shared" si="4"/>
        <v/>
      </c>
      <c r="BK31" s="391">
        <f t="shared" si="16"/>
        <v>0</v>
      </c>
      <c r="BL31" s="391">
        <f t="shared" si="16"/>
        <v>0</v>
      </c>
      <c r="BM31" s="391">
        <f t="shared" si="16"/>
        <v>0</v>
      </c>
      <c r="BN31" s="391">
        <f t="shared" si="16"/>
        <v>0</v>
      </c>
      <c r="BO31" s="391">
        <f t="shared" si="16"/>
        <v>0</v>
      </c>
      <c r="BP31" s="391">
        <f t="shared" si="16"/>
        <v>0</v>
      </c>
      <c r="BQ31" s="391">
        <f t="shared" si="16"/>
        <v>0</v>
      </c>
      <c r="BR31" s="391">
        <f t="shared" si="16"/>
        <v>0</v>
      </c>
      <c r="BS31" s="391">
        <f t="shared" si="16"/>
        <v>0</v>
      </c>
      <c r="BT31" s="391">
        <f t="shared" si="16"/>
        <v>0</v>
      </c>
      <c r="BU31" s="391">
        <f t="shared" si="16"/>
        <v>0</v>
      </c>
      <c r="BV31" s="391">
        <f t="shared" si="16"/>
        <v>0</v>
      </c>
      <c r="BW31" s="325"/>
      <c r="BY31" s="325"/>
      <c r="BZ31" s="325"/>
      <c r="CA31" s="325"/>
      <c r="CB31" s="325"/>
      <c r="CC31" s="325"/>
      <c r="CD31" s="325"/>
      <c r="CJ31" s="306">
        <v>0</v>
      </c>
    </row>
    <row r="32" spans="1:88" ht="24.95" hidden="1" customHeight="1" outlineLevel="1">
      <c r="A32" s="2715">
        <v>27</v>
      </c>
      <c r="B32" s="2716"/>
      <c r="C32" s="2701"/>
      <c r="D32" s="2702"/>
      <c r="E32" s="2702"/>
      <c r="F32" s="2702"/>
      <c r="G32" s="2702"/>
      <c r="H32" s="2702"/>
      <c r="I32" s="2703"/>
      <c r="J32" s="2701"/>
      <c r="K32" s="2702"/>
      <c r="L32" s="2717"/>
      <c r="M32" s="2718"/>
      <c r="N32" s="2719"/>
      <c r="O32" s="2720"/>
      <c r="P32" s="2717"/>
      <c r="Q32" s="2695"/>
      <c r="R32" s="2696"/>
      <c r="S32" s="2696"/>
      <c r="T32" s="2696"/>
      <c r="U32" s="2696"/>
      <c r="V32" s="2696"/>
      <c r="W32" s="2696"/>
      <c r="X32" s="2697"/>
      <c r="Y32" s="2721" t="str">
        <f>IFERROR(VLOOKUP(C32,#REF!,2,FALSE),"")</f>
        <v/>
      </c>
      <c r="Z32" s="2722"/>
      <c r="AA32" s="2722"/>
      <c r="AB32" s="2722"/>
      <c r="AC32" s="2722"/>
      <c r="AD32" s="2722"/>
      <c r="AE32" s="2723"/>
      <c r="AF32" s="2701"/>
      <c r="AG32" s="2702"/>
      <c r="AH32" s="2703"/>
      <c r="AI32" s="1053"/>
      <c r="AJ32" s="1089" t="s">
        <v>916</v>
      </c>
      <c r="AK32" s="1054"/>
      <c r="AL32" s="2704"/>
      <c r="AM32" s="2705"/>
      <c r="AN32" s="2705"/>
      <c r="AO32" s="320" t="s">
        <v>733</v>
      </c>
      <c r="AP32" s="321" t="s">
        <v>244</v>
      </c>
      <c r="AQ32" s="2724" t="str">
        <f t="shared" si="7"/>
        <v/>
      </c>
      <c r="AR32" s="2724"/>
      <c r="AS32" s="320" t="s">
        <v>240</v>
      </c>
      <c r="AT32" s="321" t="s">
        <v>734</v>
      </c>
      <c r="AU32" s="2707" t="str">
        <f t="shared" si="12"/>
        <v/>
      </c>
      <c r="AV32" s="2707"/>
      <c r="AW32" s="2707"/>
      <c r="AX32" s="2707"/>
      <c r="AY32" s="2707"/>
      <c r="AZ32" s="322" t="s">
        <v>733</v>
      </c>
      <c r="BA32" s="1052"/>
      <c r="BB32" s="1073">
        <f t="shared" si="8"/>
        <v>0</v>
      </c>
      <c r="BC32" s="323">
        <f t="shared" si="9"/>
        <v>0</v>
      </c>
      <c r="BD32" s="646" t="str">
        <f t="shared" si="10"/>
        <v/>
      </c>
      <c r="BE32" s="391">
        <f t="shared" si="0"/>
        <v>0</v>
      </c>
      <c r="BF32" s="324">
        <f t="shared" si="1"/>
        <v>0</v>
      </c>
      <c r="BG32" s="729">
        <f t="shared" si="2"/>
        <v>0</v>
      </c>
      <c r="BH32" s="1075"/>
      <c r="BI32" s="1069" t="str">
        <f t="shared" si="3"/>
        <v/>
      </c>
      <c r="BJ32" s="1066" t="str">
        <f t="shared" si="4"/>
        <v/>
      </c>
      <c r="BK32" s="391">
        <f t="shared" si="16"/>
        <v>0</v>
      </c>
      <c r="BL32" s="391">
        <f t="shared" si="16"/>
        <v>0</v>
      </c>
      <c r="BM32" s="391">
        <f t="shared" si="16"/>
        <v>0</v>
      </c>
      <c r="BN32" s="391">
        <f t="shared" si="16"/>
        <v>0</v>
      </c>
      <c r="BO32" s="391">
        <f t="shared" si="16"/>
        <v>0</v>
      </c>
      <c r="BP32" s="391">
        <f t="shared" si="16"/>
        <v>0</v>
      </c>
      <c r="BQ32" s="391">
        <f t="shared" si="16"/>
        <v>0</v>
      </c>
      <c r="BR32" s="391">
        <f t="shared" si="16"/>
        <v>0</v>
      </c>
      <c r="BS32" s="391">
        <f t="shared" si="16"/>
        <v>0</v>
      </c>
      <c r="BT32" s="391">
        <f t="shared" si="16"/>
        <v>0</v>
      </c>
      <c r="BU32" s="391">
        <f t="shared" si="16"/>
        <v>0</v>
      </c>
      <c r="BV32" s="391">
        <f t="shared" si="16"/>
        <v>0</v>
      </c>
      <c r="BW32" s="325"/>
      <c r="BY32" s="325"/>
      <c r="BZ32" s="325"/>
      <c r="CA32" s="325"/>
      <c r="CB32" s="325"/>
      <c r="CC32" s="325"/>
      <c r="CD32" s="325"/>
      <c r="CJ32" s="306">
        <v>0</v>
      </c>
    </row>
    <row r="33" spans="1:88" ht="24.95" hidden="1" customHeight="1" outlineLevel="1">
      <c r="A33" s="2715">
        <v>28</v>
      </c>
      <c r="B33" s="2716"/>
      <c r="C33" s="2701"/>
      <c r="D33" s="2702"/>
      <c r="E33" s="2702"/>
      <c r="F33" s="2702"/>
      <c r="G33" s="2702"/>
      <c r="H33" s="2702"/>
      <c r="I33" s="2703"/>
      <c r="J33" s="2701"/>
      <c r="K33" s="2702"/>
      <c r="L33" s="2717"/>
      <c r="M33" s="2718"/>
      <c r="N33" s="2719"/>
      <c r="O33" s="2720"/>
      <c r="P33" s="2717"/>
      <c r="Q33" s="2695"/>
      <c r="R33" s="2696"/>
      <c r="S33" s="2696"/>
      <c r="T33" s="2696"/>
      <c r="U33" s="2696"/>
      <c r="V33" s="2696"/>
      <c r="W33" s="2696"/>
      <c r="X33" s="2697"/>
      <c r="Y33" s="2721" t="str">
        <f>IFERROR(VLOOKUP(C33,#REF!,2,FALSE),"")</f>
        <v/>
      </c>
      <c r="Z33" s="2722"/>
      <c r="AA33" s="2722"/>
      <c r="AB33" s="2722"/>
      <c r="AC33" s="2722"/>
      <c r="AD33" s="2722"/>
      <c r="AE33" s="2723"/>
      <c r="AF33" s="2701"/>
      <c r="AG33" s="2702"/>
      <c r="AH33" s="2703"/>
      <c r="AI33" s="1053"/>
      <c r="AJ33" s="1089" t="s">
        <v>916</v>
      </c>
      <c r="AK33" s="1054"/>
      <c r="AL33" s="2704"/>
      <c r="AM33" s="2705"/>
      <c r="AN33" s="2705"/>
      <c r="AO33" s="320" t="s">
        <v>733</v>
      </c>
      <c r="AP33" s="321" t="s">
        <v>244</v>
      </c>
      <c r="AQ33" s="2724" t="str">
        <f t="shared" si="7"/>
        <v/>
      </c>
      <c r="AR33" s="2724"/>
      <c r="AS33" s="320" t="s">
        <v>240</v>
      </c>
      <c r="AT33" s="321" t="s">
        <v>734</v>
      </c>
      <c r="AU33" s="2707" t="str">
        <f t="shared" si="12"/>
        <v/>
      </c>
      <c r="AV33" s="2707"/>
      <c r="AW33" s="2707"/>
      <c r="AX33" s="2707"/>
      <c r="AY33" s="2707"/>
      <c r="AZ33" s="322" t="s">
        <v>733</v>
      </c>
      <c r="BA33" s="1052"/>
      <c r="BB33" s="1073">
        <f t="shared" si="8"/>
        <v>0</v>
      </c>
      <c r="BC33" s="323">
        <f t="shared" si="9"/>
        <v>0</v>
      </c>
      <c r="BD33" s="646" t="str">
        <f t="shared" si="10"/>
        <v/>
      </c>
      <c r="BE33" s="391">
        <f t="shared" si="0"/>
        <v>0</v>
      </c>
      <c r="BF33" s="324">
        <f t="shared" si="1"/>
        <v>0</v>
      </c>
      <c r="BG33" s="729">
        <f t="shared" si="2"/>
        <v>0</v>
      </c>
      <c r="BH33" s="1075"/>
      <c r="BI33" s="1069" t="str">
        <f t="shared" si="3"/>
        <v/>
      </c>
      <c r="BJ33" s="1066" t="str">
        <f t="shared" si="4"/>
        <v/>
      </c>
      <c r="BK33" s="391">
        <f t="shared" si="16"/>
        <v>0</v>
      </c>
      <c r="BL33" s="391">
        <f t="shared" si="16"/>
        <v>0</v>
      </c>
      <c r="BM33" s="391">
        <f t="shared" si="16"/>
        <v>0</v>
      </c>
      <c r="BN33" s="391">
        <f t="shared" si="16"/>
        <v>0</v>
      </c>
      <c r="BO33" s="391">
        <f t="shared" si="16"/>
        <v>0</v>
      </c>
      <c r="BP33" s="391">
        <f t="shared" si="16"/>
        <v>0</v>
      </c>
      <c r="BQ33" s="391">
        <f t="shared" si="16"/>
        <v>0</v>
      </c>
      <c r="BR33" s="391">
        <f t="shared" si="16"/>
        <v>0</v>
      </c>
      <c r="BS33" s="391">
        <f t="shared" si="16"/>
        <v>0</v>
      </c>
      <c r="BT33" s="391">
        <f t="shared" si="16"/>
        <v>0</v>
      </c>
      <c r="BU33" s="391">
        <f t="shared" si="16"/>
        <v>0</v>
      </c>
      <c r="BV33" s="391">
        <f t="shared" si="16"/>
        <v>0</v>
      </c>
      <c r="BW33" s="325"/>
      <c r="BY33" s="325"/>
      <c r="BZ33" s="325"/>
      <c r="CA33" s="325"/>
      <c r="CB33" s="325"/>
      <c r="CC33" s="325"/>
      <c r="CD33" s="325"/>
      <c r="CJ33" s="306">
        <v>0</v>
      </c>
    </row>
    <row r="34" spans="1:88" ht="24.95" hidden="1" customHeight="1" outlineLevel="1">
      <c r="A34" s="2715">
        <v>29</v>
      </c>
      <c r="B34" s="2716"/>
      <c r="C34" s="2701"/>
      <c r="D34" s="2702"/>
      <c r="E34" s="2702"/>
      <c r="F34" s="2702"/>
      <c r="G34" s="2702"/>
      <c r="H34" s="2702"/>
      <c r="I34" s="2703"/>
      <c r="J34" s="2701"/>
      <c r="K34" s="2702"/>
      <c r="L34" s="2717"/>
      <c r="M34" s="2718"/>
      <c r="N34" s="2719"/>
      <c r="O34" s="2720"/>
      <c r="P34" s="2717"/>
      <c r="Q34" s="2695"/>
      <c r="R34" s="2696"/>
      <c r="S34" s="2696"/>
      <c r="T34" s="2696"/>
      <c r="U34" s="2696"/>
      <c r="V34" s="2696"/>
      <c r="W34" s="2696"/>
      <c r="X34" s="2697"/>
      <c r="Y34" s="2721" t="str">
        <f>IFERROR(VLOOKUP(C34,#REF!,2,FALSE),"")</f>
        <v/>
      </c>
      <c r="Z34" s="2722"/>
      <c r="AA34" s="2722"/>
      <c r="AB34" s="2722"/>
      <c r="AC34" s="2722"/>
      <c r="AD34" s="2722"/>
      <c r="AE34" s="2723"/>
      <c r="AF34" s="2701"/>
      <c r="AG34" s="2702"/>
      <c r="AH34" s="2703"/>
      <c r="AI34" s="1053"/>
      <c r="AJ34" s="1089" t="s">
        <v>916</v>
      </c>
      <c r="AK34" s="1054"/>
      <c r="AL34" s="2704"/>
      <c r="AM34" s="2705"/>
      <c r="AN34" s="2705"/>
      <c r="AO34" s="320" t="s">
        <v>733</v>
      </c>
      <c r="AP34" s="321" t="s">
        <v>244</v>
      </c>
      <c r="AQ34" s="2724" t="str">
        <f t="shared" si="7"/>
        <v/>
      </c>
      <c r="AR34" s="2724"/>
      <c r="AS34" s="320" t="s">
        <v>240</v>
      </c>
      <c r="AT34" s="321" t="s">
        <v>734</v>
      </c>
      <c r="AU34" s="2707" t="str">
        <f t="shared" si="12"/>
        <v/>
      </c>
      <c r="AV34" s="2707"/>
      <c r="AW34" s="2707"/>
      <c r="AX34" s="2707"/>
      <c r="AY34" s="2707"/>
      <c r="AZ34" s="322" t="s">
        <v>733</v>
      </c>
      <c r="BA34" s="1052"/>
      <c r="BB34" s="1073">
        <f t="shared" si="8"/>
        <v>0</v>
      </c>
      <c r="BC34" s="323">
        <f t="shared" si="9"/>
        <v>0</v>
      </c>
      <c r="BD34" s="646" t="str">
        <f>IF(AL34="","",IF($CH$5&lt;AL34,1,0))</f>
        <v/>
      </c>
      <c r="BE34" s="391">
        <f t="shared" si="0"/>
        <v>0</v>
      </c>
      <c r="BF34" s="324">
        <f t="shared" si="1"/>
        <v>0</v>
      </c>
      <c r="BG34" s="729">
        <f t="shared" si="2"/>
        <v>0</v>
      </c>
      <c r="BH34" s="1075"/>
      <c r="BI34" s="1069" t="str">
        <f t="shared" si="3"/>
        <v/>
      </c>
      <c r="BJ34" s="1066" t="str">
        <f t="shared" si="4"/>
        <v/>
      </c>
      <c r="BK34" s="391">
        <f t="shared" si="16"/>
        <v>0</v>
      </c>
      <c r="BL34" s="391">
        <f t="shared" si="16"/>
        <v>0</v>
      </c>
      <c r="BM34" s="391">
        <f t="shared" si="16"/>
        <v>0</v>
      </c>
      <c r="BN34" s="391">
        <f t="shared" si="16"/>
        <v>0</v>
      </c>
      <c r="BO34" s="391">
        <f t="shared" si="16"/>
        <v>0</v>
      </c>
      <c r="BP34" s="391">
        <f t="shared" si="16"/>
        <v>0</v>
      </c>
      <c r="BQ34" s="391">
        <f t="shared" si="16"/>
        <v>0</v>
      </c>
      <c r="BR34" s="391">
        <f t="shared" si="16"/>
        <v>0</v>
      </c>
      <c r="BS34" s="391">
        <f t="shared" si="16"/>
        <v>0</v>
      </c>
      <c r="BT34" s="391">
        <f t="shared" si="16"/>
        <v>0</v>
      </c>
      <c r="BU34" s="391">
        <f t="shared" si="16"/>
        <v>0</v>
      </c>
      <c r="BV34" s="391">
        <f t="shared" si="16"/>
        <v>0</v>
      </c>
      <c r="BW34" s="325"/>
      <c r="BY34" s="325"/>
      <c r="BZ34" s="325"/>
      <c r="CA34" s="325"/>
      <c r="CB34" s="325"/>
      <c r="CC34" s="325"/>
      <c r="CD34" s="325"/>
      <c r="CJ34" s="306">
        <v>0</v>
      </c>
    </row>
    <row r="35" spans="1:88" ht="24.95" hidden="1" customHeight="1" outlineLevel="1">
      <c r="A35" s="2715">
        <v>30</v>
      </c>
      <c r="B35" s="2716"/>
      <c r="C35" s="2701"/>
      <c r="D35" s="2702"/>
      <c r="E35" s="2702"/>
      <c r="F35" s="2702"/>
      <c r="G35" s="2702"/>
      <c r="H35" s="2702"/>
      <c r="I35" s="2703"/>
      <c r="J35" s="2701"/>
      <c r="K35" s="2702"/>
      <c r="L35" s="2717"/>
      <c r="M35" s="2718"/>
      <c r="N35" s="2719"/>
      <c r="O35" s="2720"/>
      <c r="P35" s="2717"/>
      <c r="Q35" s="2695"/>
      <c r="R35" s="2696"/>
      <c r="S35" s="2696"/>
      <c r="T35" s="2696"/>
      <c r="U35" s="2696"/>
      <c r="V35" s="2696"/>
      <c r="W35" s="2696"/>
      <c r="X35" s="2697"/>
      <c r="Y35" s="2721" t="str">
        <f>IFERROR(VLOOKUP(C35,#REF!,2,FALSE),"")</f>
        <v/>
      </c>
      <c r="Z35" s="2722"/>
      <c r="AA35" s="2722"/>
      <c r="AB35" s="2722"/>
      <c r="AC35" s="2722"/>
      <c r="AD35" s="2722"/>
      <c r="AE35" s="2723"/>
      <c r="AF35" s="2701"/>
      <c r="AG35" s="2702"/>
      <c r="AH35" s="2703"/>
      <c r="AI35" s="1053"/>
      <c r="AJ35" s="1089" t="s">
        <v>916</v>
      </c>
      <c r="AK35" s="1054"/>
      <c r="AL35" s="2704"/>
      <c r="AM35" s="2705"/>
      <c r="AN35" s="2705"/>
      <c r="AO35" s="320" t="s">
        <v>733</v>
      </c>
      <c r="AP35" s="321" t="s">
        <v>244</v>
      </c>
      <c r="AQ35" s="2724" t="str">
        <f t="shared" si="7"/>
        <v/>
      </c>
      <c r="AR35" s="2724"/>
      <c r="AS35" s="320" t="s">
        <v>240</v>
      </c>
      <c r="AT35" s="321" t="s">
        <v>734</v>
      </c>
      <c r="AU35" s="2707" t="str">
        <f t="shared" si="12"/>
        <v/>
      </c>
      <c r="AV35" s="2707"/>
      <c r="AW35" s="2707"/>
      <c r="AX35" s="2707"/>
      <c r="AY35" s="2707"/>
      <c r="AZ35" s="322" t="s">
        <v>733</v>
      </c>
      <c r="BA35" s="1052"/>
      <c r="BB35" s="1073">
        <f t="shared" si="8"/>
        <v>0</v>
      </c>
      <c r="BC35" s="323">
        <f t="shared" si="9"/>
        <v>0</v>
      </c>
      <c r="BD35" s="646" t="str">
        <f t="shared" si="10"/>
        <v/>
      </c>
      <c r="BE35" s="391">
        <f t="shared" si="0"/>
        <v>0</v>
      </c>
      <c r="BF35" s="324">
        <f t="shared" si="1"/>
        <v>0</v>
      </c>
      <c r="BG35" s="729">
        <f t="shared" si="2"/>
        <v>0</v>
      </c>
      <c r="BH35" s="1075"/>
      <c r="BI35" s="1069" t="str">
        <f t="shared" si="3"/>
        <v/>
      </c>
      <c r="BJ35" s="1066" t="str">
        <f t="shared" si="4"/>
        <v/>
      </c>
      <c r="BK35" s="391">
        <f t="shared" si="16"/>
        <v>0</v>
      </c>
      <c r="BL35" s="391">
        <f t="shared" si="16"/>
        <v>0</v>
      </c>
      <c r="BM35" s="391">
        <f t="shared" si="16"/>
        <v>0</v>
      </c>
      <c r="BN35" s="391">
        <f t="shared" si="16"/>
        <v>0</v>
      </c>
      <c r="BO35" s="391">
        <f t="shared" si="16"/>
        <v>0</v>
      </c>
      <c r="BP35" s="391">
        <f t="shared" si="16"/>
        <v>0</v>
      </c>
      <c r="BQ35" s="391">
        <f t="shared" si="16"/>
        <v>0</v>
      </c>
      <c r="BR35" s="391">
        <f t="shared" si="16"/>
        <v>0</v>
      </c>
      <c r="BS35" s="391">
        <f t="shared" si="16"/>
        <v>0</v>
      </c>
      <c r="BT35" s="391">
        <f t="shared" si="16"/>
        <v>0</v>
      </c>
      <c r="BU35" s="391">
        <f t="shared" si="16"/>
        <v>0</v>
      </c>
      <c r="BV35" s="391">
        <f t="shared" si="16"/>
        <v>0</v>
      </c>
      <c r="BW35" s="325"/>
      <c r="BY35" s="325"/>
      <c r="BZ35" s="325"/>
      <c r="CA35" s="325"/>
      <c r="CB35" s="325"/>
      <c r="CC35" s="325"/>
      <c r="CD35" s="325"/>
      <c r="CJ35" s="306">
        <v>0</v>
      </c>
    </row>
    <row r="36" spans="1:88" ht="24.95" hidden="1" customHeight="1" collapsed="1">
      <c r="A36" s="2715">
        <v>31</v>
      </c>
      <c r="B36" s="2716"/>
      <c r="C36" s="2701"/>
      <c r="D36" s="2702"/>
      <c r="E36" s="2702"/>
      <c r="F36" s="2702"/>
      <c r="G36" s="2702"/>
      <c r="H36" s="2702"/>
      <c r="I36" s="2703"/>
      <c r="J36" s="2701"/>
      <c r="K36" s="2702"/>
      <c r="L36" s="2717"/>
      <c r="M36" s="2718"/>
      <c r="N36" s="2719"/>
      <c r="O36" s="2720"/>
      <c r="P36" s="2717"/>
      <c r="Q36" s="2695"/>
      <c r="R36" s="2696"/>
      <c r="S36" s="2696"/>
      <c r="T36" s="2696"/>
      <c r="U36" s="2696"/>
      <c r="V36" s="2696"/>
      <c r="W36" s="2696"/>
      <c r="X36" s="2697"/>
      <c r="Y36" s="2698" t="str">
        <f>IFERROR(VLOOKUP(C36,#REF!,2,FALSE),"")</f>
        <v/>
      </c>
      <c r="Z36" s="2699"/>
      <c r="AA36" s="2699"/>
      <c r="AB36" s="2699"/>
      <c r="AC36" s="2699"/>
      <c r="AD36" s="2699"/>
      <c r="AE36" s="2700"/>
      <c r="AF36" s="2701"/>
      <c r="AG36" s="2702"/>
      <c r="AH36" s="2703"/>
      <c r="AI36" s="1053"/>
      <c r="AJ36" s="967" t="s">
        <v>916</v>
      </c>
      <c r="AK36" s="1054"/>
      <c r="AL36" s="2704"/>
      <c r="AM36" s="2705"/>
      <c r="AN36" s="2705"/>
      <c r="AO36" s="320" t="s">
        <v>733</v>
      </c>
      <c r="AP36" s="321" t="s">
        <v>244</v>
      </c>
      <c r="AQ36" s="2706" t="str">
        <f t="shared" si="7"/>
        <v/>
      </c>
      <c r="AR36" s="2706"/>
      <c r="AS36" s="320" t="s">
        <v>240</v>
      </c>
      <c r="AT36" s="321" t="s">
        <v>734</v>
      </c>
      <c r="AU36" s="2707" t="str">
        <f t="shared" si="12"/>
        <v/>
      </c>
      <c r="AV36" s="2707"/>
      <c r="AW36" s="2707"/>
      <c r="AX36" s="2707"/>
      <c r="AY36" s="2707"/>
      <c r="AZ36" s="322" t="s">
        <v>733</v>
      </c>
      <c r="BA36" s="1052"/>
      <c r="BB36" s="1073">
        <f t="shared" si="8"/>
        <v>0</v>
      </c>
      <c r="BC36" s="323">
        <f t="shared" si="9"/>
        <v>0</v>
      </c>
      <c r="BD36" s="646" t="str">
        <f t="shared" ref="BD36:BD50" si="17">IF(AL36="","",IF($CH$6&lt;AL36,1,0))</f>
        <v/>
      </c>
      <c r="BE36" s="391">
        <f t="shared" si="0"/>
        <v>0</v>
      </c>
      <c r="BF36" s="324">
        <f t="shared" si="1"/>
        <v>0</v>
      </c>
      <c r="BG36" s="729">
        <f t="shared" si="2"/>
        <v>0</v>
      </c>
      <c r="BH36" s="1075"/>
      <c r="BI36" s="1069" t="str">
        <f t="shared" si="3"/>
        <v/>
      </c>
      <c r="BJ36" s="1066" t="str">
        <f t="shared" si="4"/>
        <v/>
      </c>
      <c r="BK36" s="391">
        <f t="shared" ref="BK36:BV50" si="18">IF(AND($BI36&lt;=BK$5,BK$5&lt;=$BJ36),$AL36,0)</f>
        <v>0</v>
      </c>
      <c r="BL36" s="391">
        <f t="shared" si="18"/>
        <v>0</v>
      </c>
      <c r="BM36" s="391">
        <f t="shared" si="18"/>
        <v>0</v>
      </c>
      <c r="BN36" s="391">
        <f t="shared" si="18"/>
        <v>0</v>
      </c>
      <c r="BO36" s="391">
        <f t="shared" si="18"/>
        <v>0</v>
      </c>
      <c r="BP36" s="391">
        <f t="shared" si="18"/>
        <v>0</v>
      </c>
      <c r="BQ36" s="391">
        <f t="shared" si="18"/>
        <v>0</v>
      </c>
      <c r="BR36" s="391">
        <f t="shared" si="18"/>
        <v>0</v>
      </c>
      <c r="BS36" s="391">
        <f t="shared" si="18"/>
        <v>0</v>
      </c>
      <c r="BT36" s="391">
        <f t="shared" si="18"/>
        <v>0</v>
      </c>
      <c r="BU36" s="391">
        <f t="shared" si="18"/>
        <v>0</v>
      </c>
      <c r="BV36" s="391">
        <f t="shared" si="18"/>
        <v>0</v>
      </c>
      <c r="BW36" s="325"/>
      <c r="BY36" s="325"/>
      <c r="BZ36" s="325"/>
      <c r="CA36" s="325"/>
      <c r="CB36" s="325"/>
      <c r="CC36" s="325"/>
      <c r="CD36" s="325"/>
      <c r="CJ36" s="306">
        <v>0</v>
      </c>
    </row>
    <row r="37" spans="1:88" ht="24.95" hidden="1" customHeight="1">
      <c r="A37" s="2715">
        <v>32</v>
      </c>
      <c r="B37" s="2716"/>
      <c r="C37" s="2701"/>
      <c r="D37" s="2702"/>
      <c r="E37" s="2702"/>
      <c r="F37" s="2702"/>
      <c r="G37" s="2702"/>
      <c r="H37" s="2702"/>
      <c r="I37" s="2703"/>
      <c r="J37" s="2701"/>
      <c r="K37" s="2702"/>
      <c r="L37" s="2717"/>
      <c r="M37" s="2718"/>
      <c r="N37" s="2719"/>
      <c r="O37" s="2720"/>
      <c r="P37" s="2717"/>
      <c r="Q37" s="2695"/>
      <c r="R37" s="2696"/>
      <c r="S37" s="2696"/>
      <c r="T37" s="2696"/>
      <c r="U37" s="2696"/>
      <c r="V37" s="2696"/>
      <c r="W37" s="2696"/>
      <c r="X37" s="2697"/>
      <c r="Y37" s="2698" t="str">
        <f>IFERROR(VLOOKUP(C37,#REF!,2,FALSE),"")</f>
        <v/>
      </c>
      <c r="Z37" s="2699"/>
      <c r="AA37" s="2699"/>
      <c r="AB37" s="2699"/>
      <c r="AC37" s="2699"/>
      <c r="AD37" s="2699"/>
      <c r="AE37" s="2700"/>
      <c r="AF37" s="2701"/>
      <c r="AG37" s="2702"/>
      <c r="AH37" s="2703"/>
      <c r="AI37" s="1053"/>
      <c r="AJ37" s="967" t="s">
        <v>916</v>
      </c>
      <c r="AK37" s="1054"/>
      <c r="AL37" s="2704"/>
      <c r="AM37" s="2705"/>
      <c r="AN37" s="2705"/>
      <c r="AO37" s="320" t="s">
        <v>733</v>
      </c>
      <c r="AP37" s="321" t="s">
        <v>244</v>
      </c>
      <c r="AQ37" s="2706" t="str">
        <f t="shared" si="7"/>
        <v/>
      </c>
      <c r="AR37" s="2706"/>
      <c r="AS37" s="320" t="s">
        <v>240</v>
      </c>
      <c r="AT37" s="321" t="s">
        <v>734</v>
      </c>
      <c r="AU37" s="2707" t="str">
        <f t="shared" si="12"/>
        <v/>
      </c>
      <c r="AV37" s="2707"/>
      <c r="AW37" s="2707"/>
      <c r="AX37" s="2707"/>
      <c r="AY37" s="2707"/>
      <c r="AZ37" s="322" t="s">
        <v>733</v>
      </c>
      <c r="BA37" s="1052"/>
      <c r="BB37" s="1073">
        <f t="shared" si="8"/>
        <v>0</v>
      </c>
      <c r="BC37" s="323">
        <f t="shared" si="9"/>
        <v>0</v>
      </c>
      <c r="BD37" s="646" t="str">
        <f t="shared" si="17"/>
        <v/>
      </c>
      <c r="BE37" s="391">
        <f t="shared" si="0"/>
        <v>0</v>
      </c>
      <c r="BF37" s="324">
        <f t="shared" si="1"/>
        <v>0</v>
      </c>
      <c r="BG37" s="729">
        <f t="shared" si="2"/>
        <v>0</v>
      </c>
      <c r="BH37" s="1075"/>
      <c r="BI37" s="1069" t="str">
        <f t="shared" si="3"/>
        <v/>
      </c>
      <c r="BJ37" s="1066" t="str">
        <f t="shared" si="4"/>
        <v/>
      </c>
      <c r="BK37" s="391">
        <f t="shared" si="18"/>
        <v>0</v>
      </c>
      <c r="BL37" s="391">
        <f t="shared" si="18"/>
        <v>0</v>
      </c>
      <c r="BM37" s="391">
        <f t="shared" si="18"/>
        <v>0</v>
      </c>
      <c r="BN37" s="391">
        <f t="shared" si="18"/>
        <v>0</v>
      </c>
      <c r="BO37" s="391">
        <f t="shared" si="18"/>
        <v>0</v>
      </c>
      <c r="BP37" s="391">
        <f t="shared" si="18"/>
        <v>0</v>
      </c>
      <c r="BQ37" s="391">
        <f t="shared" si="18"/>
        <v>0</v>
      </c>
      <c r="BR37" s="391">
        <f t="shared" si="18"/>
        <v>0</v>
      </c>
      <c r="BS37" s="391">
        <f t="shared" si="18"/>
        <v>0</v>
      </c>
      <c r="BT37" s="391">
        <f t="shared" si="18"/>
        <v>0</v>
      </c>
      <c r="BU37" s="391">
        <f t="shared" si="18"/>
        <v>0</v>
      </c>
      <c r="BV37" s="391">
        <f t="shared" si="18"/>
        <v>0</v>
      </c>
      <c r="BW37" s="325"/>
      <c r="BY37" s="325"/>
      <c r="BZ37" s="325"/>
      <c r="CA37" s="325"/>
      <c r="CB37" s="325"/>
      <c r="CC37" s="325"/>
      <c r="CD37" s="325"/>
      <c r="CJ37" s="306">
        <v>0</v>
      </c>
    </row>
    <row r="38" spans="1:88" ht="24.95" hidden="1" customHeight="1">
      <c r="A38" s="2715">
        <v>33</v>
      </c>
      <c r="B38" s="2716"/>
      <c r="C38" s="2701"/>
      <c r="D38" s="2702"/>
      <c r="E38" s="2702"/>
      <c r="F38" s="2702"/>
      <c r="G38" s="2702"/>
      <c r="H38" s="2702"/>
      <c r="I38" s="2703"/>
      <c r="J38" s="2701"/>
      <c r="K38" s="2702"/>
      <c r="L38" s="2717"/>
      <c r="M38" s="2718"/>
      <c r="N38" s="2719"/>
      <c r="O38" s="2720"/>
      <c r="P38" s="2717"/>
      <c r="Q38" s="2695"/>
      <c r="R38" s="2696"/>
      <c r="S38" s="2696"/>
      <c r="T38" s="2696"/>
      <c r="U38" s="2696"/>
      <c r="V38" s="2696"/>
      <c r="W38" s="2696"/>
      <c r="X38" s="2697"/>
      <c r="Y38" s="2698" t="str">
        <f>IFERROR(VLOOKUP(C38,#REF!,2,FALSE),"")</f>
        <v/>
      </c>
      <c r="Z38" s="2699"/>
      <c r="AA38" s="2699"/>
      <c r="AB38" s="2699"/>
      <c r="AC38" s="2699"/>
      <c r="AD38" s="2699"/>
      <c r="AE38" s="2700"/>
      <c r="AF38" s="2701"/>
      <c r="AG38" s="2702"/>
      <c r="AH38" s="2703"/>
      <c r="AI38" s="1053"/>
      <c r="AJ38" s="967" t="s">
        <v>916</v>
      </c>
      <c r="AK38" s="1054"/>
      <c r="AL38" s="2704"/>
      <c r="AM38" s="2705"/>
      <c r="AN38" s="2705"/>
      <c r="AO38" s="320" t="s">
        <v>733</v>
      </c>
      <c r="AP38" s="321" t="s">
        <v>244</v>
      </c>
      <c r="AQ38" s="2706" t="str">
        <f t="shared" si="7"/>
        <v/>
      </c>
      <c r="AR38" s="2706"/>
      <c r="AS38" s="320" t="s">
        <v>240</v>
      </c>
      <c r="AT38" s="321" t="s">
        <v>734</v>
      </c>
      <c r="AU38" s="2707" t="str">
        <f t="shared" si="12"/>
        <v/>
      </c>
      <c r="AV38" s="2707"/>
      <c r="AW38" s="2707"/>
      <c r="AX38" s="2707"/>
      <c r="AY38" s="2707"/>
      <c r="AZ38" s="322" t="s">
        <v>733</v>
      </c>
      <c r="BA38" s="1052"/>
      <c r="BB38" s="1073">
        <f t="shared" si="8"/>
        <v>0</v>
      </c>
      <c r="BC38" s="323">
        <f t="shared" si="9"/>
        <v>0</v>
      </c>
      <c r="BD38" s="646" t="str">
        <f t="shared" si="17"/>
        <v/>
      </c>
      <c r="BE38" s="391">
        <f t="shared" si="0"/>
        <v>0</v>
      </c>
      <c r="BF38" s="324">
        <f t="shared" si="1"/>
        <v>0</v>
      </c>
      <c r="BG38" s="729">
        <f t="shared" si="2"/>
        <v>0</v>
      </c>
      <c r="BH38" s="1075"/>
      <c r="BI38" s="1069" t="str">
        <f t="shared" si="3"/>
        <v/>
      </c>
      <c r="BJ38" s="1066" t="str">
        <f t="shared" si="4"/>
        <v/>
      </c>
      <c r="BK38" s="391">
        <f t="shared" si="18"/>
        <v>0</v>
      </c>
      <c r="BL38" s="391">
        <f t="shared" si="18"/>
        <v>0</v>
      </c>
      <c r="BM38" s="391">
        <f t="shared" si="18"/>
        <v>0</v>
      </c>
      <c r="BN38" s="391">
        <f t="shared" si="18"/>
        <v>0</v>
      </c>
      <c r="BO38" s="391">
        <f t="shared" si="18"/>
        <v>0</v>
      </c>
      <c r="BP38" s="391">
        <f t="shared" si="18"/>
        <v>0</v>
      </c>
      <c r="BQ38" s="391">
        <f t="shared" si="18"/>
        <v>0</v>
      </c>
      <c r="BR38" s="391">
        <f t="shared" si="18"/>
        <v>0</v>
      </c>
      <c r="BS38" s="391">
        <f t="shared" si="18"/>
        <v>0</v>
      </c>
      <c r="BT38" s="391">
        <f t="shared" si="18"/>
        <v>0</v>
      </c>
      <c r="BU38" s="391">
        <f t="shared" si="18"/>
        <v>0</v>
      </c>
      <c r="BV38" s="391">
        <f t="shared" si="18"/>
        <v>0</v>
      </c>
      <c r="BW38" s="325"/>
      <c r="BY38" s="325"/>
      <c r="BZ38" s="325"/>
      <c r="CA38" s="325"/>
      <c r="CB38" s="325"/>
      <c r="CC38" s="325"/>
      <c r="CD38" s="325"/>
      <c r="CJ38" s="306">
        <v>0</v>
      </c>
    </row>
    <row r="39" spans="1:88" ht="24.95" hidden="1" customHeight="1">
      <c r="A39" s="2715">
        <v>34</v>
      </c>
      <c r="B39" s="2716"/>
      <c r="C39" s="2701"/>
      <c r="D39" s="2702"/>
      <c r="E39" s="2702"/>
      <c r="F39" s="2702"/>
      <c r="G39" s="2702"/>
      <c r="H39" s="2702"/>
      <c r="I39" s="2703"/>
      <c r="J39" s="2701"/>
      <c r="K39" s="2702"/>
      <c r="L39" s="2717"/>
      <c r="M39" s="2718"/>
      <c r="N39" s="2719"/>
      <c r="O39" s="2720"/>
      <c r="P39" s="2717"/>
      <c r="Q39" s="2695"/>
      <c r="R39" s="2696"/>
      <c r="S39" s="2696"/>
      <c r="T39" s="2696"/>
      <c r="U39" s="2696"/>
      <c r="V39" s="2696"/>
      <c r="W39" s="2696"/>
      <c r="X39" s="2697"/>
      <c r="Y39" s="2698" t="str">
        <f>IFERROR(VLOOKUP(C39,#REF!,2,FALSE),"")</f>
        <v/>
      </c>
      <c r="Z39" s="2699"/>
      <c r="AA39" s="2699"/>
      <c r="AB39" s="2699"/>
      <c r="AC39" s="2699"/>
      <c r="AD39" s="2699"/>
      <c r="AE39" s="2700"/>
      <c r="AF39" s="2701"/>
      <c r="AG39" s="2702"/>
      <c r="AH39" s="2703"/>
      <c r="AI39" s="1053"/>
      <c r="AJ39" s="967" t="s">
        <v>916</v>
      </c>
      <c r="AK39" s="1054"/>
      <c r="AL39" s="2704"/>
      <c r="AM39" s="2705"/>
      <c r="AN39" s="2705"/>
      <c r="AO39" s="320" t="s">
        <v>733</v>
      </c>
      <c r="AP39" s="321" t="s">
        <v>244</v>
      </c>
      <c r="AQ39" s="2706" t="str">
        <f t="shared" si="7"/>
        <v/>
      </c>
      <c r="AR39" s="2706"/>
      <c r="AS39" s="320" t="s">
        <v>240</v>
      </c>
      <c r="AT39" s="321" t="s">
        <v>734</v>
      </c>
      <c r="AU39" s="2707" t="str">
        <f t="shared" si="12"/>
        <v/>
      </c>
      <c r="AV39" s="2707"/>
      <c r="AW39" s="2707"/>
      <c r="AX39" s="2707"/>
      <c r="AY39" s="2707"/>
      <c r="AZ39" s="322" t="s">
        <v>733</v>
      </c>
      <c r="BA39" s="1052"/>
      <c r="BB39" s="1073">
        <f t="shared" si="8"/>
        <v>0</v>
      </c>
      <c r="BC39" s="323">
        <f t="shared" si="9"/>
        <v>0</v>
      </c>
      <c r="BD39" s="646" t="str">
        <f t="shared" si="17"/>
        <v/>
      </c>
      <c r="BE39" s="391">
        <f t="shared" si="0"/>
        <v>0</v>
      </c>
      <c r="BF39" s="324">
        <f t="shared" si="1"/>
        <v>0</v>
      </c>
      <c r="BG39" s="729">
        <f t="shared" si="2"/>
        <v>0</v>
      </c>
      <c r="BH39" s="1075"/>
      <c r="BI39" s="1069" t="str">
        <f t="shared" si="3"/>
        <v/>
      </c>
      <c r="BJ39" s="1066" t="str">
        <f t="shared" si="4"/>
        <v/>
      </c>
      <c r="BK39" s="391">
        <f t="shared" si="18"/>
        <v>0</v>
      </c>
      <c r="BL39" s="391">
        <f t="shared" si="18"/>
        <v>0</v>
      </c>
      <c r="BM39" s="391">
        <f t="shared" si="18"/>
        <v>0</v>
      </c>
      <c r="BN39" s="391">
        <f t="shared" si="18"/>
        <v>0</v>
      </c>
      <c r="BO39" s="391">
        <f t="shared" si="18"/>
        <v>0</v>
      </c>
      <c r="BP39" s="391">
        <f t="shared" si="18"/>
        <v>0</v>
      </c>
      <c r="BQ39" s="391">
        <f t="shared" si="18"/>
        <v>0</v>
      </c>
      <c r="BR39" s="391">
        <f t="shared" si="18"/>
        <v>0</v>
      </c>
      <c r="BS39" s="391">
        <f t="shared" si="18"/>
        <v>0</v>
      </c>
      <c r="BT39" s="391">
        <f t="shared" si="18"/>
        <v>0</v>
      </c>
      <c r="BU39" s="391">
        <f t="shared" si="18"/>
        <v>0</v>
      </c>
      <c r="BV39" s="391">
        <f t="shared" si="18"/>
        <v>0</v>
      </c>
      <c r="BW39" s="325"/>
      <c r="BY39" s="325"/>
      <c r="BZ39" s="325"/>
      <c r="CA39" s="325"/>
      <c r="CB39" s="325"/>
      <c r="CC39" s="325"/>
      <c r="CD39" s="325"/>
      <c r="CJ39" s="306">
        <v>0</v>
      </c>
    </row>
    <row r="40" spans="1:88" ht="24.95" hidden="1" customHeight="1">
      <c r="A40" s="2715">
        <v>35</v>
      </c>
      <c r="B40" s="2716"/>
      <c r="C40" s="2701"/>
      <c r="D40" s="2702"/>
      <c r="E40" s="2702"/>
      <c r="F40" s="2702"/>
      <c r="G40" s="2702"/>
      <c r="H40" s="2702"/>
      <c r="I40" s="2703"/>
      <c r="J40" s="2701"/>
      <c r="K40" s="2702"/>
      <c r="L40" s="2717"/>
      <c r="M40" s="2718"/>
      <c r="N40" s="2719"/>
      <c r="O40" s="2720"/>
      <c r="P40" s="2717"/>
      <c r="Q40" s="2695"/>
      <c r="R40" s="2696"/>
      <c r="S40" s="2696"/>
      <c r="T40" s="2696"/>
      <c r="U40" s="2696"/>
      <c r="V40" s="2696"/>
      <c r="W40" s="2696"/>
      <c r="X40" s="2697"/>
      <c r="Y40" s="2698" t="str">
        <f>IFERROR(VLOOKUP(C40,#REF!,2,FALSE),"")</f>
        <v/>
      </c>
      <c r="Z40" s="2699"/>
      <c r="AA40" s="2699"/>
      <c r="AB40" s="2699"/>
      <c r="AC40" s="2699"/>
      <c r="AD40" s="2699"/>
      <c r="AE40" s="2700"/>
      <c r="AF40" s="2701"/>
      <c r="AG40" s="2702"/>
      <c r="AH40" s="2703"/>
      <c r="AI40" s="1053"/>
      <c r="AJ40" s="967" t="s">
        <v>916</v>
      </c>
      <c r="AK40" s="1054"/>
      <c r="AL40" s="2704"/>
      <c r="AM40" s="2705"/>
      <c r="AN40" s="2705"/>
      <c r="AO40" s="320" t="s">
        <v>733</v>
      </c>
      <c r="AP40" s="321" t="s">
        <v>244</v>
      </c>
      <c r="AQ40" s="2706" t="str">
        <f t="shared" si="7"/>
        <v/>
      </c>
      <c r="AR40" s="2706"/>
      <c r="AS40" s="320" t="s">
        <v>240</v>
      </c>
      <c r="AT40" s="321" t="s">
        <v>734</v>
      </c>
      <c r="AU40" s="2707" t="str">
        <f t="shared" si="12"/>
        <v/>
      </c>
      <c r="AV40" s="2707"/>
      <c r="AW40" s="2707"/>
      <c r="AX40" s="2707"/>
      <c r="AY40" s="2707"/>
      <c r="AZ40" s="322" t="s">
        <v>733</v>
      </c>
      <c r="BA40" s="1052"/>
      <c r="BB40" s="1073">
        <f t="shared" si="8"/>
        <v>0</v>
      </c>
      <c r="BC40" s="323">
        <f t="shared" si="9"/>
        <v>0</v>
      </c>
      <c r="BD40" s="646" t="str">
        <f t="shared" si="17"/>
        <v/>
      </c>
      <c r="BE40" s="391">
        <f t="shared" si="0"/>
        <v>0</v>
      </c>
      <c r="BF40" s="324">
        <f t="shared" si="1"/>
        <v>0</v>
      </c>
      <c r="BG40" s="729">
        <f t="shared" si="2"/>
        <v>0</v>
      </c>
      <c r="BH40" s="1075"/>
      <c r="BI40" s="1069" t="str">
        <f t="shared" si="3"/>
        <v/>
      </c>
      <c r="BJ40" s="1066" t="str">
        <f t="shared" si="4"/>
        <v/>
      </c>
      <c r="BK40" s="391">
        <f t="shared" si="18"/>
        <v>0</v>
      </c>
      <c r="BL40" s="391">
        <f t="shared" si="18"/>
        <v>0</v>
      </c>
      <c r="BM40" s="391">
        <f t="shared" si="18"/>
        <v>0</v>
      </c>
      <c r="BN40" s="391">
        <f t="shared" si="18"/>
        <v>0</v>
      </c>
      <c r="BO40" s="391">
        <f t="shared" si="18"/>
        <v>0</v>
      </c>
      <c r="BP40" s="391">
        <f t="shared" si="18"/>
        <v>0</v>
      </c>
      <c r="BQ40" s="391">
        <f t="shared" si="18"/>
        <v>0</v>
      </c>
      <c r="BR40" s="391">
        <f t="shared" si="18"/>
        <v>0</v>
      </c>
      <c r="BS40" s="391">
        <f t="shared" si="18"/>
        <v>0</v>
      </c>
      <c r="BT40" s="391">
        <f t="shared" si="18"/>
        <v>0</v>
      </c>
      <c r="BU40" s="391">
        <f t="shared" si="18"/>
        <v>0</v>
      </c>
      <c r="BV40" s="391">
        <f t="shared" si="18"/>
        <v>0</v>
      </c>
      <c r="BW40" s="325"/>
      <c r="BY40" s="325"/>
      <c r="BZ40" s="325"/>
      <c r="CA40" s="325"/>
      <c r="CB40" s="325"/>
      <c r="CC40" s="325"/>
      <c r="CD40" s="325"/>
      <c r="CJ40" s="306">
        <v>0</v>
      </c>
    </row>
    <row r="41" spans="1:88" ht="24.95" hidden="1" customHeight="1">
      <c r="A41" s="2715">
        <v>36</v>
      </c>
      <c r="B41" s="2716"/>
      <c r="C41" s="2701"/>
      <c r="D41" s="2702"/>
      <c r="E41" s="2702"/>
      <c r="F41" s="2702"/>
      <c r="G41" s="2702"/>
      <c r="H41" s="2702"/>
      <c r="I41" s="2703"/>
      <c r="J41" s="2701"/>
      <c r="K41" s="2702"/>
      <c r="L41" s="2717"/>
      <c r="M41" s="2718"/>
      <c r="N41" s="2719"/>
      <c r="O41" s="2720"/>
      <c r="P41" s="2717"/>
      <c r="Q41" s="2695"/>
      <c r="R41" s="2696"/>
      <c r="S41" s="2696"/>
      <c r="T41" s="2696"/>
      <c r="U41" s="2696"/>
      <c r="V41" s="2696"/>
      <c r="W41" s="2696"/>
      <c r="X41" s="2697"/>
      <c r="Y41" s="2698" t="str">
        <f>IFERROR(VLOOKUP(C41,#REF!,2,FALSE),"")</f>
        <v/>
      </c>
      <c r="Z41" s="2699"/>
      <c r="AA41" s="2699"/>
      <c r="AB41" s="2699"/>
      <c r="AC41" s="2699"/>
      <c r="AD41" s="2699"/>
      <c r="AE41" s="2700"/>
      <c r="AF41" s="2701"/>
      <c r="AG41" s="2702"/>
      <c r="AH41" s="2703"/>
      <c r="AI41" s="1053"/>
      <c r="AJ41" s="967" t="s">
        <v>916</v>
      </c>
      <c r="AK41" s="1054"/>
      <c r="AL41" s="2704"/>
      <c r="AM41" s="2705"/>
      <c r="AN41" s="2705"/>
      <c r="AO41" s="320" t="s">
        <v>733</v>
      </c>
      <c r="AP41" s="321" t="s">
        <v>244</v>
      </c>
      <c r="AQ41" s="2706" t="str">
        <f t="shared" si="7"/>
        <v/>
      </c>
      <c r="AR41" s="2706"/>
      <c r="AS41" s="320" t="s">
        <v>240</v>
      </c>
      <c r="AT41" s="321" t="s">
        <v>734</v>
      </c>
      <c r="AU41" s="2707" t="str">
        <f t="shared" si="12"/>
        <v/>
      </c>
      <c r="AV41" s="2707"/>
      <c r="AW41" s="2707"/>
      <c r="AX41" s="2707"/>
      <c r="AY41" s="2707"/>
      <c r="AZ41" s="322" t="s">
        <v>733</v>
      </c>
      <c r="BA41" s="1052"/>
      <c r="BB41" s="1073">
        <f t="shared" si="8"/>
        <v>0</v>
      </c>
      <c r="BC41" s="323">
        <f t="shared" si="9"/>
        <v>0</v>
      </c>
      <c r="BD41" s="646" t="str">
        <f t="shared" si="17"/>
        <v/>
      </c>
      <c r="BE41" s="391">
        <f t="shared" si="0"/>
        <v>0</v>
      </c>
      <c r="BF41" s="324">
        <f t="shared" si="1"/>
        <v>0</v>
      </c>
      <c r="BG41" s="729">
        <f t="shared" si="2"/>
        <v>0</v>
      </c>
      <c r="BH41" s="1075"/>
      <c r="BI41" s="1069" t="str">
        <f t="shared" si="3"/>
        <v/>
      </c>
      <c r="BJ41" s="1066" t="str">
        <f t="shared" si="4"/>
        <v/>
      </c>
      <c r="BK41" s="391">
        <f t="shared" si="18"/>
        <v>0</v>
      </c>
      <c r="BL41" s="391">
        <f t="shared" si="18"/>
        <v>0</v>
      </c>
      <c r="BM41" s="391">
        <f t="shared" si="18"/>
        <v>0</v>
      </c>
      <c r="BN41" s="391">
        <f t="shared" si="18"/>
        <v>0</v>
      </c>
      <c r="BO41" s="391">
        <f t="shared" si="18"/>
        <v>0</v>
      </c>
      <c r="BP41" s="391">
        <f t="shared" si="18"/>
        <v>0</v>
      </c>
      <c r="BQ41" s="391">
        <f t="shared" si="18"/>
        <v>0</v>
      </c>
      <c r="BR41" s="391">
        <f t="shared" si="18"/>
        <v>0</v>
      </c>
      <c r="BS41" s="391">
        <f t="shared" si="18"/>
        <v>0</v>
      </c>
      <c r="BT41" s="391">
        <f t="shared" si="18"/>
        <v>0</v>
      </c>
      <c r="BU41" s="391">
        <f t="shared" si="18"/>
        <v>0</v>
      </c>
      <c r="BV41" s="391">
        <f t="shared" si="18"/>
        <v>0</v>
      </c>
      <c r="BW41" s="325"/>
      <c r="BY41" s="325"/>
      <c r="BZ41" s="325"/>
      <c r="CA41" s="325"/>
      <c r="CB41" s="325"/>
      <c r="CC41" s="325"/>
      <c r="CD41" s="325"/>
      <c r="CJ41" s="306">
        <v>0</v>
      </c>
    </row>
    <row r="42" spans="1:88" ht="24.95" hidden="1" customHeight="1">
      <c r="A42" s="2715">
        <v>37</v>
      </c>
      <c r="B42" s="2716"/>
      <c r="C42" s="2701"/>
      <c r="D42" s="2702"/>
      <c r="E42" s="2702"/>
      <c r="F42" s="2702"/>
      <c r="G42" s="2702"/>
      <c r="H42" s="2702"/>
      <c r="I42" s="2703"/>
      <c r="J42" s="2701"/>
      <c r="K42" s="2702"/>
      <c r="L42" s="2717"/>
      <c r="M42" s="2718"/>
      <c r="N42" s="2719"/>
      <c r="O42" s="2720"/>
      <c r="P42" s="2717"/>
      <c r="Q42" s="2695"/>
      <c r="R42" s="2696"/>
      <c r="S42" s="2696"/>
      <c r="T42" s="2696"/>
      <c r="U42" s="2696"/>
      <c r="V42" s="2696"/>
      <c r="W42" s="2696"/>
      <c r="X42" s="2697"/>
      <c r="Y42" s="2698" t="str">
        <f>IFERROR(VLOOKUP(C42,#REF!,2,FALSE),"")</f>
        <v/>
      </c>
      <c r="Z42" s="2699"/>
      <c r="AA42" s="2699"/>
      <c r="AB42" s="2699"/>
      <c r="AC42" s="2699"/>
      <c r="AD42" s="2699"/>
      <c r="AE42" s="2700"/>
      <c r="AF42" s="2701"/>
      <c r="AG42" s="2702"/>
      <c r="AH42" s="2703"/>
      <c r="AI42" s="1053"/>
      <c r="AJ42" s="967" t="s">
        <v>916</v>
      </c>
      <c r="AK42" s="1054"/>
      <c r="AL42" s="2704"/>
      <c r="AM42" s="2705"/>
      <c r="AN42" s="2705"/>
      <c r="AO42" s="320" t="s">
        <v>733</v>
      </c>
      <c r="AP42" s="321" t="s">
        <v>244</v>
      </c>
      <c r="AQ42" s="2706" t="str">
        <f t="shared" si="7"/>
        <v/>
      </c>
      <c r="AR42" s="2706"/>
      <c r="AS42" s="320" t="s">
        <v>240</v>
      </c>
      <c r="AT42" s="321" t="s">
        <v>734</v>
      </c>
      <c r="AU42" s="2707" t="str">
        <f t="shared" si="12"/>
        <v/>
      </c>
      <c r="AV42" s="2707"/>
      <c r="AW42" s="2707"/>
      <c r="AX42" s="2707"/>
      <c r="AY42" s="2707"/>
      <c r="AZ42" s="322" t="s">
        <v>733</v>
      </c>
      <c r="BA42" s="1052"/>
      <c r="BB42" s="1073">
        <f t="shared" si="8"/>
        <v>0</v>
      </c>
      <c r="BC42" s="323">
        <f t="shared" si="9"/>
        <v>0</v>
      </c>
      <c r="BD42" s="646" t="str">
        <f t="shared" si="17"/>
        <v/>
      </c>
      <c r="BE42" s="391">
        <f t="shared" si="0"/>
        <v>0</v>
      </c>
      <c r="BF42" s="324">
        <f t="shared" si="1"/>
        <v>0</v>
      </c>
      <c r="BG42" s="729">
        <f t="shared" si="2"/>
        <v>0</v>
      </c>
      <c r="BH42" s="1075"/>
      <c r="BI42" s="1069" t="str">
        <f t="shared" si="3"/>
        <v/>
      </c>
      <c r="BJ42" s="1066" t="str">
        <f t="shared" si="4"/>
        <v/>
      </c>
      <c r="BK42" s="391">
        <f t="shared" si="18"/>
        <v>0</v>
      </c>
      <c r="BL42" s="391">
        <f t="shared" si="18"/>
        <v>0</v>
      </c>
      <c r="BM42" s="391">
        <f t="shared" si="18"/>
        <v>0</v>
      </c>
      <c r="BN42" s="391">
        <f t="shared" si="18"/>
        <v>0</v>
      </c>
      <c r="BO42" s="391">
        <f t="shared" si="18"/>
        <v>0</v>
      </c>
      <c r="BP42" s="391">
        <f t="shared" si="18"/>
        <v>0</v>
      </c>
      <c r="BQ42" s="391">
        <f t="shared" si="18"/>
        <v>0</v>
      </c>
      <c r="BR42" s="391">
        <f t="shared" si="18"/>
        <v>0</v>
      </c>
      <c r="BS42" s="391">
        <f t="shared" si="18"/>
        <v>0</v>
      </c>
      <c r="BT42" s="391">
        <f t="shared" si="18"/>
        <v>0</v>
      </c>
      <c r="BU42" s="391">
        <f t="shared" si="18"/>
        <v>0</v>
      </c>
      <c r="BV42" s="391">
        <f t="shared" si="18"/>
        <v>0</v>
      </c>
      <c r="BW42" s="325"/>
      <c r="BY42" s="325"/>
      <c r="BZ42" s="325"/>
      <c r="CA42" s="325"/>
      <c r="CB42" s="325"/>
      <c r="CC42" s="325"/>
      <c r="CD42" s="325"/>
      <c r="CJ42" s="306">
        <v>0</v>
      </c>
    </row>
    <row r="43" spans="1:88" ht="24.95" hidden="1" customHeight="1">
      <c r="A43" s="2715">
        <v>38</v>
      </c>
      <c r="B43" s="2716"/>
      <c r="C43" s="2701"/>
      <c r="D43" s="2702"/>
      <c r="E43" s="2702"/>
      <c r="F43" s="2702"/>
      <c r="G43" s="2702"/>
      <c r="H43" s="2702"/>
      <c r="I43" s="2703"/>
      <c r="J43" s="2701"/>
      <c r="K43" s="2702"/>
      <c r="L43" s="2717"/>
      <c r="M43" s="2718"/>
      <c r="N43" s="2719"/>
      <c r="O43" s="2720"/>
      <c r="P43" s="2717"/>
      <c r="Q43" s="2695"/>
      <c r="R43" s="2696"/>
      <c r="S43" s="2696"/>
      <c r="T43" s="2696"/>
      <c r="U43" s="2696"/>
      <c r="V43" s="2696"/>
      <c r="W43" s="2696"/>
      <c r="X43" s="2697"/>
      <c r="Y43" s="2698" t="str">
        <f>IFERROR(VLOOKUP(C43,#REF!,2,FALSE),"")</f>
        <v/>
      </c>
      <c r="Z43" s="2699"/>
      <c r="AA43" s="2699"/>
      <c r="AB43" s="2699"/>
      <c r="AC43" s="2699"/>
      <c r="AD43" s="2699"/>
      <c r="AE43" s="2700"/>
      <c r="AF43" s="2701"/>
      <c r="AG43" s="2702"/>
      <c r="AH43" s="2703"/>
      <c r="AI43" s="1053"/>
      <c r="AJ43" s="967" t="s">
        <v>916</v>
      </c>
      <c r="AK43" s="1054"/>
      <c r="AL43" s="2704"/>
      <c r="AM43" s="2705"/>
      <c r="AN43" s="2705"/>
      <c r="AO43" s="320" t="s">
        <v>733</v>
      </c>
      <c r="AP43" s="321" t="s">
        <v>244</v>
      </c>
      <c r="AQ43" s="2706" t="str">
        <f t="shared" si="7"/>
        <v/>
      </c>
      <c r="AR43" s="2706"/>
      <c r="AS43" s="320" t="s">
        <v>240</v>
      </c>
      <c r="AT43" s="321" t="s">
        <v>734</v>
      </c>
      <c r="AU43" s="2707" t="str">
        <f t="shared" si="12"/>
        <v/>
      </c>
      <c r="AV43" s="2707"/>
      <c r="AW43" s="2707"/>
      <c r="AX43" s="2707"/>
      <c r="AY43" s="2707"/>
      <c r="AZ43" s="322" t="s">
        <v>733</v>
      </c>
      <c r="BA43" s="1052"/>
      <c r="BB43" s="1073">
        <f t="shared" si="8"/>
        <v>0</v>
      </c>
      <c r="BC43" s="323">
        <f t="shared" si="9"/>
        <v>0</v>
      </c>
      <c r="BD43" s="646" t="str">
        <f t="shared" si="17"/>
        <v/>
      </c>
      <c r="BE43" s="391">
        <f t="shared" si="0"/>
        <v>0</v>
      </c>
      <c r="BF43" s="324">
        <f t="shared" si="1"/>
        <v>0</v>
      </c>
      <c r="BG43" s="729">
        <f t="shared" si="2"/>
        <v>0</v>
      </c>
      <c r="BH43" s="1075"/>
      <c r="BI43" s="1069" t="str">
        <f t="shared" si="3"/>
        <v/>
      </c>
      <c r="BJ43" s="1066" t="str">
        <f t="shared" si="4"/>
        <v/>
      </c>
      <c r="BK43" s="391">
        <f t="shared" si="18"/>
        <v>0</v>
      </c>
      <c r="BL43" s="391">
        <f t="shared" si="18"/>
        <v>0</v>
      </c>
      <c r="BM43" s="391">
        <f t="shared" si="18"/>
        <v>0</v>
      </c>
      <c r="BN43" s="391">
        <f t="shared" si="18"/>
        <v>0</v>
      </c>
      <c r="BO43" s="391">
        <f t="shared" si="18"/>
        <v>0</v>
      </c>
      <c r="BP43" s="391">
        <f t="shared" si="18"/>
        <v>0</v>
      </c>
      <c r="BQ43" s="391">
        <f t="shared" si="18"/>
        <v>0</v>
      </c>
      <c r="BR43" s="391">
        <f t="shared" si="18"/>
        <v>0</v>
      </c>
      <c r="BS43" s="391">
        <f t="shared" si="18"/>
        <v>0</v>
      </c>
      <c r="BT43" s="391">
        <f t="shared" si="18"/>
        <v>0</v>
      </c>
      <c r="BU43" s="391">
        <f t="shared" si="18"/>
        <v>0</v>
      </c>
      <c r="BV43" s="391">
        <f t="shared" si="18"/>
        <v>0</v>
      </c>
      <c r="BW43" s="325"/>
      <c r="BY43" s="325"/>
      <c r="BZ43" s="325"/>
      <c r="CA43" s="325"/>
      <c r="CB43" s="325"/>
      <c r="CC43" s="325"/>
      <c r="CD43" s="325"/>
      <c r="CJ43" s="306">
        <v>0</v>
      </c>
    </row>
    <row r="44" spans="1:88" ht="24.95" hidden="1" customHeight="1">
      <c r="A44" s="2715">
        <v>39</v>
      </c>
      <c r="B44" s="2716"/>
      <c r="C44" s="2701"/>
      <c r="D44" s="2702"/>
      <c r="E44" s="2702"/>
      <c r="F44" s="2702"/>
      <c r="G44" s="2702"/>
      <c r="H44" s="2702"/>
      <c r="I44" s="2703"/>
      <c r="J44" s="2701"/>
      <c r="K44" s="2702"/>
      <c r="L44" s="2717"/>
      <c r="M44" s="2718"/>
      <c r="N44" s="2719"/>
      <c r="O44" s="2720"/>
      <c r="P44" s="2717"/>
      <c r="Q44" s="2695"/>
      <c r="R44" s="2696"/>
      <c r="S44" s="2696"/>
      <c r="T44" s="2696"/>
      <c r="U44" s="2696"/>
      <c r="V44" s="2696"/>
      <c r="W44" s="2696"/>
      <c r="X44" s="2697"/>
      <c r="Y44" s="2698" t="str">
        <f>IFERROR(VLOOKUP(C44,#REF!,2,FALSE),"")</f>
        <v/>
      </c>
      <c r="Z44" s="2699"/>
      <c r="AA44" s="2699"/>
      <c r="AB44" s="2699"/>
      <c r="AC44" s="2699"/>
      <c r="AD44" s="2699"/>
      <c r="AE44" s="2700"/>
      <c r="AF44" s="2701"/>
      <c r="AG44" s="2702"/>
      <c r="AH44" s="2703"/>
      <c r="AI44" s="1053"/>
      <c r="AJ44" s="967" t="s">
        <v>916</v>
      </c>
      <c r="AK44" s="1054"/>
      <c r="AL44" s="2704"/>
      <c r="AM44" s="2705"/>
      <c r="AN44" s="2705"/>
      <c r="AO44" s="320" t="s">
        <v>733</v>
      </c>
      <c r="AP44" s="321" t="s">
        <v>244</v>
      </c>
      <c r="AQ44" s="2706" t="str">
        <f t="shared" si="7"/>
        <v/>
      </c>
      <c r="AR44" s="2706"/>
      <c r="AS44" s="320" t="s">
        <v>240</v>
      </c>
      <c r="AT44" s="321" t="s">
        <v>734</v>
      </c>
      <c r="AU44" s="2707" t="str">
        <f t="shared" si="12"/>
        <v/>
      </c>
      <c r="AV44" s="2707"/>
      <c r="AW44" s="2707"/>
      <c r="AX44" s="2707"/>
      <c r="AY44" s="2707"/>
      <c r="AZ44" s="322" t="s">
        <v>733</v>
      </c>
      <c r="BA44" s="1052"/>
      <c r="BB44" s="1073">
        <f t="shared" si="8"/>
        <v>0</v>
      </c>
      <c r="BC44" s="323">
        <f t="shared" si="9"/>
        <v>0</v>
      </c>
      <c r="BD44" s="646" t="str">
        <f t="shared" si="17"/>
        <v/>
      </c>
      <c r="BE44" s="391">
        <f t="shared" si="0"/>
        <v>0</v>
      </c>
      <c r="BF44" s="324">
        <f t="shared" si="1"/>
        <v>0</v>
      </c>
      <c r="BG44" s="729">
        <f t="shared" si="2"/>
        <v>0</v>
      </c>
      <c r="BH44" s="1075"/>
      <c r="BI44" s="1069" t="str">
        <f t="shared" si="3"/>
        <v/>
      </c>
      <c r="BJ44" s="1066" t="str">
        <f t="shared" si="4"/>
        <v/>
      </c>
      <c r="BK44" s="391">
        <f t="shared" si="18"/>
        <v>0</v>
      </c>
      <c r="BL44" s="391">
        <f t="shared" si="18"/>
        <v>0</v>
      </c>
      <c r="BM44" s="391">
        <f t="shared" si="18"/>
        <v>0</v>
      </c>
      <c r="BN44" s="391">
        <f t="shared" si="18"/>
        <v>0</v>
      </c>
      <c r="BO44" s="391">
        <f t="shared" si="18"/>
        <v>0</v>
      </c>
      <c r="BP44" s="391">
        <f t="shared" si="18"/>
        <v>0</v>
      </c>
      <c r="BQ44" s="391">
        <f t="shared" si="18"/>
        <v>0</v>
      </c>
      <c r="BR44" s="391">
        <f t="shared" si="18"/>
        <v>0</v>
      </c>
      <c r="BS44" s="391">
        <f t="shared" si="18"/>
        <v>0</v>
      </c>
      <c r="BT44" s="391">
        <f t="shared" si="18"/>
        <v>0</v>
      </c>
      <c r="BU44" s="391">
        <f t="shared" si="18"/>
        <v>0</v>
      </c>
      <c r="BV44" s="391">
        <f t="shared" si="18"/>
        <v>0</v>
      </c>
      <c r="BW44" s="325"/>
      <c r="BY44" s="325"/>
      <c r="BZ44" s="325"/>
      <c r="CA44" s="325"/>
      <c r="CB44" s="325"/>
      <c r="CC44" s="325"/>
      <c r="CD44" s="325"/>
      <c r="CJ44" s="306">
        <v>0</v>
      </c>
    </row>
    <row r="45" spans="1:88" ht="24.95" hidden="1" customHeight="1">
      <c r="A45" s="2715">
        <v>40</v>
      </c>
      <c r="B45" s="2716"/>
      <c r="C45" s="2701"/>
      <c r="D45" s="2702"/>
      <c r="E45" s="2702"/>
      <c r="F45" s="2702"/>
      <c r="G45" s="2702"/>
      <c r="H45" s="2702"/>
      <c r="I45" s="2703"/>
      <c r="J45" s="2701"/>
      <c r="K45" s="2702"/>
      <c r="L45" s="2717"/>
      <c r="M45" s="2718"/>
      <c r="N45" s="2719"/>
      <c r="O45" s="2720"/>
      <c r="P45" s="2717"/>
      <c r="Q45" s="2695"/>
      <c r="R45" s="2696"/>
      <c r="S45" s="2696"/>
      <c r="T45" s="2696"/>
      <c r="U45" s="2696"/>
      <c r="V45" s="2696"/>
      <c r="W45" s="2696"/>
      <c r="X45" s="2697"/>
      <c r="Y45" s="2698" t="str">
        <f>IFERROR(VLOOKUP(C45,#REF!,2,FALSE),"")</f>
        <v/>
      </c>
      <c r="Z45" s="2699"/>
      <c r="AA45" s="2699"/>
      <c r="AB45" s="2699"/>
      <c r="AC45" s="2699"/>
      <c r="AD45" s="2699"/>
      <c r="AE45" s="2700"/>
      <c r="AF45" s="2701"/>
      <c r="AG45" s="2702"/>
      <c r="AH45" s="2703"/>
      <c r="AI45" s="1053"/>
      <c r="AJ45" s="967" t="s">
        <v>916</v>
      </c>
      <c r="AK45" s="1054"/>
      <c r="AL45" s="2704"/>
      <c r="AM45" s="2705"/>
      <c r="AN45" s="2705"/>
      <c r="AO45" s="320" t="s">
        <v>733</v>
      </c>
      <c r="AP45" s="321" t="s">
        <v>244</v>
      </c>
      <c r="AQ45" s="2706" t="str">
        <f t="shared" si="7"/>
        <v/>
      </c>
      <c r="AR45" s="2706"/>
      <c r="AS45" s="320" t="s">
        <v>240</v>
      </c>
      <c r="AT45" s="321" t="s">
        <v>734</v>
      </c>
      <c r="AU45" s="2707" t="str">
        <f t="shared" si="12"/>
        <v/>
      </c>
      <c r="AV45" s="2707"/>
      <c r="AW45" s="2707"/>
      <c r="AX45" s="2707"/>
      <c r="AY45" s="2707"/>
      <c r="AZ45" s="322" t="s">
        <v>733</v>
      </c>
      <c r="BA45" s="1052"/>
      <c r="BB45" s="1073">
        <f t="shared" si="8"/>
        <v>0</v>
      </c>
      <c r="BC45" s="323">
        <f t="shared" si="9"/>
        <v>0</v>
      </c>
      <c r="BD45" s="646" t="str">
        <f t="shared" si="17"/>
        <v/>
      </c>
      <c r="BE45" s="391">
        <f t="shared" si="0"/>
        <v>0</v>
      </c>
      <c r="BF45" s="324">
        <f t="shared" si="1"/>
        <v>0</v>
      </c>
      <c r="BG45" s="729">
        <f t="shared" si="2"/>
        <v>0</v>
      </c>
      <c r="BH45" s="1075"/>
      <c r="BI45" s="1069" t="str">
        <f t="shared" si="3"/>
        <v/>
      </c>
      <c r="BJ45" s="1066" t="str">
        <f t="shared" si="4"/>
        <v/>
      </c>
      <c r="BK45" s="391">
        <f t="shared" si="18"/>
        <v>0</v>
      </c>
      <c r="BL45" s="391">
        <f t="shared" si="18"/>
        <v>0</v>
      </c>
      <c r="BM45" s="391">
        <f t="shared" si="18"/>
        <v>0</v>
      </c>
      <c r="BN45" s="391">
        <f t="shared" si="18"/>
        <v>0</v>
      </c>
      <c r="BO45" s="391">
        <f t="shared" si="18"/>
        <v>0</v>
      </c>
      <c r="BP45" s="391">
        <f t="shared" si="18"/>
        <v>0</v>
      </c>
      <c r="BQ45" s="391">
        <f t="shared" si="18"/>
        <v>0</v>
      </c>
      <c r="BR45" s="391">
        <f t="shared" si="18"/>
        <v>0</v>
      </c>
      <c r="BS45" s="391">
        <f t="shared" si="18"/>
        <v>0</v>
      </c>
      <c r="BT45" s="391">
        <f t="shared" si="18"/>
        <v>0</v>
      </c>
      <c r="BU45" s="391">
        <f t="shared" si="18"/>
        <v>0</v>
      </c>
      <c r="BV45" s="391">
        <f t="shared" si="18"/>
        <v>0</v>
      </c>
      <c r="BW45" s="325"/>
      <c r="BY45" s="325"/>
      <c r="BZ45" s="325"/>
      <c r="CA45" s="325"/>
      <c r="CB45" s="325"/>
      <c r="CC45" s="325"/>
      <c r="CD45" s="325"/>
      <c r="CJ45" s="306">
        <v>0</v>
      </c>
    </row>
    <row r="46" spans="1:88" ht="24.95" hidden="1" customHeight="1">
      <c r="A46" s="2715">
        <v>41</v>
      </c>
      <c r="B46" s="2716"/>
      <c r="C46" s="2701"/>
      <c r="D46" s="2702"/>
      <c r="E46" s="2702"/>
      <c r="F46" s="2702"/>
      <c r="G46" s="2702"/>
      <c r="H46" s="2702"/>
      <c r="I46" s="2703"/>
      <c r="J46" s="2701"/>
      <c r="K46" s="2702"/>
      <c r="L46" s="2717"/>
      <c r="M46" s="2718"/>
      <c r="N46" s="2719"/>
      <c r="O46" s="2720"/>
      <c r="P46" s="2717"/>
      <c r="Q46" s="2695"/>
      <c r="R46" s="2696"/>
      <c r="S46" s="2696"/>
      <c r="T46" s="2696"/>
      <c r="U46" s="2696"/>
      <c r="V46" s="2696"/>
      <c r="W46" s="2696"/>
      <c r="X46" s="2697"/>
      <c r="Y46" s="2698" t="str">
        <f>IFERROR(VLOOKUP(C46,#REF!,2,FALSE),"")</f>
        <v/>
      </c>
      <c r="Z46" s="2699"/>
      <c r="AA46" s="2699"/>
      <c r="AB46" s="2699"/>
      <c r="AC46" s="2699"/>
      <c r="AD46" s="2699"/>
      <c r="AE46" s="2700"/>
      <c r="AF46" s="2701"/>
      <c r="AG46" s="2702"/>
      <c r="AH46" s="2703"/>
      <c r="AI46" s="1053"/>
      <c r="AJ46" s="967" t="s">
        <v>916</v>
      </c>
      <c r="AK46" s="1054"/>
      <c r="AL46" s="2704"/>
      <c r="AM46" s="2705"/>
      <c r="AN46" s="2705"/>
      <c r="AO46" s="320" t="s">
        <v>733</v>
      </c>
      <c r="AP46" s="321" t="s">
        <v>244</v>
      </c>
      <c r="AQ46" s="2706" t="str">
        <f t="shared" si="7"/>
        <v/>
      </c>
      <c r="AR46" s="2706"/>
      <c r="AS46" s="320" t="s">
        <v>240</v>
      </c>
      <c r="AT46" s="321" t="s">
        <v>734</v>
      </c>
      <c r="AU46" s="2707" t="str">
        <f t="shared" si="12"/>
        <v/>
      </c>
      <c r="AV46" s="2707"/>
      <c r="AW46" s="2707"/>
      <c r="AX46" s="2707"/>
      <c r="AY46" s="2707"/>
      <c r="AZ46" s="322" t="s">
        <v>733</v>
      </c>
      <c r="BA46" s="1052"/>
      <c r="BB46" s="1073">
        <f t="shared" si="8"/>
        <v>0</v>
      </c>
      <c r="BC46" s="323">
        <f t="shared" si="9"/>
        <v>0</v>
      </c>
      <c r="BD46" s="646" t="str">
        <f t="shared" si="17"/>
        <v/>
      </c>
      <c r="BE46" s="391">
        <f t="shared" si="0"/>
        <v>0</v>
      </c>
      <c r="BF46" s="324">
        <f t="shared" si="1"/>
        <v>0</v>
      </c>
      <c r="BG46" s="729">
        <f t="shared" si="2"/>
        <v>0</v>
      </c>
      <c r="BH46" s="1075"/>
      <c r="BI46" s="1069" t="str">
        <f t="shared" si="3"/>
        <v/>
      </c>
      <c r="BJ46" s="1066" t="str">
        <f t="shared" si="4"/>
        <v/>
      </c>
      <c r="BK46" s="391">
        <f t="shared" si="18"/>
        <v>0</v>
      </c>
      <c r="BL46" s="391">
        <f t="shared" si="18"/>
        <v>0</v>
      </c>
      <c r="BM46" s="391">
        <f t="shared" si="18"/>
        <v>0</v>
      </c>
      <c r="BN46" s="391">
        <f t="shared" si="18"/>
        <v>0</v>
      </c>
      <c r="BO46" s="391">
        <f t="shared" si="18"/>
        <v>0</v>
      </c>
      <c r="BP46" s="391">
        <f t="shared" si="18"/>
        <v>0</v>
      </c>
      <c r="BQ46" s="391">
        <f t="shared" si="18"/>
        <v>0</v>
      </c>
      <c r="BR46" s="391">
        <f t="shared" si="18"/>
        <v>0</v>
      </c>
      <c r="BS46" s="391">
        <f t="shared" si="18"/>
        <v>0</v>
      </c>
      <c r="BT46" s="391">
        <f t="shared" si="18"/>
        <v>0</v>
      </c>
      <c r="BU46" s="391">
        <f t="shared" si="18"/>
        <v>0</v>
      </c>
      <c r="BV46" s="391">
        <f t="shared" si="18"/>
        <v>0</v>
      </c>
      <c r="BW46" s="325"/>
      <c r="BY46" s="325"/>
      <c r="BZ46" s="325"/>
      <c r="CA46" s="325"/>
      <c r="CB46" s="325"/>
      <c r="CC46" s="325"/>
      <c r="CD46" s="325"/>
      <c r="CJ46" s="306">
        <v>0</v>
      </c>
    </row>
    <row r="47" spans="1:88" ht="24.95" hidden="1" customHeight="1">
      <c r="A47" s="2715">
        <v>42</v>
      </c>
      <c r="B47" s="2716"/>
      <c r="C47" s="2701"/>
      <c r="D47" s="2702"/>
      <c r="E47" s="2702"/>
      <c r="F47" s="2702"/>
      <c r="G47" s="2702"/>
      <c r="H47" s="2702"/>
      <c r="I47" s="2703"/>
      <c r="J47" s="2701"/>
      <c r="K47" s="2702"/>
      <c r="L47" s="2717"/>
      <c r="M47" s="2718"/>
      <c r="N47" s="2719"/>
      <c r="O47" s="2720"/>
      <c r="P47" s="2717"/>
      <c r="Q47" s="2695"/>
      <c r="R47" s="2696"/>
      <c r="S47" s="2696"/>
      <c r="T47" s="2696"/>
      <c r="U47" s="2696"/>
      <c r="V47" s="2696"/>
      <c r="W47" s="2696"/>
      <c r="X47" s="2697"/>
      <c r="Y47" s="2698" t="str">
        <f>IFERROR(VLOOKUP(C47,#REF!,2,FALSE),"")</f>
        <v/>
      </c>
      <c r="Z47" s="2699"/>
      <c r="AA47" s="2699"/>
      <c r="AB47" s="2699"/>
      <c r="AC47" s="2699"/>
      <c r="AD47" s="2699"/>
      <c r="AE47" s="2700"/>
      <c r="AF47" s="2701"/>
      <c r="AG47" s="2702"/>
      <c r="AH47" s="2703"/>
      <c r="AI47" s="1053"/>
      <c r="AJ47" s="967" t="s">
        <v>916</v>
      </c>
      <c r="AK47" s="1054"/>
      <c r="AL47" s="2704"/>
      <c r="AM47" s="2705"/>
      <c r="AN47" s="2705"/>
      <c r="AO47" s="320" t="s">
        <v>733</v>
      </c>
      <c r="AP47" s="321" t="s">
        <v>244</v>
      </c>
      <c r="AQ47" s="2706" t="str">
        <f t="shared" si="7"/>
        <v/>
      </c>
      <c r="AR47" s="2706"/>
      <c r="AS47" s="320" t="s">
        <v>240</v>
      </c>
      <c r="AT47" s="321" t="s">
        <v>734</v>
      </c>
      <c r="AU47" s="2707" t="str">
        <f t="shared" si="12"/>
        <v/>
      </c>
      <c r="AV47" s="2707"/>
      <c r="AW47" s="2707"/>
      <c r="AX47" s="2707"/>
      <c r="AY47" s="2707"/>
      <c r="AZ47" s="322" t="s">
        <v>733</v>
      </c>
      <c r="BA47" s="1052"/>
      <c r="BB47" s="1073">
        <f t="shared" si="8"/>
        <v>0</v>
      </c>
      <c r="BC47" s="323">
        <f t="shared" si="9"/>
        <v>0</v>
      </c>
      <c r="BD47" s="646" t="str">
        <f t="shared" si="17"/>
        <v/>
      </c>
      <c r="BE47" s="391">
        <f t="shared" si="0"/>
        <v>0</v>
      </c>
      <c r="BF47" s="324">
        <f t="shared" si="1"/>
        <v>0</v>
      </c>
      <c r="BG47" s="729">
        <f t="shared" si="2"/>
        <v>0</v>
      </c>
      <c r="BH47" s="1075"/>
      <c r="BI47" s="1069" t="str">
        <f t="shared" si="3"/>
        <v/>
      </c>
      <c r="BJ47" s="1066" t="str">
        <f t="shared" si="4"/>
        <v/>
      </c>
      <c r="BK47" s="391">
        <f t="shared" si="18"/>
        <v>0</v>
      </c>
      <c r="BL47" s="391">
        <f t="shared" si="18"/>
        <v>0</v>
      </c>
      <c r="BM47" s="391">
        <f t="shared" si="18"/>
        <v>0</v>
      </c>
      <c r="BN47" s="391">
        <f t="shared" si="18"/>
        <v>0</v>
      </c>
      <c r="BO47" s="391">
        <f t="shared" si="18"/>
        <v>0</v>
      </c>
      <c r="BP47" s="391">
        <f t="shared" si="18"/>
        <v>0</v>
      </c>
      <c r="BQ47" s="391">
        <f t="shared" si="18"/>
        <v>0</v>
      </c>
      <c r="BR47" s="391">
        <f t="shared" si="18"/>
        <v>0</v>
      </c>
      <c r="BS47" s="391">
        <f t="shared" si="18"/>
        <v>0</v>
      </c>
      <c r="BT47" s="391">
        <f t="shared" si="18"/>
        <v>0</v>
      </c>
      <c r="BU47" s="391">
        <f t="shared" si="18"/>
        <v>0</v>
      </c>
      <c r="BV47" s="391">
        <f t="shared" si="18"/>
        <v>0</v>
      </c>
      <c r="BW47" s="325"/>
      <c r="BY47" s="325"/>
      <c r="BZ47" s="325"/>
      <c r="CA47" s="325"/>
      <c r="CB47" s="325"/>
      <c r="CC47" s="325"/>
      <c r="CD47" s="325"/>
      <c r="CJ47" s="306">
        <v>0</v>
      </c>
    </row>
    <row r="48" spans="1:88" ht="24.95" hidden="1" customHeight="1">
      <c r="A48" s="2715">
        <v>43</v>
      </c>
      <c r="B48" s="2716"/>
      <c r="C48" s="2701"/>
      <c r="D48" s="2702"/>
      <c r="E48" s="2702"/>
      <c r="F48" s="2702"/>
      <c r="G48" s="2702"/>
      <c r="H48" s="2702"/>
      <c r="I48" s="2703"/>
      <c r="J48" s="2701"/>
      <c r="K48" s="2702"/>
      <c r="L48" s="2717"/>
      <c r="M48" s="2718"/>
      <c r="N48" s="2719"/>
      <c r="O48" s="2720"/>
      <c r="P48" s="2717"/>
      <c r="Q48" s="2695"/>
      <c r="R48" s="2696"/>
      <c r="S48" s="2696"/>
      <c r="T48" s="2696"/>
      <c r="U48" s="2696"/>
      <c r="V48" s="2696"/>
      <c r="W48" s="2696"/>
      <c r="X48" s="2697"/>
      <c r="Y48" s="2698" t="str">
        <f>IFERROR(VLOOKUP(C48,#REF!,2,FALSE),"")</f>
        <v/>
      </c>
      <c r="Z48" s="2699"/>
      <c r="AA48" s="2699"/>
      <c r="AB48" s="2699"/>
      <c r="AC48" s="2699"/>
      <c r="AD48" s="2699"/>
      <c r="AE48" s="2700"/>
      <c r="AF48" s="2701"/>
      <c r="AG48" s="2702"/>
      <c r="AH48" s="2703"/>
      <c r="AI48" s="1053"/>
      <c r="AJ48" s="967" t="s">
        <v>916</v>
      </c>
      <c r="AK48" s="1054"/>
      <c r="AL48" s="2704"/>
      <c r="AM48" s="2705"/>
      <c r="AN48" s="2705"/>
      <c r="AO48" s="320" t="s">
        <v>733</v>
      </c>
      <c r="AP48" s="321" t="s">
        <v>244</v>
      </c>
      <c r="AQ48" s="2706" t="str">
        <f t="shared" si="7"/>
        <v/>
      </c>
      <c r="AR48" s="2706"/>
      <c r="AS48" s="320" t="s">
        <v>240</v>
      </c>
      <c r="AT48" s="321" t="s">
        <v>734</v>
      </c>
      <c r="AU48" s="2707" t="str">
        <f t="shared" si="12"/>
        <v/>
      </c>
      <c r="AV48" s="2707"/>
      <c r="AW48" s="2707"/>
      <c r="AX48" s="2707"/>
      <c r="AY48" s="2707"/>
      <c r="AZ48" s="322" t="s">
        <v>733</v>
      </c>
      <c r="BA48" s="1052"/>
      <c r="BB48" s="1073">
        <f t="shared" si="8"/>
        <v>0</v>
      </c>
      <c r="BC48" s="323">
        <f t="shared" si="9"/>
        <v>0</v>
      </c>
      <c r="BD48" s="646" t="str">
        <f t="shared" si="17"/>
        <v/>
      </c>
      <c r="BE48" s="391">
        <f t="shared" si="0"/>
        <v>0</v>
      </c>
      <c r="BF48" s="324">
        <f t="shared" si="1"/>
        <v>0</v>
      </c>
      <c r="BG48" s="729">
        <f t="shared" si="2"/>
        <v>0</v>
      </c>
      <c r="BH48" s="1075"/>
      <c r="BI48" s="1069" t="str">
        <f t="shared" si="3"/>
        <v/>
      </c>
      <c r="BJ48" s="1066" t="str">
        <f t="shared" si="4"/>
        <v/>
      </c>
      <c r="BK48" s="391">
        <f t="shared" si="18"/>
        <v>0</v>
      </c>
      <c r="BL48" s="391">
        <f t="shared" si="18"/>
        <v>0</v>
      </c>
      <c r="BM48" s="391">
        <f t="shared" si="18"/>
        <v>0</v>
      </c>
      <c r="BN48" s="391">
        <f t="shared" si="18"/>
        <v>0</v>
      </c>
      <c r="BO48" s="391">
        <f t="shared" si="18"/>
        <v>0</v>
      </c>
      <c r="BP48" s="391">
        <f t="shared" si="18"/>
        <v>0</v>
      </c>
      <c r="BQ48" s="391">
        <f t="shared" si="18"/>
        <v>0</v>
      </c>
      <c r="BR48" s="391">
        <f t="shared" si="18"/>
        <v>0</v>
      </c>
      <c r="BS48" s="391">
        <f t="shared" si="18"/>
        <v>0</v>
      </c>
      <c r="BT48" s="391">
        <f t="shared" si="18"/>
        <v>0</v>
      </c>
      <c r="BU48" s="391">
        <f t="shared" si="18"/>
        <v>0</v>
      </c>
      <c r="BV48" s="391">
        <f t="shared" si="18"/>
        <v>0</v>
      </c>
      <c r="BW48" s="325"/>
      <c r="BY48" s="325"/>
      <c r="BZ48" s="325"/>
      <c r="CA48" s="325"/>
      <c r="CB48" s="325"/>
      <c r="CC48" s="325"/>
      <c r="CD48" s="325"/>
      <c r="CJ48" s="306">
        <v>0</v>
      </c>
    </row>
    <row r="49" spans="1:88" ht="24.95" hidden="1" customHeight="1">
      <c r="A49" s="2715">
        <v>44</v>
      </c>
      <c r="B49" s="2716"/>
      <c r="C49" s="2701"/>
      <c r="D49" s="2702"/>
      <c r="E49" s="2702"/>
      <c r="F49" s="2702"/>
      <c r="G49" s="2702"/>
      <c r="H49" s="2702"/>
      <c r="I49" s="2703"/>
      <c r="J49" s="2701"/>
      <c r="K49" s="2702"/>
      <c r="L49" s="2717"/>
      <c r="M49" s="2718"/>
      <c r="N49" s="2719"/>
      <c r="O49" s="2720"/>
      <c r="P49" s="2717"/>
      <c r="Q49" s="2695"/>
      <c r="R49" s="2696"/>
      <c r="S49" s="2696"/>
      <c r="T49" s="2696"/>
      <c r="U49" s="2696"/>
      <c r="V49" s="2696"/>
      <c r="W49" s="2696"/>
      <c r="X49" s="2697"/>
      <c r="Y49" s="2698" t="str">
        <f>IFERROR(VLOOKUP(C49,#REF!,2,FALSE),"")</f>
        <v/>
      </c>
      <c r="Z49" s="2699"/>
      <c r="AA49" s="2699"/>
      <c r="AB49" s="2699"/>
      <c r="AC49" s="2699"/>
      <c r="AD49" s="2699"/>
      <c r="AE49" s="2700"/>
      <c r="AF49" s="2701"/>
      <c r="AG49" s="2702"/>
      <c r="AH49" s="2703"/>
      <c r="AI49" s="1053"/>
      <c r="AJ49" s="967" t="s">
        <v>916</v>
      </c>
      <c r="AK49" s="1054"/>
      <c r="AL49" s="2704"/>
      <c r="AM49" s="2705"/>
      <c r="AN49" s="2705"/>
      <c r="AO49" s="320" t="s">
        <v>733</v>
      </c>
      <c r="AP49" s="321" t="s">
        <v>244</v>
      </c>
      <c r="AQ49" s="2706" t="str">
        <f t="shared" si="7"/>
        <v/>
      </c>
      <c r="AR49" s="2706"/>
      <c r="AS49" s="320" t="s">
        <v>240</v>
      </c>
      <c r="AT49" s="321" t="s">
        <v>734</v>
      </c>
      <c r="AU49" s="2707" t="str">
        <f t="shared" si="12"/>
        <v/>
      </c>
      <c r="AV49" s="2707"/>
      <c r="AW49" s="2707"/>
      <c r="AX49" s="2707"/>
      <c r="AY49" s="2707"/>
      <c r="AZ49" s="322" t="s">
        <v>733</v>
      </c>
      <c r="BA49" s="1052"/>
      <c r="BB49" s="1073">
        <f t="shared" si="8"/>
        <v>0</v>
      </c>
      <c r="BC49" s="323">
        <f t="shared" si="9"/>
        <v>0</v>
      </c>
      <c r="BD49" s="646" t="str">
        <f t="shared" si="17"/>
        <v/>
      </c>
      <c r="BE49" s="391">
        <f t="shared" si="0"/>
        <v>0</v>
      </c>
      <c r="BF49" s="324">
        <f t="shared" si="1"/>
        <v>0</v>
      </c>
      <c r="BG49" s="729">
        <f t="shared" si="2"/>
        <v>0</v>
      </c>
      <c r="BH49" s="1075"/>
      <c r="BI49" s="1069" t="str">
        <f t="shared" si="3"/>
        <v/>
      </c>
      <c r="BJ49" s="1066" t="str">
        <f t="shared" si="4"/>
        <v/>
      </c>
      <c r="BK49" s="391">
        <f t="shared" si="18"/>
        <v>0</v>
      </c>
      <c r="BL49" s="391">
        <f t="shared" si="18"/>
        <v>0</v>
      </c>
      <c r="BM49" s="391">
        <f t="shared" si="18"/>
        <v>0</v>
      </c>
      <c r="BN49" s="391">
        <f t="shared" si="18"/>
        <v>0</v>
      </c>
      <c r="BO49" s="391">
        <f t="shared" si="18"/>
        <v>0</v>
      </c>
      <c r="BP49" s="391">
        <f t="shared" si="18"/>
        <v>0</v>
      </c>
      <c r="BQ49" s="391">
        <f t="shared" si="18"/>
        <v>0</v>
      </c>
      <c r="BR49" s="391">
        <f t="shared" si="18"/>
        <v>0</v>
      </c>
      <c r="BS49" s="391">
        <f t="shared" si="18"/>
        <v>0</v>
      </c>
      <c r="BT49" s="391">
        <f t="shared" si="18"/>
        <v>0</v>
      </c>
      <c r="BU49" s="391">
        <f t="shared" si="18"/>
        <v>0</v>
      </c>
      <c r="BV49" s="391">
        <f t="shared" si="18"/>
        <v>0</v>
      </c>
      <c r="BW49" s="325"/>
      <c r="BY49" s="325"/>
      <c r="BZ49" s="325"/>
      <c r="CA49" s="325"/>
      <c r="CB49" s="325"/>
      <c r="CC49" s="325"/>
      <c r="CD49" s="325"/>
      <c r="CJ49" s="306">
        <v>0</v>
      </c>
    </row>
    <row r="50" spans="1:88" ht="24.95" hidden="1" customHeight="1">
      <c r="A50" s="2715">
        <v>45</v>
      </c>
      <c r="B50" s="2716"/>
      <c r="C50" s="2701"/>
      <c r="D50" s="2702"/>
      <c r="E50" s="2702"/>
      <c r="F50" s="2702"/>
      <c r="G50" s="2702"/>
      <c r="H50" s="2702"/>
      <c r="I50" s="2703"/>
      <c r="J50" s="2701"/>
      <c r="K50" s="2702"/>
      <c r="L50" s="2717"/>
      <c r="M50" s="2718"/>
      <c r="N50" s="2719"/>
      <c r="O50" s="2720"/>
      <c r="P50" s="2717"/>
      <c r="Q50" s="2695"/>
      <c r="R50" s="2696"/>
      <c r="S50" s="2696"/>
      <c r="T50" s="2696"/>
      <c r="U50" s="2696"/>
      <c r="V50" s="2696"/>
      <c r="W50" s="2696"/>
      <c r="X50" s="2697"/>
      <c r="Y50" s="2698" t="str">
        <f>IFERROR(VLOOKUP(C50,#REF!,2,FALSE),"")</f>
        <v/>
      </c>
      <c r="Z50" s="2699"/>
      <c r="AA50" s="2699"/>
      <c r="AB50" s="2699"/>
      <c r="AC50" s="2699"/>
      <c r="AD50" s="2699"/>
      <c r="AE50" s="2700"/>
      <c r="AF50" s="2701"/>
      <c r="AG50" s="2702"/>
      <c r="AH50" s="2703"/>
      <c r="AI50" s="1053"/>
      <c r="AJ50" s="967" t="s">
        <v>916</v>
      </c>
      <c r="AK50" s="1054"/>
      <c r="AL50" s="2704"/>
      <c r="AM50" s="2705"/>
      <c r="AN50" s="2705"/>
      <c r="AO50" s="326" t="s">
        <v>733</v>
      </c>
      <c r="AP50" s="327" t="s">
        <v>244</v>
      </c>
      <c r="AQ50" s="2706" t="str">
        <f t="shared" si="7"/>
        <v/>
      </c>
      <c r="AR50" s="2706"/>
      <c r="AS50" s="326" t="s">
        <v>240</v>
      </c>
      <c r="AT50" s="327" t="s">
        <v>734</v>
      </c>
      <c r="AU50" s="2707" t="str">
        <f t="shared" si="12"/>
        <v/>
      </c>
      <c r="AV50" s="2707"/>
      <c r="AW50" s="2707"/>
      <c r="AX50" s="2707"/>
      <c r="AY50" s="2707"/>
      <c r="AZ50" s="328" t="s">
        <v>733</v>
      </c>
      <c r="BA50" s="1052"/>
      <c r="BB50" s="1073">
        <f t="shared" si="8"/>
        <v>0</v>
      </c>
      <c r="BC50" s="323">
        <f t="shared" si="9"/>
        <v>0</v>
      </c>
      <c r="BD50" s="646" t="str">
        <f t="shared" si="17"/>
        <v/>
      </c>
      <c r="BE50" s="391">
        <f t="shared" si="0"/>
        <v>0</v>
      </c>
      <c r="BF50" s="324">
        <f t="shared" si="1"/>
        <v>0</v>
      </c>
      <c r="BG50" s="729">
        <f t="shared" si="2"/>
        <v>0</v>
      </c>
      <c r="BH50" s="1075"/>
      <c r="BI50" s="1070" t="str">
        <f t="shared" si="3"/>
        <v/>
      </c>
      <c r="BJ50" s="1067" t="str">
        <f t="shared" si="4"/>
        <v/>
      </c>
      <c r="BK50" s="391">
        <f t="shared" si="18"/>
        <v>0</v>
      </c>
      <c r="BL50" s="391">
        <f t="shared" si="18"/>
        <v>0</v>
      </c>
      <c r="BM50" s="391">
        <f t="shared" si="18"/>
        <v>0</v>
      </c>
      <c r="BN50" s="391">
        <f t="shared" si="18"/>
        <v>0</v>
      </c>
      <c r="BO50" s="391">
        <f t="shared" si="18"/>
        <v>0</v>
      </c>
      <c r="BP50" s="391">
        <f t="shared" si="18"/>
        <v>0</v>
      </c>
      <c r="BQ50" s="391">
        <f t="shared" si="18"/>
        <v>0</v>
      </c>
      <c r="BR50" s="391">
        <f t="shared" si="18"/>
        <v>0</v>
      </c>
      <c r="BS50" s="391">
        <f t="shared" si="18"/>
        <v>0</v>
      </c>
      <c r="BT50" s="391">
        <f t="shared" si="18"/>
        <v>0</v>
      </c>
      <c r="BU50" s="391">
        <f t="shared" si="18"/>
        <v>0</v>
      </c>
      <c r="BV50" s="391">
        <f t="shared" si="18"/>
        <v>0</v>
      </c>
      <c r="BW50" s="325"/>
      <c r="BY50" s="325"/>
      <c r="BZ50" s="325"/>
      <c r="CA50" s="325"/>
      <c r="CB50" s="325"/>
      <c r="CC50" s="325"/>
      <c r="CD50" s="325"/>
      <c r="CJ50" s="306">
        <v>0</v>
      </c>
    </row>
    <row r="51" spans="1:88" ht="24.95" customHeight="1" thickBot="1">
      <c r="A51" s="2690" t="s">
        <v>959</v>
      </c>
      <c r="B51" s="2691"/>
      <c r="C51" s="2691"/>
      <c r="D51" s="2691"/>
      <c r="E51" s="2691"/>
      <c r="F51" s="2691"/>
      <c r="G51" s="2691"/>
      <c r="H51" s="2691"/>
      <c r="I51" s="2691"/>
      <c r="J51" s="2691"/>
      <c r="K51" s="2691"/>
      <c r="L51" s="2691"/>
      <c r="M51" s="2691"/>
      <c r="N51" s="2691"/>
      <c r="O51" s="2691"/>
      <c r="P51" s="2691"/>
      <c r="Q51" s="2691"/>
      <c r="R51" s="2691"/>
      <c r="S51" s="2691"/>
      <c r="T51" s="2691"/>
      <c r="U51" s="2691"/>
      <c r="V51" s="2691"/>
      <c r="W51" s="2691"/>
      <c r="X51" s="2691"/>
      <c r="Y51" s="2691"/>
      <c r="Z51" s="2691"/>
      <c r="AA51" s="2691"/>
      <c r="AB51" s="2691"/>
      <c r="AC51" s="2691"/>
      <c r="AD51" s="2691"/>
      <c r="AE51" s="2691"/>
      <c r="AF51" s="2691"/>
      <c r="AG51" s="2691"/>
      <c r="AH51" s="2691"/>
      <c r="AI51" s="2691"/>
      <c r="AJ51" s="2691"/>
      <c r="AK51" s="2692"/>
      <c r="AL51" s="2693" t="e">
        <f>SUM($AU$6:$AU$50)</f>
        <v>#REF!</v>
      </c>
      <c r="AM51" s="2694"/>
      <c r="AN51" s="2694"/>
      <c r="AO51" s="2694"/>
      <c r="AP51" s="2694"/>
      <c r="AQ51" s="2694"/>
      <c r="AR51" s="2694"/>
      <c r="AS51" s="2694"/>
      <c r="AT51" s="2694"/>
      <c r="AU51" s="2694"/>
      <c r="AV51" s="2694"/>
      <c r="AW51" s="2694"/>
      <c r="AX51" s="2694"/>
      <c r="AY51" s="2694"/>
      <c r="AZ51" s="329" t="s">
        <v>733</v>
      </c>
      <c r="BA51" s="1052"/>
      <c r="BB51" s="1076" t="str">
        <f>IF(SUM(BB6:BB50)&gt;=1,"記載漏れ","")</f>
        <v>記載漏れ</v>
      </c>
      <c r="BC51" s="1077" t="str">
        <f>IF(SUM(BC6:BC50)&gt;=1,"発令日と改善期間が不整合","")</f>
        <v/>
      </c>
      <c r="BD51" s="1078" t="e">
        <f>IF(SUM(BD6:BD50)&gt;=1,"人数Ａの月額＜人数Ｂの月額は不可","")</f>
        <v>#REF!</v>
      </c>
      <c r="BE51" s="1078" t="str">
        <f>IF(SUM(BE6:BE50)&gt;=1,"職名が対象外の可能性あり","")</f>
        <v/>
      </c>
      <c r="BF51" s="1078" t="str">
        <f>IF(SUM(BF6:BF50)&gt;=1,"主任・副園長等に4万円支給は不可","")</f>
        <v/>
      </c>
      <c r="BG51" s="1078" t="str">
        <f>IF(SUM(BG6:BG50)&gt;=1,"施設長は配分不可","")</f>
        <v/>
      </c>
      <c r="BH51" s="1079"/>
      <c r="BI51" s="333"/>
      <c r="BJ51" s="333"/>
      <c r="BK51" s="333"/>
      <c r="BL51" s="333"/>
      <c r="BM51" s="333"/>
      <c r="BN51" s="333"/>
      <c r="BO51" s="333"/>
      <c r="BP51" s="333"/>
      <c r="BQ51" s="333"/>
      <c r="BR51" s="333"/>
      <c r="BS51" s="333"/>
      <c r="BT51" s="333"/>
      <c r="BU51" s="333"/>
      <c r="BV51" s="333"/>
      <c r="BW51" s="325"/>
      <c r="BY51" s="325"/>
      <c r="BZ51" s="325"/>
      <c r="CA51" s="325"/>
      <c r="CB51" s="325"/>
      <c r="CC51" s="325"/>
      <c r="CD51" s="325"/>
      <c r="CJ51" s="306">
        <v>0</v>
      </c>
    </row>
    <row r="52" spans="1:88" ht="24.95" customHeight="1">
      <c r="A52" s="394"/>
      <c r="B52" s="394"/>
      <c r="C52" s="394"/>
      <c r="D52" s="394"/>
      <c r="E52" s="394"/>
      <c r="F52" s="394"/>
      <c r="G52" s="394"/>
      <c r="H52" s="394"/>
      <c r="I52" s="394"/>
      <c r="J52" s="394"/>
      <c r="K52" s="394"/>
      <c r="L52" s="394"/>
      <c r="M52" s="394"/>
      <c r="N52" s="394"/>
      <c r="O52" s="394"/>
      <c r="P52" s="394"/>
      <c r="Q52" s="394"/>
      <c r="R52" s="393"/>
      <c r="S52" s="393"/>
      <c r="T52" s="393"/>
      <c r="U52" s="393"/>
      <c r="V52" s="393"/>
      <c r="W52" s="393"/>
      <c r="X52" s="393"/>
      <c r="Y52" s="393"/>
      <c r="Z52" s="393"/>
      <c r="AA52" s="393"/>
      <c r="AB52" s="393"/>
      <c r="AC52" s="393"/>
      <c r="AD52" s="393"/>
      <c r="AE52" s="393"/>
      <c r="AF52" s="393"/>
      <c r="AG52" s="393"/>
      <c r="AH52" s="393"/>
      <c r="AI52" s="393"/>
      <c r="AJ52" s="393"/>
      <c r="AK52" s="393"/>
      <c r="AL52" s="393"/>
      <c r="AM52" s="393"/>
      <c r="AN52" s="393"/>
      <c r="AO52" s="393"/>
      <c r="AP52" s="393"/>
      <c r="AQ52" s="393"/>
      <c r="AR52" s="393"/>
      <c r="AS52" s="393"/>
      <c r="AT52" s="393"/>
      <c r="AU52" s="393"/>
      <c r="AV52" s="393"/>
      <c r="AW52" s="393"/>
      <c r="AX52" s="393"/>
      <c r="AY52" s="393"/>
      <c r="AZ52" s="331"/>
      <c r="BA52" s="1052"/>
      <c r="BB52" s="306"/>
      <c r="BD52" s="306"/>
      <c r="BE52" s="306"/>
      <c r="CJ52" s="306">
        <v>0</v>
      </c>
    </row>
    <row r="53" spans="1:88" ht="24.95" customHeight="1">
      <c r="A53" s="310" t="s">
        <v>944</v>
      </c>
      <c r="B53" s="393"/>
      <c r="C53" s="393"/>
      <c r="D53" s="393"/>
      <c r="E53" s="393"/>
      <c r="F53" s="393"/>
      <c r="G53" s="393"/>
      <c r="H53" s="393"/>
      <c r="I53" s="393"/>
      <c r="J53" s="393"/>
      <c r="K53" s="393"/>
      <c r="L53" s="393"/>
      <c r="M53" s="393"/>
      <c r="N53" s="393"/>
      <c r="O53" s="393"/>
      <c r="P53" s="393"/>
      <c r="Q53" s="393"/>
      <c r="R53" s="393"/>
      <c r="S53" s="393"/>
      <c r="T53" s="393"/>
      <c r="U53" s="393"/>
      <c r="V53" s="393"/>
      <c r="W53" s="393"/>
      <c r="X53" s="393"/>
      <c r="Y53" s="393"/>
      <c r="Z53" s="393"/>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31"/>
      <c r="BA53" s="1052"/>
      <c r="BB53" s="306"/>
      <c r="BD53" s="306"/>
      <c r="BE53" s="306"/>
      <c r="CJ53" s="306">
        <v>0</v>
      </c>
    </row>
    <row r="54" spans="1:88" ht="30" customHeight="1">
      <c r="A54" s="1057"/>
      <c r="B54" s="1058"/>
      <c r="C54" s="2656" t="s">
        <v>928</v>
      </c>
      <c r="D54" s="2657"/>
      <c r="E54" s="2657"/>
      <c r="F54" s="2658"/>
      <c r="G54" s="2656" t="s">
        <v>929</v>
      </c>
      <c r="H54" s="2657"/>
      <c r="I54" s="2657"/>
      <c r="J54" s="2658"/>
      <c r="K54" s="2656" t="s">
        <v>967</v>
      </c>
      <c r="L54" s="2657"/>
      <c r="M54" s="2657"/>
      <c r="N54" s="2658"/>
      <c r="O54" s="2656" t="s">
        <v>901</v>
      </c>
      <c r="P54" s="2657"/>
      <c r="Q54" s="2657"/>
      <c r="R54" s="2658"/>
      <c r="S54" s="2656" t="s">
        <v>971</v>
      </c>
      <c r="T54" s="2657"/>
      <c r="U54" s="2657"/>
      <c r="V54" s="2657"/>
      <c r="W54" s="2710" t="s">
        <v>968</v>
      </c>
      <c r="X54" s="2710"/>
      <c r="Y54" s="2710"/>
      <c r="Z54" s="2710"/>
      <c r="AA54" s="2657" t="s">
        <v>969</v>
      </c>
      <c r="AB54" s="2657"/>
      <c r="AC54" s="2657"/>
      <c r="AD54" s="2658"/>
      <c r="AE54" s="303"/>
      <c r="AF54" s="2710" t="s">
        <v>962</v>
      </c>
      <c r="AG54" s="2710"/>
      <c r="AH54" s="2710"/>
      <c r="AI54" s="2711"/>
      <c r="AJ54" s="2677" t="s">
        <v>963</v>
      </c>
      <c r="AK54" s="2677"/>
      <c r="AL54" s="2677"/>
      <c r="AM54" s="2677"/>
      <c r="AN54" s="1063"/>
      <c r="AO54" s="2677" t="s">
        <v>966</v>
      </c>
      <c r="AP54" s="2677"/>
      <c r="AQ54" s="2677"/>
      <c r="AR54" s="2677"/>
      <c r="AS54" s="2677"/>
      <c r="AU54" s="2677" t="s">
        <v>931</v>
      </c>
      <c r="AV54" s="2677"/>
      <c r="AW54" s="2677"/>
      <c r="AX54" s="2677"/>
      <c r="AY54" s="2677"/>
      <c r="AZ54" s="2677"/>
      <c r="BA54" s="1052"/>
      <c r="BB54" s="306"/>
      <c r="BD54" s="306"/>
      <c r="BE54" s="306"/>
      <c r="CJ54" s="306">
        <v>0</v>
      </c>
    </row>
    <row r="55" spans="1:88" ht="30" customHeight="1">
      <c r="A55" s="1061"/>
      <c r="B55" s="1062"/>
      <c r="C55" s="2680"/>
      <c r="D55" s="2681"/>
      <c r="E55" s="2681"/>
      <c r="F55" s="2708"/>
      <c r="G55" s="2680"/>
      <c r="H55" s="2681"/>
      <c r="I55" s="2681"/>
      <c r="J55" s="2708"/>
      <c r="K55" s="2680"/>
      <c r="L55" s="2681"/>
      <c r="M55" s="2681"/>
      <c r="N55" s="2708"/>
      <c r="O55" s="2680"/>
      <c r="P55" s="2681"/>
      <c r="Q55" s="2681"/>
      <c r="R55" s="2708"/>
      <c r="S55" s="2680"/>
      <c r="T55" s="2681"/>
      <c r="U55" s="2681"/>
      <c r="V55" s="2681"/>
      <c r="W55" s="2710"/>
      <c r="X55" s="2710"/>
      <c r="Y55" s="2710"/>
      <c r="Z55" s="2710"/>
      <c r="AA55" s="2681"/>
      <c r="AB55" s="2681"/>
      <c r="AC55" s="2681"/>
      <c r="AD55" s="2708"/>
      <c r="AE55" s="303"/>
      <c r="AF55" s="2710"/>
      <c r="AG55" s="2710"/>
      <c r="AH55" s="2710"/>
      <c r="AI55" s="2711"/>
      <c r="AJ55" s="2677"/>
      <c r="AK55" s="2677"/>
      <c r="AL55" s="2677"/>
      <c r="AM55" s="2677"/>
      <c r="AN55" s="1063"/>
      <c r="AO55" s="2677"/>
      <c r="AP55" s="2677"/>
      <c r="AQ55" s="2677"/>
      <c r="AR55" s="2677"/>
      <c r="AS55" s="2677"/>
      <c r="AU55" s="2677"/>
      <c r="AV55" s="2677"/>
      <c r="AW55" s="2677"/>
      <c r="AX55" s="2677"/>
      <c r="AY55" s="2677"/>
      <c r="AZ55" s="2677"/>
      <c r="BA55" s="1052"/>
      <c r="BB55" s="306"/>
      <c r="BD55" s="306"/>
      <c r="BE55" s="306"/>
      <c r="CJ55" s="306">
        <v>0</v>
      </c>
    </row>
    <row r="56" spans="1:88" ht="30" customHeight="1" thickBot="1">
      <c r="A56" s="1059"/>
      <c r="B56" s="1060"/>
      <c r="C56" s="2682"/>
      <c r="D56" s="2683"/>
      <c r="E56" s="2683"/>
      <c r="F56" s="2709"/>
      <c r="G56" s="2682"/>
      <c r="H56" s="2683"/>
      <c r="I56" s="2683"/>
      <c r="J56" s="2709"/>
      <c r="K56" s="2682"/>
      <c r="L56" s="2683"/>
      <c r="M56" s="2683"/>
      <c r="N56" s="2709"/>
      <c r="O56" s="2682"/>
      <c r="P56" s="2683"/>
      <c r="Q56" s="2683"/>
      <c r="R56" s="2709"/>
      <c r="S56" s="2682"/>
      <c r="T56" s="2683"/>
      <c r="U56" s="2683"/>
      <c r="V56" s="2683"/>
      <c r="W56" s="2710"/>
      <c r="X56" s="2710"/>
      <c r="Y56" s="2710"/>
      <c r="Z56" s="2710"/>
      <c r="AA56" s="2683"/>
      <c r="AB56" s="2683"/>
      <c r="AC56" s="2683"/>
      <c r="AD56" s="2709"/>
      <c r="AE56" s="303"/>
      <c r="AF56" s="2710"/>
      <c r="AG56" s="2710"/>
      <c r="AH56" s="2710"/>
      <c r="AI56" s="2711"/>
      <c r="AJ56" s="2677"/>
      <c r="AK56" s="2677"/>
      <c r="AL56" s="2677"/>
      <c r="AM56" s="2677"/>
      <c r="AN56" s="1063"/>
      <c r="AO56" s="2677"/>
      <c r="AP56" s="2677"/>
      <c r="AQ56" s="2677"/>
      <c r="AR56" s="2677"/>
      <c r="AS56" s="2677"/>
      <c r="AU56" s="2677"/>
      <c r="AV56" s="2677"/>
      <c r="AW56" s="2677"/>
      <c r="AX56" s="2677"/>
      <c r="AY56" s="2677"/>
      <c r="AZ56" s="2677"/>
      <c r="BA56" s="1052"/>
      <c r="BB56" s="306"/>
      <c r="BD56" s="306"/>
      <c r="BE56" s="306"/>
      <c r="CJ56" s="306">
        <v>0</v>
      </c>
    </row>
    <row r="57" spans="1:88" ht="15" thickBot="1">
      <c r="A57" s="2617"/>
      <c r="B57" s="2618"/>
      <c r="C57" s="2648" t="s">
        <v>979</v>
      </c>
      <c r="D57" s="2649" t="s">
        <v>980</v>
      </c>
      <c r="E57" s="2649"/>
      <c r="F57" s="2650"/>
      <c r="G57" s="2648" t="s">
        <v>981</v>
      </c>
      <c r="H57" s="2649"/>
      <c r="I57" s="2649"/>
      <c r="J57" s="2650"/>
      <c r="K57" s="2648" t="s">
        <v>982</v>
      </c>
      <c r="L57" s="2649"/>
      <c r="M57" s="2649"/>
      <c r="N57" s="2650"/>
      <c r="O57" s="2648" t="s">
        <v>983</v>
      </c>
      <c r="P57" s="2649"/>
      <c r="Q57" s="2649"/>
      <c r="R57" s="2650"/>
      <c r="S57" s="2648" t="s">
        <v>984</v>
      </c>
      <c r="T57" s="2649"/>
      <c r="U57" s="2649"/>
      <c r="V57" s="2649"/>
      <c r="W57" s="2659" t="s">
        <v>974</v>
      </c>
      <c r="X57" s="2660"/>
      <c r="Y57" s="2660"/>
      <c r="Z57" s="2661"/>
      <c r="AA57" s="2662" t="s">
        <v>977</v>
      </c>
      <c r="AB57" s="2657"/>
      <c r="AC57" s="2657"/>
      <c r="AD57" s="2658"/>
      <c r="AE57" s="303"/>
      <c r="AF57" s="2659" t="s">
        <v>930</v>
      </c>
      <c r="AG57" s="2660"/>
      <c r="AH57" s="2660"/>
      <c r="AI57" s="2661"/>
      <c r="AJ57" s="2656" t="s">
        <v>970</v>
      </c>
      <c r="AK57" s="2657"/>
      <c r="AL57" s="2657"/>
      <c r="AM57" s="2658"/>
      <c r="AN57" s="1063"/>
      <c r="AO57" s="2653" t="s">
        <v>975</v>
      </c>
      <c r="AP57" s="2654"/>
      <c r="AQ57" s="2654"/>
      <c r="AR57" s="2654"/>
      <c r="AS57" s="2655"/>
      <c r="AU57" s="2653" t="s">
        <v>976</v>
      </c>
      <c r="AV57" s="2654"/>
      <c r="AW57" s="2654"/>
      <c r="AX57" s="2654"/>
      <c r="AY57" s="2654"/>
      <c r="AZ57" s="2655"/>
      <c r="BA57" s="1081"/>
      <c r="BB57" s="2663" t="s">
        <v>721</v>
      </c>
      <c r="BC57" s="2664"/>
      <c r="BD57" s="2664"/>
      <c r="BE57" s="2664"/>
      <c r="BF57" s="2664"/>
      <c r="BG57" s="2664"/>
      <c r="BH57" s="2665"/>
    </row>
    <row r="58" spans="1:88" ht="49.5" customHeight="1">
      <c r="A58" s="2619"/>
      <c r="B58" s="2620"/>
      <c r="C58" s="2642"/>
      <c r="D58" s="2643"/>
      <c r="E58" s="2643"/>
      <c r="F58" s="2644"/>
      <c r="G58" s="2642"/>
      <c r="H58" s="2643"/>
      <c r="I58" s="2643"/>
      <c r="J58" s="2644"/>
      <c r="K58" s="2642"/>
      <c r="L58" s="2643"/>
      <c r="M58" s="2643"/>
      <c r="N58" s="2644"/>
      <c r="O58" s="2642"/>
      <c r="P58" s="2643"/>
      <c r="Q58" s="2643"/>
      <c r="R58" s="2644"/>
      <c r="S58" s="2679" t="s">
        <v>990</v>
      </c>
      <c r="T58" s="2643"/>
      <c r="U58" s="2643"/>
      <c r="V58" s="2643"/>
      <c r="W58" s="2645" t="s">
        <v>978</v>
      </c>
      <c r="X58" s="2646"/>
      <c r="Y58" s="2646"/>
      <c r="Z58" s="2646"/>
      <c r="AA58" s="2740" t="s">
        <v>991</v>
      </c>
      <c r="AB58" s="2741"/>
      <c r="AC58" s="2741"/>
      <c r="AD58" s="2742"/>
      <c r="AE58" s="304"/>
      <c r="AF58" s="2645" t="s">
        <v>978</v>
      </c>
      <c r="AG58" s="2646"/>
      <c r="AH58" s="2646"/>
      <c r="AI58" s="2647"/>
      <c r="AJ58" s="2642"/>
      <c r="AK58" s="2643"/>
      <c r="AL58" s="2643"/>
      <c r="AM58" s="2644"/>
      <c r="AO58" s="2679" t="s">
        <v>973</v>
      </c>
      <c r="AP58" s="2741"/>
      <c r="AQ58" s="2741"/>
      <c r="AR58" s="2741"/>
      <c r="AS58" s="2742"/>
      <c r="AT58" s="395"/>
      <c r="AU58" s="2712" t="s">
        <v>985</v>
      </c>
      <c r="AV58" s="2713"/>
      <c r="AW58" s="2713"/>
      <c r="AX58" s="2713"/>
      <c r="AY58" s="2713"/>
      <c r="AZ58" s="2714"/>
      <c r="BA58" s="1052"/>
      <c r="BB58" s="316" t="s">
        <v>958</v>
      </c>
      <c r="BC58" s="309" t="s">
        <v>942</v>
      </c>
      <c r="BD58" s="306"/>
      <c r="BE58" s="306"/>
      <c r="CJ58" s="306">
        <v>0</v>
      </c>
    </row>
    <row r="59" spans="1:88" ht="31.5" customHeight="1">
      <c r="A59" s="2689" t="s">
        <v>900</v>
      </c>
      <c r="B59" s="2689"/>
      <c r="C59" s="2651" t="e">
        <f>IF(AND(HLOOKUP(A59,$BK$4:$BV$5,2,FALSE)&gt;=$BZ$6,HLOOKUP(A59,$BK$4:$BV$5,2,FALSE)&lt;=$CA$6),VLOOKUP($BX$20,$BX$22:$CH$28,3,FALSE)*5000,"-")</f>
        <v>#REF!</v>
      </c>
      <c r="D59" s="2651"/>
      <c r="E59" s="2651"/>
      <c r="F59" s="2651"/>
      <c r="G59" s="2651" t="e">
        <f>IF(AND(HLOOKUP(A59,$BK$4:$BV$5,2,FALSE)&gt;=$BZ$6,HLOOKUP(A59,$BK$4:$BV$5,2,FALSE)&lt;=$CA$6),VLOOKUP($BX$20,$BX$22:$CH$28,10,FALSE),"-")</f>
        <v>#REF!</v>
      </c>
      <c r="H59" s="2651"/>
      <c r="I59" s="2651"/>
      <c r="J59" s="2651"/>
      <c r="K59" s="2674" t="e">
        <f>#REF!</f>
        <v>#REF!</v>
      </c>
      <c r="L59" s="2674"/>
      <c r="M59" s="2674"/>
      <c r="N59" s="2674"/>
      <c r="O59" s="2652"/>
      <c r="P59" s="2652"/>
      <c r="Q59" s="2652"/>
      <c r="R59" s="2652"/>
      <c r="S59" s="2651" t="e">
        <f>SUM(C59,K59,O59)</f>
        <v>#REF!</v>
      </c>
      <c r="T59" s="2651"/>
      <c r="U59" s="2651"/>
      <c r="V59" s="2673"/>
      <c r="W59" s="2640" t="e">
        <f>#REF!</f>
        <v>#REF!</v>
      </c>
      <c r="X59" s="2640"/>
      <c r="Y59" s="2640"/>
      <c r="Z59" s="2640"/>
      <c r="AA59" s="2743" t="e">
        <f>SUM(G59,K59,O59)</f>
        <v>#REF!</v>
      </c>
      <c r="AB59" s="2743"/>
      <c r="AC59" s="2743"/>
      <c r="AD59" s="2744"/>
      <c r="AE59" s="304"/>
      <c r="AF59" s="2640" t="e">
        <f>#REF!</f>
        <v>#REF!</v>
      </c>
      <c r="AG59" s="2640"/>
      <c r="AH59" s="2640"/>
      <c r="AI59" s="2641"/>
      <c r="AJ59" s="2673">
        <f>SUM(BK$6:BK$50)</f>
        <v>6000</v>
      </c>
      <c r="AK59" s="2635"/>
      <c r="AL59" s="2635"/>
      <c r="AM59" s="2636"/>
      <c r="AO59" s="2651" t="e">
        <f t="shared" ref="AO59:AO70" si="19">SUM(AF59,AJ59)*$CF$5</f>
        <v>#REF!</v>
      </c>
      <c r="AP59" s="2651"/>
      <c r="AQ59" s="2651"/>
      <c r="AR59" s="2651"/>
      <c r="AS59" s="2651"/>
      <c r="AU59" s="2651" t="e">
        <f>IF(BB59=1,CONCATENATE("ｴﾗｰ ⑧"),IFERROR(SUM(W59:AD59)-SUM(AF59:AM59)-AO59,""))</f>
        <v>#REF!</v>
      </c>
      <c r="AV59" s="2651"/>
      <c r="AW59" s="2651"/>
      <c r="AX59" s="2651"/>
      <c r="AY59" s="2651"/>
      <c r="AZ59" s="2651"/>
      <c r="BA59" s="1052"/>
      <c r="BB59" s="309" t="e">
        <f t="shared" ref="BB59:BB70" si="20">IF(S59&lt;&gt;AJ59,1,0)</f>
        <v>#REF!</v>
      </c>
      <c r="BC59" s="309"/>
      <c r="BD59" s="306"/>
      <c r="BE59" s="306"/>
      <c r="CJ59" s="306">
        <v>0</v>
      </c>
    </row>
    <row r="60" spans="1:88" s="319" customFormat="1" ht="30" customHeight="1">
      <c r="A60" s="2689" t="s">
        <v>722</v>
      </c>
      <c r="B60" s="2689"/>
      <c r="C60" s="2651" t="e">
        <f>IF(AND(HLOOKUP(A60,$BK$4:$BV$5,2,FALSE)&gt;=$BZ$6,HLOOKUP(A60,$BK$4:$BV$5,2,FALSE)&lt;=$CA$6),VLOOKUP($BX$20,$BX$22:$CH$28,3,FALSE)*5000,"-")</f>
        <v>#REF!</v>
      </c>
      <c r="D60" s="2651"/>
      <c r="E60" s="2651"/>
      <c r="F60" s="2651"/>
      <c r="G60" s="2651" t="e">
        <f t="shared" ref="G60:G70" si="21">IF(AND(HLOOKUP(A60,$BK$4:$BV$5,2,FALSE)&gt;=$BZ$6,HLOOKUP(A60,$BK$4:$BV$5,2,FALSE)&lt;=$CA$6),VLOOKUP($BX$20,$BX$22:$CH$28,10,FALSE),"-")</f>
        <v>#REF!</v>
      </c>
      <c r="H60" s="2651"/>
      <c r="I60" s="2651"/>
      <c r="J60" s="2651"/>
      <c r="K60" s="2674" t="e">
        <f>#REF!</f>
        <v>#REF!</v>
      </c>
      <c r="L60" s="2674"/>
      <c r="M60" s="2674"/>
      <c r="N60" s="2674"/>
      <c r="O60" s="2652"/>
      <c r="P60" s="2652"/>
      <c r="Q60" s="2652"/>
      <c r="R60" s="2652"/>
      <c r="S60" s="2651" t="e">
        <f t="shared" ref="S60:S70" si="22">SUM(C60,K60,O60)</f>
        <v>#REF!</v>
      </c>
      <c r="T60" s="2651"/>
      <c r="U60" s="2651"/>
      <c r="V60" s="2673"/>
      <c r="W60" s="2640" t="e">
        <f>#REF!</f>
        <v>#REF!</v>
      </c>
      <c r="X60" s="2640"/>
      <c r="Y60" s="2640"/>
      <c r="Z60" s="2640"/>
      <c r="AA60" s="2634" t="e">
        <f t="shared" ref="AA60:AA70" si="23">SUM(G60,K60,O60)</f>
        <v>#REF!</v>
      </c>
      <c r="AB60" s="2635"/>
      <c r="AC60" s="2635"/>
      <c r="AD60" s="2636"/>
      <c r="AE60" s="395"/>
      <c r="AF60" s="2640" t="e">
        <f>#REF!</f>
        <v>#REF!</v>
      </c>
      <c r="AG60" s="2640"/>
      <c r="AH60" s="2640"/>
      <c r="AI60" s="2641"/>
      <c r="AJ60" s="2673">
        <f>SUM(BL$6:BL$50)</f>
        <v>6000</v>
      </c>
      <c r="AK60" s="2635"/>
      <c r="AL60" s="2635"/>
      <c r="AM60" s="2636"/>
      <c r="AO60" s="2651" t="e">
        <f t="shared" si="19"/>
        <v>#REF!</v>
      </c>
      <c r="AP60" s="2651"/>
      <c r="AQ60" s="2651"/>
      <c r="AR60" s="2651"/>
      <c r="AS60" s="2651"/>
      <c r="AU60" s="2651" t="e">
        <f>IF(BB60=1,CONCATENATE("ｴﾗｰ ⑧"),IFERROR(SUM(W60:AD60)-SUM(AF60:AM60)-AO60,""))</f>
        <v>#REF!</v>
      </c>
      <c r="AV60" s="2651"/>
      <c r="AW60" s="2651"/>
      <c r="AX60" s="2651"/>
      <c r="AY60" s="2651"/>
      <c r="AZ60" s="2651"/>
      <c r="BA60" s="1052"/>
      <c r="BB60" s="309" t="e">
        <f t="shared" si="20"/>
        <v>#REF!</v>
      </c>
      <c r="BC60" s="309"/>
      <c r="CJ60" s="306">
        <v>0</v>
      </c>
    </row>
    <row r="61" spans="1:88" s="319" customFormat="1" ht="30" customHeight="1">
      <c r="A61" s="2689" t="s">
        <v>732</v>
      </c>
      <c r="B61" s="2689"/>
      <c r="C61" s="2651" t="e">
        <f t="shared" ref="C61:C70" si="24">IF(AND(HLOOKUP(A61,$BK$4:$BV$5,2,FALSE)&gt;=$BZ$6,HLOOKUP(A61,$BK$4:$BV$5,2,FALSE)&lt;=$CA$6),VLOOKUP($BX$20,$BX$22:$CH$28,3,FALSE)*5000,"-")</f>
        <v>#REF!</v>
      </c>
      <c r="D61" s="2651"/>
      <c r="E61" s="2651"/>
      <c r="F61" s="2651"/>
      <c r="G61" s="2651" t="e">
        <f t="shared" si="21"/>
        <v>#REF!</v>
      </c>
      <c r="H61" s="2651"/>
      <c r="I61" s="2651"/>
      <c r="J61" s="2651"/>
      <c r="K61" s="2674" t="e">
        <f>#REF!</f>
        <v>#REF!</v>
      </c>
      <c r="L61" s="2674"/>
      <c r="M61" s="2674"/>
      <c r="N61" s="2674"/>
      <c r="O61" s="2652"/>
      <c r="P61" s="2652"/>
      <c r="Q61" s="2652"/>
      <c r="R61" s="2652"/>
      <c r="S61" s="2651" t="e">
        <f t="shared" si="22"/>
        <v>#REF!</v>
      </c>
      <c r="T61" s="2651"/>
      <c r="U61" s="2651"/>
      <c r="V61" s="2673"/>
      <c r="W61" s="2640" t="e">
        <f>#REF!</f>
        <v>#REF!</v>
      </c>
      <c r="X61" s="2640"/>
      <c r="Y61" s="2640"/>
      <c r="Z61" s="2640"/>
      <c r="AA61" s="2634" t="e">
        <f t="shared" si="23"/>
        <v>#REF!</v>
      </c>
      <c r="AB61" s="2635"/>
      <c r="AC61" s="2635"/>
      <c r="AD61" s="2636"/>
      <c r="AE61" s="395"/>
      <c r="AF61" s="2640" t="e">
        <f>#REF!</f>
        <v>#REF!</v>
      </c>
      <c r="AG61" s="2640"/>
      <c r="AH61" s="2640"/>
      <c r="AI61" s="2641"/>
      <c r="AJ61" s="2673">
        <f>SUM(BM$6:BM$50)</f>
        <v>6000</v>
      </c>
      <c r="AK61" s="2635"/>
      <c r="AL61" s="2635"/>
      <c r="AM61" s="2636"/>
      <c r="AO61" s="2651" t="e">
        <f t="shared" si="19"/>
        <v>#REF!</v>
      </c>
      <c r="AP61" s="2651"/>
      <c r="AQ61" s="2651"/>
      <c r="AR61" s="2651"/>
      <c r="AS61" s="2651"/>
      <c r="AU61" s="2651" t="e">
        <f t="shared" ref="AU61:AU70" si="25">IF(BB61=1,CONCATENATE("ｴﾗｰ ⑧"),IFERROR(SUM(W61:AD61)-SUM(AF61:AM61)-AO61,""))</f>
        <v>#REF!</v>
      </c>
      <c r="AV61" s="2651"/>
      <c r="AW61" s="2651"/>
      <c r="AX61" s="2651"/>
      <c r="AY61" s="2651"/>
      <c r="AZ61" s="2651"/>
      <c r="BA61" s="1052"/>
      <c r="BB61" s="309" t="e">
        <f t="shared" si="20"/>
        <v>#REF!</v>
      </c>
      <c r="BC61" s="309"/>
      <c r="CJ61" s="306">
        <v>0</v>
      </c>
    </row>
    <row r="62" spans="1:88" s="319" customFormat="1" ht="28.5" customHeight="1">
      <c r="A62" s="2689" t="s">
        <v>735</v>
      </c>
      <c r="B62" s="2689"/>
      <c r="C62" s="2651" t="e">
        <f t="shared" si="24"/>
        <v>#REF!</v>
      </c>
      <c r="D62" s="2651"/>
      <c r="E62" s="2651"/>
      <c r="F62" s="2651"/>
      <c r="G62" s="2651" t="e">
        <f t="shared" si="21"/>
        <v>#REF!</v>
      </c>
      <c r="H62" s="2651"/>
      <c r="I62" s="2651"/>
      <c r="J62" s="2651"/>
      <c r="K62" s="2674" t="e">
        <f>#REF!</f>
        <v>#REF!</v>
      </c>
      <c r="L62" s="2674"/>
      <c r="M62" s="2674"/>
      <c r="N62" s="2674"/>
      <c r="O62" s="2652"/>
      <c r="P62" s="2652"/>
      <c r="Q62" s="2652"/>
      <c r="R62" s="2652"/>
      <c r="S62" s="2651" t="e">
        <f t="shared" si="22"/>
        <v>#REF!</v>
      </c>
      <c r="T62" s="2651"/>
      <c r="U62" s="2651"/>
      <c r="V62" s="2673"/>
      <c r="W62" s="2640" t="e">
        <f>#REF!</f>
        <v>#REF!</v>
      </c>
      <c r="X62" s="2640"/>
      <c r="Y62" s="2640"/>
      <c r="Z62" s="2640"/>
      <c r="AA62" s="2634" t="e">
        <f t="shared" si="23"/>
        <v>#REF!</v>
      </c>
      <c r="AB62" s="2635"/>
      <c r="AC62" s="2635"/>
      <c r="AD62" s="2636"/>
      <c r="AE62" s="395"/>
      <c r="AF62" s="2640" t="e">
        <f>#REF!</f>
        <v>#REF!</v>
      </c>
      <c r="AG62" s="2640"/>
      <c r="AH62" s="2640"/>
      <c r="AI62" s="2641"/>
      <c r="AJ62" s="2673">
        <f>SUM(BN$6:BN$50)</f>
        <v>6000</v>
      </c>
      <c r="AK62" s="2635"/>
      <c r="AL62" s="2635"/>
      <c r="AM62" s="2636"/>
      <c r="AO62" s="2651" t="e">
        <f t="shared" si="19"/>
        <v>#REF!</v>
      </c>
      <c r="AP62" s="2651"/>
      <c r="AQ62" s="2651"/>
      <c r="AR62" s="2651"/>
      <c r="AS62" s="2651"/>
      <c r="AU62" s="2651" t="e">
        <f t="shared" si="25"/>
        <v>#REF!</v>
      </c>
      <c r="AV62" s="2651"/>
      <c r="AW62" s="2651"/>
      <c r="AX62" s="2651"/>
      <c r="AY62" s="2651"/>
      <c r="AZ62" s="2651"/>
      <c r="BA62" s="1052"/>
      <c r="BB62" s="309" t="e">
        <f t="shared" si="20"/>
        <v>#REF!</v>
      </c>
      <c r="BC62" s="309"/>
      <c r="BK62" s="325"/>
      <c r="BL62" s="325"/>
      <c r="BM62" s="325"/>
      <c r="BN62" s="325"/>
      <c r="BO62" s="325"/>
      <c r="BP62" s="325"/>
      <c r="BQ62" s="325"/>
      <c r="BR62" s="325"/>
      <c r="BS62" s="325"/>
      <c r="BT62" s="325"/>
      <c r="BU62" s="325"/>
      <c r="BV62" s="325"/>
      <c r="BW62" s="325"/>
      <c r="BX62" s="325"/>
      <c r="BY62" s="325"/>
      <c r="BZ62" s="325"/>
      <c r="CB62" s="325"/>
      <c r="CC62" s="325"/>
      <c r="CD62" s="325"/>
      <c r="CE62" s="325"/>
      <c r="CF62" s="325"/>
      <c r="CG62" s="325"/>
      <c r="CJ62" s="306">
        <v>0</v>
      </c>
    </row>
    <row r="63" spans="1:88" s="319" customFormat="1" ht="28.5" customHeight="1">
      <c r="A63" s="2689" t="s">
        <v>736</v>
      </c>
      <c r="B63" s="2689"/>
      <c r="C63" s="2651" t="e">
        <f t="shared" si="24"/>
        <v>#REF!</v>
      </c>
      <c r="D63" s="2651"/>
      <c r="E63" s="2651"/>
      <c r="F63" s="2651"/>
      <c r="G63" s="2651" t="e">
        <f t="shared" si="21"/>
        <v>#REF!</v>
      </c>
      <c r="H63" s="2651"/>
      <c r="I63" s="2651"/>
      <c r="J63" s="2651"/>
      <c r="K63" s="2674" t="e">
        <f>#REF!</f>
        <v>#REF!</v>
      </c>
      <c r="L63" s="2674"/>
      <c r="M63" s="2674"/>
      <c r="N63" s="2674"/>
      <c r="O63" s="2652"/>
      <c r="P63" s="2652"/>
      <c r="Q63" s="2652"/>
      <c r="R63" s="2652"/>
      <c r="S63" s="2651" t="e">
        <f t="shared" si="22"/>
        <v>#REF!</v>
      </c>
      <c r="T63" s="2651"/>
      <c r="U63" s="2651"/>
      <c r="V63" s="2673"/>
      <c r="W63" s="2640" t="e">
        <f>#REF!</f>
        <v>#REF!</v>
      </c>
      <c r="X63" s="2640"/>
      <c r="Y63" s="2640"/>
      <c r="Z63" s="2640"/>
      <c r="AA63" s="2634" t="e">
        <f t="shared" si="23"/>
        <v>#REF!</v>
      </c>
      <c r="AB63" s="2635"/>
      <c r="AC63" s="2635"/>
      <c r="AD63" s="2636"/>
      <c r="AE63" s="395"/>
      <c r="AF63" s="2640" t="e">
        <f>#REF!</f>
        <v>#REF!</v>
      </c>
      <c r="AG63" s="2640"/>
      <c r="AH63" s="2640"/>
      <c r="AI63" s="2641"/>
      <c r="AJ63" s="2673">
        <f>SUM(BO$6:BO$50)</f>
        <v>6000</v>
      </c>
      <c r="AK63" s="2635"/>
      <c r="AL63" s="2635"/>
      <c r="AM63" s="2636"/>
      <c r="AO63" s="2651" t="e">
        <f t="shared" si="19"/>
        <v>#REF!</v>
      </c>
      <c r="AP63" s="2651"/>
      <c r="AQ63" s="2651"/>
      <c r="AR63" s="2651"/>
      <c r="AS63" s="2651"/>
      <c r="AU63" s="2651" t="e">
        <f t="shared" si="25"/>
        <v>#REF!</v>
      </c>
      <c r="AV63" s="2651"/>
      <c r="AW63" s="2651"/>
      <c r="AX63" s="2651"/>
      <c r="AY63" s="2651"/>
      <c r="AZ63" s="2651"/>
      <c r="BA63" s="1052"/>
      <c r="BB63" s="309" t="e">
        <f t="shared" si="20"/>
        <v>#REF!</v>
      </c>
      <c r="BC63" s="309"/>
      <c r="BK63" s="325"/>
      <c r="BL63" s="325"/>
      <c r="BM63" s="325"/>
      <c r="BN63" s="325"/>
      <c r="BO63" s="325"/>
      <c r="BP63" s="325"/>
      <c r="BQ63" s="325"/>
      <c r="BR63" s="325"/>
      <c r="BS63" s="325"/>
      <c r="BT63" s="325"/>
      <c r="BU63" s="325"/>
      <c r="BV63" s="325"/>
      <c r="BW63" s="325"/>
      <c r="BX63" s="325"/>
      <c r="BY63" s="325"/>
      <c r="BZ63" s="325"/>
      <c r="CB63" s="325"/>
      <c r="CC63" s="325"/>
      <c r="CD63" s="325"/>
      <c r="CE63" s="325"/>
      <c r="CF63" s="325"/>
      <c r="CG63" s="325"/>
      <c r="CJ63" s="306">
        <v>0</v>
      </c>
    </row>
    <row r="64" spans="1:88" s="319" customFormat="1" ht="28.5" customHeight="1">
      <c r="A64" s="2689" t="s">
        <v>737</v>
      </c>
      <c r="B64" s="2689"/>
      <c r="C64" s="2651" t="e">
        <f t="shared" si="24"/>
        <v>#REF!</v>
      </c>
      <c r="D64" s="2651"/>
      <c r="E64" s="2651"/>
      <c r="F64" s="2651"/>
      <c r="G64" s="2651" t="e">
        <f t="shared" si="21"/>
        <v>#REF!</v>
      </c>
      <c r="H64" s="2651"/>
      <c r="I64" s="2651"/>
      <c r="J64" s="2651"/>
      <c r="K64" s="2674" t="e">
        <f>#REF!</f>
        <v>#REF!</v>
      </c>
      <c r="L64" s="2674"/>
      <c r="M64" s="2674"/>
      <c r="N64" s="2674"/>
      <c r="O64" s="2652"/>
      <c r="P64" s="2652"/>
      <c r="Q64" s="2652"/>
      <c r="R64" s="2652"/>
      <c r="S64" s="2651" t="e">
        <f t="shared" si="22"/>
        <v>#REF!</v>
      </c>
      <c r="T64" s="2651"/>
      <c r="U64" s="2651"/>
      <c r="V64" s="2673"/>
      <c r="W64" s="2640" t="e">
        <f>#REF!</f>
        <v>#REF!</v>
      </c>
      <c r="X64" s="2640"/>
      <c r="Y64" s="2640"/>
      <c r="Z64" s="2640"/>
      <c r="AA64" s="2634" t="e">
        <f t="shared" si="23"/>
        <v>#REF!</v>
      </c>
      <c r="AB64" s="2635"/>
      <c r="AC64" s="2635"/>
      <c r="AD64" s="2636"/>
      <c r="AE64" s="395"/>
      <c r="AF64" s="2640" t="e">
        <f>#REF!</f>
        <v>#REF!</v>
      </c>
      <c r="AG64" s="2640"/>
      <c r="AH64" s="2640"/>
      <c r="AI64" s="2641"/>
      <c r="AJ64" s="2673">
        <f>SUM(BP$6:BP$50)</f>
        <v>6000</v>
      </c>
      <c r="AK64" s="2635"/>
      <c r="AL64" s="2635"/>
      <c r="AM64" s="2636"/>
      <c r="AO64" s="2651" t="e">
        <f t="shared" si="19"/>
        <v>#REF!</v>
      </c>
      <c r="AP64" s="2651"/>
      <c r="AQ64" s="2651"/>
      <c r="AR64" s="2651"/>
      <c r="AS64" s="2651"/>
      <c r="AU64" s="2651" t="e">
        <f t="shared" si="25"/>
        <v>#REF!</v>
      </c>
      <c r="AV64" s="2651"/>
      <c r="AW64" s="2651"/>
      <c r="AX64" s="2651"/>
      <c r="AY64" s="2651"/>
      <c r="AZ64" s="2651"/>
      <c r="BA64" s="1052"/>
      <c r="BB64" s="309" t="e">
        <f t="shared" si="20"/>
        <v>#REF!</v>
      </c>
      <c r="BC64" s="309"/>
      <c r="BK64" s="325"/>
      <c r="BL64" s="325"/>
      <c r="BM64" s="325"/>
      <c r="BN64" s="325"/>
      <c r="BO64" s="325"/>
      <c r="BP64" s="325"/>
      <c r="BQ64" s="325"/>
      <c r="BR64" s="325"/>
      <c r="BS64" s="325"/>
      <c r="BT64" s="325"/>
      <c r="BU64" s="325"/>
      <c r="BV64" s="325"/>
      <c r="BW64" s="325"/>
      <c r="BX64" s="325"/>
      <c r="BY64" s="325"/>
      <c r="BZ64" s="325"/>
      <c r="CB64" s="325"/>
      <c r="CC64" s="325"/>
      <c r="CD64" s="325"/>
      <c r="CE64" s="325"/>
      <c r="CF64" s="325"/>
      <c r="CG64" s="325"/>
      <c r="CJ64" s="306">
        <v>0</v>
      </c>
    </row>
    <row r="65" spans="1:106" s="319" customFormat="1" ht="28.5" customHeight="1">
      <c r="A65" s="2689" t="s">
        <v>738</v>
      </c>
      <c r="B65" s="2689"/>
      <c r="C65" s="2651" t="e">
        <f t="shared" si="24"/>
        <v>#REF!</v>
      </c>
      <c r="D65" s="2651"/>
      <c r="E65" s="2651"/>
      <c r="F65" s="2651"/>
      <c r="G65" s="2651" t="e">
        <f t="shared" si="21"/>
        <v>#REF!</v>
      </c>
      <c r="H65" s="2651"/>
      <c r="I65" s="2651"/>
      <c r="J65" s="2651"/>
      <c r="K65" s="2674" t="e">
        <f>#REF!</f>
        <v>#REF!</v>
      </c>
      <c r="L65" s="2674"/>
      <c r="M65" s="2674"/>
      <c r="N65" s="2674"/>
      <c r="O65" s="2652"/>
      <c r="P65" s="2652"/>
      <c r="Q65" s="2652"/>
      <c r="R65" s="2652"/>
      <c r="S65" s="2651" t="e">
        <f t="shared" si="22"/>
        <v>#REF!</v>
      </c>
      <c r="T65" s="2651"/>
      <c r="U65" s="2651"/>
      <c r="V65" s="2673"/>
      <c r="W65" s="2640" t="e">
        <f>#REF!</f>
        <v>#REF!</v>
      </c>
      <c r="X65" s="2640"/>
      <c r="Y65" s="2640"/>
      <c r="Z65" s="2640"/>
      <c r="AA65" s="2634" t="e">
        <f t="shared" si="23"/>
        <v>#REF!</v>
      </c>
      <c r="AB65" s="2635"/>
      <c r="AC65" s="2635"/>
      <c r="AD65" s="2636"/>
      <c r="AE65" s="395"/>
      <c r="AF65" s="2640" t="e">
        <f>#REF!</f>
        <v>#REF!</v>
      </c>
      <c r="AG65" s="2640"/>
      <c r="AH65" s="2640"/>
      <c r="AI65" s="2641"/>
      <c r="AJ65" s="2673">
        <f>SUM(BQ$6:BQ$50)</f>
        <v>6000</v>
      </c>
      <c r="AK65" s="2635"/>
      <c r="AL65" s="2635"/>
      <c r="AM65" s="2636"/>
      <c r="AO65" s="2651" t="e">
        <f t="shared" si="19"/>
        <v>#REF!</v>
      </c>
      <c r="AP65" s="2651"/>
      <c r="AQ65" s="2651"/>
      <c r="AR65" s="2651"/>
      <c r="AS65" s="2651"/>
      <c r="AU65" s="2651" t="e">
        <f t="shared" si="25"/>
        <v>#REF!</v>
      </c>
      <c r="AV65" s="2651"/>
      <c r="AW65" s="2651"/>
      <c r="AX65" s="2651"/>
      <c r="AY65" s="2651"/>
      <c r="AZ65" s="2651"/>
      <c r="BA65" s="1052"/>
      <c r="BB65" s="309" t="e">
        <f t="shared" si="20"/>
        <v>#REF!</v>
      </c>
      <c r="BC65" s="309"/>
      <c r="BK65" s="325"/>
      <c r="BL65" s="325"/>
      <c r="BM65" s="325"/>
      <c r="BN65" s="325"/>
      <c r="BO65" s="325"/>
      <c r="BP65" s="325"/>
      <c r="BQ65" s="325"/>
      <c r="BR65" s="325"/>
      <c r="BS65" s="325"/>
      <c r="BT65" s="325"/>
      <c r="BU65" s="325"/>
      <c r="BV65" s="325"/>
      <c r="BW65" s="325"/>
      <c r="BX65" s="325"/>
      <c r="BY65" s="325"/>
      <c r="CA65" s="325"/>
      <c r="CB65" s="325"/>
      <c r="CC65" s="325"/>
      <c r="CD65" s="325"/>
      <c r="CE65" s="325"/>
      <c r="CF65" s="325"/>
      <c r="CJ65" s="306">
        <v>0</v>
      </c>
    </row>
    <row r="66" spans="1:106" s="319" customFormat="1" ht="28.5" customHeight="1">
      <c r="A66" s="2689" t="s">
        <v>739</v>
      </c>
      <c r="B66" s="2689"/>
      <c r="C66" s="2651" t="e">
        <f t="shared" si="24"/>
        <v>#REF!</v>
      </c>
      <c r="D66" s="2651"/>
      <c r="E66" s="2651"/>
      <c r="F66" s="2651"/>
      <c r="G66" s="2651" t="e">
        <f t="shared" si="21"/>
        <v>#REF!</v>
      </c>
      <c r="H66" s="2651"/>
      <c r="I66" s="2651"/>
      <c r="J66" s="2651"/>
      <c r="K66" s="2674" t="e">
        <f>#REF!</f>
        <v>#REF!</v>
      </c>
      <c r="L66" s="2674"/>
      <c r="M66" s="2674"/>
      <c r="N66" s="2674"/>
      <c r="O66" s="2652"/>
      <c r="P66" s="2652"/>
      <c r="Q66" s="2652"/>
      <c r="R66" s="2652"/>
      <c r="S66" s="2651" t="e">
        <f t="shared" si="22"/>
        <v>#REF!</v>
      </c>
      <c r="T66" s="2651"/>
      <c r="U66" s="2651"/>
      <c r="V66" s="2673"/>
      <c r="W66" s="2640" t="e">
        <f>#REF!</f>
        <v>#REF!</v>
      </c>
      <c r="X66" s="2640"/>
      <c r="Y66" s="2640"/>
      <c r="Z66" s="2640"/>
      <c r="AA66" s="2634" t="e">
        <f t="shared" si="23"/>
        <v>#REF!</v>
      </c>
      <c r="AB66" s="2635"/>
      <c r="AC66" s="2635"/>
      <c r="AD66" s="2636"/>
      <c r="AE66" s="395"/>
      <c r="AF66" s="2640" t="e">
        <f>#REF!</f>
        <v>#REF!</v>
      </c>
      <c r="AG66" s="2640"/>
      <c r="AH66" s="2640"/>
      <c r="AI66" s="2641"/>
      <c r="AJ66" s="2673">
        <f>SUM(BR$6:BR$50)</f>
        <v>6000</v>
      </c>
      <c r="AK66" s="2635"/>
      <c r="AL66" s="2635"/>
      <c r="AM66" s="2636"/>
      <c r="AO66" s="2651" t="e">
        <f t="shared" si="19"/>
        <v>#REF!</v>
      </c>
      <c r="AP66" s="2651"/>
      <c r="AQ66" s="2651"/>
      <c r="AR66" s="2651"/>
      <c r="AS66" s="2651"/>
      <c r="AT66" s="395"/>
      <c r="AU66" s="2651" t="e">
        <f t="shared" si="25"/>
        <v>#REF!</v>
      </c>
      <c r="AV66" s="2651"/>
      <c r="AW66" s="2651"/>
      <c r="AX66" s="2651"/>
      <c r="AY66" s="2651"/>
      <c r="AZ66" s="2651"/>
      <c r="BA66" s="1052"/>
      <c r="BB66" s="309" t="e">
        <f t="shared" si="20"/>
        <v>#REF!</v>
      </c>
      <c r="BC66" s="309"/>
      <c r="BN66" s="325"/>
      <c r="BO66" s="325"/>
      <c r="BP66" s="325"/>
      <c r="BQ66" s="325"/>
      <c r="BR66" s="325"/>
      <c r="BS66" s="325"/>
      <c r="BT66" s="325"/>
      <c r="BU66" s="325"/>
      <c r="BV66" s="325"/>
      <c r="BW66" s="325"/>
      <c r="BX66" s="325"/>
      <c r="BY66" s="325"/>
      <c r="CA66" s="325"/>
      <c r="CB66" s="325"/>
      <c r="CC66" s="325"/>
      <c r="CD66" s="325"/>
      <c r="CE66" s="325"/>
      <c r="CF66" s="325"/>
      <c r="CJ66" s="306">
        <v>0</v>
      </c>
    </row>
    <row r="67" spans="1:106" s="319" customFormat="1" ht="28.5" customHeight="1">
      <c r="A67" s="2689" t="s">
        <v>740</v>
      </c>
      <c r="B67" s="2689"/>
      <c r="C67" s="2651" t="e">
        <f t="shared" si="24"/>
        <v>#REF!</v>
      </c>
      <c r="D67" s="2651"/>
      <c r="E67" s="2651"/>
      <c r="F67" s="2651"/>
      <c r="G67" s="2651" t="e">
        <f t="shared" si="21"/>
        <v>#REF!</v>
      </c>
      <c r="H67" s="2651"/>
      <c r="I67" s="2651"/>
      <c r="J67" s="2651"/>
      <c r="K67" s="2674" t="e">
        <f>#REF!</f>
        <v>#REF!</v>
      </c>
      <c r="L67" s="2674"/>
      <c r="M67" s="2674"/>
      <c r="N67" s="2674"/>
      <c r="O67" s="2652"/>
      <c r="P67" s="2652"/>
      <c r="Q67" s="2652"/>
      <c r="R67" s="2652"/>
      <c r="S67" s="2651" t="e">
        <f t="shared" si="22"/>
        <v>#REF!</v>
      </c>
      <c r="T67" s="2651"/>
      <c r="U67" s="2651"/>
      <c r="V67" s="2673"/>
      <c r="W67" s="2640" t="e">
        <f>#REF!</f>
        <v>#REF!</v>
      </c>
      <c r="X67" s="2640"/>
      <c r="Y67" s="2640"/>
      <c r="Z67" s="2640"/>
      <c r="AA67" s="2634" t="e">
        <f t="shared" si="23"/>
        <v>#REF!</v>
      </c>
      <c r="AB67" s="2635"/>
      <c r="AC67" s="2635"/>
      <c r="AD67" s="2636"/>
      <c r="AE67" s="395"/>
      <c r="AF67" s="2640" t="e">
        <f>#REF!</f>
        <v>#REF!</v>
      </c>
      <c r="AG67" s="2640"/>
      <c r="AH67" s="2640"/>
      <c r="AI67" s="2641"/>
      <c r="AJ67" s="2673">
        <f>SUM(BS$6:BS$50)</f>
        <v>6000</v>
      </c>
      <c r="AK67" s="2635"/>
      <c r="AL67" s="2635"/>
      <c r="AM67" s="2636"/>
      <c r="AO67" s="2651" t="e">
        <f t="shared" si="19"/>
        <v>#REF!</v>
      </c>
      <c r="AP67" s="2651"/>
      <c r="AQ67" s="2651"/>
      <c r="AR67" s="2651"/>
      <c r="AS67" s="2651"/>
      <c r="AT67" s="395"/>
      <c r="AU67" s="2651" t="e">
        <f t="shared" si="25"/>
        <v>#REF!</v>
      </c>
      <c r="AV67" s="2651"/>
      <c r="AW67" s="2651"/>
      <c r="AX67" s="2651"/>
      <c r="AY67" s="2651"/>
      <c r="AZ67" s="2651"/>
      <c r="BA67" s="1052"/>
      <c r="BB67" s="309" t="e">
        <f t="shared" si="20"/>
        <v>#REF!</v>
      </c>
      <c r="BC67" s="309"/>
      <c r="BN67" s="325"/>
      <c r="BO67" s="325"/>
      <c r="BP67" s="325"/>
      <c r="BQ67" s="325"/>
      <c r="BR67" s="325"/>
      <c r="BS67" s="325"/>
      <c r="BT67" s="325"/>
      <c r="BU67" s="325"/>
      <c r="BV67" s="325"/>
      <c r="BW67" s="325"/>
      <c r="BX67" s="325"/>
      <c r="BY67" s="325"/>
      <c r="CA67" s="325"/>
      <c r="CB67" s="325"/>
      <c r="CC67" s="325"/>
      <c r="CD67" s="325"/>
      <c r="CE67" s="325"/>
      <c r="CF67" s="325"/>
      <c r="CJ67" s="306">
        <v>0</v>
      </c>
    </row>
    <row r="68" spans="1:106" s="319" customFormat="1" ht="28.5" customHeight="1">
      <c r="A68" s="2689" t="s">
        <v>741</v>
      </c>
      <c r="B68" s="2689"/>
      <c r="C68" s="2651" t="e">
        <f t="shared" si="24"/>
        <v>#REF!</v>
      </c>
      <c r="D68" s="2651"/>
      <c r="E68" s="2651"/>
      <c r="F68" s="2651"/>
      <c r="G68" s="2651" t="e">
        <f t="shared" si="21"/>
        <v>#REF!</v>
      </c>
      <c r="H68" s="2651"/>
      <c r="I68" s="2651"/>
      <c r="J68" s="2651"/>
      <c r="K68" s="2674" t="e">
        <f>#REF!</f>
        <v>#REF!</v>
      </c>
      <c r="L68" s="2674"/>
      <c r="M68" s="2674"/>
      <c r="N68" s="2674"/>
      <c r="O68" s="2652"/>
      <c r="P68" s="2652"/>
      <c r="Q68" s="2652"/>
      <c r="R68" s="2652"/>
      <c r="S68" s="2651" t="e">
        <f t="shared" si="22"/>
        <v>#REF!</v>
      </c>
      <c r="T68" s="2651"/>
      <c r="U68" s="2651"/>
      <c r="V68" s="2673"/>
      <c r="W68" s="2640" t="e">
        <f>#REF!</f>
        <v>#REF!</v>
      </c>
      <c r="X68" s="2640"/>
      <c r="Y68" s="2640"/>
      <c r="Z68" s="2640"/>
      <c r="AA68" s="2634" t="e">
        <f t="shared" si="23"/>
        <v>#REF!</v>
      </c>
      <c r="AB68" s="2635"/>
      <c r="AC68" s="2635"/>
      <c r="AD68" s="2636"/>
      <c r="AE68" s="395"/>
      <c r="AF68" s="2640" t="e">
        <f>#REF!</f>
        <v>#REF!</v>
      </c>
      <c r="AG68" s="2640"/>
      <c r="AH68" s="2640"/>
      <c r="AI68" s="2641"/>
      <c r="AJ68" s="2673">
        <f>SUM(BT$6:BT$50)</f>
        <v>6000</v>
      </c>
      <c r="AK68" s="2635"/>
      <c r="AL68" s="2635"/>
      <c r="AM68" s="2636"/>
      <c r="AO68" s="2651" t="e">
        <f t="shared" si="19"/>
        <v>#REF!</v>
      </c>
      <c r="AP68" s="2651"/>
      <c r="AQ68" s="2651"/>
      <c r="AR68" s="2651"/>
      <c r="AS68" s="2651"/>
      <c r="AT68" s="395"/>
      <c r="AU68" s="2651" t="e">
        <f t="shared" si="25"/>
        <v>#REF!</v>
      </c>
      <c r="AV68" s="2651"/>
      <c r="AW68" s="2651"/>
      <c r="AX68" s="2651"/>
      <c r="AY68" s="2651"/>
      <c r="AZ68" s="2651"/>
      <c r="BA68" s="1052"/>
      <c r="BB68" s="309" t="e">
        <f t="shared" si="20"/>
        <v>#REF!</v>
      </c>
      <c r="BC68" s="309"/>
      <c r="BN68" s="325"/>
      <c r="BO68" s="325"/>
      <c r="BP68" s="325"/>
      <c r="BQ68" s="325"/>
      <c r="BR68" s="325"/>
      <c r="BS68" s="325"/>
      <c r="BT68" s="325"/>
      <c r="BU68" s="325"/>
      <c r="BV68" s="325"/>
      <c r="BW68" s="325"/>
      <c r="BX68" s="325"/>
      <c r="BY68" s="325"/>
      <c r="CA68" s="325"/>
      <c r="CB68" s="325"/>
      <c r="CC68" s="325"/>
      <c r="CD68" s="325"/>
      <c r="CE68" s="325"/>
      <c r="CF68" s="325"/>
      <c r="CJ68" s="306">
        <v>0</v>
      </c>
    </row>
    <row r="69" spans="1:106" s="319" customFormat="1" ht="28.5" customHeight="1">
      <c r="A69" s="2689" t="s">
        <v>742</v>
      </c>
      <c r="B69" s="2689"/>
      <c r="C69" s="2651" t="e">
        <f t="shared" si="24"/>
        <v>#REF!</v>
      </c>
      <c r="D69" s="2651"/>
      <c r="E69" s="2651"/>
      <c r="F69" s="2651"/>
      <c r="G69" s="2651" t="e">
        <f>IF(AND(HLOOKUP(A69,$BK$4:$BV$5,2,FALSE)&gt;=$BZ$6,HLOOKUP(A69,$BK$4:$BV$5,2,FALSE)&lt;=$CA$6),VLOOKUP($BX$20,$BX$22:$CH$28,10,FALSE),"-")</f>
        <v>#REF!</v>
      </c>
      <c r="H69" s="2651"/>
      <c r="I69" s="2651"/>
      <c r="J69" s="2651"/>
      <c r="K69" s="2674" t="e">
        <f>#REF!</f>
        <v>#REF!</v>
      </c>
      <c r="L69" s="2674"/>
      <c r="M69" s="2674"/>
      <c r="N69" s="2674"/>
      <c r="O69" s="2652"/>
      <c r="P69" s="2652"/>
      <c r="Q69" s="2652"/>
      <c r="R69" s="2652"/>
      <c r="S69" s="2651" t="e">
        <f t="shared" si="22"/>
        <v>#REF!</v>
      </c>
      <c r="T69" s="2651"/>
      <c r="U69" s="2651"/>
      <c r="V69" s="2673"/>
      <c r="W69" s="2640" t="e">
        <f>#REF!</f>
        <v>#REF!</v>
      </c>
      <c r="X69" s="2640"/>
      <c r="Y69" s="2640"/>
      <c r="Z69" s="2640"/>
      <c r="AA69" s="2634" t="e">
        <f t="shared" si="23"/>
        <v>#REF!</v>
      </c>
      <c r="AB69" s="2635"/>
      <c r="AC69" s="2635"/>
      <c r="AD69" s="2636"/>
      <c r="AE69" s="395"/>
      <c r="AF69" s="2684" t="e">
        <f>#REF!</f>
        <v>#REF!</v>
      </c>
      <c r="AG69" s="2684"/>
      <c r="AH69" s="2684"/>
      <c r="AI69" s="2685"/>
      <c r="AJ69" s="2673">
        <f>SUM(BU$6:BU$50)</f>
        <v>6000</v>
      </c>
      <c r="AK69" s="2635"/>
      <c r="AL69" s="2635"/>
      <c r="AM69" s="2636"/>
      <c r="AO69" s="2651" t="e">
        <f t="shared" si="19"/>
        <v>#REF!</v>
      </c>
      <c r="AP69" s="2651"/>
      <c r="AQ69" s="2651"/>
      <c r="AR69" s="2651"/>
      <c r="AS69" s="2651"/>
      <c r="AT69" s="395"/>
      <c r="AU69" s="2651" t="e">
        <f t="shared" si="25"/>
        <v>#REF!</v>
      </c>
      <c r="AV69" s="2651"/>
      <c r="AW69" s="2651"/>
      <c r="AX69" s="2651"/>
      <c r="AY69" s="2651"/>
      <c r="AZ69" s="2651"/>
      <c r="BA69" s="1052"/>
      <c r="BB69" s="309" t="e">
        <f>IF(S69&lt;&gt;AJ69,1,0)</f>
        <v>#REF!</v>
      </c>
      <c r="BC69" s="309"/>
      <c r="BN69" s="325"/>
      <c r="BO69" s="325"/>
      <c r="BP69" s="325"/>
      <c r="BQ69" s="325"/>
      <c r="BR69" s="325"/>
      <c r="BS69" s="325"/>
      <c r="BT69" s="325"/>
      <c r="BU69" s="325"/>
      <c r="BV69" s="325"/>
      <c r="BW69" s="325"/>
      <c r="BX69" s="325"/>
      <c r="BY69" s="325"/>
      <c r="CA69" s="325"/>
      <c r="CB69" s="325"/>
      <c r="CC69" s="325"/>
      <c r="CD69" s="325"/>
      <c r="CE69" s="325"/>
      <c r="CF69" s="325"/>
      <c r="CJ69" s="306">
        <v>0</v>
      </c>
    </row>
    <row r="70" spans="1:106" s="319" customFormat="1" ht="28.5" customHeight="1" thickBot="1">
      <c r="A70" s="2626" t="s">
        <v>743</v>
      </c>
      <c r="B70" s="2626"/>
      <c r="C70" s="2632" t="e">
        <f t="shared" si="24"/>
        <v>#REF!</v>
      </c>
      <c r="D70" s="2632"/>
      <c r="E70" s="2632"/>
      <c r="F70" s="2632"/>
      <c r="G70" s="2632" t="e">
        <f t="shared" si="21"/>
        <v>#REF!</v>
      </c>
      <c r="H70" s="2632"/>
      <c r="I70" s="2632"/>
      <c r="J70" s="2632"/>
      <c r="K70" s="2633" t="e">
        <f>#REF!</f>
        <v>#REF!</v>
      </c>
      <c r="L70" s="2633"/>
      <c r="M70" s="2633"/>
      <c r="N70" s="2633"/>
      <c r="O70" s="2676"/>
      <c r="P70" s="2676"/>
      <c r="Q70" s="2676"/>
      <c r="R70" s="2676"/>
      <c r="S70" s="2632" t="e">
        <f t="shared" si="22"/>
        <v>#REF!</v>
      </c>
      <c r="T70" s="2632"/>
      <c r="U70" s="2632"/>
      <c r="V70" s="2678"/>
      <c r="W70" s="2675" t="e">
        <f>#REF!</f>
        <v>#REF!</v>
      </c>
      <c r="X70" s="2675"/>
      <c r="Y70" s="2675"/>
      <c r="Z70" s="2675"/>
      <c r="AA70" s="2637" t="e">
        <f t="shared" si="23"/>
        <v>#REF!</v>
      </c>
      <c r="AB70" s="2638"/>
      <c r="AC70" s="2638"/>
      <c r="AD70" s="2639"/>
      <c r="AE70" s="395"/>
      <c r="AF70" s="2686" t="e">
        <f>#REF!</f>
        <v>#REF!</v>
      </c>
      <c r="AG70" s="2687"/>
      <c r="AH70" s="2687"/>
      <c r="AI70" s="2688"/>
      <c r="AJ70" s="2672">
        <f>SUM(BV$6:BV$50)</f>
        <v>6000</v>
      </c>
      <c r="AK70" s="2638"/>
      <c r="AL70" s="2638"/>
      <c r="AM70" s="2639"/>
      <c r="AO70" s="2632" t="e">
        <f t="shared" si="19"/>
        <v>#REF!</v>
      </c>
      <c r="AP70" s="2632"/>
      <c r="AQ70" s="2632"/>
      <c r="AR70" s="2632"/>
      <c r="AS70" s="2632"/>
      <c r="AT70" s="395"/>
      <c r="AU70" s="2632" t="e">
        <f t="shared" si="25"/>
        <v>#REF!</v>
      </c>
      <c r="AV70" s="2632"/>
      <c r="AW70" s="2632"/>
      <c r="AX70" s="2632"/>
      <c r="AY70" s="2632"/>
      <c r="AZ70" s="2632"/>
      <c r="BA70" s="1052"/>
      <c r="BB70" s="309" t="e">
        <f t="shared" si="20"/>
        <v>#REF!</v>
      </c>
      <c r="BC70" s="309"/>
      <c r="BN70" s="325"/>
      <c r="BO70" s="325"/>
      <c r="BP70" s="325"/>
      <c r="BQ70" s="325"/>
      <c r="BR70" s="325"/>
      <c r="BS70" s="325"/>
      <c r="BT70" s="325"/>
      <c r="BU70" s="325"/>
      <c r="BV70" s="325"/>
      <c r="BW70" s="325"/>
      <c r="BX70" s="325"/>
      <c r="BY70" s="325"/>
      <c r="CA70" s="325"/>
      <c r="CB70" s="325"/>
      <c r="CC70" s="325"/>
      <c r="CD70" s="325"/>
      <c r="CE70" s="325"/>
      <c r="CF70" s="325"/>
      <c r="CJ70" s="306">
        <v>0</v>
      </c>
    </row>
    <row r="71" spans="1:106" s="319" customFormat="1" ht="28.5" customHeight="1" thickTop="1">
      <c r="A71" s="2623" t="s">
        <v>86</v>
      </c>
      <c r="B71" s="2623"/>
      <c r="C71" s="2624" t="e">
        <f>SUM(C59:F70)</f>
        <v>#REF!</v>
      </c>
      <c r="D71" s="2624"/>
      <c r="E71" s="2624"/>
      <c r="F71" s="2624"/>
      <c r="G71" s="2624" t="e">
        <f>SUM(G59:J70)</f>
        <v>#REF!</v>
      </c>
      <c r="H71" s="2624"/>
      <c r="I71" s="2624"/>
      <c r="J71" s="2624"/>
      <c r="K71" s="2625" t="e">
        <f>SUM(K59:N70)</f>
        <v>#REF!</v>
      </c>
      <c r="L71" s="2625"/>
      <c r="M71" s="2625"/>
      <c r="N71" s="2625"/>
      <c r="O71" s="2624">
        <f>SUM(O59:R70)</f>
        <v>0</v>
      </c>
      <c r="P71" s="2624"/>
      <c r="Q71" s="2624"/>
      <c r="R71" s="2624"/>
      <c r="S71" s="2624" t="e">
        <f>SUM(S59:V70)</f>
        <v>#REF!</v>
      </c>
      <c r="T71" s="2624"/>
      <c r="U71" s="2624"/>
      <c r="V71" s="2627"/>
      <c r="W71" s="2628" t="e">
        <f>SUM(W59:Z70)</f>
        <v>#REF!</v>
      </c>
      <c r="X71" s="2628"/>
      <c r="Y71" s="2628"/>
      <c r="Z71" s="2628"/>
      <c r="AA71" s="2771" t="e">
        <f>SUM(AA59:AD70)</f>
        <v>#REF!</v>
      </c>
      <c r="AB71" s="2771"/>
      <c r="AC71" s="2771"/>
      <c r="AD71" s="2772"/>
      <c r="AE71" s="395"/>
      <c r="AF71" s="2629" t="e">
        <f>SUM(AF59:AI70)</f>
        <v>#REF!</v>
      </c>
      <c r="AG71" s="2630"/>
      <c r="AH71" s="2630"/>
      <c r="AI71" s="2631"/>
      <c r="AJ71" s="2624">
        <f>SUM(AJ59:AM70)</f>
        <v>72000</v>
      </c>
      <c r="AK71" s="2624"/>
      <c r="AL71" s="2624"/>
      <c r="AM71" s="2624"/>
      <c r="AO71" s="2624" t="e">
        <f>SUM(AO59:AS70)</f>
        <v>#REF!</v>
      </c>
      <c r="AP71" s="2624"/>
      <c r="AQ71" s="2624"/>
      <c r="AR71" s="2624"/>
      <c r="AS71" s="2624"/>
      <c r="AT71" s="395"/>
      <c r="AU71" s="2624" t="e">
        <f>SUM(AU59:AZ70)</f>
        <v>#REF!</v>
      </c>
      <c r="AV71" s="2624"/>
      <c r="AW71" s="2624"/>
      <c r="AX71" s="2624"/>
      <c r="AY71" s="2624"/>
      <c r="AZ71" s="2624"/>
      <c r="BA71" s="1052"/>
      <c r="BB71" s="330" t="e">
        <f>IF(SUM(BB59:BB70)&gt;=1,"配分額不足・超過（ソ≠チ）","")</f>
        <v>#REF!</v>
      </c>
      <c r="BC71" s="330"/>
      <c r="BD71" s="306"/>
      <c r="BE71" s="306"/>
      <c r="BF71" s="306"/>
      <c r="BG71" s="306"/>
      <c r="BH71" s="306"/>
      <c r="BI71" s="306"/>
      <c r="BJ71" s="306"/>
      <c r="BK71" s="306"/>
      <c r="BL71" s="306"/>
      <c r="BM71" s="306"/>
      <c r="BN71" s="395"/>
      <c r="BO71" s="395"/>
      <c r="BP71" s="1052"/>
      <c r="BQ71" s="1052"/>
      <c r="BR71" s="334"/>
      <c r="BS71" s="334"/>
      <c r="BT71" s="334"/>
      <c r="BU71" s="334"/>
      <c r="BV71" s="334"/>
      <c r="BW71" s="334"/>
      <c r="BX71" s="334"/>
      <c r="BY71" s="325"/>
      <c r="BZ71" s="325"/>
      <c r="CC71" s="325"/>
      <c r="CD71" s="325"/>
      <c r="CE71" s="325"/>
      <c r="CF71" s="325"/>
      <c r="CG71" s="325"/>
      <c r="CH71" s="325"/>
      <c r="CI71" s="325"/>
      <c r="CJ71" s="306">
        <v>0</v>
      </c>
      <c r="CK71" s="325"/>
      <c r="CL71" s="325"/>
      <c r="CM71" s="325"/>
      <c r="CN71" s="325"/>
      <c r="CO71" s="325"/>
      <c r="CP71" s="325"/>
      <c r="CQ71" s="325"/>
      <c r="CR71" s="325"/>
      <c r="CS71" s="325"/>
      <c r="CT71" s="325"/>
      <c r="CU71" s="325"/>
      <c r="CW71" s="325"/>
      <c r="CX71" s="325"/>
      <c r="CY71" s="325"/>
      <c r="CZ71" s="325"/>
      <c r="DA71" s="325"/>
      <c r="DB71" s="325"/>
    </row>
    <row r="72" spans="1:106" s="319" customFormat="1" ht="28.5" customHeight="1">
      <c r="A72" s="395"/>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G72" s="395"/>
      <c r="AH72" s="395"/>
      <c r="AI72" s="395"/>
      <c r="AJ72" s="395"/>
      <c r="AK72" s="395"/>
      <c r="AL72" s="395"/>
      <c r="AM72" s="395"/>
      <c r="AN72" s="395"/>
      <c r="AO72" s="395"/>
      <c r="AP72" s="395"/>
      <c r="AQ72" s="395"/>
      <c r="AR72" s="395"/>
      <c r="AS72" s="395"/>
      <c r="AT72" s="395"/>
      <c r="AU72" s="395"/>
      <c r="AV72" s="395"/>
      <c r="AW72" s="395"/>
      <c r="AX72" s="395"/>
      <c r="AY72" s="395"/>
      <c r="AZ72" s="1097"/>
      <c r="BA72" s="1097"/>
      <c r="BB72" s="306"/>
      <c r="BC72" s="306"/>
      <c r="BD72" s="306"/>
      <c r="BE72" s="306"/>
      <c r="BF72" s="306"/>
      <c r="BG72" s="306"/>
      <c r="BN72" s="325"/>
      <c r="BO72" s="325"/>
      <c r="BP72" s="325"/>
      <c r="BQ72" s="325"/>
      <c r="BR72" s="325"/>
      <c r="BS72" s="325"/>
      <c r="BT72" s="325"/>
      <c r="BU72" s="325"/>
      <c r="BV72" s="325"/>
      <c r="BW72" s="325"/>
      <c r="BY72" s="325"/>
      <c r="BZ72" s="325"/>
      <c r="CA72" s="325"/>
      <c r="CB72" s="325"/>
      <c r="CC72" s="325"/>
      <c r="CD72" s="325"/>
      <c r="CJ72" s="306">
        <v>0</v>
      </c>
    </row>
    <row r="73" spans="1:106" s="319" customFormat="1" ht="28.5" customHeight="1">
      <c r="A73" s="395"/>
      <c r="B73" s="395"/>
      <c r="C73" s="2666" t="s">
        <v>1003</v>
      </c>
      <c r="D73" s="2667"/>
      <c r="E73" s="2667"/>
      <c r="F73" s="2667"/>
      <c r="G73" s="2667"/>
      <c r="H73" s="2667"/>
      <c r="I73" s="2668"/>
      <c r="J73" s="2666" t="e">
        <f>IF(C74&gt;0,"（エ＋セ）×法定福利費の割合","-")</f>
        <v>#REF!</v>
      </c>
      <c r="K73" s="2667"/>
      <c r="L73" s="2667"/>
      <c r="M73" s="2667"/>
      <c r="N73" s="2667"/>
      <c r="O73" s="2667"/>
      <c r="P73" s="2668"/>
      <c r="Q73" s="395"/>
      <c r="R73" s="2666" t="s">
        <v>945</v>
      </c>
      <c r="S73" s="2667"/>
      <c r="T73" s="2667"/>
      <c r="U73" s="2667"/>
      <c r="V73" s="2667"/>
      <c r="W73" s="2667"/>
      <c r="X73" s="2668"/>
      <c r="Y73" s="2735" t="s">
        <v>943</v>
      </c>
      <c r="Z73" s="2735"/>
      <c r="AA73" s="2735"/>
      <c r="AB73" s="2735"/>
      <c r="AC73" s="2735"/>
      <c r="AD73" s="2735"/>
      <c r="AE73" s="2735"/>
      <c r="AF73" s="395"/>
      <c r="AG73" s="395"/>
      <c r="AH73" s="395"/>
      <c r="AI73" s="395"/>
      <c r="AJ73" s="395"/>
      <c r="AK73" s="395"/>
      <c r="AL73" s="395"/>
      <c r="AM73" s="2736" t="s">
        <v>744</v>
      </c>
      <c r="AN73" s="2737"/>
      <c r="AO73" s="2738" t="s">
        <v>745</v>
      </c>
      <c r="AP73" s="2738"/>
      <c r="AQ73" s="2738"/>
      <c r="AR73" s="2738"/>
      <c r="AS73" s="2738"/>
      <c r="AT73" s="2738"/>
      <c r="AU73" s="2738"/>
      <c r="AV73" s="2738"/>
      <c r="AW73" s="2738"/>
      <c r="AX73" s="2738"/>
      <c r="AY73" s="2738"/>
      <c r="AZ73" s="395"/>
      <c r="BA73" s="395"/>
      <c r="BB73" s="306"/>
      <c r="BC73" s="306"/>
      <c r="BD73" s="306"/>
      <c r="BE73" s="306"/>
      <c r="BF73" s="306"/>
      <c r="BG73" s="306"/>
      <c r="BN73" s="325"/>
      <c r="BO73" s="325"/>
      <c r="BP73" s="325"/>
      <c r="BQ73" s="325"/>
      <c r="BR73" s="325"/>
      <c r="BS73" s="325"/>
      <c r="BT73" s="325"/>
      <c r="BU73" s="325"/>
      <c r="BV73" s="325"/>
      <c r="BW73" s="325"/>
      <c r="BY73" s="325"/>
      <c r="BZ73" s="325"/>
      <c r="CA73" s="325"/>
      <c r="CB73" s="325"/>
      <c r="CC73" s="325"/>
      <c r="CD73" s="325"/>
      <c r="CJ73" s="306">
        <v>0</v>
      </c>
    </row>
    <row r="74" spans="1:106" s="319" customFormat="1" ht="28.5" customHeight="1">
      <c r="A74" s="395"/>
      <c r="B74" s="395"/>
      <c r="C74" s="2669" t="e">
        <f>SUM(O71,#REF!)</f>
        <v>#REF!</v>
      </c>
      <c r="D74" s="2670"/>
      <c r="E74" s="2670"/>
      <c r="F74" s="2670"/>
      <c r="G74" s="2670"/>
      <c r="H74" s="2670"/>
      <c r="I74" s="2671"/>
      <c r="J74" s="2669" t="e">
        <f>IF(C74&gt;0,ROUND(C74*U79/AD79,0),"-")</f>
        <v>#REF!</v>
      </c>
      <c r="K74" s="2670"/>
      <c r="L74" s="2670"/>
      <c r="M74" s="2670"/>
      <c r="N74" s="2670"/>
      <c r="O74" s="2670"/>
      <c r="P74" s="2671"/>
      <c r="Q74" s="395"/>
      <c r="R74" s="2673" t="e">
        <f>#REF!-#REF!</f>
        <v>#REF!</v>
      </c>
      <c r="S74" s="2635"/>
      <c r="T74" s="2635"/>
      <c r="U74" s="2635"/>
      <c r="V74" s="2635"/>
      <c r="W74" s="2635"/>
      <c r="X74" s="2636"/>
      <c r="Y74" s="2651" t="e">
        <f>ROUNDDOWN(VLOOKUP($BX$20,$BX$22:$CH$28,11,FALSE)*0.2,-1)</f>
        <v>#REF!</v>
      </c>
      <c r="Z74" s="2651"/>
      <c r="AA74" s="2651"/>
      <c r="AB74" s="2651"/>
      <c r="AC74" s="2651"/>
      <c r="AD74" s="2651"/>
      <c r="AE74" s="2651"/>
      <c r="AF74" s="2778" t="e">
        <f>IF(AO82&lt;&gt;"","ｴﾗｰ ⑨","")</f>
        <v>#REF!</v>
      </c>
      <c r="AG74" s="2779"/>
      <c r="AH74" s="2779"/>
      <c r="AI74" s="2779"/>
      <c r="AJ74" s="2779"/>
      <c r="AK74" s="2779"/>
      <c r="AL74" s="395"/>
      <c r="AM74" s="2725" t="s">
        <v>747</v>
      </c>
      <c r="AN74" s="2668"/>
      <c r="AO74" s="2739" t="str">
        <f>CONCATENATE(BB51)</f>
        <v>記載漏れ</v>
      </c>
      <c r="AP74" s="2739"/>
      <c r="AQ74" s="2739"/>
      <c r="AR74" s="2739"/>
      <c r="AS74" s="2739"/>
      <c r="AT74" s="2739"/>
      <c r="AU74" s="2739"/>
      <c r="AV74" s="2739"/>
      <c r="AW74" s="2739"/>
      <c r="AX74" s="2739"/>
      <c r="AY74" s="2739"/>
      <c r="AZ74" s="395"/>
      <c r="BA74" s="395"/>
      <c r="BB74" s="325" t="s">
        <v>995</v>
      </c>
      <c r="BC74" s="325" t="e">
        <f>IF(-C74&gt;Y74,BD74,"")</f>
        <v>#REF!</v>
      </c>
      <c r="BD74" s="319" t="s">
        <v>996</v>
      </c>
      <c r="BF74" s="325"/>
      <c r="BG74" s="325"/>
      <c r="BN74" s="325"/>
      <c r="BO74" s="325"/>
      <c r="BP74" s="325"/>
      <c r="BQ74" s="325"/>
      <c r="BR74" s="325"/>
      <c r="BS74" s="325"/>
      <c r="BT74" s="325"/>
      <c r="BU74" s="325"/>
      <c r="BV74" s="325"/>
      <c r="BW74" s="325"/>
      <c r="BY74" s="325"/>
      <c r="BZ74" s="325"/>
      <c r="CA74" s="325"/>
      <c r="CB74" s="325"/>
      <c r="CC74" s="325"/>
      <c r="CD74" s="325"/>
      <c r="CJ74" s="306">
        <v>0</v>
      </c>
    </row>
    <row r="75" spans="1:106" s="319" customFormat="1" ht="28.5" customHeight="1">
      <c r="A75" s="395"/>
      <c r="B75" s="395"/>
      <c r="C75" s="395"/>
      <c r="D75" s="395"/>
      <c r="E75" s="395"/>
      <c r="F75" s="395"/>
      <c r="G75" s="395"/>
      <c r="H75" s="395"/>
      <c r="I75" s="395"/>
      <c r="J75" s="395" t="s">
        <v>0</v>
      </c>
      <c r="K75" s="2780" t="e">
        <f>SUM(C74,J74)</f>
        <v>#REF!</v>
      </c>
      <c r="L75" s="2780"/>
      <c r="M75" s="2780"/>
      <c r="N75" s="2780"/>
      <c r="O75" s="2780"/>
      <c r="P75" s="2780"/>
      <c r="Q75" s="395"/>
      <c r="R75" s="395"/>
      <c r="S75" s="395"/>
      <c r="T75" s="395"/>
      <c r="U75" s="395"/>
      <c r="V75" s="395"/>
      <c r="W75" s="395"/>
      <c r="X75" s="395"/>
      <c r="Y75" s="395"/>
      <c r="Z75" s="395"/>
      <c r="AA75" s="395"/>
      <c r="AB75" s="395"/>
      <c r="AC75" s="395"/>
      <c r="AD75" s="395"/>
      <c r="AE75" s="395"/>
      <c r="AF75" s="395"/>
      <c r="AG75" s="395"/>
      <c r="AH75" s="395"/>
      <c r="AI75" s="395"/>
      <c r="AJ75" s="395"/>
      <c r="AK75" s="395"/>
      <c r="AL75" s="395"/>
      <c r="AM75" s="2725" t="s">
        <v>748</v>
      </c>
      <c r="AN75" s="2668"/>
      <c r="AO75" s="2739" t="str">
        <f>CONCATENATE(BC51)</f>
        <v/>
      </c>
      <c r="AP75" s="2739"/>
      <c r="AQ75" s="2739"/>
      <c r="AR75" s="2739"/>
      <c r="AS75" s="2739"/>
      <c r="AT75" s="2739"/>
      <c r="AU75" s="2739"/>
      <c r="AV75" s="2739"/>
      <c r="AW75" s="2739"/>
      <c r="AX75" s="2739"/>
      <c r="AY75" s="2739"/>
      <c r="AZ75" s="395"/>
      <c r="BA75" s="395"/>
      <c r="BB75" s="325" t="s">
        <v>997</v>
      </c>
      <c r="BC75" s="325" t="e">
        <f>IF(K75&gt;0,IF(K75&lt;R74,BD75,""),"")</f>
        <v>#REF!</v>
      </c>
      <c r="BD75" s="319" t="s">
        <v>998</v>
      </c>
      <c r="BN75" s="325"/>
      <c r="BO75" s="325"/>
      <c r="BP75" s="325"/>
      <c r="BQ75" s="325"/>
      <c r="BR75" s="325"/>
      <c r="BS75" s="325"/>
      <c r="BT75" s="325"/>
      <c r="BU75" s="325"/>
      <c r="BV75" s="325"/>
      <c r="BW75" s="325"/>
      <c r="BY75" s="325"/>
      <c r="BZ75" s="325"/>
      <c r="CA75" s="325"/>
      <c r="CB75" s="325"/>
      <c r="CC75" s="325"/>
      <c r="CD75" s="325"/>
      <c r="CJ75" s="306">
        <v>0</v>
      </c>
    </row>
    <row r="76" spans="1:106" s="319" customFormat="1" ht="28.5" customHeight="1">
      <c r="A76" s="2621" t="s">
        <v>992</v>
      </c>
      <c r="B76" s="2621"/>
      <c r="C76" s="2621"/>
      <c r="D76" s="2621"/>
      <c r="E76" s="2621"/>
      <c r="F76" s="2621"/>
      <c r="G76" s="2621"/>
      <c r="H76" s="2621"/>
      <c r="I76" s="2621"/>
      <c r="J76" s="2621"/>
      <c r="K76" s="2621"/>
      <c r="L76" s="2621"/>
      <c r="M76" s="2621"/>
      <c r="N76" s="2621"/>
      <c r="O76" s="2621"/>
      <c r="P76" s="2621"/>
      <c r="Q76" s="2621"/>
      <c r="R76" s="2621"/>
      <c r="S76" s="2621"/>
      <c r="T76" s="2621"/>
      <c r="U76" s="2621"/>
      <c r="V76" s="2621"/>
      <c r="W76" s="2621"/>
      <c r="X76" s="2621"/>
      <c r="Y76" s="2621"/>
      <c r="Z76" s="2621"/>
      <c r="AA76" s="2621"/>
      <c r="AB76" s="2621"/>
      <c r="AC76" s="2621"/>
      <c r="AD76" s="2621"/>
      <c r="AE76" s="2621"/>
      <c r="AF76" s="2621"/>
      <c r="AG76" s="2621"/>
      <c r="AH76" s="2621"/>
      <c r="AI76" s="2621"/>
      <c r="AJ76" s="2621"/>
      <c r="AK76" s="2621"/>
      <c r="AL76" s="2622"/>
      <c r="AM76" s="2725" t="s">
        <v>749</v>
      </c>
      <c r="AN76" s="2668"/>
      <c r="AO76" s="2739" t="e">
        <f>CONCATENATE(BD51)</f>
        <v>#REF!</v>
      </c>
      <c r="AP76" s="2739"/>
      <c r="AQ76" s="2739"/>
      <c r="AR76" s="2739"/>
      <c r="AS76" s="2739"/>
      <c r="AT76" s="2739"/>
      <c r="AU76" s="2739"/>
      <c r="AV76" s="2739"/>
      <c r="AW76" s="2739"/>
      <c r="AX76" s="2739"/>
      <c r="AY76" s="2739"/>
      <c r="AZ76" s="395"/>
      <c r="BA76" s="395"/>
      <c r="BB76" s="325" t="s">
        <v>999</v>
      </c>
      <c r="BC76" s="325" t="e">
        <f>IF(K75&gt;0,IF(C74&gt;R74,BD76,""),"")</f>
        <v>#REF!</v>
      </c>
      <c r="BD76" s="319" t="s">
        <v>1000</v>
      </c>
      <c r="BN76" s="325"/>
      <c r="BO76" s="325"/>
      <c r="BP76" s="325"/>
      <c r="BQ76" s="325"/>
      <c r="BR76" s="325"/>
      <c r="BS76" s="325"/>
      <c r="BT76" s="325"/>
      <c r="BU76" s="325"/>
      <c r="BV76" s="325"/>
      <c r="BW76" s="325"/>
      <c r="BY76" s="325"/>
      <c r="BZ76" s="325"/>
      <c r="CA76" s="325"/>
      <c r="CB76" s="325"/>
      <c r="CC76" s="325"/>
      <c r="CD76" s="325"/>
      <c r="CJ76" s="306">
        <v>0</v>
      </c>
    </row>
    <row r="77" spans="1:106" s="319" customFormat="1" ht="28.5" customHeight="1">
      <c r="A77" s="395"/>
      <c r="B77" s="395"/>
      <c r="C77" s="1096" t="s">
        <v>993</v>
      </c>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5"/>
      <c r="AJ77" s="395"/>
      <c r="AK77" s="395"/>
      <c r="AL77" s="395"/>
      <c r="AM77" s="2725" t="s">
        <v>793</v>
      </c>
      <c r="AN77" s="2668"/>
      <c r="AO77" s="2739" t="str">
        <f>CONCATENATE(BE51)</f>
        <v/>
      </c>
      <c r="AP77" s="2739"/>
      <c r="AQ77" s="2739"/>
      <c r="AR77" s="2739"/>
      <c r="AS77" s="2739"/>
      <c r="AT77" s="2739"/>
      <c r="AU77" s="2739"/>
      <c r="AV77" s="2739"/>
      <c r="AW77" s="2739"/>
      <c r="AX77" s="2739"/>
      <c r="AY77" s="2739"/>
      <c r="AZ77" s="395"/>
      <c r="BA77" s="395"/>
      <c r="BB77" s="325" t="s">
        <v>1001</v>
      </c>
      <c r="BC77" s="325" t="e">
        <f>IF(K75&lt;0,IF(K75&lt;&gt;R74,BD77,""),"")</f>
        <v>#REF!</v>
      </c>
      <c r="BD77" s="319" t="s">
        <v>1002</v>
      </c>
      <c r="BF77" s="325"/>
      <c r="BG77" s="325"/>
      <c r="BN77" s="325"/>
      <c r="BO77" s="325"/>
      <c r="BP77" s="325"/>
      <c r="BQ77" s="325"/>
      <c r="BR77" s="325"/>
      <c r="BS77" s="325"/>
      <c r="BT77" s="325"/>
      <c r="BU77" s="325"/>
      <c r="BV77" s="325"/>
      <c r="BW77" s="325"/>
      <c r="BY77" s="325"/>
      <c r="BZ77" s="325"/>
      <c r="CA77" s="325"/>
      <c r="CB77" s="325"/>
      <c r="CC77" s="325"/>
      <c r="CD77" s="325"/>
      <c r="CJ77" s="306">
        <v>0</v>
      </c>
    </row>
    <row r="78" spans="1:106" s="319" customFormat="1" ht="28.5" customHeight="1">
      <c r="A78" s="2621" t="s">
        <v>988</v>
      </c>
      <c r="B78" s="2621"/>
      <c r="C78" s="2621"/>
      <c r="D78" s="2621"/>
      <c r="E78" s="2621"/>
      <c r="F78" s="2621"/>
      <c r="G78" s="2621"/>
      <c r="H78" s="2621"/>
      <c r="I78" s="2621"/>
      <c r="J78" s="2621"/>
      <c r="K78" s="2621"/>
      <c r="L78" s="2621"/>
      <c r="M78" s="2621"/>
      <c r="N78" s="2621"/>
      <c r="O78" s="2621"/>
      <c r="P78" s="2621"/>
      <c r="Q78" s="2621"/>
      <c r="R78" s="2621"/>
      <c r="S78" s="2781" t="e">
        <f>U79/AD79</f>
        <v>#REF!</v>
      </c>
      <c r="T78" s="2782"/>
      <c r="U78" s="2783" t="s">
        <v>799</v>
      </c>
      <c r="V78" s="2783"/>
      <c r="W78" s="2783"/>
      <c r="X78" s="2783"/>
      <c r="Y78" s="2783"/>
      <c r="Z78" s="2783"/>
      <c r="AA78" s="2783"/>
      <c r="AB78" s="2784"/>
      <c r="AC78" s="1088" t="s">
        <v>987</v>
      </c>
      <c r="AD78" s="2785" t="s">
        <v>800</v>
      </c>
      <c r="AE78" s="2786"/>
      <c r="AF78" s="2786"/>
      <c r="AG78" s="2786"/>
      <c r="AH78" s="2786"/>
      <c r="AI78" s="2786"/>
      <c r="AJ78" s="2786"/>
      <c r="AK78" s="2786"/>
      <c r="AL78" s="395"/>
      <c r="AM78" s="2725" t="s">
        <v>932</v>
      </c>
      <c r="AN78" s="2668"/>
      <c r="AO78" s="2739" t="str">
        <f>CONCATENATE(BF51)</f>
        <v/>
      </c>
      <c r="AP78" s="2739"/>
      <c r="AQ78" s="2739"/>
      <c r="AR78" s="2739"/>
      <c r="AS78" s="2739"/>
      <c r="AT78" s="2739"/>
      <c r="AU78" s="2739"/>
      <c r="AV78" s="2739"/>
      <c r="AW78" s="2739"/>
      <c r="AX78" s="2739"/>
      <c r="AY78" s="2739"/>
      <c r="AZ78" s="395"/>
      <c r="BA78" s="395"/>
      <c r="BB78" s="325"/>
      <c r="BC78" s="325"/>
      <c r="BF78" s="325"/>
      <c r="BG78" s="325"/>
      <c r="BN78" s="325"/>
      <c r="BO78" s="325"/>
      <c r="BP78" s="325"/>
      <c r="BQ78" s="325"/>
      <c r="BR78" s="325"/>
      <c r="BS78" s="325"/>
      <c r="BT78" s="325"/>
      <c r="BU78" s="325"/>
      <c r="BV78" s="325"/>
      <c r="BW78" s="325"/>
      <c r="BY78" s="325"/>
      <c r="BZ78" s="325"/>
      <c r="CA78" s="325"/>
      <c r="CB78" s="325"/>
      <c r="CC78" s="325"/>
      <c r="CD78" s="325"/>
      <c r="CJ78" s="306">
        <v>0</v>
      </c>
    </row>
    <row r="79" spans="1:106" s="319" customFormat="1" ht="28.5" customHeight="1">
      <c r="A79" s="395"/>
      <c r="B79" s="395"/>
      <c r="C79" s="395"/>
      <c r="D79" s="395"/>
      <c r="E79" s="395"/>
      <c r="F79" s="395"/>
      <c r="G79" s="395"/>
      <c r="H79" s="395"/>
      <c r="I79" s="395"/>
      <c r="J79" s="395"/>
      <c r="K79" s="395"/>
      <c r="L79" s="395"/>
      <c r="M79" s="395"/>
      <c r="N79" s="395"/>
      <c r="O79" s="395"/>
      <c r="Q79" s="1086"/>
      <c r="R79" s="1086"/>
      <c r="S79" s="395"/>
      <c r="T79" s="395"/>
      <c r="U79" s="2775" t="e">
        <f>#REF!</f>
        <v>#REF!</v>
      </c>
      <c r="V79" s="2776"/>
      <c r="W79" s="2776"/>
      <c r="X79" s="2776"/>
      <c r="Y79" s="2776"/>
      <c r="Z79" s="2776"/>
      <c r="AA79" s="2776"/>
      <c r="AB79" s="2776"/>
      <c r="AC79" s="1087" t="s">
        <v>987</v>
      </c>
      <c r="AD79" s="2776" t="e">
        <f>#REF!</f>
        <v>#REF!</v>
      </c>
      <c r="AE79" s="2776"/>
      <c r="AF79" s="2776"/>
      <c r="AG79" s="2776"/>
      <c r="AH79" s="2776"/>
      <c r="AI79" s="2776"/>
      <c r="AJ79" s="2776"/>
      <c r="AK79" s="2777"/>
      <c r="AL79" s="395"/>
      <c r="AM79" s="2725" t="s">
        <v>794</v>
      </c>
      <c r="AN79" s="2668"/>
      <c r="AO79" s="2739" t="str">
        <f>CONCATENATE(BG51)</f>
        <v/>
      </c>
      <c r="AP79" s="2739"/>
      <c r="AQ79" s="2739"/>
      <c r="AR79" s="2739"/>
      <c r="AS79" s="2739"/>
      <c r="AT79" s="2739"/>
      <c r="AU79" s="2739"/>
      <c r="AV79" s="2739"/>
      <c r="AW79" s="2739"/>
      <c r="AX79" s="2739"/>
      <c r="AY79" s="2739"/>
      <c r="AZ79" s="395"/>
      <c r="BA79" s="395"/>
      <c r="BB79" s="325"/>
      <c r="BC79" s="325"/>
      <c r="BF79" s="325"/>
      <c r="BG79" s="325"/>
      <c r="BN79" s="325"/>
      <c r="BO79" s="325"/>
      <c r="BP79" s="325"/>
      <c r="BQ79" s="325"/>
      <c r="BR79" s="325"/>
      <c r="BS79" s="325"/>
      <c r="BT79" s="325"/>
      <c r="BU79" s="325"/>
      <c r="BV79" s="325"/>
      <c r="BW79" s="325"/>
      <c r="BY79" s="325"/>
      <c r="BZ79" s="325"/>
      <c r="CA79" s="325"/>
      <c r="CB79" s="325"/>
      <c r="CC79" s="325"/>
      <c r="CD79" s="325"/>
      <c r="CJ79" s="306">
        <v>0</v>
      </c>
    </row>
    <row r="80" spans="1:106" s="319" customFormat="1" ht="28.5" customHeight="1">
      <c r="A80" s="2787" t="s">
        <v>994</v>
      </c>
      <c r="B80" s="2787"/>
      <c r="C80" s="2787"/>
      <c r="D80" s="2787"/>
      <c r="E80" s="2787"/>
      <c r="F80" s="2787"/>
      <c r="G80" s="2787"/>
      <c r="H80" s="2787"/>
      <c r="I80" s="2787"/>
      <c r="J80" s="2787"/>
      <c r="K80" s="2787"/>
      <c r="L80" s="2787"/>
      <c r="M80" s="2787"/>
      <c r="N80" s="2787"/>
      <c r="O80" s="2787"/>
      <c r="P80" s="2787"/>
      <c r="Q80" s="2787"/>
      <c r="R80" s="2787"/>
      <c r="S80" s="2787"/>
      <c r="T80" s="2787"/>
      <c r="U80" s="2787"/>
      <c r="V80" s="2787"/>
      <c r="W80" s="2787"/>
      <c r="X80" s="2787"/>
      <c r="Y80" s="2787"/>
      <c r="Z80" s="2787"/>
      <c r="AA80" s="2787"/>
      <c r="AB80" s="2787"/>
      <c r="AC80" s="2787"/>
      <c r="AD80" s="2787"/>
      <c r="AE80" s="2787"/>
      <c r="AF80" s="2787"/>
      <c r="AG80" s="2787"/>
      <c r="AH80" s="2787"/>
      <c r="AI80" s="2787"/>
      <c r="AJ80" s="2787"/>
      <c r="AK80" s="2787"/>
      <c r="AL80" s="2788"/>
      <c r="AM80" s="2725" t="s">
        <v>933</v>
      </c>
      <c r="AN80" s="2668"/>
      <c r="AO80" s="2773" t="str">
        <f>CONCATENATE(BH51)</f>
        <v/>
      </c>
      <c r="AP80" s="2773"/>
      <c r="AQ80" s="2773"/>
      <c r="AR80" s="2773"/>
      <c r="AS80" s="2773"/>
      <c r="AT80" s="2773"/>
      <c r="AU80" s="2773"/>
      <c r="AV80" s="2773"/>
      <c r="AW80" s="2773"/>
      <c r="AX80" s="2773"/>
      <c r="AY80" s="2773"/>
      <c r="AZ80" s="395"/>
      <c r="BA80" s="395"/>
      <c r="BB80" s="325"/>
      <c r="BC80" s="325"/>
      <c r="BF80" s="325"/>
      <c r="BG80" s="325"/>
      <c r="BN80" s="325"/>
      <c r="BO80" s="325"/>
      <c r="BP80" s="325"/>
      <c r="BQ80" s="325"/>
      <c r="BR80" s="325"/>
      <c r="BS80" s="325"/>
      <c r="BT80" s="325"/>
      <c r="BU80" s="325"/>
      <c r="BV80" s="325"/>
      <c r="BW80" s="325"/>
      <c r="BY80" s="325"/>
      <c r="BZ80" s="325"/>
      <c r="CA80" s="325"/>
      <c r="CB80" s="325"/>
      <c r="CC80" s="325"/>
      <c r="CD80" s="325"/>
      <c r="CJ80" s="306">
        <v>0</v>
      </c>
    </row>
    <row r="81" spans="1:88" s="319" customFormat="1" ht="28.5" customHeight="1">
      <c r="A81" s="2787"/>
      <c r="B81" s="2787"/>
      <c r="C81" s="2787"/>
      <c r="D81" s="2787"/>
      <c r="E81" s="2787"/>
      <c r="F81" s="2787"/>
      <c r="G81" s="2787"/>
      <c r="H81" s="2787"/>
      <c r="I81" s="2787"/>
      <c r="J81" s="2787"/>
      <c r="K81" s="2787"/>
      <c r="L81" s="2787"/>
      <c r="M81" s="2787"/>
      <c r="N81" s="2787"/>
      <c r="O81" s="2787"/>
      <c r="P81" s="2787"/>
      <c r="Q81" s="2787"/>
      <c r="R81" s="2787"/>
      <c r="S81" s="2787"/>
      <c r="T81" s="2787"/>
      <c r="U81" s="2787"/>
      <c r="V81" s="2787"/>
      <c r="W81" s="2787"/>
      <c r="X81" s="2787"/>
      <c r="Y81" s="2787"/>
      <c r="Z81" s="2787"/>
      <c r="AA81" s="2787"/>
      <c r="AB81" s="2787"/>
      <c r="AC81" s="2787"/>
      <c r="AD81" s="2787"/>
      <c r="AE81" s="2787"/>
      <c r="AF81" s="2787"/>
      <c r="AG81" s="2787"/>
      <c r="AH81" s="2787"/>
      <c r="AI81" s="2787"/>
      <c r="AJ81" s="2787"/>
      <c r="AK81" s="2787"/>
      <c r="AL81" s="2788"/>
      <c r="AM81" s="2725" t="s">
        <v>940</v>
      </c>
      <c r="AN81" s="2668"/>
      <c r="AO81" s="2773" t="e">
        <f>CONCATENATE(BB71)</f>
        <v>#REF!</v>
      </c>
      <c r="AP81" s="2773"/>
      <c r="AQ81" s="2773"/>
      <c r="AR81" s="2773"/>
      <c r="AS81" s="2773"/>
      <c r="AT81" s="2773"/>
      <c r="AU81" s="2773"/>
      <c r="AV81" s="2773"/>
      <c r="AW81" s="2773"/>
      <c r="AX81" s="2773"/>
      <c r="AY81" s="2773"/>
      <c r="AZ81" s="395"/>
      <c r="BA81" s="395"/>
      <c r="BB81" s="325"/>
      <c r="BC81" s="325"/>
      <c r="BF81" s="325"/>
      <c r="BG81" s="325"/>
      <c r="BN81" s="325"/>
      <c r="BO81" s="325"/>
      <c r="BP81" s="325"/>
      <c r="BQ81" s="325"/>
      <c r="BR81" s="325"/>
      <c r="BS81" s="325"/>
      <c r="BT81" s="325"/>
      <c r="BU81" s="325"/>
      <c r="BV81" s="325"/>
      <c r="BW81" s="325"/>
      <c r="BY81" s="325"/>
      <c r="BZ81" s="325"/>
      <c r="CA81" s="325"/>
      <c r="CB81" s="325"/>
      <c r="CC81" s="325"/>
      <c r="CD81" s="325"/>
      <c r="CJ81" s="306">
        <v>0</v>
      </c>
    </row>
    <row r="82" spans="1:88" s="319" customFormat="1" ht="28.5" customHeight="1">
      <c r="A82" s="2787"/>
      <c r="B82" s="2787"/>
      <c r="C82" s="2787"/>
      <c r="D82" s="2787"/>
      <c r="E82" s="2787"/>
      <c r="F82" s="2787"/>
      <c r="G82" s="2787"/>
      <c r="H82" s="2787"/>
      <c r="I82" s="2787"/>
      <c r="J82" s="2787"/>
      <c r="K82" s="2787"/>
      <c r="L82" s="2787"/>
      <c r="M82" s="2787"/>
      <c r="N82" s="2787"/>
      <c r="O82" s="2787"/>
      <c r="P82" s="2787"/>
      <c r="Q82" s="2787"/>
      <c r="R82" s="2787"/>
      <c r="S82" s="2787"/>
      <c r="T82" s="2787"/>
      <c r="U82" s="2787"/>
      <c r="V82" s="2787"/>
      <c r="W82" s="2787"/>
      <c r="X82" s="2787"/>
      <c r="Y82" s="2787"/>
      <c r="Z82" s="2787"/>
      <c r="AA82" s="2787"/>
      <c r="AB82" s="2787"/>
      <c r="AC82" s="2787"/>
      <c r="AD82" s="2787"/>
      <c r="AE82" s="2787"/>
      <c r="AF82" s="2787"/>
      <c r="AG82" s="2787"/>
      <c r="AH82" s="2787"/>
      <c r="AI82" s="2787"/>
      <c r="AJ82" s="2787"/>
      <c r="AK82" s="2787"/>
      <c r="AL82" s="2788"/>
      <c r="AM82" s="2648" t="s">
        <v>941</v>
      </c>
      <c r="AN82" s="2668"/>
      <c r="AO82" s="2773" t="e">
        <f>IF(BC74&lt;&gt;"",BC74,IF(BC75&lt;&gt;"",BC75,IF(BC76&lt;&gt;"",BC76,BC77)))</f>
        <v>#REF!</v>
      </c>
      <c r="AP82" s="2773"/>
      <c r="AQ82" s="2773"/>
      <c r="AR82" s="2773"/>
      <c r="AS82" s="2773"/>
      <c r="AT82" s="2773"/>
      <c r="AU82" s="2773"/>
      <c r="AV82" s="2773"/>
      <c r="AW82" s="2773"/>
      <c r="AX82" s="2773"/>
      <c r="AY82" s="2773"/>
      <c r="AZ82" s="395"/>
      <c r="BA82" s="395"/>
      <c r="BB82" s="325"/>
      <c r="BC82" s="325"/>
      <c r="BF82" s="325"/>
      <c r="BG82" s="325"/>
      <c r="BN82" s="325"/>
      <c r="BO82" s="325"/>
      <c r="BP82" s="325"/>
      <c r="BQ82" s="325"/>
      <c r="BR82" s="325"/>
      <c r="BS82" s="325"/>
      <c r="BT82" s="325"/>
      <c r="BU82" s="325"/>
      <c r="BV82" s="325"/>
      <c r="BW82" s="325"/>
      <c r="BY82" s="325"/>
      <c r="BZ82" s="325"/>
      <c r="CA82" s="325"/>
      <c r="CB82" s="325"/>
      <c r="CC82" s="325"/>
      <c r="CD82" s="325"/>
      <c r="CJ82" s="319">
        <v>0</v>
      </c>
    </row>
    <row r="83" spans="1:88" s="319" customFormat="1" ht="28.5" customHeight="1">
      <c r="A83" s="2774" t="s">
        <v>986</v>
      </c>
      <c r="B83" s="2774"/>
      <c r="C83" s="2774"/>
      <c r="D83" s="2774"/>
      <c r="E83" s="2774"/>
      <c r="F83" s="2774"/>
      <c r="G83" s="2774"/>
      <c r="H83" s="2774"/>
      <c r="I83" s="2774"/>
      <c r="J83" s="2774"/>
      <c r="K83" s="2774"/>
      <c r="L83" s="2774"/>
      <c r="M83" s="2774"/>
      <c r="N83" s="2774"/>
      <c r="O83" s="2774"/>
      <c r="P83" s="2774"/>
      <c r="Q83" s="2774"/>
      <c r="R83" s="2774"/>
      <c r="S83" s="2774"/>
      <c r="T83" s="2774"/>
      <c r="U83" s="2774"/>
      <c r="V83" s="2774"/>
      <c r="W83" s="2774"/>
      <c r="X83" s="2774"/>
      <c r="Y83" s="2774"/>
      <c r="Z83" s="2774"/>
      <c r="AA83" s="2774"/>
      <c r="AB83" s="2774"/>
      <c r="AC83" s="2774"/>
      <c r="AD83" s="2774"/>
      <c r="AE83" s="2774"/>
      <c r="AF83" s="2774"/>
      <c r="AG83" s="2774"/>
      <c r="AH83" s="2774"/>
      <c r="AI83" s="2774"/>
      <c r="AJ83" s="2774"/>
      <c r="AK83" s="2774"/>
      <c r="AL83" s="2774"/>
      <c r="AM83" s="1098"/>
      <c r="AN83" s="395"/>
      <c r="AO83" s="395"/>
      <c r="AP83" s="395"/>
      <c r="AQ83" s="395"/>
      <c r="AR83" s="395"/>
      <c r="AS83" s="395"/>
      <c r="AT83" s="395"/>
      <c r="AU83" s="395"/>
      <c r="AV83" s="395"/>
      <c r="AW83" s="395"/>
      <c r="AX83" s="395"/>
      <c r="AY83" s="395"/>
      <c r="AZ83" s="1097"/>
      <c r="BA83" s="334"/>
      <c r="BB83" s="325"/>
      <c r="BC83" s="325"/>
      <c r="BF83" s="325"/>
      <c r="BG83" s="325"/>
      <c r="BH83" s="325"/>
      <c r="BI83" s="325"/>
      <c r="BJ83" s="325"/>
      <c r="BK83" s="325"/>
      <c r="BL83" s="325"/>
      <c r="BM83" s="325"/>
      <c r="BN83" s="325"/>
      <c r="BO83" s="325"/>
      <c r="BP83" s="325"/>
      <c r="BQ83" s="325"/>
      <c r="BR83" s="325"/>
      <c r="BS83" s="325"/>
      <c r="BT83" s="325"/>
      <c r="BU83" s="325"/>
      <c r="BV83" s="325"/>
      <c r="BW83" s="325"/>
      <c r="BY83" s="325"/>
      <c r="BZ83" s="325"/>
      <c r="CA83" s="325"/>
      <c r="CB83" s="325"/>
      <c r="CC83" s="325"/>
      <c r="CD83" s="325"/>
    </row>
    <row r="84" spans="1:88" s="319" customFormat="1" ht="28.5" customHeight="1">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c r="AI84" s="395"/>
      <c r="AJ84" s="395"/>
      <c r="AK84" s="395"/>
      <c r="AL84" s="395"/>
      <c r="AM84" s="395"/>
      <c r="AN84" s="395"/>
      <c r="AO84" s="395"/>
      <c r="AP84" s="395"/>
      <c r="AQ84" s="395"/>
      <c r="AR84" s="395"/>
      <c r="AS84" s="395"/>
      <c r="AT84" s="395"/>
      <c r="AU84" s="395"/>
      <c r="AV84" s="395"/>
      <c r="AW84" s="395"/>
      <c r="AX84" s="395"/>
      <c r="AY84" s="395"/>
      <c r="AZ84" s="1097"/>
      <c r="BA84" s="334"/>
      <c r="BB84" s="325"/>
      <c r="BC84" s="325"/>
      <c r="BF84" s="325"/>
      <c r="BG84" s="325"/>
      <c r="BH84" s="325"/>
      <c r="BI84" s="325"/>
      <c r="BJ84" s="325"/>
      <c r="BK84" s="325"/>
      <c r="BL84" s="325"/>
      <c r="BM84" s="325"/>
      <c r="BN84" s="325"/>
      <c r="BO84" s="325"/>
      <c r="BP84" s="325"/>
      <c r="BQ84" s="325"/>
      <c r="BR84" s="325"/>
      <c r="BS84" s="325"/>
      <c r="BT84" s="325"/>
      <c r="BU84" s="325"/>
      <c r="BV84" s="325"/>
      <c r="BW84" s="325"/>
      <c r="BY84" s="325"/>
      <c r="BZ84" s="325"/>
      <c r="CA84" s="325"/>
      <c r="CB84" s="325"/>
      <c r="CC84" s="325"/>
      <c r="CD84" s="325"/>
    </row>
    <row r="85" spans="1:88" s="319" customFormat="1" ht="28.5" customHeight="1">
      <c r="AZ85" s="334"/>
      <c r="BA85" s="334"/>
      <c r="BB85" s="325"/>
      <c r="BC85" s="325"/>
      <c r="BF85" s="325"/>
      <c r="BG85" s="325"/>
      <c r="BH85" s="325"/>
      <c r="BI85" s="325"/>
      <c r="BJ85" s="325"/>
      <c r="BK85" s="325"/>
      <c r="BL85" s="325"/>
      <c r="BM85" s="325"/>
      <c r="BN85" s="325"/>
      <c r="BO85" s="325"/>
      <c r="BP85" s="325"/>
      <c r="BQ85" s="325"/>
      <c r="BR85" s="325"/>
      <c r="BS85" s="325"/>
      <c r="BT85" s="325"/>
      <c r="BU85" s="325"/>
      <c r="BV85" s="325"/>
      <c r="BW85" s="325"/>
      <c r="BY85" s="325"/>
      <c r="BZ85" s="325"/>
      <c r="CA85" s="325"/>
      <c r="CB85" s="325"/>
      <c r="CC85" s="325"/>
      <c r="CD85" s="325"/>
    </row>
    <row r="86" spans="1:88" s="319" customFormat="1" ht="28.5" customHeight="1">
      <c r="AZ86" s="334"/>
      <c r="BA86" s="334"/>
      <c r="BB86" s="325"/>
      <c r="BC86" s="325"/>
      <c r="BF86" s="325"/>
      <c r="BG86" s="325"/>
      <c r="BH86" s="325"/>
      <c r="BI86" s="325"/>
      <c r="BJ86" s="325"/>
      <c r="BK86" s="325"/>
      <c r="BL86" s="325"/>
      <c r="BM86" s="325"/>
      <c r="BN86" s="325"/>
      <c r="BO86" s="325"/>
      <c r="BP86" s="325"/>
      <c r="BQ86" s="325"/>
      <c r="BR86" s="325"/>
      <c r="BS86" s="325"/>
      <c r="BT86" s="325"/>
      <c r="BU86" s="325"/>
      <c r="BV86" s="325"/>
      <c r="BW86" s="325"/>
      <c r="BY86" s="325"/>
      <c r="BZ86" s="325"/>
      <c r="CA86" s="325"/>
      <c r="CB86" s="325"/>
      <c r="CC86" s="325"/>
      <c r="CD86" s="325"/>
    </row>
    <row r="87" spans="1:88" s="319" customFormat="1" ht="28.5" customHeight="1">
      <c r="AZ87" s="334"/>
      <c r="BA87" s="334"/>
      <c r="BB87" s="325"/>
      <c r="BC87" s="325"/>
      <c r="BF87" s="325"/>
      <c r="BG87" s="325"/>
      <c r="BH87" s="325"/>
      <c r="BI87" s="325"/>
      <c r="BJ87" s="325"/>
      <c r="BK87" s="325"/>
      <c r="BL87" s="325"/>
      <c r="BM87" s="325"/>
      <c r="BN87" s="325"/>
      <c r="BO87" s="325"/>
      <c r="BP87" s="325"/>
      <c r="BQ87" s="325"/>
      <c r="BR87" s="325"/>
      <c r="BS87" s="325"/>
      <c r="BT87" s="325"/>
      <c r="BU87" s="325"/>
      <c r="BV87" s="325"/>
      <c r="BW87" s="325"/>
      <c r="BY87" s="325"/>
      <c r="BZ87" s="325"/>
      <c r="CA87" s="325"/>
      <c r="CB87" s="325"/>
      <c r="CC87" s="325"/>
      <c r="CD87" s="325"/>
    </row>
    <row r="88" spans="1:88" s="319" customFormat="1" ht="28.5" customHeight="1">
      <c r="AZ88" s="334"/>
      <c r="BA88" s="334"/>
      <c r="BB88" s="325"/>
      <c r="BC88" s="325"/>
      <c r="BF88" s="325"/>
      <c r="BG88" s="325"/>
      <c r="BH88" s="325"/>
      <c r="BI88" s="325"/>
      <c r="BJ88" s="325"/>
      <c r="BK88" s="325"/>
      <c r="BL88" s="325"/>
      <c r="BM88" s="325"/>
      <c r="BN88" s="325"/>
      <c r="BO88" s="325"/>
      <c r="BP88" s="325"/>
      <c r="BQ88" s="325"/>
      <c r="BR88" s="325"/>
      <c r="BS88" s="325"/>
      <c r="BT88" s="325"/>
      <c r="BU88" s="325"/>
      <c r="BV88" s="325"/>
      <c r="BW88" s="325"/>
      <c r="BY88" s="325"/>
      <c r="BZ88" s="325"/>
      <c r="CA88" s="325"/>
      <c r="CB88" s="325"/>
      <c r="CC88" s="325"/>
      <c r="CD88" s="325"/>
    </row>
    <row r="89" spans="1:88" s="319" customFormat="1" ht="28.5" customHeight="1">
      <c r="AZ89" s="334"/>
      <c r="BA89" s="334"/>
      <c r="BB89" s="333"/>
    </row>
    <row r="90" spans="1:88" s="319" customFormat="1" ht="28.5" customHeight="1">
      <c r="AZ90" s="334"/>
      <c r="BA90" s="334"/>
      <c r="BB90" s="333"/>
    </row>
    <row r="91" spans="1:88" s="319" customFormat="1" ht="20.100000000000001" customHeight="1">
      <c r="A91" s="335"/>
      <c r="B91" s="335"/>
      <c r="C91" s="336"/>
      <c r="D91" s="336"/>
      <c r="E91" s="336"/>
      <c r="F91" s="336"/>
      <c r="G91" s="336"/>
      <c r="H91" s="336"/>
      <c r="I91" s="336"/>
      <c r="J91" s="336"/>
      <c r="K91" s="336"/>
      <c r="L91" s="336"/>
      <c r="M91" s="336"/>
      <c r="N91" s="336"/>
      <c r="O91" s="336"/>
      <c r="P91" s="336"/>
      <c r="Q91" s="336"/>
      <c r="R91" s="336"/>
      <c r="S91" s="336"/>
      <c r="T91" s="336"/>
      <c r="U91" s="336"/>
      <c r="V91" s="336"/>
      <c r="W91" s="336"/>
      <c r="X91" s="336"/>
      <c r="Y91" s="337"/>
      <c r="Z91" s="337"/>
      <c r="AA91" s="337"/>
      <c r="AB91" s="337"/>
      <c r="AC91" s="337"/>
      <c r="AD91" s="337"/>
      <c r="AE91" s="337"/>
      <c r="AF91" s="338"/>
      <c r="AG91" s="338"/>
      <c r="AH91" s="338"/>
      <c r="AI91" s="338"/>
      <c r="AJ91" s="338"/>
      <c r="AK91" s="338"/>
      <c r="AL91" s="338"/>
      <c r="AM91" s="338"/>
      <c r="AN91" s="338"/>
      <c r="AO91" s="338"/>
      <c r="AP91" s="338"/>
      <c r="AQ91" s="338"/>
      <c r="AR91" s="338"/>
      <c r="AS91" s="338"/>
      <c r="AT91" s="338"/>
      <c r="AU91" s="338"/>
      <c r="AV91" s="338"/>
      <c r="AW91" s="338"/>
      <c r="AX91" s="338"/>
      <c r="AY91" s="338"/>
      <c r="AZ91" s="339"/>
      <c r="BA91" s="339"/>
      <c r="BB91" s="333"/>
    </row>
    <row r="92" spans="1:88" ht="30" customHeight="1">
      <c r="BD92" s="306"/>
      <c r="BE92" s="306"/>
    </row>
    <row r="94" spans="1:88" ht="28.5" customHeight="1">
      <c r="BD94" s="306"/>
      <c r="BE94" s="306"/>
    </row>
    <row r="95" spans="1:88" ht="28.5" customHeight="1">
      <c r="BD95" s="306"/>
      <c r="BE95" s="306"/>
    </row>
    <row r="96" spans="1:88" ht="28.5" customHeight="1">
      <c r="BD96" s="306"/>
      <c r="BE96" s="306"/>
    </row>
    <row r="97" spans="56:57" ht="28.5" customHeight="1">
      <c r="BD97" s="306"/>
      <c r="BE97" s="306"/>
    </row>
    <row r="98" spans="56:57" ht="28.5" customHeight="1">
      <c r="BD98" s="306"/>
      <c r="BE98" s="306"/>
    </row>
    <row r="99" spans="56:57" ht="28.5" customHeight="1">
      <c r="BD99" s="306"/>
      <c r="BE99" s="306"/>
    </row>
  </sheetData>
  <sheetProtection algorithmName="SHA-512" hashValue="CIGfUtiLd1oZ46+09b6TE9QZ5Ac4W4fPROGVGSqgPyU3dwI8EpWFYznuJiYq4NnOyhQKvww2/g+jgq+bQ2jA1Q==" saltValue="qyMgbZz8z3LQy35aGUOMqw==" spinCount="100000" sheet="1" objects="1" scenarios="1"/>
  <mergeCells count="747">
    <mergeCell ref="A83:AL83"/>
    <mergeCell ref="U79:AB79"/>
    <mergeCell ref="AD79:AK79"/>
    <mergeCell ref="R73:X73"/>
    <mergeCell ref="Y73:AE73"/>
    <mergeCell ref="R74:X74"/>
    <mergeCell ref="Y74:AE74"/>
    <mergeCell ref="AF74:AK74"/>
    <mergeCell ref="K75:P75"/>
    <mergeCell ref="A78:R78"/>
    <mergeCell ref="S78:T78"/>
    <mergeCell ref="U78:AB78"/>
    <mergeCell ref="AD78:AK78"/>
    <mergeCell ref="A80:AL82"/>
    <mergeCell ref="AM82:AN82"/>
    <mergeCell ref="AO82:AY82"/>
    <mergeCell ref="AM77:AN77"/>
    <mergeCell ref="AO77:AY77"/>
    <mergeCell ref="AM78:AN78"/>
    <mergeCell ref="AO78:AY78"/>
    <mergeCell ref="AM79:AN79"/>
    <mergeCell ref="AO79:AY79"/>
    <mergeCell ref="AM80:AN80"/>
    <mergeCell ref="AO80:AY80"/>
    <mergeCell ref="AM81:AN81"/>
    <mergeCell ref="AO81:AY81"/>
    <mergeCell ref="AM75:AN75"/>
    <mergeCell ref="AO75:AY75"/>
    <mergeCell ref="AM76:AN76"/>
    <mergeCell ref="AO76:AY76"/>
    <mergeCell ref="AQ1:AZ1"/>
    <mergeCell ref="A3:AZ3"/>
    <mergeCell ref="A4:B5"/>
    <mergeCell ref="C4:I5"/>
    <mergeCell ref="J4:X4"/>
    <mergeCell ref="Y4:AE5"/>
    <mergeCell ref="AF4:AH5"/>
    <mergeCell ref="AI4:AK5"/>
    <mergeCell ref="AL4:AZ4"/>
    <mergeCell ref="AT5:AZ5"/>
    <mergeCell ref="A10:B10"/>
    <mergeCell ref="C10:I10"/>
    <mergeCell ref="J10:L10"/>
    <mergeCell ref="M10:N10"/>
    <mergeCell ref="O10:P10"/>
    <mergeCell ref="Q10:X10"/>
    <mergeCell ref="AA71:AD71"/>
    <mergeCell ref="AA54:AD56"/>
    <mergeCell ref="AU8:AY8"/>
    <mergeCell ref="Y8:AE8"/>
    <mergeCell ref="Y7:AE7"/>
    <mergeCell ref="AF7:AH7"/>
    <mergeCell ref="AL7:AN7"/>
    <mergeCell ref="AQ7:AR7"/>
    <mergeCell ref="AU7:AY7"/>
    <mergeCell ref="AU10:AY10"/>
    <mergeCell ref="Y9:AE9"/>
    <mergeCell ref="AF9:AH9"/>
    <mergeCell ref="AL9:AN9"/>
    <mergeCell ref="AQ9:AR9"/>
    <mergeCell ref="AU9:AY9"/>
    <mergeCell ref="Y10:AE10"/>
    <mergeCell ref="AM73:AN73"/>
    <mergeCell ref="AO73:AY73"/>
    <mergeCell ref="AM74:AN74"/>
    <mergeCell ref="AO74:AY74"/>
    <mergeCell ref="AA58:AD58"/>
    <mergeCell ref="AA59:AD59"/>
    <mergeCell ref="AA60:AD60"/>
    <mergeCell ref="AA61:AD61"/>
    <mergeCell ref="AA62:AD62"/>
    <mergeCell ref="AA63:AD63"/>
    <mergeCell ref="AA64:AD64"/>
    <mergeCell ref="AA65:AD65"/>
    <mergeCell ref="AJ64:AM64"/>
    <mergeCell ref="AO58:AS58"/>
    <mergeCell ref="AO59:AS59"/>
    <mergeCell ref="AU71:AZ71"/>
    <mergeCell ref="AO70:AS70"/>
    <mergeCell ref="AO64:AS64"/>
    <mergeCell ref="AO65:AS65"/>
    <mergeCell ref="AO66:AS66"/>
    <mergeCell ref="AO67:AS67"/>
    <mergeCell ref="AO68:AS68"/>
    <mergeCell ref="AO69:AS69"/>
    <mergeCell ref="AU67:AZ67"/>
    <mergeCell ref="A6:B6"/>
    <mergeCell ref="C6:I6"/>
    <mergeCell ref="J6:L6"/>
    <mergeCell ref="M6:N6"/>
    <mergeCell ref="O6:P6"/>
    <mergeCell ref="Q6:X6"/>
    <mergeCell ref="Y6:AE6"/>
    <mergeCell ref="BB4:BH4"/>
    <mergeCell ref="BX4:BY4"/>
    <mergeCell ref="AF6:AH6"/>
    <mergeCell ref="CD4:CE4"/>
    <mergeCell ref="J5:L5"/>
    <mergeCell ref="M5:N5"/>
    <mergeCell ref="O5:P5"/>
    <mergeCell ref="Q5:X5"/>
    <mergeCell ref="AL5:AO5"/>
    <mergeCell ref="AP5:AS5"/>
    <mergeCell ref="BI4:BJ4"/>
    <mergeCell ref="AL6:AN6"/>
    <mergeCell ref="AQ6:AR6"/>
    <mergeCell ref="AU6:AY6"/>
    <mergeCell ref="A7:B7"/>
    <mergeCell ref="C7:I7"/>
    <mergeCell ref="J7:L7"/>
    <mergeCell ref="M7:N7"/>
    <mergeCell ref="O7:P7"/>
    <mergeCell ref="Q7:X7"/>
    <mergeCell ref="AF10:AH10"/>
    <mergeCell ref="AL10:AN10"/>
    <mergeCell ref="AQ10:AR10"/>
    <mergeCell ref="A9:B9"/>
    <mergeCell ref="C9:I9"/>
    <mergeCell ref="J9:L9"/>
    <mergeCell ref="M9:N9"/>
    <mergeCell ref="O9:P9"/>
    <mergeCell ref="Q9:X9"/>
    <mergeCell ref="A8:B8"/>
    <mergeCell ref="C8:I8"/>
    <mergeCell ref="J8:L8"/>
    <mergeCell ref="M8:N8"/>
    <mergeCell ref="O8:P8"/>
    <mergeCell ref="Q8:X8"/>
    <mergeCell ref="AF8:AH8"/>
    <mergeCell ref="AL8:AN8"/>
    <mergeCell ref="AQ8:AR8"/>
    <mergeCell ref="A12:B12"/>
    <mergeCell ref="C12:I12"/>
    <mergeCell ref="J12:L12"/>
    <mergeCell ref="M12:N12"/>
    <mergeCell ref="O12:P12"/>
    <mergeCell ref="A11:B11"/>
    <mergeCell ref="C11:I11"/>
    <mergeCell ref="J11:L11"/>
    <mergeCell ref="M11:N11"/>
    <mergeCell ref="O11:P11"/>
    <mergeCell ref="Q12:X12"/>
    <mergeCell ref="Y12:AE12"/>
    <mergeCell ref="Q11:X11"/>
    <mergeCell ref="AF12:AH12"/>
    <mergeCell ref="AL12:AN12"/>
    <mergeCell ref="AQ12:AR12"/>
    <mergeCell ref="AU12:AY12"/>
    <mergeCell ref="Y11:AE11"/>
    <mergeCell ref="AF11:AH11"/>
    <mergeCell ref="AL11:AN11"/>
    <mergeCell ref="AQ11:AR11"/>
    <mergeCell ref="AU11:AY11"/>
    <mergeCell ref="A14:B14"/>
    <mergeCell ref="C14:I14"/>
    <mergeCell ref="J14:L14"/>
    <mergeCell ref="M14:N14"/>
    <mergeCell ref="O14:P14"/>
    <mergeCell ref="A13:B13"/>
    <mergeCell ref="C13:I13"/>
    <mergeCell ref="J13:L13"/>
    <mergeCell ref="M13:N13"/>
    <mergeCell ref="O13:P13"/>
    <mergeCell ref="Q14:X14"/>
    <mergeCell ref="Y14:AE14"/>
    <mergeCell ref="AF14:AH14"/>
    <mergeCell ref="AL14:AN14"/>
    <mergeCell ref="AQ14:AR14"/>
    <mergeCell ref="AU14:AY14"/>
    <mergeCell ref="Y13:AE13"/>
    <mergeCell ref="AF13:AH13"/>
    <mergeCell ref="AL13:AN13"/>
    <mergeCell ref="AQ13:AR13"/>
    <mergeCell ref="AU13:AY13"/>
    <mergeCell ref="Q13:X13"/>
    <mergeCell ref="A16:B16"/>
    <mergeCell ref="C16:I16"/>
    <mergeCell ref="J16:L16"/>
    <mergeCell ref="M16:N16"/>
    <mergeCell ref="O16:P16"/>
    <mergeCell ref="A15:B15"/>
    <mergeCell ref="C15:I15"/>
    <mergeCell ref="J15:L15"/>
    <mergeCell ref="M15:N15"/>
    <mergeCell ref="O15:P15"/>
    <mergeCell ref="Q16:X16"/>
    <mergeCell ref="Y16:AE16"/>
    <mergeCell ref="AF16:AH16"/>
    <mergeCell ref="AL16:AN16"/>
    <mergeCell ref="AQ16:AR16"/>
    <mergeCell ref="AU16:AY16"/>
    <mergeCell ref="Y15:AE15"/>
    <mergeCell ref="AF15:AH15"/>
    <mergeCell ref="AL15:AN15"/>
    <mergeCell ref="AQ15:AR15"/>
    <mergeCell ref="AU15:AY15"/>
    <mergeCell ref="Q15:X15"/>
    <mergeCell ref="A18:B18"/>
    <mergeCell ref="C18:I18"/>
    <mergeCell ref="J18:L18"/>
    <mergeCell ref="M18:N18"/>
    <mergeCell ref="O18:P18"/>
    <mergeCell ref="A17:B17"/>
    <mergeCell ref="C17:I17"/>
    <mergeCell ref="J17:L17"/>
    <mergeCell ref="M17:N17"/>
    <mergeCell ref="O17:P17"/>
    <mergeCell ref="Q18:X18"/>
    <mergeCell ref="Q17:X17"/>
    <mergeCell ref="Y18:AE18"/>
    <mergeCell ref="AF18:AH18"/>
    <mergeCell ref="AL18:AN18"/>
    <mergeCell ref="AQ18:AR18"/>
    <mergeCell ref="AU18:AY18"/>
    <mergeCell ref="Y17:AE17"/>
    <mergeCell ref="AF17:AH17"/>
    <mergeCell ref="AL17:AN17"/>
    <mergeCell ref="AQ17:AR17"/>
    <mergeCell ref="AU17:AY17"/>
    <mergeCell ref="A20:B20"/>
    <mergeCell ref="C20:I20"/>
    <mergeCell ref="J20:L20"/>
    <mergeCell ref="M20:N20"/>
    <mergeCell ref="O20:P20"/>
    <mergeCell ref="A19:B19"/>
    <mergeCell ref="C19:I19"/>
    <mergeCell ref="J19:L19"/>
    <mergeCell ref="M19:N19"/>
    <mergeCell ref="O19:P19"/>
    <mergeCell ref="Q20:X20"/>
    <mergeCell ref="Y20:AE20"/>
    <mergeCell ref="AF20:AH20"/>
    <mergeCell ref="AL20:AN20"/>
    <mergeCell ref="AQ20:AR20"/>
    <mergeCell ref="AU20:AY20"/>
    <mergeCell ref="Y19:AE19"/>
    <mergeCell ref="AF19:AH19"/>
    <mergeCell ref="AL19:AN19"/>
    <mergeCell ref="AQ19:AR19"/>
    <mergeCell ref="AU19:AY19"/>
    <mergeCell ref="Q19:X19"/>
    <mergeCell ref="A22:B22"/>
    <mergeCell ref="C22:I22"/>
    <mergeCell ref="J22:L22"/>
    <mergeCell ref="M22:N22"/>
    <mergeCell ref="O22:P22"/>
    <mergeCell ref="A21:B21"/>
    <mergeCell ref="C21:I21"/>
    <mergeCell ref="J21:L21"/>
    <mergeCell ref="M21:N21"/>
    <mergeCell ref="O21:P21"/>
    <mergeCell ref="Q22:X22"/>
    <mergeCell ref="Y22:AE22"/>
    <mergeCell ref="AF22:AH22"/>
    <mergeCell ref="AL22:AN22"/>
    <mergeCell ref="AQ22:AR22"/>
    <mergeCell ref="AU22:AY22"/>
    <mergeCell ref="Y21:AE21"/>
    <mergeCell ref="AF21:AH21"/>
    <mergeCell ref="AL21:AN21"/>
    <mergeCell ref="AQ21:AR21"/>
    <mergeCell ref="AU21:AY21"/>
    <mergeCell ref="Q21:X21"/>
    <mergeCell ref="A24:B24"/>
    <mergeCell ref="C24:I24"/>
    <mergeCell ref="J24:L24"/>
    <mergeCell ref="M24:N24"/>
    <mergeCell ref="O24:P24"/>
    <mergeCell ref="A23:B23"/>
    <mergeCell ref="C23:I23"/>
    <mergeCell ref="J23:L23"/>
    <mergeCell ref="M23:N23"/>
    <mergeCell ref="O23:P23"/>
    <mergeCell ref="Q24:X24"/>
    <mergeCell ref="Y24:AE24"/>
    <mergeCell ref="AF24:AH24"/>
    <mergeCell ref="AL24:AN24"/>
    <mergeCell ref="AQ24:AR24"/>
    <mergeCell ref="AU24:AY24"/>
    <mergeCell ref="Y23:AE23"/>
    <mergeCell ref="AF23:AH23"/>
    <mergeCell ref="AL23:AN23"/>
    <mergeCell ref="AQ23:AR23"/>
    <mergeCell ref="AU23:AY23"/>
    <mergeCell ref="Q23:X23"/>
    <mergeCell ref="A26:B26"/>
    <mergeCell ref="C26:I26"/>
    <mergeCell ref="J26:L26"/>
    <mergeCell ref="M26:N26"/>
    <mergeCell ref="O26:P26"/>
    <mergeCell ref="A25:B25"/>
    <mergeCell ref="C25:I25"/>
    <mergeCell ref="J25:L25"/>
    <mergeCell ref="M25:N25"/>
    <mergeCell ref="O25:P25"/>
    <mergeCell ref="Q26:X26"/>
    <mergeCell ref="Y26:AE26"/>
    <mergeCell ref="AF26:AH26"/>
    <mergeCell ref="AL26:AN26"/>
    <mergeCell ref="AQ26:AR26"/>
    <mergeCell ref="AU26:AY26"/>
    <mergeCell ref="Y25:AE25"/>
    <mergeCell ref="AF25:AH25"/>
    <mergeCell ref="AL25:AN25"/>
    <mergeCell ref="AQ25:AR25"/>
    <mergeCell ref="AU25:AY25"/>
    <mergeCell ref="Q25:X25"/>
    <mergeCell ref="A28:B28"/>
    <mergeCell ref="C28:I28"/>
    <mergeCell ref="J28:L28"/>
    <mergeCell ref="M28:N28"/>
    <mergeCell ref="O28:P28"/>
    <mergeCell ref="A27:B27"/>
    <mergeCell ref="C27:I27"/>
    <mergeCell ref="J27:L27"/>
    <mergeCell ref="M27:N27"/>
    <mergeCell ref="O27:P27"/>
    <mergeCell ref="Q28:X28"/>
    <mergeCell ref="Y28:AE28"/>
    <mergeCell ref="AF28:AH28"/>
    <mergeCell ref="AL28:AN28"/>
    <mergeCell ref="AQ28:AR28"/>
    <mergeCell ref="AU28:AY28"/>
    <mergeCell ref="Y27:AE27"/>
    <mergeCell ref="AF27:AH27"/>
    <mergeCell ref="AL27:AN27"/>
    <mergeCell ref="AQ27:AR27"/>
    <mergeCell ref="AU27:AY27"/>
    <mergeCell ref="Q27:X27"/>
    <mergeCell ref="A30:B30"/>
    <mergeCell ref="C30:I30"/>
    <mergeCell ref="J30:L30"/>
    <mergeCell ref="M30:N30"/>
    <mergeCell ref="O30:P30"/>
    <mergeCell ref="A29:B29"/>
    <mergeCell ref="C29:I29"/>
    <mergeCell ref="J29:L29"/>
    <mergeCell ref="M29:N29"/>
    <mergeCell ref="O29:P29"/>
    <mergeCell ref="Q30:X30"/>
    <mergeCell ref="Y30:AE30"/>
    <mergeCell ref="AF30:AH30"/>
    <mergeCell ref="AL30:AN30"/>
    <mergeCell ref="AQ30:AR30"/>
    <mergeCell ref="AU30:AY30"/>
    <mergeCell ref="Y29:AE29"/>
    <mergeCell ref="AF29:AH29"/>
    <mergeCell ref="AL29:AN29"/>
    <mergeCell ref="AQ29:AR29"/>
    <mergeCell ref="AU29:AY29"/>
    <mergeCell ref="Q29:X29"/>
    <mergeCell ref="A32:B32"/>
    <mergeCell ref="C32:I32"/>
    <mergeCell ref="J32:L32"/>
    <mergeCell ref="M32:N32"/>
    <mergeCell ref="O32:P32"/>
    <mergeCell ref="A31:B31"/>
    <mergeCell ref="C31:I31"/>
    <mergeCell ref="J31:L31"/>
    <mergeCell ref="M31:N31"/>
    <mergeCell ref="O31:P31"/>
    <mergeCell ref="Q32:X32"/>
    <mergeCell ref="Y32:AE32"/>
    <mergeCell ref="AF32:AH32"/>
    <mergeCell ref="AL32:AN32"/>
    <mergeCell ref="AQ32:AR32"/>
    <mergeCell ref="AU32:AY32"/>
    <mergeCell ref="Y31:AE31"/>
    <mergeCell ref="AF31:AH31"/>
    <mergeCell ref="AL31:AN31"/>
    <mergeCell ref="AQ31:AR31"/>
    <mergeCell ref="AU31:AY31"/>
    <mergeCell ref="Q31:X31"/>
    <mergeCell ref="A34:B34"/>
    <mergeCell ref="C34:I34"/>
    <mergeCell ref="J34:L34"/>
    <mergeCell ref="M34:N34"/>
    <mergeCell ref="O34:P34"/>
    <mergeCell ref="A33:B33"/>
    <mergeCell ref="C33:I33"/>
    <mergeCell ref="J33:L33"/>
    <mergeCell ref="M33:N33"/>
    <mergeCell ref="O33:P33"/>
    <mergeCell ref="Q34:X34"/>
    <mergeCell ref="Y34:AE34"/>
    <mergeCell ref="AF34:AH34"/>
    <mergeCell ref="AL34:AN34"/>
    <mergeCell ref="AQ34:AR34"/>
    <mergeCell ref="AU34:AY34"/>
    <mergeCell ref="Y33:AE33"/>
    <mergeCell ref="AF33:AH33"/>
    <mergeCell ref="AL33:AN33"/>
    <mergeCell ref="AQ33:AR33"/>
    <mergeCell ref="AU33:AY33"/>
    <mergeCell ref="Q33:X33"/>
    <mergeCell ref="A36:B36"/>
    <mergeCell ref="C36:I36"/>
    <mergeCell ref="J36:L36"/>
    <mergeCell ref="M36:N36"/>
    <mergeCell ref="O36:P36"/>
    <mergeCell ref="A35:B35"/>
    <mergeCell ref="C35:I35"/>
    <mergeCell ref="J35:L35"/>
    <mergeCell ref="M35:N35"/>
    <mergeCell ref="O35:P35"/>
    <mergeCell ref="Q36:X36"/>
    <mergeCell ref="Y36:AE36"/>
    <mergeCell ref="AF36:AH36"/>
    <mergeCell ref="AL36:AN36"/>
    <mergeCell ref="AQ36:AR36"/>
    <mergeCell ref="AU36:AY36"/>
    <mergeCell ref="Y35:AE35"/>
    <mergeCell ref="AF35:AH35"/>
    <mergeCell ref="AL35:AN35"/>
    <mergeCell ref="AQ35:AR35"/>
    <mergeCell ref="AU35:AY35"/>
    <mergeCell ref="Q35:X35"/>
    <mergeCell ref="A38:B38"/>
    <mergeCell ref="C38:I38"/>
    <mergeCell ref="J38:L38"/>
    <mergeCell ref="M38:N38"/>
    <mergeCell ref="O38:P38"/>
    <mergeCell ref="A37:B37"/>
    <mergeCell ref="C37:I37"/>
    <mergeCell ref="J37:L37"/>
    <mergeCell ref="M37:N37"/>
    <mergeCell ref="O37:P37"/>
    <mergeCell ref="Q38:X38"/>
    <mergeCell ref="Y38:AE38"/>
    <mergeCell ref="AF38:AH38"/>
    <mergeCell ref="AL38:AN38"/>
    <mergeCell ref="AQ38:AR38"/>
    <mergeCell ref="AU38:AY38"/>
    <mergeCell ref="Y37:AE37"/>
    <mergeCell ref="AF37:AH37"/>
    <mergeCell ref="AL37:AN37"/>
    <mergeCell ref="AQ37:AR37"/>
    <mergeCell ref="AU37:AY37"/>
    <mergeCell ref="Q37:X37"/>
    <mergeCell ref="A40:B40"/>
    <mergeCell ref="C40:I40"/>
    <mergeCell ref="J40:L40"/>
    <mergeCell ref="M40:N40"/>
    <mergeCell ref="O40:P40"/>
    <mergeCell ref="A39:B39"/>
    <mergeCell ref="C39:I39"/>
    <mergeCell ref="J39:L39"/>
    <mergeCell ref="M39:N39"/>
    <mergeCell ref="O39:P39"/>
    <mergeCell ref="Q40:X40"/>
    <mergeCell ref="Y40:AE40"/>
    <mergeCell ref="AF40:AH40"/>
    <mergeCell ref="AL40:AN40"/>
    <mergeCell ref="AQ40:AR40"/>
    <mergeCell ref="AU40:AY40"/>
    <mergeCell ref="Y39:AE39"/>
    <mergeCell ref="AF39:AH39"/>
    <mergeCell ref="AL39:AN39"/>
    <mergeCell ref="AQ39:AR39"/>
    <mergeCell ref="AU39:AY39"/>
    <mergeCell ref="Q39:X39"/>
    <mergeCell ref="A42:B42"/>
    <mergeCell ref="C42:I42"/>
    <mergeCell ref="J42:L42"/>
    <mergeCell ref="M42:N42"/>
    <mergeCell ref="O42:P42"/>
    <mergeCell ref="A41:B41"/>
    <mergeCell ref="C41:I41"/>
    <mergeCell ref="J41:L41"/>
    <mergeCell ref="M41:N41"/>
    <mergeCell ref="O41:P41"/>
    <mergeCell ref="Q42:X42"/>
    <mergeCell ref="Y42:AE42"/>
    <mergeCell ref="AF42:AH42"/>
    <mergeCell ref="AL42:AN42"/>
    <mergeCell ref="AQ42:AR42"/>
    <mergeCell ref="AU42:AY42"/>
    <mergeCell ref="Y41:AE41"/>
    <mergeCell ref="AF41:AH41"/>
    <mergeCell ref="AL41:AN41"/>
    <mergeCell ref="AQ41:AR41"/>
    <mergeCell ref="AU41:AY41"/>
    <mergeCell ref="Q41:X41"/>
    <mergeCell ref="A44:B44"/>
    <mergeCell ref="C44:I44"/>
    <mergeCell ref="J44:L44"/>
    <mergeCell ref="M44:N44"/>
    <mergeCell ref="O44:P44"/>
    <mergeCell ref="A43:B43"/>
    <mergeCell ref="C43:I43"/>
    <mergeCell ref="J43:L43"/>
    <mergeCell ref="M43:N43"/>
    <mergeCell ref="O43:P43"/>
    <mergeCell ref="Q44:X44"/>
    <mergeCell ref="Y44:AE44"/>
    <mergeCell ref="AF44:AH44"/>
    <mergeCell ref="AL44:AN44"/>
    <mergeCell ref="AQ44:AR44"/>
    <mergeCell ref="AU44:AY44"/>
    <mergeCell ref="Y43:AE43"/>
    <mergeCell ref="AF43:AH43"/>
    <mergeCell ref="AL43:AN43"/>
    <mergeCell ref="AQ43:AR43"/>
    <mergeCell ref="AU43:AY43"/>
    <mergeCell ref="Q43:X43"/>
    <mergeCell ref="A46:B46"/>
    <mergeCell ref="C46:I46"/>
    <mergeCell ref="J46:L46"/>
    <mergeCell ref="M46:N46"/>
    <mergeCell ref="O46:P46"/>
    <mergeCell ref="A45:B45"/>
    <mergeCell ref="C45:I45"/>
    <mergeCell ref="J45:L45"/>
    <mergeCell ref="M45:N45"/>
    <mergeCell ref="O45:P45"/>
    <mergeCell ref="Q46:X46"/>
    <mergeCell ref="Y46:AE46"/>
    <mergeCell ref="AF46:AH46"/>
    <mergeCell ref="AL46:AN46"/>
    <mergeCell ref="AQ46:AR46"/>
    <mergeCell ref="AU46:AY46"/>
    <mergeCell ref="Y45:AE45"/>
    <mergeCell ref="AF45:AH45"/>
    <mergeCell ref="AL45:AN45"/>
    <mergeCell ref="AQ45:AR45"/>
    <mergeCell ref="AU45:AY45"/>
    <mergeCell ref="Q45:X45"/>
    <mergeCell ref="A48:B48"/>
    <mergeCell ref="C48:I48"/>
    <mergeCell ref="J48:L48"/>
    <mergeCell ref="M48:N48"/>
    <mergeCell ref="O48:P48"/>
    <mergeCell ref="A47:B47"/>
    <mergeCell ref="C47:I47"/>
    <mergeCell ref="J47:L47"/>
    <mergeCell ref="M47:N47"/>
    <mergeCell ref="O47:P47"/>
    <mergeCell ref="Q48:X48"/>
    <mergeCell ref="Y48:AE48"/>
    <mergeCell ref="AF48:AH48"/>
    <mergeCell ref="AL48:AN48"/>
    <mergeCell ref="AQ48:AR48"/>
    <mergeCell ref="AU48:AY48"/>
    <mergeCell ref="Y47:AE47"/>
    <mergeCell ref="AF47:AH47"/>
    <mergeCell ref="AL47:AN47"/>
    <mergeCell ref="AQ47:AR47"/>
    <mergeCell ref="AU47:AY47"/>
    <mergeCell ref="Q47:X47"/>
    <mergeCell ref="Y49:AE49"/>
    <mergeCell ref="AF49:AH49"/>
    <mergeCell ref="AL49:AN49"/>
    <mergeCell ref="AQ49:AR49"/>
    <mergeCell ref="AU49:AY49"/>
    <mergeCell ref="A50:B50"/>
    <mergeCell ref="C50:I50"/>
    <mergeCell ref="J50:L50"/>
    <mergeCell ref="M50:N50"/>
    <mergeCell ref="O50:P50"/>
    <mergeCell ref="A49:B49"/>
    <mergeCell ref="C49:I49"/>
    <mergeCell ref="J49:L49"/>
    <mergeCell ref="M49:N49"/>
    <mergeCell ref="O49:P49"/>
    <mergeCell ref="Q49:X49"/>
    <mergeCell ref="A51:AK51"/>
    <mergeCell ref="AL51:AY51"/>
    <mergeCell ref="Q50:X50"/>
    <mergeCell ref="Y50:AE50"/>
    <mergeCell ref="AF50:AH50"/>
    <mergeCell ref="AL50:AN50"/>
    <mergeCell ref="AQ50:AR50"/>
    <mergeCell ref="AU50:AY50"/>
    <mergeCell ref="A59:B59"/>
    <mergeCell ref="C59:F59"/>
    <mergeCell ref="G59:J59"/>
    <mergeCell ref="K59:N59"/>
    <mergeCell ref="O59:R59"/>
    <mergeCell ref="AF59:AI59"/>
    <mergeCell ref="C54:F56"/>
    <mergeCell ref="G54:J56"/>
    <mergeCell ref="K54:N56"/>
    <mergeCell ref="O54:R56"/>
    <mergeCell ref="AF54:AI56"/>
    <mergeCell ref="AJ54:AM56"/>
    <mergeCell ref="W54:Z56"/>
    <mergeCell ref="W59:Z59"/>
    <mergeCell ref="AU54:AZ56"/>
    <mergeCell ref="AU58:AZ58"/>
    <mergeCell ref="A60:B60"/>
    <mergeCell ref="C60:F60"/>
    <mergeCell ref="G60:J60"/>
    <mergeCell ref="K60:N60"/>
    <mergeCell ref="O60:R60"/>
    <mergeCell ref="A63:B63"/>
    <mergeCell ref="C63:F63"/>
    <mergeCell ref="G63:J63"/>
    <mergeCell ref="K63:N63"/>
    <mergeCell ref="O63:R63"/>
    <mergeCell ref="A61:B61"/>
    <mergeCell ref="C61:F61"/>
    <mergeCell ref="G61:J61"/>
    <mergeCell ref="K61:N61"/>
    <mergeCell ref="A62:B62"/>
    <mergeCell ref="C62:F62"/>
    <mergeCell ref="G62:J62"/>
    <mergeCell ref="K62:N62"/>
    <mergeCell ref="O62:R62"/>
    <mergeCell ref="A69:B69"/>
    <mergeCell ref="A66:B66"/>
    <mergeCell ref="A68:B68"/>
    <mergeCell ref="A67:B67"/>
    <mergeCell ref="C67:F67"/>
    <mergeCell ref="G67:J67"/>
    <mergeCell ref="K67:N67"/>
    <mergeCell ref="C66:F66"/>
    <mergeCell ref="G66:J66"/>
    <mergeCell ref="K66:N66"/>
    <mergeCell ref="C69:F69"/>
    <mergeCell ref="G69:J69"/>
    <mergeCell ref="K69:N69"/>
    <mergeCell ref="A65:B65"/>
    <mergeCell ref="C65:F65"/>
    <mergeCell ref="G65:J65"/>
    <mergeCell ref="K65:N65"/>
    <mergeCell ref="O65:R65"/>
    <mergeCell ref="A64:B64"/>
    <mergeCell ref="C64:F64"/>
    <mergeCell ref="G64:J64"/>
    <mergeCell ref="K64:N64"/>
    <mergeCell ref="O64:R64"/>
    <mergeCell ref="AO54:AS56"/>
    <mergeCell ref="S66:V66"/>
    <mergeCell ref="S67:V67"/>
    <mergeCell ref="S68:V68"/>
    <mergeCell ref="S69:V69"/>
    <mergeCell ref="S70:V70"/>
    <mergeCell ref="S58:V58"/>
    <mergeCell ref="S54:V56"/>
    <mergeCell ref="S59:V59"/>
    <mergeCell ref="S60:V60"/>
    <mergeCell ref="S61:V61"/>
    <mergeCell ref="S62:V62"/>
    <mergeCell ref="S63:V63"/>
    <mergeCell ref="S64:V64"/>
    <mergeCell ref="S65:V65"/>
    <mergeCell ref="AF69:AI69"/>
    <mergeCell ref="AF60:AI60"/>
    <mergeCell ref="W60:Z60"/>
    <mergeCell ref="W68:Z68"/>
    <mergeCell ref="W69:Z69"/>
    <mergeCell ref="AO60:AS60"/>
    <mergeCell ref="AO61:AS61"/>
    <mergeCell ref="AF70:AI70"/>
    <mergeCell ref="AF61:AI61"/>
    <mergeCell ref="AU68:AZ68"/>
    <mergeCell ref="AU69:AZ69"/>
    <mergeCell ref="AU70:AZ70"/>
    <mergeCell ref="AU64:AZ64"/>
    <mergeCell ref="AU65:AZ65"/>
    <mergeCell ref="AU66:AZ66"/>
    <mergeCell ref="O68:R68"/>
    <mergeCell ref="AF68:AI68"/>
    <mergeCell ref="AA66:AD66"/>
    <mergeCell ref="W70:Z70"/>
    <mergeCell ref="O70:R70"/>
    <mergeCell ref="O69:R69"/>
    <mergeCell ref="AA68:AD68"/>
    <mergeCell ref="AJ68:AM68"/>
    <mergeCell ref="AJ69:AM69"/>
    <mergeCell ref="AF65:AI65"/>
    <mergeCell ref="AF67:AI67"/>
    <mergeCell ref="O66:R66"/>
    <mergeCell ref="AF66:AI66"/>
    <mergeCell ref="O67:R67"/>
    <mergeCell ref="AJ65:AM65"/>
    <mergeCell ref="AA67:AD67"/>
    <mergeCell ref="AJ66:AM66"/>
    <mergeCell ref="AJ67:AM67"/>
    <mergeCell ref="BB57:BH57"/>
    <mergeCell ref="C73:I73"/>
    <mergeCell ref="J73:P73"/>
    <mergeCell ref="C74:I74"/>
    <mergeCell ref="J74:P74"/>
    <mergeCell ref="AO62:AS62"/>
    <mergeCell ref="AO63:AS63"/>
    <mergeCell ref="AJ70:AM70"/>
    <mergeCell ref="AJ59:AM59"/>
    <mergeCell ref="AJ60:AM60"/>
    <mergeCell ref="W61:Z61"/>
    <mergeCell ref="W62:Z62"/>
    <mergeCell ref="W63:Z63"/>
    <mergeCell ref="W64:Z64"/>
    <mergeCell ref="AJ71:AM71"/>
    <mergeCell ref="AO71:AS71"/>
    <mergeCell ref="AU61:AZ61"/>
    <mergeCell ref="AU62:AZ62"/>
    <mergeCell ref="AJ61:AM61"/>
    <mergeCell ref="AJ62:AM62"/>
    <mergeCell ref="AJ63:AM63"/>
    <mergeCell ref="C68:F68"/>
    <mergeCell ref="G68:J68"/>
    <mergeCell ref="K68:N68"/>
    <mergeCell ref="W65:Z65"/>
    <mergeCell ref="W66:Z66"/>
    <mergeCell ref="W67:Z67"/>
    <mergeCell ref="C57:F57"/>
    <mergeCell ref="G57:J57"/>
    <mergeCell ref="K57:N57"/>
    <mergeCell ref="O57:R57"/>
    <mergeCell ref="S57:V57"/>
    <mergeCell ref="AU59:AZ59"/>
    <mergeCell ref="AU60:AZ60"/>
    <mergeCell ref="AU63:AZ63"/>
    <mergeCell ref="AF62:AI62"/>
    <mergeCell ref="AF63:AI63"/>
    <mergeCell ref="O61:R61"/>
    <mergeCell ref="AU57:AZ57"/>
    <mergeCell ref="AO57:AS57"/>
    <mergeCell ref="AJ57:AM57"/>
    <mergeCell ref="AF57:AI57"/>
    <mergeCell ref="W57:Z57"/>
    <mergeCell ref="AA57:AD57"/>
    <mergeCell ref="A57:B58"/>
    <mergeCell ref="A76:AL76"/>
    <mergeCell ref="A71:B71"/>
    <mergeCell ref="C71:F71"/>
    <mergeCell ref="G71:J71"/>
    <mergeCell ref="K71:N71"/>
    <mergeCell ref="A70:B70"/>
    <mergeCell ref="O71:R71"/>
    <mergeCell ref="S71:V71"/>
    <mergeCell ref="W71:Z71"/>
    <mergeCell ref="AF71:AI71"/>
    <mergeCell ref="C70:F70"/>
    <mergeCell ref="G70:J70"/>
    <mergeCell ref="K70:N70"/>
    <mergeCell ref="AA69:AD69"/>
    <mergeCell ref="AA70:AD70"/>
    <mergeCell ref="AF64:AI64"/>
    <mergeCell ref="C58:F58"/>
    <mergeCell ref="G58:J58"/>
    <mergeCell ref="K58:N58"/>
    <mergeCell ref="O58:R58"/>
    <mergeCell ref="AF58:AI58"/>
    <mergeCell ref="AJ58:AM58"/>
    <mergeCell ref="W58:Z58"/>
  </mergeCells>
  <phoneticPr fontId="4"/>
  <conditionalFormatting sqref="AU6:AU50">
    <cfRule type="containsText" dxfId="6" priority="12" operator="containsText" text="ｴﾗｰ">
      <formula>NOT(ISERROR(SEARCH("ｴﾗｰ",AU6)))</formula>
    </cfRule>
  </conditionalFormatting>
  <conditionalFormatting sqref="Q6:Q50">
    <cfRule type="expression" dxfId="5" priority="364">
      <formula>$BE6=1</formula>
    </cfRule>
  </conditionalFormatting>
  <conditionalFormatting sqref="Y6:Y50">
    <cfRule type="expression" dxfId="4" priority="366">
      <formula>$BG6=1</formula>
    </cfRule>
  </conditionalFormatting>
  <conditionalFormatting sqref="AJ59:AM70">
    <cfRule type="expression" dxfId="3" priority="10">
      <formula>$BB59=1</formula>
    </cfRule>
  </conditionalFormatting>
  <conditionalFormatting sqref="S59:V70">
    <cfRule type="expression" dxfId="2" priority="7">
      <formula>$BB59=1</formula>
    </cfRule>
  </conditionalFormatting>
  <conditionalFormatting sqref="AU59:AZ70">
    <cfRule type="containsText" dxfId="1" priority="6" operator="containsText" text="ｴﾗｰ">
      <formula>NOT(ISERROR(SEARCH("ｴﾗｰ",AU59)))</formula>
    </cfRule>
  </conditionalFormatting>
  <conditionalFormatting sqref="AF74:AK74">
    <cfRule type="containsText" dxfId="0" priority="1" operator="containsText" text="ｴﾗｰ">
      <formula>NOT(ISERROR(SEARCH("ｴﾗｰ",AF74)))</formula>
    </cfRule>
  </conditionalFormatting>
  <dataValidations count="8">
    <dataValidation type="list" allowBlank="1" showInputMessage="1" showErrorMessage="1" sqref="AF6:AH50" xr:uid="{00000000-0002-0000-3200-000000000000}">
      <formula1>$CC$5:$CC$7</formula1>
    </dataValidation>
    <dataValidation type="list" showInputMessage="1" showErrorMessage="1" sqref="J6:K50" xr:uid="{00000000-0002-0000-3200-000001000000}">
      <formula1>$BY$5:$BY$11</formula1>
    </dataValidation>
    <dataValidation type="list" showInputMessage="1" showErrorMessage="1" sqref="O6:O50" xr:uid="{00000000-0002-0000-3200-000002000000}">
      <formula1>$CB$5:$CB$7</formula1>
    </dataValidation>
    <dataValidation type="list" showInputMessage="1" showErrorMessage="1" sqref="M6:M50" xr:uid="{00000000-0002-0000-3200-000003000000}">
      <formula1>$BK$4:$BV$4</formula1>
    </dataValidation>
    <dataValidation type="list" allowBlank="1" showInputMessage="1" showErrorMessage="1" sqref="AI6:AI50 AK6:AK50" xr:uid="{00000000-0002-0000-3200-000004000000}">
      <formula1>$BK$4:$BV$4</formula1>
    </dataValidation>
    <dataValidation type="whole" allowBlank="1" showInputMessage="1" showErrorMessage="1" errorTitle="配分可能額" error="5,000円～40,000円" promptTitle="配分可能額" prompt="5,000円～40,000円" sqref="AL6:AL50 AM7:AN50" xr:uid="{00000000-0002-0000-3200-000005000000}">
      <formula1>5000</formula1>
      <formula2>40000</formula2>
    </dataValidation>
    <dataValidation type="whole" operator="lessThanOrEqual" allowBlank="1" showInputMessage="1" showErrorMessage="1" sqref="AQ6:AQ50 AR7:AR50" xr:uid="{00000000-0002-0000-3200-000006000000}">
      <formula1>12</formula1>
    </dataValidation>
    <dataValidation type="list" allowBlank="1" showInputMessage="1" showErrorMessage="1" sqref="C6:I50" xr:uid="{00000000-0002-0000-3200-000007000000}">
      <formula1>OFFSET(#REF!,0,0,COUNTA(#REF!),1)</formula1>
    </dataValidation>
  </dataValidations>
  <printOptions horizontalCentered="1"/>
  <pageMargins left="0.78740157480314965" right="0.78740157480314965" top="0.70866141732283472" bottom="0.62992125984251968" header="0.31496062992125984" footer="0.19685039370078741"/>
  <pageSetup paperSize="9" scale="55" fitToHeight="0" orientation="portrait" r:id="rId1"/>
  <rowBreaks count="1" manualBreakCount="1">
    <brk id="5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tabColor theme="1"/>
  </sheetPr>
  <dimension ref="A1"/>
  <sheetViews>
    <sheetView workbookViewId="0">
      <selection activeCell="I35" sqref="I35"/>
    </sheetView>
  </sheetViews>
  <sheetFormatPr defaultRowHeight="13.5"/>
  <sheetData/>
  <sheetProtection algorithmName="SHA-512" hashValue="kSjuE9O39USlK10RKzvX+ce+sp4DxB9Sn8UFwimFXa4+lPFWwoL7CxgNuHQ4avlfVF9xjKf/qKICaRbNeDA9mg==" saltValue="CMgsv+dtNWnW9qsJyh0lIw==" spinCount="100000" sheet="1" objects="1" scenarios="1"/>
  <phoneticPr fontId="6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BC62A-9859-4AB8-A5E5-22DBE4BE4822}">
  <sheetPr>
    <tabColor rgb="FF92D050"/>
  </sheetPr>
  <dimension ref="B6:V18"/>
  <sheetViews>
    <sheetView view="pageBreakPreview" zoomScale="85" zoomScaleNormal="100" zoomScaleSheetLayoutView="85" workbookViewId="0">
      <selection activeCell="G11" sqref="G11"/>
    </sheetView>
  </sheetViews>
  <sheetFormatPr defaultRowHeight="13.5"/>
  <cols>
    <col min="1" max="1" width="2.875" customWidth="1"/>
    <col min="3" max="3" width="13.875" customWidth="1"/>
    <col min="7" max="7" width="22.625" customWidth="1"/>
    <col min="8" max="8" width="47.125" customWidth="1"/>
    <col min="12" max="22" width="0" hidden="1" customWidth="1"/>
  </cols>
  <sheetData>
    <row r="6" spans="2:22" ht="14.25" thickBot="1"/>
    <row r="7" spans="2:22" ht="18" thickBot="1">
      <c r="L7" s="1455" t="s">
        <v>1344</v>
      </c>
      <c r="M7" s="1456">
        <v>2022</v>
      </c>
      <c r="N7" s="1457" t="s">
        <v>234</v>
      </c>
      <c r="O7" s="1458" t="s">
        <v>756</v>
      </c>
      <c r="P7" s="1459">
        <v>4</v>
      </c>
      <c r="Q7" s="1460" t="s">
        <v>19</v>
      </c>
      <c r="R7" s="1460" t="s">
        <v>19</v>
      </c>
      <c r="S7" s="1461">
        <v>4</v>
      </c>
      <c r="T7" s="1458" t="s">
        <v>756</v>
      </c>
      <c r="U7" t="s">
        <v>18</v>
      </c>
      <c r="V7" t="s">
        <v>1345</v>
      </c>
    </row>
    <row r="8" spans="2:22" ht="18" thickBot="1">
      <c r="L8" s="1462"/>
      <c r="M8" s="1462"/>
      <c r="N8" s="1457" t="s">
        <v>87</v>
      </c>
      <c r="O8" s="1458" t="s">
        <v>1346</v>
      </c>
      <c r="P8" s="1459">
        <v>5</v>
      </c>
      <c r="Q8" s="1463">
        <v>2021</v>
      </c>
      <c r="R8" s="1463">
        <v>2019</v>
      </c>
      <c r="S8" s="1461">
        <v>5</v>
      </c>
      <c r="T8" s="1458" t="s">
        <v>1346</v>
      </c>
      <c r="U8" t="s">
        <v>19</v>
      </c>
      <c r="V8" t="s">
        <v>1347</v>
      </c>
    </row>
    <row r="9" spans="2:22" ht="18" thickBot="1">
      <c r="B9" s="1445"/>
      <c r="C9" s="1445"/>
      <c r="D9" s="1509" t="s">
        <v>1334</v>
      </c>
      <c r="E9" s="1509"/>
      <c r="F9" s="1509"/>
      <c r="G9" s="1446" t="s">
        <v>1335</v>
      </c>
      <c r="H9" s="1447" t="s">
        <v>1336</v>
      </c>
      <c r="L9" s="1462"/>
      <c r="M9" s="1462"/>
      <c r="N9" s="1458" t="s">
        <v>5</v>
      </c>
      <c r="O9" s="1458"/>
      <c r="P9" s="1464">
        <v>6</v>
      </c>
      <c r="Q9" s="1463">
        <v>2020</v>
      </c>
      <c r="R9" s="1463">
        <v>2018</v>
      </c>
      <c r="S9" s="1461">
        <v>6</v>
      </c>
      <c r="T9" s="1465"/>
    </row>
    <row r="10" spans="2:22" ht="28.5">
      <c r="B10" s="1448" t="s">
        <v>1337</v>
      </c>
      <c r="C10" s="1449"/>
      <c r="D10" s="1449"/>
      <c r="E10" s="1449"/>
      <c r="F10" s="1449"/>
      <c r="G10" s="1449"/>
      <c r="H10" s="1450"/>
      <c r="L10" s="1462"/>
      <c r="M10" s="1462"/>
      <c r="N10" s="1458" t="s">
        <v>235</v>
      </c>
      <c r="O10" s="1458"/>
      <c r="P10" s="1459">
        <v>7</v>
      </c>
      <c r="Q10" s="1463">
        <v>2019</v>
      </c>
      <c r="R10" s="1463">
        <v>2017</v>
      </c>
      <c r="S10" s="1461">
        <v>7</v>
      </c>
      <c r="T10" s="1465"/>
    </row>
    <row r="11" spans="2:22" ht="28.5">
      <c r="B11" s="1451"/>
      <c r="C11" s="1452" t="s">
        <v>1338</v>
      </c>
      <c r="D11" s="1510" t="s">
        <v>1339</v>
      </c>
      <c r="E11" s="1510"/>
      <c r="F11" s="1511"/>
      <c r="G11" s="1474"/>
      <c r="H11" s="1467" t="s">
        <v>1348</v>
      </c>
      <c r="L11" s="1462"/>
      <c r="M11" s="1462"/>
      <c r="N11" s="1458" t="s">
        <v>236</v>
      </c>
      <c r="O11" s="1458"/>
      <c r="P11" s="1459">
        <v>0</v>
      </c>
      <c r="Q11" s="1463">
        <v>2018</v>
      </c>
      <c r="R11" s="1463"/>
      <c r="S11" s="1461">
        <v>8</v>
      </c>
      <c r="T11" s="1465"/>
    </row>
    <row r="12" spans="2:22" ht="28.5">
      <c r="B12" s="1451"/>
      <c r="C12" s="1453"/>
      <c r="D12" s="1512" t="s">
        <v>1340</v>
      </c>
      <c r="E12" s="1507" t="s">
        <v>1341</v>
      </c>
      <c r="F12" s="1507"/>
      <c r="G12" s="1471"/>
      <c r="H12" s="1505" t="s">
        <v>1349</v>
      </c>
      <c r="L12" s="1462"/>
      <c r="M12" s="1462"/>
      <c r="N12" s="1458" t="s">
        <v>237</v>
      </c>
      <c r="O12" s="1462"/>
      <c r="P12" s="1462"/>
      <c r="Q12" s="1463">
        <v>2017</v>
      </c>
      <c r="R12" s="1463"/>
      <c r="S12" s="1466">
        <v>9</v>
      </c>
      <c r="T12" s="1465"/>
    </row>
    <row r="13" spans="2:22" ht="28.5">
      <c r="B13" s="1451"/>
      <c r="C13" s="1453"/>
      <c r="D13" s="1512"/>
      <c r="E13" s="1507" t="s">
        <v>112</v>
      </c>
      <c r="F13" s="1454" t="s">
        <v>1342</v>
      </c>
      <c r="G13" s="1471"/>
      <c r="H13" s="1505"/>
      <c r="L13" s="1462"/>
      <c r="M13" s="1462"/>
      <c r="N13" s="1458" t="s">
        <v>238</v>
      </c>
      <c r="O13" s="1462"/>
      <c r="P13" s="1462"/>
      <c r="Q13" s="1463">
        <v>2016</v>
      </c>
      <c r="R13" s="1463"/>
      <c r="S13" s="1466">
        <v>10</v>
      </c>
      <c r="T13" s="1465"/>
    </row>
    <row r="14" spans="2:22" ht="28.5">
      <c r="B14" s="1451"/>
      <c r="C14" s="1453"/>
      <c r="D14" s="1512"/>
      <c r="E14" s="1507"/>
      <c r="F14" s="1454" t="s">
        <v>88</v>
      </c>
      <c r="G14" s="1471"/>
      <c r="H14" s="1505"/>
      <c r="L14" s="1462"/>
      <c r="M14" s="1462"/>
      <c r="N14" s="1462"/>
      <c r="O14" s="1462"/>
      <c r="P14" s="1462"/>
      <c r="Q14" s="1463">
        <v>2015</v>
      </c>
      <c r="R14" s="1460"/>
      <c r="S14" s="1466">
        <v>11</v>
      </c>
      <c r="T14" s="1465"/>
    </row>
    <row r="15" spans="2:22" ht="28.5">
      <c r="B15" s="1451"/>
      <c r="C15" s="1453"/>
      <c r="D15" s="1512"/>
      <c r="E15" s="1507" t="s">
        <v>1343</v>
      </c>
      <c r="F15" s="1454" t="s">
        <v>1342</v>
      </c>
      <c r="G15" s="1473"/>
      <c r="H15" s="1505"/>
      <c r="L15" s="1462"/>
      <c r="M15" s="1462"/>
      <c r="N15" s="1462"/>
      <c r="O15" s="1462"/>
      <c r="P15" s="1462"/>
      <c r="Q15" s="1463"/>
      <c r="R15" s="1462"/>
      <c r="S15" s="1466">
        <v>12</v>
      </c>
      <c r="T15" s="1465"/>
    </row>
    <row r="16" spans="2:22" ht="29.25" thickBot="1">
      <c r="B16" s="1468"/>
      <c r="C16" s="1469"/>
      <c r="D16" s="1513"/>
      <c r="E16" s="1508"/>
      <c r="F16" s="1470" t="s">
        <v>88</v>
      </c>
      <c r="G16" s="1472"/>
      <c r="H16" s="1506"/>
      <c r="L16" s="1462"/>
      <c r="M16" s="1462"/>
      <c r="N16" s="1462"/>
      <c r="O16" s="1462"/>
      <c r="P16" s="1462"/>
      <c r="Q16" s="1462"/>
      <c r="R16" s="1462"/>
      <c r="S16" s="1461">
        <v>1</v>
      </c>
      <c r="T16" s="1465"/>
    </row>
    <row r="17" spans="12:22" ht="17.25">
      <c r="O17" s="1460"/>
      <c r="P17" s="1460"/>
      <c r="Q17" s="1460"/>
      <c r="R17" s="1460"/>
      <c r="S17" s="1461">
        <v>2</v>
      </c>
      <c r="T17" s="1460"/>
      <c r="U17" s="1460"/>
      <c r="V17" s="1460"/>
    </row>
    <row r="18" spans="12:22" ht="17.25">
      <c r="L18" s="1460"/>
      <c r="M18" s="1460"/>
      <c r="N18" s="1460"/>
      <c r="O18" s="1460"/>
      <c r="P18" s="1460"/>
      <c r="Q18" s="1460"/>
      <c r="R18" s="1460"/>
      <c r="S18" s="1461">
        <v>3</v>
      </c>
    </row>
  </sheetData>
  <sheetProtection algorithmName="SHA-512" hashValue="fkT24/YQiexbjzedXHYbgxdJuELVSY2jef/VmA0Lp31tT/FkPBdydX9sRumFZ79EsLZ1M3SUoITyEZCu+vcgjw==" saltValue="jetvsM4fZL5s1NtGMurbrA==" spinCount="100000" sheet="1" objects="1" scenarios="1"/>
  <mergeCells count="7">
    <mergeCell ref="H12:H16"/>
    <mergeCell ref="E13:E14"/>
    <mergeCell ref="E15:E16"/>
    <mergeCell ref="D9:F9"/>
    <mergeCell ref="D11:F11"/>
    <mergeCell ref="D12:D16"/>
    <mergeCell ref="E12:F12"/>
  </mergeCells>
  <phoneticPr fontId="60"/>
  <dataValidations count="1">
    <dataValidation type="list" allowBlank="1" showInputMessage="1" showErrorMessage="1" sqref="G11" xr:uid="{9533E553-CC3B-4E6B-83E7-67F75083647D}">
      <formula1>$N$6:$N$13</formula1>
    </dataValidation>
  </dataValidations>
  <pageMargins left="0.7" right="0.7" top="0.75" bottom="0.75" header="0.3" footer="0.3"/>
  <pageSetup paperSize="9" scale="7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tabColor rgb="FF92D050"/>
  </sheetPr>
  <dimension ref="A1:AG121"/>
  <sheetViews>
    <sheetView view="pageBreakPreview" zoomScale="85" zoomScaleNormal="100" zoomScaleSheetLayoutView="85" workbookViewId="0">
      <selection activeCell="Y6" sqref="Y6"/>
    </sheetView>
  </sheetViews>
  <sheetFormatPr defaultRowHeight="13.5" outlineLevelCol="1"/>
  <cols>
    <col min="1" max="1" width="2.25" style="260" customWidth="1"/>
    <col min="2" max="2" width="4.25" style="260" customWidth="1"/>
    <col min="3" max="3" width="10.375" style="260" customWidth="1"/>
    <col min="4" max="4" width="8.625" style="260" customWidth="1"/>
    <col min="5" max="16" width="6.625" style="260" customWidth="1"/>
    <col min="17" max="17" width="8.625" style="260" customWidth="1"/>
    <col min="18" max="20" width="9" style="260" hidden="1" customWidth="1" outlineLevel="1"/>
    <col min="21" max="21" width="5.5" style="260" hidden="1" customWidth="1" outlineLevel="1"/>
    <col min="22" max="28" width="9" style="260" hidden="1" customWidth="1" outlineLevel="1"/>
    <col min="29" max="29" width="9" style="260" collapsed="1"/>
    <col min="30" max="257" width="9" style="260"/>
    <col min="258" max="258" width="2.25" style="260" customWidth="1"/>
    <col min="259" max="259" width="4.25" style="260" customWidth="1"/>
    <col min="260" max="260" width="10.375" style="260" customWidth="1"/>
    <col min="261" max="261" width="8.625" style="260" customWidth="1"/>
    <col min="262" max="273" width="6.625" style="260" customWidth="1"/>
    <col min="274" max="274" width="8.625" style="260" customWidth="1"/>
    <col min="275" max="513" width="9" style="260"/>
    <col min="514" max="514" width="2.25" style="260" customWidth="1"/>
    <col min="515" max="515" width="4.25" style="260" customWidth="1"/>
    <col min="516" max="516" width="10.375" style="260" customWidth="1"/>
    <col min="517" max="517" width="8.625" style="260" customWidth="1"/>
    <col min="518" max="529" width="6.625" style="260" customWidth="1"/>
    <col min="530" max="530" width="8.625" style="260" customWidth="1"/>
    <col min="531" max="769" width="9" style="260"/>
    <col min="770" max="770" width="2.25" style="260" customWidth="1"/>
    <col min="771" max="771" width="4.25" style="260" customWidth="1"/>
    <col min="772" max="772" width="10.375" style="260" customWidth="1"/>
    <col min="773" max="773" width="8.625" style="260" customWidth="1"/>
    <col min="774" max="785" width="6.625" style="260" customWidth="1"/>
    <col min="786" max="786" width="8.625" style="260" customWidth="1"/>
    <col min="787" max="1025" width="9" style="260"/>
    <col min="1026" max="1026" width="2.25" style="260" customWidth="1"/>
    <col min="1027" max="1027" width="4.25" style="260" customWidth="1"/>
    <col min="1028" max="1028" width="10.375" style="260" customWidth="1"/>
    <col min="1029" max="1029" width="8.625" style="260" customWidth="1"/>
    <col min="1030" max="1041" width="6.625" style="260" customWidth="1"/>
    <col min="1042" max="1042" width="8.625" style="260" customWidth="1"/>
    <col min="1043" max="1281" width="9" style="260"/>
    <col min="1282" max="1282" width="2.25" style="260" customWidth="1"/>
    <col min="1283" max="1283" width="4.25" style="260" customWidth="1"/>
    <col min="1284" max="1284" width="10.375" style="260" customWidth="1"/>
    <col min="1285" max="1285" width="8.625" style="260" customWidth="1"/>
    <col min="1286" max="1297" width="6.625" style="260" customWidth="1"/>
    <col min="1298" max="1298" width="8.625" style="260" customWidth="1"/>
    <col min="1299" max="1537" width="9" style="260"/>
    <col min="1538" max="1538" width="2.25" style="260" customWidth="1"/>
    <col min="1539" max="1539" width="4.25" style="260" customWidth="1"/>
    <col min="1540" max="1540" width="10.375" style="260" customWidth="1"/>
    <col min="1541" max="1541" width="8.625" style="260" customWidth="1"/>
    <col min="1542" max="1553" width="6.625" style="260" customWidth="1"/>
    <col min="1554" max="1554" width="8.625" style="260" customWidth="1"/>
    <col min="1555" max="1793" width="9" style="260"/>
    <col min="1794" max="1794" width="2.25" style="260" customWidth="1"/>
    <col min="1795" max="1795" width="4.25" style="260" customWidth="1"/>
    <col min="1796" max="1796" width="10.375" style="260" customWidth="1"/>
    <col min="1797" max="1797" width="8.625" style="260" customWidth="1"/>
    <col min="1798" max="1809" width="6.625" style="260" customWidth="1"/>
    <col min="1810" max="1810" width="8.625" style="260" customWidth="1"/>
    <col min="1811" max="2049" width="9" style="260"/>
    <col min="2050" max="2050" width="2.25" style="260" customWidth="1"/>
    <col min="2051" max="2051" width="4.25" style="260" customWidth="1"/>
    <col min="2052" max="2052" width="10.375" style="260" customWidth="1"/>
    <col min="2053" max="2053" width="8.625" style="260" customWidth="1"/>
    <col min="2054" max="2065" width="6.625" style="260" customWidth="1"/>
    <col min="2066" max="2066" width="8.625" style="260" customWidth="1"/>
    <col min="2067" max="2305" width="9" style="260"/>
    <col min="2306" max="2306" width="2.25" style="260" customWidth="1"/>
    <col min="2307" max="2307" width="4.25" style="260" customWidth="1"/>
    <col min="2308" max="2308" width="10.375" style="260" customWidth="1"/>
    <col min="2309" max="2309" width="8.625" style="260" customWidth="1"/>
    <col min="2310" max="2321" width="6.625" style="260" customWidth="1"/>
    <col min="2322" max="2322" width="8.625" style="260" customWidth="1"/>
    <col min="2323" max="2561" width="9" style="260"/>
    <col min="2562" max="2562" width="2.25" style="260" customWidth="1"/>
    <col min="2563" max="2563" width="4.25" style="260" customWidth="1"/>
    <col min="2564" max="2564" width="10.375" style="260" customWidth="1"/>
    <col min="2565" max="2565" width="8.625" style="260" customWidth="1"/>
    <col min="2566" max="2577" width="6.625" style="260" customWidth="1"/>
    <col min="2578" max="2578" width="8.625" style="260" customWidth="1"/>
    <col min="2579" max="2817" width="9" style="260"/>
    <col min="2818" max="2818" width="2.25" style="260" customWidth="1"/>
    <col min="2819" max="2819" width="4.25" style="260" customWidth="1"/>
    <col min="2820" max="2820" width="10.375" style="260" customWidth="1"/>
    <col min="2821" max="2821" width="8.625" style="260" customWidth="1"/>
    <col min="2822" max="2833" width="6.625" style="260" customWidth="1"/>
    <col min="2834" max="2834" width="8.625" style="260" customWidth="1"/>
    <col min="2835" max="3073" width="9" style="260"/>
    <col min="3074" max="3074" width="2.25" style="260" customWidth="1"/>
    <col min="3075" max="3075" width="4.25" style="260" customWidth="1"/>
    <col min="3076" max="3076" width="10.375" style="260" customWidth="1"/>
    <col min="3077" max="3077" width="8.625" style="260" customWidth="1"/>
    <col min="3078" max="3089" width="6.625" style="260" customWidth="1"/>
    <col min="3090" max="3090" width="8.625" style="260" customWidth="1"/>
    <col min="3091" max="3329" width="9" style="260"/>
    <col min="3330" max="3330" width="2.25" style="260" customWidth="1"/>
    <col min="3331" max="3331" width="4.25" style="260" customWidth="1"/>
    <col min="3332" max="3332" width="10.375" style="260" customWidth="1"/>
    <col min="3333" max="3333" width="8.625" style="260" customWidth="1"/>
    <col min="3334" max="3345" width="6.625" style="260" customWidth="1"/>
    <col min="3346" max="3346" width="8.625" style="260" customWidth="1"/>
    <col min="3347" max="3585" width="9" style="260"/>
    <col min="3586" max="3586" width="2.25" style="260" customWidth="1"/>
    <col min="3587" max="3587" width="4.25" style="260" customWidth="1"/>
    <col min="3588" max="3588" width="10.375" style="260" customWidth="1"/>
    <col min="3589" max="3589" width="8.625" style="260" customWidth="1"/>
    <col min="3590" max="3601" width="6.625" style="260" customWidth="1"/>
    <col min="3602" max="3602" width="8.625" style="260" customWidth="1"/>
    <col min="3603" max="3841" width="9" style="260"/>
    <col min="3842" max="3842" width="2.25" style="260" customWidth="1"/>
    <col min="3843" max="3843" width="4.25" style="260" customWidth="1"/>
    <col min="3844" max="3844" width="10.375" style="260" customWidth="1"/>
    <col min="3845" max="3845" width="8.625" style="260" customWidth="1"/>
    <col min="3846" max="3857" width="6.625" style="260" customWidth="1"/>
    <col min="3858" max="3858" width="8.625" style="260" customWidth="1"/>
    <col min="3859" max="4097" width="9" style="260"/>
    <col min="4098" max="4098" width="2.25" style="260" customWidth="1"/>
    <col min="4099" max="4099" width="4.25" style="260" customWidth="1"/>
    <col min="4100" max="4100" width="10.375" style="260" customWidth="1"/>
    <col min="4101" max="4101" width="8.625" style="260" customWidth="1"/>
    <col min="4102" max="4113" width="6.625" style="260" customWidth="1"/>
    <col min="4114" max="4114" width="8.625" style="260" customWidth="1"/>
    <col min="4115" max="4353" width="9" style="260"/>
    <col min="4354" max="4354" width="2.25" style="260" customWidth="1"/>
    <col min="4355" max="4355" width="4.25" style="260" customWidth="1"/>
    <col min="4356" max="4356" width="10.375" style="260" customWidth="1"/>
    <col min="4357" max="4357" width="8.625" style="260" customWidth="1"/>
    <col min="4358" max="4369" width="6.625" style="260" customWidth="1"/>
    <col min="4370" max="4370" width="8.625" style="260" customWidth="1"/>
    <col min="4371" max="4609" width="9" style="260"/>
    <col min="4610" max="4610" width="2.25" style="260" customWidth="1"/>
    <col min="4611" max="4611" width="4.25" style="260" customWidth="1"/>
    <col min="4612" max="4612" width="10.375" style="260" customWidth="1"/>
    <col min="4613" max="4613" width="8.625" style="260" customWidth="1"/>
    <col min="4614" max="4625" width="6.625" style="260" customWidth="1"/>
    <col min="4626" max="4626" width="8.625" style="260" customWidth="1"/>
    <col min="4627" max="4865" width="9" style="260"/>
    <col min="4866" max="4866" width="2.25" style="260" customWidth="1"/>
    <col min="4867" max="4867" width="4.25" style="260" customWidth="1"/>
    <col min="4868" max="4868" width="10.375" style="260" customWidth="1"/>
    <col min="4869" max="4869" width="8.625" style="260" customWidth="1"/>
    <col min="4870" max="4881" width="6.625" style="260" customWidth="1"/>
    <col min="4882" max="4882" width="8.625" style="260" customWidth="1"/>
    <col min="4883" max="5121" width="9" style="260"/>
    <col min="5122" max="5122" width="2.25" style="260" customWidth="1"/>
    <col min="5123" max="5123" width="4.25" style="260" customWidth="1"/>
    <col min="5124" max="5124" width="10.375" style="260" customWidth="1"/>
    <col min="5125" max="5125" width="8.625" style="260" customWidth="1"/>
    <col min="5126" max="5137" width="6.625" style="260" customWidth="1"/>
    <col min="5138" max="5138" width="8.625" style="260" customWidth="1"/>
    <col min="5139" max="5377" width="9" style="260"/>
    <col min="5378" max="5378" width="2.25" style="260" customWidth="1"/>
    <col min="5379" max="5379" width="4.25" style="260" customWidth="1"/>
    <col min="5380" max="5380" width="10.375" style="260" customWidth="1"/>
    <col min="5381" max="5381" width="8.625" style="260" customWidth="1"/>
    <col min="5382" max="5393" width="6.625" style="260" customWidth="1"/>
    <col min="5394" max="5394" width="8.625" style="260" customWidth="1"/>
    <col min="5395" max="5633" width="9" style="260"/>
    <col min="5634" max="5634" width="2.25" style="260" customWidth="1"/>
    <col min="5635" max="5635" width="4.25" style="260" customWidth="1"/>
    <col min="5636" max="5636" width="10.375" style="260" customWidth="1"/>
    <col min="5637" max="5637" width="8.625" style="260" customWidth="1"/>
    <col min="5638" max="5649" width="6.625" style="260" customWidth="1"/>
    <col min="5650" max="5650" width="8.625" style="260" customWidth="1"/>
    <col min="5651" max="5889" width="9" style="260"/>
    <col min="5890" max="5890" width="2.25" style="260" customWidth="1"/>
    <col min="5891" max="5891" width="4.25" style="260" customWidth="1"/>
    <col min="5892" max="5892" width="10.375" style="260" customWidth="1"/>
    <col min="5893" max="5893" width="8.625" style="260" customWidth="1"/>
    <col min="5894" max="5905" width="6.625" style="260" customWidth="1"/>
    <col min="5906" max="5906" width="8.625" style="260" customWidth="1"/>
    <col min="5907" max="6145" width="9" style="260"/>
    <col min="6146" max="6146" width="2.25" style="260" customWidth="1"/>
    <col min="6147" max="6147" width="4.25" style="260" customWidth="1"/>
    <col min="6148" max="6148" width="10.375" style="260" customWidth="1"/>
    <col min="6149" max="6149" width="8.625" style="260" customWidth="1"/>
    <col min="6150" max="6161" width="6.625" style="260" customWidth="1"/>
    <col min="6162" max="6162" width="8.625" style="260" customWidth="1"/>
    <col min="6163" max="6401" width="9" style="260"/>
    <col min="6402" max="6402" width="2.25" style="260" customWidth="1"/>
    <col min="6403" max="6403" width="4.25" style="260" customWidth="1"/>
    <col min="6404" max="6404" width="10.375" style="260" customWidth="1"/>
    <col min="6405" max="6405" width="8.625" style="260" customWidth="1"/>
    <col min="6406" max="6417" width="6.625" style="260" customWidth="1"/>
    <col min="6418" max="6418" width="8.625" style="260" customWidth="1"/>
    <col min="6419" max="6657" width="9" style="260"/>
    <col min="6658" max="6658" width="2.25" style="260" customWidth="1"/>
    <col min="6659" max="6659" width="4.25" style="260" customWidth="1"/>
    <col min="6660" max="6660" width="10.375" style="260" customWidth="1"/>
    <col min="6661" max="6661" width="8.625" style="260" customWidth="1"/>
    <col min="6662" max="6673" width="6.625" style="260" customWidth="1"/>
    <col min="6674" max="6674" width="8.625" style="260" customWidth="1"/>
    <col min="6675" max="6913" width="9" style="260"/>
    <col min="6914" max="6914" width="2.25" style="260" customWidth="1"/>
    <col min="6915" max="6915" width="4.25" style="260" customWidth="1"/>
    <col min="6916" max="6916" width="10.375" style="260" customWidth="1"/>
    <col min="6917" max="6917" width="8.625" style="260" customWidth="1"/>
    <col min="6918" max="6929" width="6.625" style="260" customWidth="1"/>
    <col min="6930" max="6930" width="8.625" style="260" customWidth="1"/>
    <col min="6931" max="7169" width="9" style="260"/>
    <col min="7170" max="7170" width="2.25" style="260" customWidth="1"/>
    <col min="7171" max="7171" width="4.25" style="260" customWidth="1"/>
    <col min="7172" max="7172" width="10.375" style="260" customWidth="1"/>
    <col min="7173" max="7173" width="8.625" style="260" customWidth="1"/>
    <col min="7174" max="7185" width="6.625" style="260" customWidth="1"/>
    <col min="7186" max="7186" width="8.625" style="260" customWidth="1"/>
    <col min="7187" max="7425" width="9" style="260"/>
    <col min="7426" max="7426" width="2.25" style="260" customWidth="1"/>
    <col min="7427" max="7427" width="4.25" style="260" customWidth="1"/>
    <col min="7428" max="7428" width="10.375" style="260" customWidth="1"/>
    <col min="7429" max="7429" width="8.625" style="260" customWidth="1"/>
    <col min="7430" max="7441" width="6.625" style="260" customWidth="1"/>
    <col min="7442" max="7442" width="8.625" style="260" customWidth="1"/>
    <col min="7443" max="7681" width="9" style="260"/>
    <col min="7682" max="7682" width="2.25" style="260" customWidth="1"/>
    <col min="7683" max="7683" width="4.25" style="260" customWidth="1"/>
    <col min="7684" max="7684" width="10.375" style="260" customWidth="1"/>
    <col min="7685" max="7685" width="8.625" style="260" customWidth="1"/>
    <col min="7686" max="7697" width="6.625" style="260" customWidth="1"/>
    <col min="7698" max="7698" width="8.625" style="260" customWidth="1"/>
    <col min="7699" max="7937" width="9" style="260"/>
    <col min="7938" max="7938" width="2.25" style="260" customWidth="1"/>
    <col min="7939" max="7939" width="4.25" style="260" customWidth="1"/>
    <col min="7940" max="7940" width="10.375" style="260" customWidth="1"/>
    <col min="7941" max="7941" width="8.625" style="260" customWidth="1"/>
    <col min="7942" max="7953" width="6.625" style="260" customWidth="1"/>
    <col min="7954" max="7954" width="8.625" style="260" customWidth="1"/>
    <col min="7955" max="8193" width="9" style="260"/>
    <col min="8194" max="8194" width="2.25" style="260" customWidth="1"/>
    <col min="8195" max="8195" width="4.25" style="260" customWidth="1"/>
    <col min="8196" max="8196" width="10.375" style="260" customWidth="1"/>
    <col min="8197" max="8197" width="8.625" style="260" customWidth="1"/>
    <col min="8198" max="8209" width="6.625" style="260" customWidth="1"/>
    <col min="8210" max="8210" width="8.625" style="260" customWidth="1"/>
    <col min="8211" max="8449" width="9" style="260"/>
    <col min="8450" max="8450" width="2.25" style="260" customWidth="1"/>
    <col min="8451" max="8451" width="4.25" style="260" customWidth="1"/>
    <col min="8452" max="8452" width="10.375" style="260" customWidth="1"/>
    <col min="8453" max="8453" width="8.625" style="260" customWidth="1"/>
    <col min="8454" max="8465" width="6.625" style="260" customWidth="1"/>
    <col min="8466" max="8466" width="8.625" style="260" customWidth="1"/>
    <col min="8467" max="8705" width="9" style="260"/>
    <col min="8706" max="8706" width="2.25" style="260" customWidth="1"/>
    <col min="8707" max="8707" width="4.25" style="260" customWidth="1"/>
    <col min="8708" max="8708" width="10.375" style="260" customWidth="1"/>
    <col min="8709" max="8709" width="8.625" style="260" customWidth="1"/>
    <col min="8710" max="8721" width="6.625" style="260" customWidth="1"/>
    <col min="8722" max="8722" width="8.625" style="260" customWidth="1"/>
    <col min="8723" max="8961" width="9" style="260"/>
    <col min="8962" max="8962" width="2.25" style="260" customWidth="1"/>
    <col min="8963" max="8963" width="4.25" style="260" customWidth="1"/>
    <col min="8964" max="8964" width="10.375" style="260" customWidth="1"/>
    <col min="8965" max="8965" width="8.625" style="260" customWidth="1"/>
    <col min="8966" max="8977" width="6.625" style="260" customWidth="1"/>
    <col min="8978" max="8978" width="8.625" style="260" customWidth="1"/>
    <col min="8979" max="9217" width="9" style="260"/>
    <col min="9218" max="9218" width="2.25" style="260" customWidth="1"/>
    <col min="9219" max="9219" width="4.25" style="260" customWidth="1"/>
    <col min="9220" max="9220" width="10.375" style="260" customWidth="1"/>
    <col min="9221" max="9221" width="8.625" style="260" customWidth="1"/>
    <col min="9222" max="9233" width="6.625" style="260" customWidth="1"/>
    <col min="9234" max="9234" width="8.625" style="260" customWidth="1"/>
    <col min="9235" max="9473" width="9" style="260"/>
    <col min="9474" max="9474" width="2.25" style="260" customWidth="1"/>
    <col min="9475" max="9475" width="4.25" style="260" customWidth="1"/>
    <col min="9476" max="9476" width="10.375" style="260" customWidth="1"/>
    <col min="9477" max="9477" width="8.625" style="260" customWidth="1"/>
    <col min="9478" max="9489" width="6.625" style="260" customWidth="1"/>
    <col min="9490" max="9490" width="8.625" style="260" customWidth="1"/>
    <col min="9491" max="9729" width="9" style="260"/>
    <col min="9730" max="9730" width="2.25" style="260" customWidth="1"/>
    <col min="9731" max="9731" width="4.25" style="260" customWidth="1"/>
    <col min="9732" max="9732" width="10.375" style="260" customWidth="1"/>
    <col min="9733" max="9733" width="8.625" style="260" customWidth="1"/>
    <col min="9734" max="9745" width="6.625" style="260" customWidth="1"/>
    <col min="9746" max="9746" width="8.625" style="260" customWidth="1"/>
    <col min="9747" max="9985" width="9" style="260"/>
    <col min="9986" max="9986" width="2.25" style="260" customWidth="1"/>
    <col min="9987" max="9987" width="4.25" style="260" customWidth="1"/>
    <col min="9988" max="9988" width="10.375" style="260" customWidth="1"/>
    <col min="9989" max="9989" width="8.625" style="260" customWidth="1"/>
    <col min="9990" max="10001" width="6.625" style="260" customWidth="1"/>
    <col min="10002" max="10002" width="8.625" style="260" customWidth="1"/>
    <col min="10003" max="10241" width="9" style="260"/>
    <col min="10242" max="10242" width="2.25" style="260" customWidth="1"/>
    <col min="10243" max="10243" width="4.25" style="260" customWidth="1"/>
    <col min="10244" max="10244" width="10.375" style="260" customWidth="1"/>
    <col min="10245" max="10245" width="8.625" style="260" customWidth="1"/>
    <col min="10246" max="10257" width="6.625" style="260" customWidth="1"/>
    <col min="10258" max="10258" width="8.625" style="260" customWidth="1"/>
    <col min="10259" max="10497" width="9" style="260"/>
    <col min="10498" max="10498" width="2.25" style="260" customWidth="1"/>
    <col min="10499" max="10499" width="4.25" style="260" customWidth="1"/>
    <col min="10500" max="10500" width="10.375" style="260" customWidth="1"/>
    <col min="10501" max="10501" width="8.625" style="260" customWidth="1"/>
    <col min="10502" max="10513" width="6.625" style="260" customWidth="1"/>
    <col min="10514" max="10514" width="8.625" style="260" customWidth="1"/>
    <col min="10515" max="10753" width="9" style="260"/>
    <col min="10754" max="10754" width="2.25" style="260" customWidth="1"/>
    <col min="10755" max="10755" width="4.25" style="260" customWidth="1"/>
    <col min="10756" max="10756" width="10.375" style="260" customWidth="1"/>
    <col min="10757" max="10757" width="8.625" style="260" customWidth="1"/>
    <col min="10758" max="10769" width="6.625" style="260" customWidth="1"/>
    <col min="10770" max="10770" width="8.625" style="260" customWidth="1"/>
    <col min="10771" max="11009" width="9" style="260"/>
    <col min="11010" max="11010" width="2.25" style="260" customWidth="1"/>
    <col min="11011" max="11011" width="4.25" style="260" customWidth="1"/>
    <col min="11012" max="11012" width="10.375" style="260" customWidth="1"/>
    <col min="11013" max="11013" width="8.625" style="260" customWidth="1"/>
    <col min="11014" max="11025" width="6.625" style="260" customWidth="1"/>
    <col min="11026" max="11026" width="8.625" style="260" customWidth="1"/>
    <col min="11027" max="11265" width="9" style="260"/>
    <col min="11266" max="11266" width="2.25" style="260" customWidth="1"/>
    <col min="11267" max="11267" width="4.25" style="260" customWidth="1"/>
    <col min="11268" max="11268" width="10.375" style="260" customWidth="1"/>
    <col min="11269" max="11269" width="8.625" style="260" customWidth="1"/>
    <col min="11270" max="11281" width="6.625" style="260" customWidth="1"/>
    <col min="11282" max="11282" width="8.625" style="260" customWidth="1"/>
    <col min="11283" max="11521" width="9" style="260"/>
    <col min="11522" max="11522" width="2.25" style="260" customWidth="1"/>
    <col min="11523" max="11523" width="4.25" style="260" customWidth="1"/>
    <col min="11524" max="11524" width="10.375" style="260" customWidth="1"/>
    <col min="11525" max="11525" width="8.625" style="260" customWidth="1"/>
    <col min="11526" max="11537" width="6.625" style="260" customWidth="1"/>
    <col min="11538" max="11538" width="8.625" style="260" customWidth="1"/>
    <col min="11539" max="11777" width="9" style="260"/>
    <col min="11778" max="11778" width="2.25" style="260" customWidth="1"/>
    <col min="11779" max="11779" width="4.25" style="260" customWidth="1"/>
    <col min="11780" max="11780" width="10.375" style="260" customWidth="1"/>
    <col min="11781" max="11781" width="8.625" style="260" customWidth="1"/>
    <col min="11782" max="11793" width="6.625" style="260" customWidth="1"/>
    <col min="11794" max="11794" width="8.625" style="260" customWidth="1"/>
    <col min="11795" max="12033" width="9" style="260"/>
    <col min="12034" max="12034" width="2.25" style="260" customWidth="1"/>
    <col min="12035" max="12035" width="4.25" style="260" customWidth="1"/>
    <col min="12036" max="12036" width="10.375" style="260" customWidth="1"/>
    <col min="12037" max="12037" width="8.625" style="260" customWidth="1"/>
    <col min="12038" max="12049" width="6.625" style="260" customWidth="1"/>
    <col min="12050" max="12050" width="8.625" style="260" customWidth="1"/>
    <col min="12051" max="12289" width="9" style="260"/>
    <col min="12290" max="12290" width="2.25" style="260" customWidth="1"/>
    <col min="12291" max="12291" width="4.25" style="260" customWidth="1"/>
    <col min="12292" max="12292" width="10.375" style="260" customWidth="1"/>
    <col min="12293" max="12293" width="8.625" style="260" customWidth="1"/>
    <col min="12294" max="12305" width="6.625" style="260" customWidth="1"/>
    <col min="12306" max="12306" width="8.625" style="260" customWidth="1"/>
    <col min="12307" max="12545" width="9" style="260"/>
    <col min="12546" max="12546" width="2.25" style="260" customWidth="1"/>
    <col min="12547" max="12547" width="4.25" style="260" customWidth="1"/>
    <col min="12548" max="12548" width="10.375" style="260" customWidth="1"/>
    <col min="12549" max="12549" width="8.625" style="260" customWidth="1"/>
    <col min="12550" max="12561" width="6.625" style="260" customWidth="1"/>
    <col min="12562" max="12562" width="8.625" style="260" customWidth="1"/>
    <col min="12563" max="12801" width="9" style="260"/>
    <col min="12802" max="12802" width="2.25" style="260" customWidth="1"/>
    <col min="12803" max="12803" width="4.25" style="260" customWidth="1"/>
    <col min="12804" max="12804" width="10.375" style="260" customWidth="1"/>
    <col min="12805" max="12805" width="8.625" style="260" customWidth="1"/>
    <col min="12806" max="12817" width="6.625" style="260" customWidth="1"/>
    <col min="12818" max="12818" width="8.625" style="260" customWidth="1"/>
    <col min="12819" max="13057" width="9" style="260"/>
    <col min="13058" max="13058" width="2.25" style="260" customWidth="1"/>
    <col min="13059" max="13059" width="4.25" style="260" customWidth="1"/>
    <col min="13060" max="13060" width="10.375" style="260" customWidth="1"/>
    <col min="13061" max="13061" width="8.625" style="260" customWidth="1"/>
    <col min="13062" max="13073" width="6.625" style="260" customWidth="1"/>
    <col min="13074" max="13074" width="8.625" style="260" customWidth="1"/>
    <col min="13075" max="13313" width="9" style="260"/>
    <col min="13314" max="13314" width="2.25" style="260" customWidth="1"/>
    <col min="13315" max="13315" width="4.25" style="260" customWidth="1"/>
    <col min="13316" max="13316" width="10.375" style="260" customWidth="1"/>
    <col min="13317" max="13317" width="8.625" style="260" customWidth="1"/>
    <col min="13318" max="13329" width="6.625" style="260" customWidth="1"/>
    <col min="13330" max="13330" width="8.625" style="260" customWidth="1"/>
    <col min="13331" max="13569" width="9" style="260"/>
    <col min="13570" max="13570" width="2.25" style="260" customWidth="1"/>
    <col min="13571" max="13571" width="4.25" style="260" customWidth="1"/>
    <col min="13572" max="13572" width="10.375" style="260" customWidth="1"/>
    <col min="13573" max="13573" width="8.625" style="260" customWidth="1"/>
    <col min="13574" max="13585" width="6.625" style="260" customWidth="1"/>
    <col min="13586" max="13586" width="8.625" style="260" customWidth="1"/>
    <col min="13587" max="13825" width="9" style="260"/>
    <col min="13826" max="13826" width="2.25" style="260" customWidth="1"/>
    <col min="13827" max="13827" width="4.25" style="260" customWidth="1"/>
    <col min="13828" max="13828" width="10.375" style="260" customWidth="1"/>
    <col min="13829" max="13829" width="8.625" style="260" customWidth="1"/>
    <col min="13830" max="13841" width="6.625" style="260" customWidth="1"/>
    <col min="13842" max="13842" width="8.625" style="260" customWidth="1"/>
    <col min="13843" max="14081" width="9" style="260"/>
    <col min="14082" max="14082" width="2.25" style="260" customWidth="1"/>
    <col min="14083" max="14083" width="4.25" style="260" customWidth="1"/>
    <col min="14084" max="14084" width="10.375" style="260" customWidth="1"/>
    <col min="14085" max="14085" width="8.625" style="260" customWidth="1"/>
    <col min="14086" max="14097" width="6.625" style="260" customWidth="1"/>
    <col min="14098" max="14098" width="8.625" style="260" customWidth="1"/>
    <col min="14099" max="14337" width="9" style="260"/>
    <col min="14338" max="14338" width="2.25" style="260" customWidth="1"/>
    <col min="14339" max="14339" width="4.25" style="260" customWidth="1"/>
    <col min="14340" max="14340" width="10.375" style="260" customWidth="1"/>
    <col min="14341" max="14341" width="8.625" style="260" customWidth="1"/>
    <col min="14342" max="14353" width="6.625" style="260" customWidth="1"/>
    <col min="14354" max="14354" width="8.625" style="260" customWidth="1"/>
    <col min="14355" max="14593" width="9" style="260"/>
    <col min="14594" max="14594" width="2.25" style="260" customWidth="1"/>
    <col min="14595" max="14595" width="4.25" style="260" customWidth="1"/>
    <col min="14596" max="14596" width="10.375" style="260" customWidth="1"/>
    <col min="14597" max="14597" width="8.625" style="260" customWidth="1"/>
    <col min="14598" max="14609" width="6.625" style="260" customWidth="1"/>
    <col min="14610" max="14610" width="8.625" style="260" customWidth="1"/>
    <col min="14611" max="14849" width="9" style="260"/>
    <col min="14850" max="14850" width="2.25" style="260" customWidth="1"/>
    <col min="14851" max="14851" width="4.25" style="260" customWidth="1"/>
    <col min="14852" max="14852" width="10.375" style="260" customWidth="1"/>
    <col min="14853" max="14853" width="8.625" style="260" customWidth="1"/>
    <col min="14854" max="14865" width="6.625" style="260" customWidth="1"/>
    <col min="14866" max="14866" width="8.625" style="260" customWidth="1"/>
    <col min="14867" max="15105" width="9" style="260"/>
    <col min="15106" max="15106" width="2.25" style="260" customWidth="1"/>
    <col min="15107" max="15107" width="4.25" style="260" customWidth="1"/>
    <col min="15108" max="15108" width="10.375" style="260" customWidth="1"/>
    <col min="15109" max="15109" width="8.625" style="260" customWidth="1"/>
    <col min="15110" max="15121" width="6.625" style="260" customWidth="1"/>
    <col min="15122" max="15122" width="8.625" style="260" customWidth="1"/>
    <col min="15123" max="15361" width="9" style="260"/>
    <col min="15362" max="15362" width="2.25" style="260" customWidth="1"/>
    <col min="15363" max="15363" width="4.25" style="260" customWidth="1"/>
    <col min="15364" max="15364" width="10.375" style="260" customWidth="1"/>
    <col min="15365" max="15365" width="8.625" style="260" customWidth="1"/>
    <col min="15366" max="15377" width="6.625" style="260" customWidth="1"/>
    <col min="15378" max="15378" width="8.625" style="260" customWidth="1"/>
    <col min="15379" max="15617" width="9" style="260"/>
    <col min="15618" max="15618" width="2.25" style="260" customWidth="1"/>
    <col min="15619" max="15619" width="4.25" style="260" customWidth="1"/>
    <col min="15620" max="15620" width="10.375" style="260" customWidth="1"/>
    <col min="15621" max="15621" width="8.625" style="260" customWidth="1"/>
    <col min="15622" max="15633" width="6.625" style="260" customWidth="1"/>
    <col min="15634" max="15634" width="8.625" style="260" customWidth="1"/>
    <col min="15635" max="15873" width="9" style="260"/>
    <col min="15874" max="15874" width="2.25" style="260" customWidth="1"/>
    <col min="15875" max="15875" width="4.25" style="260" customWidth="1"/>
    <col min="15876" max="15876" width="10.375" style="260" customWidth="1"/>
    <col min="15877" max="15877" width="8.625" style="260" customWidth="1"/>
    <col min="15878" max="15889" width="6.625" style="260" customWidth="1"/>
    <col min="15890" max="15890" width="8.625" style="260" customWidth="1"/>
    <col min="15891" max="16129" width="9" style="260"/>
    <col min="16130" max="16130" width="2.25" style="260" customWidth="1"/>
    <col min="16131" max="16131" width="4.25" style="260" customWidth="1"/>
    <col min="16132" max="16132" width="10.375" style="260" customWidth="1"/>
    <col min="16133" max="16133" width="8.625" style="260" customWidth="1"/>
    <col min="16134" max="16145" width="6.625" style="260" customWidth="1"/>
    <col min="16146" max="16146" width="8.625" style="260" customWidth="1"/>
    <col min="16147" max="16384" width="9" style="260"/>
  </cols>
  <sheetData>
    <row r="1" spans="1:33" ht="20.100000000000001" customHeight="1">
      <c r="A1" s="1526" t="s">
        <v>750</v>
      </c>
      <c r="B1" s="1526"/>
      <c r="C1" s="1526"/>
      <c r="D1" s="1526"/>
      <c r="E1" s="1526"/>
      <c r="F1" s="1526"/>
      <c r="G1" s="1526"/>
      <c r="H1" s="1526"/>
      <c r="I1" s="1526"/>
      <c r="J1" s="1526"/>
      <c r="K1" s="1526"/>
      <c r="L1" s="1526"/>
      <c r="M1" s="1526"/>
      <c r="N1" s="1526"/>
      <c r="O1" s="1525" t="str">
        <f>CONCATENATE('入力（基本)'!G11)</f>
        <v/>
      </c>
      <c r="P1" s="1525"/>
      <c r="Q1" s="1525"/>
      <c r="T1" s="1522" t="s">
        <v>182</v>
      </c>
      <c r="U1" s="1524"/>
      <c r="V1" s="1522" t="s">
        <v>760</v>
      </c>
      <c r="W1" s="1523"/>
      <c r="X1" s="1523"/>
      <c r="Y1" s="1523"/>
      <c r="Z1" s="1523"/>
      <c r="AA1" s="1523"/>
      <c r="AB1" s="1524"/>
    </row>
    <row r="2" spans="1:33" ht="13.5" customHeight="1">
      <c r="A2" s="262"/>
      <c r="B2" s="262"/>
      <c r="C2" s="263"/>
      <c r="D2" s="262"/>
      <c r="E2" s="262"/>
      <c r="F2" s="262"/>
      <c r="G2" s="262"/>
      <c r="H2" s="262"/>
      <c r="I2" s="262"/>
      <c r="J2" s="262"/>
      <c r="K2" s="262"/>
      <c r="L2" s="262"/>
      <c r="M2" s="262"/>
      <c r="N2" s="262"/>
      <c r="O2" s="262"/>
      <c r="P2" s="262"/>
      <c r="Q2" s="262"/>
      <c r="T2" s="261"/>
      <c r="U2" s="261"/>
      <c r="V2" s="372"/>
      <c r="W2" s="372" t="s">
        <v>761</v>
      </c>
      <c r="X2" s="372"/>
      <c r="Y2" s="373" t="s">
        <v>762</v>
      </c>
      <c r="Z2" s="374" t="s">
        <v>763</v>
      </c>
      <c r="AA2" s="261"/>
      <c r="AB2" s="261" t="s">
        <v>779</v>
      </c>
    </row>
    <row r="3" spans="1:33" ht="20.100000000000001" customHeight="1">
      <c r="A3" s="262"/>
      <c r="B3" s="352" t="s">
        <v>821</v>
      </c>
      <c r="C3" s="262"/>
      <c r="D3" s="262"/>
      <c r="E3" s="262"/>
      <c r="F3" s="262"/>
      <c r="G3" s="262"/>
      <c r="H3" s="265"/>
      <c r="I3" s="265"/>
      <c r="J3" s="265"/>
      <c r="K3" s="265"/>
      <c r="L3" s="265"/>
      <c r="M3" s="265"/>
      <c r="N3" s="265"/>
      <c r="O3" s="265"/>
      <c r="P3" s="265"/>
      <c r="Q3" s="265"/>
      <c r="T3" s="261" t="s">
        <v>756</v>
      </c>
      <c r="U3" s="261" t="s">
        <v>758</v>
      </c>
      <c r="V3" s="261" t="s">
        <v>752</v>
      </c>
      <c r="W3" s="261">
        <f>IF($N$55="はい",Q73,Q37)</f>
        <v>0</v>
      </c>
      <c r="X3" s="261" t="s">
        <v>203</v>
      </c>
      <c r="Y3" s="261">
        <f>IF($N$55="はい",Q78,Q42)</f>
        <v>0</v>
      </c>
      <c r="Z3" s="297">
        <f>IF($N$55="はい",Q84,Q48)</f>
        <v>0</v>
      </c>
      <c r="AA3" s="261" t="s">
        <v>774</v>
      </c>
      <c r="AB3" s="713">
        <f>SUM(Y6:Z6,W5)</f>
        <v>0</v>
      </c>
    </row>
    <row r="4" spans="1:33" ht="20.100000000000001" customHeight="1">
      <c r="A4" s="262"/>
      <c r="B4" s="433" t="s">
        <v>895</v>
      </c>
      <c r="C4" s="262"/>
      <c r="D4" s="262"/>
      <c r="E4" s="262"/>
      <c r="F4" s="262"/>
      <c r="G4" s="262"/>
      <c r="H4" s="265"/>
      <c r="I4" s="265"/>
      <c r="J4" s="265"/>
      <c r="K4" s="265"/>
      <c r="L4" s="265"/>
      <c r="M4" s="265"/>
      <c r="N4" s="265"/>
      <c r="O4" s="265"/>
      <c r="P4" s="265"/>
      <c r="Q4" s="265"/>
      <c r="T4" s="261" t="s">
        <v>757</v>
      </c>
      <c r="U4" s="261"/>
      <c r="V4" s="261" t="s">
        <v>751</v>
      </c>
      <c r="W4" s="261">
        <f>IF($N$55="はい",Q74,Q38)</f>
        <v>0</v>
      </c>
      <c r="X4" s="261" t="s">
        <v>153</v>
      </c>
      <c r="Y4" s="261">
        <f>IF($N$55="はい",Q79,Q43)</f>
        <v>0</v>
      </c>
      <c r="Z4" s="297">
        <f>IF($N$55="はい",Q85,Q49)</f>
        <v>0</v>
      </c>
      <c r="AA4" s="261" t="s">
        <v>775</v>
      </c>
      <c r="AB4" s="261">
        <f>SUM(W3:W4,Y5:Z5)</f>
        <v>0</v>
      </c>
    </row>
    <row r="5" spans="1:33" ht="20.100000000000001" customHeight="1" thickBot="1">
      <c r="A5" s="266" t="s">
        <v>754</v>
      </c>
      <c r="B5" s="266"/>
      <c r="C5" s="262"/>
      <c r="D5" s="262"/>
      <c r="E5" s="262"/>
      <c r="F5" s="262"/>
      <c r="G5" s="262"/>
      <c r="H5" s="262"/>
      <c r="I5" s="262"/>
      <c r="J5" s="262"/>
      <c r="K5" s="262"/>
      <c r="L5" s="262"/>
      <c r="M5" s="262"/>
      <c r="N5" s="262"/>
      <c r="O5" s="262"/>
      <c r="P5" s="262"/>
      <c r="Q5" s="262"/>
      <c r="V5" s="261" t="s">
        <v>706</v>
      </c>
      <c r="W5" s="261">
        <f>IF($N$55="はい",Q75,Q39)</f>
        <v>0</v>
      </c>
      <c r="X5" s="261" t="s">
        <v>751</v>
      </c>
      <c r="Y5" s="261">
        <f>IF($N$55="はい",Q80,Q44)</f>
        <v>0</v>
      </c>
      <c r="Z5" s="297">
        <f>IF($N$55="はい",Q86,Q50)</f>
        <v>0</v>
      </c>
      <c r="AA5" s="261" t="s">
        <v>776</v>
      </c>
      <c r="AB5" s="261">
        <f>W3</f>
        <v>0</v>
      </c>
    </row>
    <row r="6" spans="1:33" ht="20.100000000000001" customHeight="1">
      <c r="A6" s="262"/>
      <c r="B6" s="1529" t="s">
        <v>186</v>
      </c>
      <c r="C6" s="1530"/>
      <c r="D6" s="366" t="s">
        <v>240</v>
      </c>
      <c r="E6" s="267">
        <v>4</v>
      </c>
      <c r="F6" s="268">
        <v>5</v>
      </c>
      <c r="G6" s="268">
        <v>6</v>
      </c>
      <c r="H6" s="268">
        <v>7</v>
      </c>
      <c r="I6" s="268">
        <v>8</v>
      </c>
      <c r="J6" s="268">
        <v>9</v>
      </c>
      <c r="K6" s="268">
        <v>10</v>
      </c>
      <c r="L6" s="268">
        <v>11</v>
      </c>
      <c r="M6" s="268">
        <v>12</v>
      </c>
      <c r="N6" s="268">
        <v>1</v>
      </c>
      <c r="O6" s="268">
        <v>2</v>
      </c>
      <c r="P6" s="268">
        <v>3</v>
      </c>
      <c r="Q6" s="343" t="s">
        <v>1</v>
      </c>
      <c r="V6" s="351"/>
      <c r="W6" s="351"/>
      <c r="X6" s="261" t="s">
        <v>706</v>
      </c>
      <c r="Y6" s="261">
        <f>IF($N$55="はい",Q81,Q45)</f>
        <v>0</v>
      </c>
      <c r="Z6" s="297">
        <f>IF($N$55="はい",Q87,Q51)</f>
        <v>0</v>
      </c>
      <c r="AA6" s="261" t="s">
        <v>777</v>
      </c>
      <c r="AB6" s="261">
        <f>SUM(Y4:Z4)</f>
        <v>0</v>
      </c>
    </row>
    <row r="7" spans="1:33" ht="20.100000000000001" customHeight="1">
      <c r="A7" s="262"/>
      <c r="B7" s="1516" t="s">
        <v>752</v>
      </c>
      <c r="C7" s="1517"/>
      <c r="D7" s="356" t="s">
        <v>577</v>
      </c>
      <c r="E7" s="357"/>
      <c r="F7" s="358"/>
      <c r="G7" s="357"/>
      <c r="H7" s="358"/>
      <c r="I7" s="357"/>
      <c r="J7" s="358"/>
      <c r="K7" s="357"/>
      <c r="L7" s="358"/>
      <c r="M7" s="357"/>
      <c r="N7" s="358"/>
      <c r="O7" s="357"/>
      <c r="P7" s="358"/>
      <c r="Q7" s="1514">
        <f>ROUND(SUM(E7:P7)/12,0)</f>
        <v>0</v>
      </c>
      <c r="S7" s="350"/>
      <c r="T7" s="351"/>
      <c r="U7" s="351"/>
      <c r="V7" s="352"/>
      <c r="W7" s="352"/>
      <c r="X7" s="351"/>
      <c r="Y7" s="351"/>
      <c r="Z7" s="351"/>
      <c r="AA7" s="261" t="s">
        <v>778</v>
      </c>
      <c r="AB7" s="261">
        <f>SUM(Y3:Z3)</f>
        <v>0</v>
      </c>
      <c r="AC7" s="351"/>
      <c r="AD7" s="351"/>
      <c r="AE7" s="351"/>
      <c r="AF7" s="351"/>
      <c r="AG7" s="352"/>
    </row>
    <row r="8" spans="1:33" ht="9.9499999999999993" customHeight="1">
      <c r="A8" s="361"/>
      <c r="B8" s="1518"/>
      <c r="C8" s="1519"/>
      <c r="D8" s="363" t="s">
        <v>753</v>
      </c>
      <c r="E8" s="364"/>
      <c r="F8" s="365">
        <f t="shared" ref="F8:P8" si="0">IF($E7=0,F7/1,IF(ISERROR(F7/$E7),0,F7/$E7))</f>
        <v>0</v>
      </c>
      <c r="G8" s="365">
        <f t="shared" si="0"/>
        <v>0</v>
      </c>
      <c r="H8" s="365">
        <f t="shared" si="0"/>
        <v>0</v>
      </c>
      <c r="I8" s="365">
        <f t="shared" si="0"/>
        <v>0</v>
      </c>
      <c r="J8" s="365">
        <f t="shared" si="0"/>
        <v>0</v>
      </c>
      <c r="K8" s="365">
        <f t="shared" si="0"/>
        <v>0</v>
      </c>
      <c r="L8" s="365">
        <f t="shared" si="0"/>
        <v>0</v>
      </c>
      <c r="M8" s="365">
        <f t="shared" si="0"/>
        <v>0</v>
      </c>
      <c r="N8" s="365">
        <f t="shared" si="0"/>
        <v>0</v>
      </c>
      <c r="O8" s="365">
        <f t="shared" si="0"/>
        <v>0</v>
      </c>
      <c r="P8" s="365">
        <f t="shared" si="0"/>
        <v>0</v>
      </c>
      <c r="Q8" s="1515"/>
      <c r="S8" s="273"/>
      <c r="T8" s="352"/>
      <c r="U8" s="352"/>
      <c r="V8" s="354"/>
      <c r="W8" s="354"/>
      <c r="X8" s="352"/>
      <c r="Y8" s="352"/>
      <c r="Z8" s="352"/>
      <c r="AA8" s="352"/>
      <c r="AB8" s="352"/>
      <c r="AC8" s="352"/>
      <c r="AD8" s="352"/>
      <c r="AE8" s="352"/>
      <c r="AF8" s="352"/>
      <c r="AG8" s="355" t="s">
        <v>578</v>
      </c>
    </row>
    <row r="9" spans="1:33" s="362" customFormat="1" ht="20.100000000000001" customHeight="1">
      <c r="A9" s="262"/>
      <c r="B9" s="1516" t="s">
        <v>751</v>
      </c>
      <c r="C9" s="1517"/>
      <c r="D9" s="356" t="s">
        <v>577</v>
      </c>
      <c r="E9" s="357"/>
      <c r="F9" s="358"/>
      <c r="G9" s="357"/>
      <c r="H9" s="358"/>
      <c r="I9" s="357"/>
      <c r="J9" s="358"/>
      <c r="K9" s="357"/>
      <c r="L9" s="358"/>
      <c r="M9" s="357"/>
      <c r="N9" s="358"/>
      <c r="O9" s="357"/>
      <c r="P9" s="358"/>
      <c r="Q9" s="1514">
        <f>ROUND(SUM(E9:P9)/12,0)</f>
        <v>0</v>
      </c>
      <c r="S9" s="273"/>
      <c r="T9" s="353"/>
      <c r="U9" s="354"/>
      <c r="V9" s="352"/>
      <c r="W9" s="352"/>
      <c r="X9" s="354"/>
      <c r="Y9" s="354"/>
      <c r="Z9" s="354"/>
      <c r="AA9" s="354"/>
      <c r="AB9" s="354"/>
      <c r="AC9" s="354"/>
      <c r="AD9" s="354"/>
      <c r="AE9" s="354"/>
      <c r="AF9" s="354"/>
      <c r="AG9" s="355"/>
    </row>
    <row r="10" spans="1:33" ht="9.9499999999999993" customHeight="1">
      <c r="A10" s="361"/>
      <c r="B10" s="1518"/>
      <c r="C10" s="1519"/>
      <c r="D10" s="363" t="s">
        <v>753</v>
      </c>
      <c r="E10" s="364"/>
      <c r="F10" s="365">
        <f t="shared" ref="F10:P10" si="1">IF($E9=0,F9/1,IF(ISERROR(F9/$E9),0,F9/$E9))</f>
        <v>0</v>
      </c>
      <c r="G10" s="365">
        <f t="shared" si="1"/>
        <v>0</v>
      </c>
      <c r="H10" s="365">
        <f t="shared" si="1"/>
        <v>0</v>
      </c>
      <c r="I10" s="365">
        <f t="shared" si="1"/>
        <v>0</v>
      </c>
      <c r="J10" s="365">
        <f t="shared" si="1"/>
        <v>0</v>
      </c>
      <c r="K10" s="365">
        <f t="shared" si="1"/>
        <v>0</v>
      </c>
      <c r="L10" s="365">
        <f t="shared" si="1"/>
        <v>0</v>
      </c>
      <c r="M10" s="365">
        <f t="shared" si="1"/>
        <v>0</v>
      </c>
      <c r="N10" s="365">
        <f t="shared" si="1"/>
        <v>0</v>
      </c>
      <c r="O10" s="365">
        <f t="shared" si="1"/>
        <v>0</v>
      </c>
      <c r="P10" s="365">
        <f t="shared" si="1"/>
        <v>0</v>
      </c>
      <c r="Q10" s="1515"/>
      <c r="S10" s="273"/>
      <c r="T10" s="352"/>
      <c r="U10" s="352"/>
      <c r="V10" s="354"/>
      <c r="W10" s="354"/>
      <c r="X10" s="352"/>
      <c r="Y10" s="352"/>
      <c r="Z10" s="352"/>
      <c r="AA10" s="352"/>
      <c r="AB10" s="352"/>
      <c r="AC10" s="352"/>
      <c r="AD10" s="352"/>
      <c r="AE10" s="352"/>
      <c r="AF10" s="352"/>
      <c r="AG10" s="355"/>
    </row>
    <row r="11" spans="1:33" s="362" customFormat="1" ht="20.100000000000001" customHeight="1">
      <c r="A11" s="262"/>
      <c r="B11" s="1516" t="s">
        <v>8</v>
      </c>
      <c r="C11" s="1517"/>
      <c r="D11" s="356" t="s">
        <v>577</v>
      </c>
      <c r="E11" s="357"/>
      <c r="F11" s="358"/>
      <c r="G11" s="357"/>
      <c r="H11" s="358"/>
      <c r="I11" s="357"/>
      <c r="J11" s="358"/>
      <c r="K11" s="357"/>
      <c r="L11" s="358"/>
      <c r="M11" s="357"/>
      <c r="N11" s="358"/>
      <c r="O11" s="357"/>
      <c r="P11" s="358"/>
      <c r="Q11" s="1514">
        <f>ROUND(SUM(E11:P11)/12,0)</f>
        <v>0</v>
      </c>
      <c r="S11" s="273"/>
      <c r="T11" s="353"/>
      <c r="U11" s="354"/>
      <c r="V11" s="352"/>
      <c r="W11" s="352"/>
      <c r="X11" s="354"/>
      <c r="Y11" s="354"/>
      <c r="Z11" s="354"/>
      <c r="AA11" s="354"/>
      <c r="AB11" s="354"/>
      <c r="AC11" s="354"/>
      <c r="AD11" s="354"/>
      <c r="AE11" s="354"/>
      <c r="AF11" s="354"/>
      <c r="AG11" s="355"/>
    </row>
    <row r="12" spans="1:33" ht="9.9499999999999993" customHeight="1">
      <c r="A12" s="361"/>
      <c r="B12" s="1518"/>
      <c r="C12" s="1519"/>
      <c r="D12" s="363" t="s">
        <v>753</v>
      </c>
      <c r="E12" s="364"/>
      <c r="F12" s="365">
        <f t="shared" ref="F12:P12" si="2">IF($E11=0,F11/1,IF(ISERROR(F11/$E11),0,F11/$E11))</f>
        <v>0</v>
      </c>
      <c r="G12" s="365">
        <f t="shared" si="2"/>
        <v>0</v>
      </c>
      <c r="H12" s="365">
        <f t="shared" si="2"/>
        <v>0</v>
      </c>
      <c r="I12" s="365">
        <f t="shared" si="2"/>
        <v>0</v>
      </c>
      <c r="J12" s="365">
        <f t="shared" si="2"/>
        <v>0</v>
      </c>
      <c r="K12" s="365">
        <f t="shared" si="2"/>
        <v>0</v>
      </c>
      <c r="L12" s="365">
        <f t="shared" si="2"/>
        <v>0</v>
      </c>
      <c r="M12" s="365">
        <f t="shared" si="2"/>
        <v>0</v>
      </c>
      <c r="N12" s="365">
        <f t="shared" si="2"/>
        <v>0</v>
      </c>
      <c r="O12" s="365">
        <f t="shared" si="2"/>
        <v>0</v>
      </c>
      <c r="P12" s="365">
        <f t="shared" si="2"/>
        <v>0</v>
      </c>
      <c r="Q12" s="1515"/>
      <c r="S12" s="273"/>
      <c r="T12" s="352"/>
      <c r="U12" s="352"/>
      <c r="V12" s="354"/>
      <c r="W12" s="354"/>
      <c r="X12" s="352"/>
      <c r="Y12" s="352"/>
      <c r="Z12" s="352"/>
      <c r="AA12" s="352"/>
      <c r="AB12" s="352"/>
      <c r="AC12" s="352"/>
      <c r="AD12" s="352"/>
      <c r="AE12" s="352"/>
      <c r="AF12" s="352"/>
      <c r="AG12" s="355"/>
    </row>
    <row r="13" spans="1:33" s="362" customFormat="1" ht="20.100000000000001" customHeight="1" thickBot="1">
      <c r="A13" s="260"/>
      <c r="B13" s="1520" t="s">
        <v>0</v>
      </c>
      <c r="C13" s="1521"/>
      <c r="D13" s="347"/>
      <c r="E13" s="348">
        <f>SUM(E7,E9,E11)</f>
        <v>0</v>
      </c>
      <c r="F13" s="348">
        <f t="shared" ref="F13:P13" si="3">SUM(F7,F9,F11)</f>
        <v>0</v>
      </c>
      <c r="G13" s="348">
        <f t="shared" si="3"/>
        <v>0</v>
      </c>
      <c r="H13" s="348">
        <f t="shared" si="3"/>
        <v>0</v>
      </c>
      <c r="I13" s="348">
        <f t="shared" si="3"/>
        <v>0</v>
      </c>
      <c r="J13" s="348">
        <f t="shared" si="3"/>
        <v>0</v>
      </c>
      <c r="K13" s="348">
        <f t="shared" si="3"/>
        <v>0</v>
      </c>
      <c r="L13" s="348">
        <f t="shared" si="3"/>
        <v>0</v>
      </c>
      <c r="M13" s="348">
        <f t="shared" si="3"/>
        <v>0</v>
      </c>
      <c r="N13" s="348">
        <f t="shared" si="3"/>
        <v>0</v>
      </c>
      <c r="O13" s="348">
        <f t="shared" si="3"/>
        <v>0</v>
      </c>
      <c r="P13" s="348">
        <f t="shared" si="3"/>
        <v>0</v>
      </c>
      <c r="Q13" s="349">
        <f>SUM(Q7:Q12)</f>
        <v>0</v>
      </c>
      <c r="S13" s="359"/>
      <c r="T13" s="353"/>
      <c r="U13" s="354"/>
      <c r="V13" s="260"/>
      <c r="W13" s="260"/>
      <c r="X13" s="354"/>
      <c r="Y13" s="354"/>
      <c r="Z13" s="354"/>
      <c r="AA13" s="354"/>
      <c r="AB13" s="354"/>
      <c r="AC13" s="354"/>
      <c r="AD13" s="354"/>
      <c r="AE13" s="354"/>
      <c r="AF13" s="354"/>
      <c r="AG13" s="355"/>
    </row>
    <row r="14" spans="1:33" ht="20.100000000000001" customHeight="1">
      <c r="A14" s="262"/>
      <c r="B14" s="1527" t="s">
        <v>101</v>
      </c>
      <c r="C14" s="1528"/>
      <c r="D14" s="366" t="s">
        <v>240</v>
      </c>
      <c r="E14" s="267">
        <v>4</v>
      </c>
      <c r="F14" s="268">
        <v>5</v>
      </c>
      <c r="G14" s="268">
        <v>6</v>
      </c>
      <c r="H14" s="268">
        <v>7</v>
      </c>
      <c r="I14" s="268">
        <v>8</v>
      </c>
      <c r="J14" s="268">
        <v>9</v>
      </c>
      <c r="K14" s="268">
        <v>10</v>
      </c>
      <c r="L14" s="268">
        <v>11</v>
      </c>
      <c r="M14" s="268">
        <v>12</v>
      </c>
      <c r="N14" s="268">
        <v>1</v>
      </c>
      <c r="O14" s="268">
        <v>2</v>
      </c>
      <c r="P14" s="268">
        <v>3</v>
      </c>
      <c r="Q14" s="343" t="s">
        <v>1</v>
      </c>
      <c r="V14" s="351"/>
      <c r="W14" s="351"/>
    </row>
    <row r="15" spans="1:33" ht="20.100000000000001" customHeight="1">
      <c r="A15" s="262"/>
      <c r="B15" s="1516" t="s">
        <v>203</v>
      </c>
      <c r="C15" s="1517"/>
      <c r="D15" s="356" t="s">
        <v>577</v>
      </c>
      <c r="E15" s="357"/>
      <c r="F15" s="358"/>
      <c r="G15" s="357"/>
      <c r="H15" s="358"/>
      <c r="I15" s="357"/>
      <c r="J15" s="358"/>
      <c r="K15" s="357"/>
      <c r="L15" s="358"/>
      <c r="M15" s="357"/>
      <c r="N15" s="358"/>
      <c r="O15" s="357"/>
      <c r="P15" s="358"/>
      <c r="Q15" s="1514">
        <f>ROUND(SUM(E15:P15)/12,0)</f>
        <v>0</v>
      </c>
      <c r="S15" s="342"/>
      <c r="T15" s="351"/>
      <c r="U15" s="351"/>
      <c r="V15" s="352"/>
      <c r="W15" s="352"/>
      <c r="X15" s="351"/>
      <c r="Y15" s="351"/>
      <c r="Z15" s="351"/>
      <c r="AA15" s="351"/>
      <c r="AB15" s="351"/>
      <c r="AC15" s="351"/>
      <c r="AD15" s="351"/>
      <c r="AE15" s="351"/>
      <c r="AF15" s="351"/>
      <c r="AG15" s="352"/>
    </row>
    <row r="16" spans="1:33" ht="9.9499999999999993" customHeight="1">
      <c r="A16" s="262"/>
      <c r="B16" s="1518"/>
      <c r="C16" s="1519"/>
      <c r="D16" s="363" t="s">
        <v>753</v>
      </c>
      <c r="E16" s="364"/>
      <c r="F16" s="365">
        <f t="shared" ref="F16:P16" si="4">IF($E15=0,F15/1,IF(ISERROR(F15/$E15),0,F15/$E15))</f>
        <v>0</v>
      </c>
      <c r="G16" s="365">
        <f t="shared" si="4"/>
        <v>0</v>
      </c>
      <c r="H16" s="365">
        <f t="shared" si="4"/>
        <v>0</v>
      </c>
      <c r="I16" s="365">
        <f t="shared" si="4"/>
        <v>0</v>
      </c>
      <c r="J16" s="365">
        <f t="shared" si="4"/>
        <v>0</v>
      </c>
      <c r="K16" s="365">
        <f t="shared" si="4"/>
        <v>0</v>
      </c>
      <c r="L16" s="365">
        <f t="shared" si="4"/>
        <v>0</v>
      </c>
      <c r="M16" s="365">
        <f t="shared" si="4"/>
        <v>0</v>
      </c>
      <c r="N16" s="365">
        <f t="shared" si="4"/>
        <v>0</v>
      </c>
      <c r="O16" s="365">
        <f t="shared" si="4"/>
        <v>0</v>
      </c>
      <c r="P16" s="365">
        <f t="shared" si="4"/>
        <v>0</v>
      </c>
      <c r="Q16" s="1515"/>
      <c r="S16" s="273"/>
      <c r="U16" s="352"/>
      <c r="V16" s="360"/>
      <c r="W16" s="360"/>
      <c r="X16" s="352"/>
      <c r="Y16" s="352"/>
      <c r="Z16" s="352"/>
      <c r="AA16" s="352"/>
      <c r="AB16" s="352"/>
      <c r="AC16" s="352"/>
      <c r="AD16" s="352"/>
      <c r="AE16" s="352"/>
      <c r="AF16" s="352"/>
      <c r="AG16" s="355" t="s">
        <v>578</v>
      </c>
    </row>
    <row r="17" spans="1:33" ht="20.100000000000001" customHeight="1">
      <c r="A17" s="262"/>
      <c r="B17" s="1516" t="s">
        <v>153</v>
      </c>
      <c r="C17" s="1517"/>
      <c r="D17" s="356" t="s">
        <v>577</v>
      </c>
      <c r="E17" s="357"/>
      <c r="F17" s="358"/>
      <c r="G17" s="357"/>
      <c r="H17" s="358"/>
      <c r="I17" s="357"/>
      <c r="J17" s="358"/>
      <c r="K17" s="357"/>
      <c r="L17" s="358"/>
      <c r="M17" s="357"/>
      <c r="N17" s="358"/>
      <c r="O17" s="357"/>
      <c r="P17" s="358"/>
      <c r="Q17" s="1514">
        <f>ROUND(SUM(E17:P17)/12,0)</f>
        <v>0</v>
      </c>
      <c r="S17" s="273"/>
      <c r="T17" s="359"/>
      <c r="U17" s="360"/>
      <c r="V17" s="352"/>
      <c r="W17" s="352"/>
      <c r="X17" s="360"/>
      <c r="Y17" s="360"/>
      <c r="Z17" s="360"/>
      <c r="AA17" s="360"/>
      <c r="AB17" s="360"/>
      <c r="AC17" s="360"/>
      <c r="AD17" s="360"/>
      <c r="AE17" s="360"/>
      <c r="AF17" s="360"/>
      <c r="AG17" s="355"/>
    </row>
    <row r="18" spans="1:33" ht="9.9499999999999993" customHeight="1">
      <c r="A18" s="262"/>
      <c r="B18" s="1518"/>
      <c r="C18" s="1519"/>
      <c r="D18" s="363" t="s">
        <v>753</v>
      </c>
      <c r="E18" s="364"/>
      <c r="F18" s="365">
        <f t="shared" ref="F18:P18" si="5">IF($E17=0,F17/1,IF(ISERROR(F17/$E17),0,F17/$E17))</f>
        <v>0</v>
      </c>
      <c r="G18" s="365">
        <f t="shared" si="5"/>
        <v>0</v>
      </c>
      <c r="H18" s="365">
        <f t="shared" si="5"/>
        <v>0</v>
      </c>
      <c r="I18" s="365">
        <f t="shared" si="5"/>
        <v>0</v>
      </c>
      <c r="J18" s="365">
        <f t="shared" si="5"/>
        <v>0</v>
      </c>
      <c r="K18" s="365">
        <f t="shared" si="5"/>
        <v>0</v>
      </c>
      <c r="L18" s="365">
        <f t="shared" si="5"/>
        <v>0</v>
      </c>
      <c r="M18" s="365">
        <f t="shared" si="5"/>
        <v>0</v>
      </c>
      <c r="N18" s="365">
        <f t="shared" si="5"/>
        <v>0</v>
      </c>
      <c r="O18" s="365">
        <f t="shared" si="5"/>
        <v>0</v>
      </c>
      <c r="P18" s="365">
        <f t="shared" si="5"/>
        <v>0</v>
      </c>
      <c r="Q18" s="1515"/>
      <c r="S18" s="273"/>
      <c r="T18" s="352"/>
      <c r="U18" s="352"/>
      <c r="V18" s="360"/>
      <c r="W18" s="360"/>
      <c r="X18" s="352"/>
      <c r="Y18" s="352"/>
      <c r="Z18" s="352"/>
      <c r="AA18" s="352"/>
      <c r="AB18" s="352"/>
      <c r="AC18" s="352"/>
      <c r="AD18" s="352"/>
      <c r="AE18" s="352"/>
      <c r="AF18" s="352"/>
      <c r="AG18" s="355"/>
    </row>
    <row r="19" spans="1:33" ht="20.100000000000001" customHeight="1">
      <c r="A19" s="262"/>
      <c r="B19" s="1516" t="s">
        <v>751</v>
      </c>
      <c r="C19" s="1517"/>
      <c r="D19" s="356" t="s">
        <v>577</v>
      </c>
      <c r="E19" s="357"/>
      <c r="F19" s="358"/>
      <c r="G19" s="357"/>
      <c r="H19" s="358"/>
      <c r="I19" s="357"/>
      <c r="J19" s="358"/>
      <c r="K19" s="357"/>
      <c r="L19" s="358"/>
      <c r="M19" s="357"/>
      <c r="N19" s="358"/>
      <c r="O19" s="357"/>
      <c r="P19" s="358"/>
      <c r="Q19" s="1514">
        <f>ROUND(SUM(E19:P19)/12,0)</f>
        <v>0</v>
      </c>
      <c r="S19" s="273"/>
      <c r="T19" s="359"/>
      <c r="U19" s="360"/>
      <c r="V19" s="352"/>
      <c r="W19" s="352"/>
      <c r="X19" s="360"/>
      <c r="Y19" s="360"/>
      <c r="Z19" s="360"/>
      <c r="AA19" s="360"/>
      <c r="AB19" s="360"/>
      <c r="AC19" s="360"/>
      <c r="AD19" s="360"/>
      <c r="AE19" s="360"/>
      <c r="AF19" s="360"/>
      <c r="AG19" s="355"/>
    </row>
    <row r="20" spans="1:33" ht="9.9499999999999993" customHeight="1">
      <c r="A20" s="262"/>
      <c r="B20" s="1518"/>
      <c r="C20" s="1519"/>
      <c r="D20" s="363" t="s">
        <v>753</v>
      </c>
      <c r="E20" s="364"/>
      <c r="F20" s="365">
        <f t="shared" ref="F20:P20" si="6">IF($E19=0,F19/1,IF(ISERROR(F19/$E19),0,F19/$E19))</f>
        <v>0</v>
      </c>
      <c r="G20" s="365">
        <f t="shared" si="6"/>
        <v>0</v>
      </c>
      <c r="H20" s="365">
        <f t="shared" si="6"/>
        <v>0</v>
      </c>
      <c r="I20" s="365">
        <f t="shared" si="6"/>
        <v>0</v>
      </c>
      <c r="J20" s="365">
        <f t="shared" si="6"/>
        <v>0</v>
      </c>
      <c r="K20" s="365">
        <f t="shared" si="6"/>
        <v>0</v>
      </c>
      <c r="L20" s="365">
        <f t="shared" si="6"/>
        <v>0</v>
      </c>
      <c r="M20" s="365">
        <f t="shared" si="6"/>
        <v>0</v>
      </c>
      <c r="N20" s="365">
        <f t="shared" si="6"/>
        <v>0</v>
      </c>
      <c r="O20" s="365">
        <f t="shared" si="6"/>
        <v>0</v>
      </c>
      <c r="P20" s="365">
        <f t="shared" si="6"/>
        <v>0</v>
      </c>
      <c r="Q20" s="1515"/>
      <c r="S20" s="273"/>
      <c r="T20" s="352"/>
      <c r="U20" s="352"/>
      <c r="V20" s="360"/>
      <c r="W20" s="360"/>
      <c r="X20" s="352"/>
      <c r="Y20" s="352"/>
      <c r="Z20" s="352"/>
      <c r="AA20" s="352"/>
      <c r="AB20" s="352"/>
      <c r="AC20" s="352"/>
      <c r="AD20" s="352"/>
      <c r="AE20" s="352"/>
      <c r="AF20" s="352"/>
      <c r="AG20" s="355"/>
    </row>
    <row r="21" spans="1:33" ht="20.100000000000001" customHeight="1">
      <c r="A21" s="262"/>
      <c r="B21" s="1516" t="s">
        <v>8</v>
      </c>
      <c r="C21" s="1517"/>
      <c r="D21" s="356" t="s">
        <v>577</v>
      </c>
      <c r="E21" s="357"/>
      <c r="F21" s="358"/>
      <c r="G21" s="357"/>
      <c r="H21" s="358"/>
      <c r="I21" s="357"/>
      <c r="J21" s="358"/>
      <c r="K21" s="357"/>
      <c r="L21" s="358"/>
      <c r="M21" s="357"/>
      <c r="N21" s="358"/>
      <c r="O21" s="357"/>
      <c r="P21" s="358"/>
      <c r="Q21" s="1514">
        <f>ROUND(SUM(E21:P21)/12,0)</f>
        <v>0</v>
      </c>
      <c r="S21" s="273"/>
      <c r="T21" s="359"/>
      <c r="U21" s="360"/>
      <c r="V21" s="352"/>
      <c r="W21" s="352"/>
      <c r="X21" s="360"/>
      <c r="Y21" s="360"/>
      <c r="Z21" s="360"/>
      <c r="AA21" s="360"/>
      <c r="AB21" s="360"/>
      <c r="AC21" s="360"/>
      <c r="AD21" s="360"/>
      <c r="AE21" s="360"/>
      <c r="AF21" s="360"/>
      <c r="AG21" s="355"/>
    </row>
    <row r="22" spans="1:33" ht="9.9499999999999993" customHeight="1">
      <c r="A22" s="262"/>
      <c r="B22" s="1518"/>
      <c r="C22" s="1519"/>
      <c r="D22" s="363" t="s">
        <v>753</v>
      </c>
      <c r="E22" s="364"/>
      <c r="F22" s="365">
        <f t="shared" ref="F22:P22" si="7">IF($E21=0,F21/1,IF(ISERROR(F21/$E21),0,F21/$E21))</f>
        <v>0</v>
      </c>
      <c r="G22" s="365">
        <f t="shared" si="7"/>
        <v>0</v>
      </c>
      <c r="H22" s="365">
        <f t="shared" si="7"/>
        <v>0</v>
      </c>
      <c r="I22" s="365">
        <f t="shared" si="7"/>
        <v>0</v>
      </c>
      <c r="J22" s="365">
        <f t="shared" si="7"/>
        <v>0</v>
      </c>
      <c r="K22" s="365">
        <f t="shared" si="7"/>
        <v>0</v>
      </c>
      <c r="L22" s="365">
        <f t="shared" si="7"/>
        <v>0</v>
      </c>
      <c r="M22" s="365">
        <f t="shared" si="7"/>
        <v>0</v>
      </c>
      <c r="N22" s="365">
        <f t="shared" si="7"/>
        <v>0</v>
      </c>
      <c r="O22" s="365">
        <f t="shared" si="7"/>
        <v>0</v>
      </c>
      <c r="P22" s="365">
        <f t="shared" si="7"/>
        <v>0</v>
      </c>
      <c r="Q22" s="1515"/>
      <c r="S22" s="273"/>
      <c r="T22" s="352"/>
      <c r="U22" s="352"/>
      <c r="V22" s="360"/>
      <c r="W22" s="360"/>
      <c r="X22" s="352"/>
      <c r="Y22" s="352"/>
      <c r="Z22" s="352"/>
      <c r="AA22" s="352"/>
      <c r="AB22" s="352"/>
      <c r="AC22" s="352"/>
      <c r="AD22" s="352"/>
      <c r="AE22" s="352"/>
      <c r="AF22" s="352"/>
      <c r="AG22" s="355"/>
    </row>
    <row r="23" spans="1:33" ht="20.100000000000001" customHeight="1" thickBot="1">
      <c r="B23" s="1520" t="s">
        <v>0</v>
      </c>
      <c r="C23" s="1521"/>
      <c r="D23" s="347"/>
      <c r="E23" s="348">
        <f>SUM(E15,E17,E19,E21)</f>
        <v>0</v>
      </c>
      <c r="F23" s="348">
        <f t="shared" ref="F23:P23" si="8">SUM(F15,F17,F19,F21)</f>
        <v>0</v>
      </c>
      <c r="G23" s="348">
        <f t="shared" si="8"/>
        <v>0</v>
      </c>
      <c r="H23" s="348">
        <f t="shared" si="8"/>
        <v>0</v>
      </c>
      <c r="I23" s="348">
        <f t="shared" si="8"/>
        <v>0</v>
      </c>
      <c r="J23" s="348">
        <f t="shared" si="8"/>
        <v>0</v>
      </c>
      <c r="K23" s="348">
        <f t="shared" si="8"/>
        <v>0</v>
      </c>
      <c r="L23" s="348">
        <f t="shared" si="8"/>
        <v>0</v>
      </c>
      <c r="M23" s="348">
        <f t="shared" si="8"/>
        <v>0</v>
      </c>
      <c r="N23" s="348">
        <f t="shared" si="8"/>
        <v>0</v>
      </c>
      <c r="O23" s="348">
        <f t="shared" si="8"/>
        <v>0</v>
      </c>
      <c r="P23" s="348">
        <f t="shared" si="8"/>
        <v>0</v>
      </c>
      <c r="Q23" s="349">
        <f>SUM(Q15:Q22)</f>
        <v>0</v>
      </c>
      <c r="S23" s="265"/>
      <c r="T23" s="359"/>
      <c r="U23" s="360"/>
      <c r="X23" s="360"/>
      <c r="Y23" s="360"/>
      <c r="Z23" s="360"/>
      <c r="AA23" s="360"/>
      <c r="AB23" s="360"/>
      <c r="AC23" s="360"/>
      <c r="AD23" s="360"/>
      <c r="AE23" s="360"/>
      <c r="AF23" s="360"/>
      <c r="AG23" s="355"/>
    </row>
    <row r="24" spans="1:33" ht="20.100000000000001" customHeight="1">
      <c r="A24" s="262"/>
      <c r="B24" s="1527" t="s">
        <v>205</v>
      </c>
      <c r="C24" s="1528"/>
      <c r="D24" s="366" t="s">
        <v>240</v>
      </c>
      <c r="E24" s="267">
        <v>4</v>
      </c>
      <c r="F24" s="268">
        <v>5</v>
      </c>
      <c r="G24" s="268">
        <v>6</v>
      </c>
      <c r="H24" s="268">
        <v>7</v>
      </c>
      <c r="I24" s="268">
        <v>8</v>
      </c>
      <c r="J24" s="268">
        <v>9</v>
      </c>
      <c r="K24" s="268">
        <v>10</v>
      </c>
      <c r="L24" s="268">
        <v>11</v>
      </c>
      <c r="M24" s="268">
        <v>12</v>
      </c>
      <c r="N24" s="268">
        <v>1</v>
      </c>
      <c r="O24" s="268">
        <v>2</v>
      </c>
      <c r="P24" s="268">
        <v>3</v>
      </c>
      <c r="Q24" s="343" t="s">
        <v>1</v>
      </c>
      <c r="V24" s="351"/>
      <c r="W24" s="351"/>
      <c r="AG24" s="352"/>
    </row>
    <row r="25" spans="1:33" ht="20.100000000000001" customHeight="1">
      <c r="A25" s="262"/>
      <c r="B25" s="1516" t="s">
        <v>203</v>
      </c>
      <c r="C25" s="1517"/>
      <c r="D25" s="356" t="s">
        <v>577</v>
      </c>
      <c r="E25" s="357"/>
      <c r="F25" s="358"/>
      <c r="G25" s="357"/>
      <c r="H25" s="358"/>
      <c r="I25" s="357"/>
      <c r="J25" s="358"/>
      <c r="K25" s="357"/>
      <c r="L25" s="358"/>
      <c r="M25" s="357"/>
      <c r="N25" s="358"/>
      <c r="O25" s="357"/>
      <c r="P25" s="358"/>
      <c r="Q25" s="1514">
        <f>ROUND(SUM(E25:P25)/12,0)</f>
        <v>0</v>
      </c>
      <c r="S25" s="342"/>
      <c r="T25" s="351"/>
      <c r="U25" s="351"/>
      <c r="V25" s="352"/>
      <c r="W25" s="352"/>
      <c r="X25" s="351"/>
      <c r="Y25" s="351"/>
      <c r="Z25" s="351"/>
      <c r="AA25" s="351"/>
      <c r="AB25" s="351"/>
      <c r="AC25" s="351"/>
      <c r="AD25" s="351"/>
      <c r="AE25" s="351"/>
      <c r="AF25" s="351"/>
      <c r="AG25" s="352"/>
    </row>
    <row r="26" spans="1:33" ht="9.9499999999999993" customHeight="1">
      <c r="A26" s="262"/>
      <c r="B26" s="1518"/>
      <c r="C26" s="1519"/>
      <c r="D26" s="363" t="s">
        <v>753</v>
      </c>
      <c r="E26" s="364"/>
      <c r="F26" s="365">
        <f t="shared" ref="F26:P26" si="9">IF($E25=0,F25/1,IF(ISERROR(F25/$E25),0,F25/$E25))</f>
        <v>0</v>
      </c>
      <c r="G26" s="365">
        <f t="shared" si="9"/>
        <v>0</v>
      </c>
      <c r="H26" s="365">
        <f t="shared" si="9"/>
        <v>0</v>
      </c>
      <c r="I26" s="365">
        <f t="shared" si="9"/>
        <v>0</v>
      </c>
      <c r="J26" s="365">
        <f t="shared" si="9"/>
        <v>0</v>
      </c>
      <c r="K26" s="365">
        <f t="shared" si="9"/>
        <v>0</v>
      </c>
      <c r="L26" s="365">
        <f t="shared" si="9"/>
        <v>0</v>
      </c>
      <c r="M26" s="365">
        <f t="shared" si="9"/>
        <v>0</v>
      </c>
      <c r="N26" s="365">
        <f t="shared" si="9"/>
        <v>0</v>
      </c>
      <c r="O26" s="365">
        <f t="shared" si="9"/>
        <v>0</v>
      </c>
      <c r="P26" s="365">
        <f t="shared" si="9"/>
        <v>0</v>
      </c>
      <c r="Q26" s="1515"/>
      <c r="S26" s="273"/>
      <c r="T26" s="352"/>
      <c r="U26" s="352"/>
      <c r="V26" s="360"/>
      <c r="W26" s="360"/>
      <c r="X26" s="352"/>
      <c r="Y26" s="352"/>
      <c r="Z26" s="352"/>
      <c r="AA26" s="352"/>
      <c r="AB26" s="352"/>
      <c r="AC26" s="352"/>
      <c r="AD26" s="352"/>
      <c r="AE26" s="352"/>
      <c r="AF26" s="352"/>
      <c r="AG26" s="355" t="s">
        <v>578</v>
      </c>
    </row>
    <row r="27" spans="1:33" ht="20.100000000000001" customHeight="1">
      <c r="A27" s="262"/>
      <c r="B27" s="1516" t="s">
        <v>153</v>
      </c>
      <c r="C27" s="1517"/>
      <c r="D27" s="356" t="s">
        <v>577</v>
      </c>
      <c r="E27" s="357"/>
      <c r="F27" s="358"/>
      <c r="G27" s="357"/>
      <c r="H27" s="358"/>
      <c r="I27" s="357"/>
      <c r="J27" s="358"/>
      <c r="K27" s="357"/>
      <c r="L27" s="358"/>
      <c r="M27" s="357"/>
      <c r="N27" s="358"/>
      <c r="O27" s="357"/>
      <c r="P27" s="358"/>
      <c r="Q27" s="1514">
        <f>ROUND(SUM(E27:P27)/12,0)</f>
        <v>0</v>
      </c>
      <c r="S27" s="273"/>
      <c r="T27" s="359"/>
      <c r="U27" s="360"/>
      <c r="V27" s="352"/>
      <c r="W27" s="352"/>
      <c r="X27" s="360"/>
      <c r="Y27" s="360"/>
      <c r="Z27" s="360"/>
      <c r="AA27" s="360"/>
      <c r="AB27" s="360"/>
      <c r="AC27" s="360"/>
      <c r="AD27" s="360"/>
      <c r="AE27" s="360"/>
      <c r="AF27" s="360"/>
      <c r="AG27" s="355"/>
    </row>
    <row r="28" spans="1:33" ht="9.9499999999999993" customHeight="1">
      <c r="A28" s="262"/>
      <c r="B28" s="1518"/>
      <c r="C28" s="1519"/>
      <c r="D28" s="363" t="s">
        <v>753</v>
      </c>
      <c r="E28" s="364"/>
      <c r="F28" s="365">
        <f t="shared" ref="F28:P28" si="10">IF($E27=0,F27/1,IF(ISERROR(F27/$E27),0,F27/$E27))</f>
        <v>0</v>
      </c>
      <c r="G28" s="365">
        <f t="shared" si="10"/>
        <v>0</v>
      </c>
      <c r="H28" s="365">
        <f t="shared" si="10"/>
        <v>0</v>
      </c>
      <c r="I28" s="365">
        <f t="shared" si="10"/>
        <v>0</v>
      </c>
      <c r="J28" s="365">
        <f t="shared" si="10"/>
        <v>0</v>
      </c>
      <c r="K28" s="365">
        <f t="shared" si="10"/>
        <v>0</v>
      </c>
      <c r="L28" s="365">
        <f t="shared" si="10"/>
        <v>0</v>
      </c>
      <c r="M28" s="365">
        <f t="shared" si="10"/>
        <v>0</v>
      </c>
      <c r="N28" s="365">
        <f t="shared" si="10"/>
        <v>0</v>
      </c>
      <c r="O28" s="365">
        <f t="shared" si="10"/>
        <v>0</v>
      </c>
      <c r="P28" s="365">
        <f t="shared" si="10"/>
        <v>0</v>
      </c>
      <c r="Q28" s="1515"/>
      <c r="S28" s="273"/>
      <c r="T28" s="352"/>
      <c r="U28" s="352"/>
      <c r="V28" s="360"/>
      <c r="W28" s="360"/>
      <c r="X28" s="352"/>
      <c r="Y28" s="352"/>
      <c r="Z28" s="352"/>
      <c r="AA28" s="352"/>
      <c r="AB28" s="352"/>
      <c r="AC28" s="352"/>
      <c r="AD28" s="352"/>
      <c r="AE28" s="352"/>
      <c r="AF28" s="352"/>
      <c r="AG28" s="355"/>
    </row>
    <row r="29" spans="1:33" ht="20.100000000000001" customHeight="1">
      <c r="A29" s="262"/>
      <c r="B29" s="1516" t="s">
        <v>751</v>
      </c>
      <c r="C29" s="1517"/>
      <c r="D29" s="356" t="s">
        <v>577</v>
      </c>
      <c r="E29" s="357"/>
      <c r="F29" s="358"/>
      <c r="G29" s="357"/>
      <c r="H29" s="358"/>
      <c r="I29" s="357"/>
      <c r="J29" s="358"/>
      <c r="K29" s="357"/>
      <c r="L29" s="358"/>
      <c r="M29" s="357"/>
      <c r="N29" s="358"/>
      <c r="O29" s="357"/>
      <c r="P29" s="358"/>
      <c r="Q29" s="1514">
        <f>ROUND(SUM(E29:P29)/12,0)</f>
        <v>0</v>
      </c>
      <c r="S29" s="273"/>
      <c r="T29" s="359"/>
      <c r="U29" s="360"/>
      <c r="V29" s="352"/>
      <c r="W29" s="352"/>
      <c r="X29" s="360"/>
      <c r="Y29" s="360"/>
      <c r="Z29" s="360"/>
      <c r="AA29" s="360"/>
      <c r="AB29" s="360"/>
      <c r="AC29" s="360"/>
      <c r="AD29" s="360"/>
      <c r="AE29" s="360"/>
      <c r="AF29" s="360"/>
      <c r="AG29" s="355"/>
    </row>
    <row r="30" spans="1:33" ht="9.9499999999999993" customHeight="1">
      <c r="A30" s="262"/>
      <c r="B30" s="1518"/>
      <c r="C30" s="1519"/>
      <c r="D30" s="363" t="s">
        <v>753</v>
      </c>
      <c r="E30" s="364"/>
      <c r="F30" s="365">
        <f t="shared" ref="F30:P30" si="11">IF($E29=0,F29/1,IF(ISERROR(F29/$E29),0,F29/$E29))</f>
        <v>0</v>
      </c>
      <c r="G30" s="365">
        <f t="shared" si="11"/>
        <v>0</v>
      </c>
      <c r="H30" s="365">
        <f t="shared" si="11"/>
        <v>0</v>
      </c>
      <c r="I30" s="365">
        <f t="shared" si="11"/>
        <v>0</v>
      </c>
      <c r="J30" s="365">
        <f t="shared" si="11"/>
        <v>0</v>
      </c>
      <c r="K30" s="365">
        <f t="shared" si="11"/>
        <v>0</v>
      </c>
      <c r="L30" s="365">
        <f t="shared" si="11"/>
        <v>0</v>
      </c>
      <c r="M30" s="365">
        <f t="shared" si="11"/>
        <v>0</v>
      </c>
      <c r="N30" s="365">
        <f t="shared" si="11"/>
        <v>0</v>
      </c>
      <c r="O30" s="365">
        <f t="shared" si="11"/>
        <v>0</v>
      </c>
      <c r="P30" s="365">
        <f t="shared" si="11"/>
        <v>0</v>
      </c>
      <c r="Q30" s="1515"/>
      <c r="S30" s="273"/>
      <c r="T30" s="352"/>
      <c r="U30" s="352"/>
      <c r="V30" s="360"/>
      <c r="W30" s="360"/>
      <c r="X30" s="352"/>
      <c r="Y30" s="352"/>
      <c r="Z30" s="352"/>
      <c r="AA30" s="352"/>
      <c r="AB30" s="352"/>
      <c r="AC30" s="352"/>
      <c r="AD30" s="352"/>
      <c r="AE30" s="352"/>
      <c r="AF30" s="352"/>
      <c r="AG30" s="355"/>
    </row>
    <row r="31" spans="1:33" ht="20.100000000000001" customHeight="1">
      <c r="A31" s="262"/>
      <c r="B31" s="1516" t="s">
        <v>8</v>
      </c>
      <c r="C31" s="1517"/>
      <c r="D31" s="356" t="s">
        <v>577</v>
      </c>
      <c r="E31" s="357"/>
      <c r="F31" s="358"/>
      <c r="G31" s="357"/>
      <c r="H31" s="358"/>
      <c r="I31" s="357"/>
      <c r="J31" s="358"/>
      <c r="K31" s="357"/>
      <c r="L31" s="358"/>
      <c r="M31" s="357"/>
      <c r="N31" s="358"/>
      <c r="O31" s="357"/>
      <c r="P31" s="358"/>
      <c r="Q31" s="1514">
        <f>ROUND(SUM(E31:P31)/12,0)</f>
        <v>0</v>
      </c>
      <c r="S31" s="273"/>
      <c r="T31" s="359"/>
      <c r="U31" s="360"/>
      <c r="V31" s="352"/>
      <c r="W31" s="352"/>
      <c r="X31" s="360"/>
      <c r="Y31" s="360"/>
      <c r="Z31" s="360"/>
      <c r="AA31" s="360"/>
      <c r="AB31" s="360"/>
      <c r="AC31" s="360"/>
      <c r="AD31" s="360"/>
      <c r="AE31" s="360"/>
      <c r="AF31" s="360"/>
      <c r="AG31" s="355"/>
    </row>
    <row r="32" spans="1:33" ht="9.9499999999999993" customHeight="1">
      <c r="A32" s="262"/>
      <c r="B32" s="1518"/>
      <c r="C32" s="1519"/>
      <c r="D32" s="363" t="s">
        <v>753</v>
      </c>
      <c r="E32" s="364"/>
      <c r="F32" s="365">
        <f t="shared" ref="F32:P32" si="12">IF($E31=0,F31/1,IF(ISERROR(F31/$E31),0,F31/$E31))</f>
        <v>0</v>
      </c>
      <c r="G32" s="365">
        <f t="shared" si="12"/>
        <v>0</v>
      </c>
      <c r="H32" s="365">
        <f t="shared" si="12"/>
        <v>0</v>
      </c>
      <c r="I32" s="365">
        <f t="shared" si="12"/>
        <v>0</v>
      </c>
      <c r="J32" s="365">
        <f t="shared" si="12"/>
        <v>0</v>
      </c>
      <c r="K32" s="365">
        <f t="shared" si="12"/>
        <v>0</v>
      </c>
      <c r="L32" s="365">
        <f t="shared" si="12"/>
        <v>0</v>
      </c>
      <c r="M32" s="365">
        <f t="shared" si="12"/>
        <v>0</v>
      </c>
      <c r="N32" s="365">
        <f t="shared" si="12"/>
        <v>0</v>
      </c>
      <c r="O32" s="365">
        <f t="shared" si="12"/>
        <v>0</v>
      </c>
      <c r="P32" s="365">
        <f t="shared" si="12"/>
        <v>0</v>
      </c>
      <c r="Q32" s="1515"/>
      <c r="S32" s="273"/>
      <c r="T32" s="352"/>
      <c r="U32" s="352"/>
      <c r="V32" s="360"/>
      <c r="W32" s="360"/>
      <c r="X32" s="352"/>
      <c r="Y32" s="352"/>
      <c r="Z32" s="352"/>
      <c r="AA32" s="352"/>
      <c r="AB32" s="352"/>
      <c r="AC32" s="352"/>
      <c r="AD32" s="352"/>
      <c r="AE32" s="352"/>
      <c r="AF32" s="352"/>
      <c r="AG32" s="355"/>
    </row>
    <row r="33" spans="1:33" ht="20.100000000000001" customHeight="1" thickBot="1">
      <c r="B33" s="1520" t="s">
        <v>0</v>
      </c>
      <c r="C33" s="1521"/>
      <c r="D33" s="347"/>
      <c r="E33" s="348">
        <f>SUM(E25,E27,E29,E31)</f>
        <v>0</v>
      </c>
      <c r="F33" s="348">
        <f t="shared" ref="F33:P33" si="13">SUM(F25,F27,F29,F31)</f>
        <v>0</v>
      </c>
      <c r="G33" s="348">
        <f t="shared" si="13"/>
        <v>0</v>
      </c>
      <c r="H33" s="348">
        <f t="shared" si="13"/>
        <v>0</v>
      </c>
      <c r="I33" s="348">
        <f t="shared" si="13"/>
        <v>0</v>
      </c>
      <c r="J33" s="348">
        <f t="shared" si="13"/>
        <v>0</v>
      </c>
      <c r="K33" s="348">
        <f t="shared" si="13"/>
        <v>0</v>
      </c>
      <c r="L33" s="348">
        <f t="shared" si="13"/>
        <v>0</v>
      </c>
      <c r="M33" s="348">
        <f t="shared" si="13"/>
        <v>0</v>
      </c>
      <c r="N33" s="348">
        <f t="shared" si="13"/>
        <v>0</v>
      </c>
      <c r="O33" s="348">
        <f t="shared" si="13"/>
        <v>0</v>
      </c>
      <c r="P33" s="348">
        <f t="shared" si="13"/>
        <v>0</v>
      </c>
      <c r="Q33" s="349">
        <f>SUM(Q25:Q32)</f>
        <v>0</v>
      </c>
      <c r="S33" s="265"/>
      <c r="T33" s="359"/>
      <c r="U33" s="360"/>
      <c r="X33" s="360"/>
      <c r="Y33" s="360"/>
      <c r="Z33" s="360"/>
      <c r="AA33" s="360"/>
      <c r="AB33" s="360"/>
      <c r="AC33" s="360"/>
      <c r="AD33" s="360"/>
      <c r="AE33" s="360"/>
      <c r="AF33" s="360"/>
      <c r="AG33" s="355"/>
    </row>
    <row r="34" spans="1:33" ht="20.100000000000001" customHeight="1">
      <c r="A34" s="262"/>
      <c r="B34" s="262"/>
      <c r="C34" s="264"/>
      <c r="D34" s="265"/>
      <c r="E34" s="273"/>
      <c r="F34" s="274"/>
      <c r="G34" s="274"/>
      <c r="H34" s="274"/>
      <c r="I34" s="274"/>
      <c r="J34" s="274"/>
      <c r="K34" s="274"/>
      <c r="L34" s="274"/>
      <c r="M34" s="274"/>
      <c r="N34" s="274"/>
      <c r="O34" s="274"/>
      <c r="P34" s="274"/>
      <c r="Q34" s="275"/>
    </row>
    <row r="35" spans="1:33" ht="20.100000000000001" customHeight="1" thickBot="1">
      <c r="A35" s="266" t="s">
        <v>826</v>
      </c>
      <c r="B35" s="266"/>
      <c r="C35" s="262"/>
      <c r="D35" s="262"/>
      <c r="E35" s="276"/>
      <c r="F35" s="262"/>
      <c r="G35" s="262"/>
      <c r="H35" s="262"/>
      <c r="I35" s="262"/>
      <c r="J35" s="262"/>
      <c r="K35" s="262"/>
      <c r="L35" s="262"/>
      <c r="M35" s="262"/>
      <c r="N35" s="262"/>
      <c r="O35" s="262"/>
      <c r="P35" s="262"/>
      <c r="Q35" s="275"/>
    </row>
    <row r="36" spans="1:33" ht="20.100000000000001" customHeight="1">
      <c r="A36" s="262"/>
      <c r="B36" s="1529" t="s">
        <v>186</v>
      </c>
      <c r="C36" s="1530"/>
      <c r="D36" s="366" t="s">
        <v>240</v>
      </c>
      <c r="E36" s="267">
        <v>4</v>
      </c>
      <c r="F36" s="268">
        <v>5</v>
      </c>
      <c r="G36" s="268">
        <v>6</v>
      </c>
      <c r="H36" s="268">
        <v>7</v>
      </c>
      <c r="I36" s="268">
        <v>8</v>
      </c>
      <c r="J36" s="268">
        <v>9</v>
      </c>
      <c r="K36" s="268">
        <v>10</v>
      </c>
      <c r="L36" s="268">
        <v>11</v>
      </c>
      <c r="M36" s="268">
        <v>12</v>
      </c>
      <c r="N36" s="268">
        <v>1</v>
      </c>
      <c r="O36" s="268">
        <v>2</v>
      </c>
      <c r="P36" s="268">
        <v>3</v>
      </c>
      <c r="Q36" s="343" t="s">
        <v>1</v>
      </c>
      <c r="V36" s="351"/>
      <c r="W36" s="351"/>
    </row>
    <row r="37" spans="1:33" ht="20.100000000000001" customHeight="1">
      <c r="A37" s="262"/>
      <c r="B37" s="1533" t="s">
        <v>752</v>
      </c>
      <c r="C37" s="1534"/>
      <c r="D37" s="269" t="s">
        <v>577</v>
      </c>
      <c r="E37" s="270"/>
      <c r="F37" s="277">
        <f t="shared" ref="F37:P37" si="14">IF($E37=0,F7,$E37*F8)</f>
        <v>0</v>
      </c>
      <c r="G37" s="277">
        <f t="shared" si="14"/>
        <v>0</v>
      </c>
      <c r="H37" s="277">
        <f t="shared" si="14"/>
        <v>0</v>
      </c>
      <c r="I37" s="277">
        <f t="shared" si="14"/>
        <v>0</v>
      </c>
      <c r="J37" s="277">
        <f t="shared" si="14"/>
        <v>0</v>
      </c>
      <c r="K37" s="277">
        <f t="shared" si="14"/>
        <v>0</v>
      </c>
      <c r="L37" s="277">
        <f t="shared" si="14"/>
        <v>0</v>
      </c>
      <c r="M37" s="277">
        <f t="shared" si="14"/>
        <v>0</v>
      </c>
      <c r="N37" s="277">
        <f t="shared" si="14"/>
        <v>0</v>
      </c>
      <c r="O37" s="277">
        <f t="shared" si="14"/>
        <v>0</v>
      </c>
      <c r="P37" s="277">
        <f t="shared" si="14"/>
        <v>0</v>
      </c>
      <c r="Q37" s="271">
        <f>ROUND(SUM(E37:P37)/12,0)</f>
        <v>0</v>
      </c>
      <c r="S37" s="350"/>
      <c r="T37" s="351"/>
      <c r="U37" s="351"/>
      <c r="V37" s="354"/>
      <c r="W37" s="354"/>
      <c r="X37" s="351"/>
      <c r="Y37" s="351"/>
      <c r="Z37" s="351"/>
      <c r="AA37" s="351"/>
      <c r="AB37" s="351"/>
      <c r="AC37" s="351"/>
      <c r="AD37" s="351"/>
      <c r="AE37" s="351"/>
      <c r="AF37" s="351"/>
      <c r="AG37" s="352"/>
    </row>
    <row r="38" spans="1:33" ht="20.100000000000001" customHeight="1">
      <c r="A38" s="262"/>
      <c r="B38" s="1533" t="s">
        <v>751</v>
      </c>
      <c r="C38" s="1534"/>
      <c r="D38" s="272" t="s">
        <v>577</v>
      </c>
      <c r="E38" s="270"/>
      <c r="F38" s="277">
        <f t="shared" ref="F38:P38" si="15">IF($E38=0,F9,$E38*F10)</f>
        <v>0</v>
      </c>
      <c r="G38" s="277">
        <f t="shared" si="15"/>
        <v>0</v>
      </c>
      <c r="H38" s="277">
        <f t="shared" si="15"/>
        <v>0</v>
      </c>
      <c r="I38" s="277">
        <f t="shared" si="15"/>
        <v>0</v>
      </c>
      <c r="J38" s="277">
        <f t="shared" si="15"/>
        <v>0</v>
      </c>
      <c r="K38" s="277">
        <f t="shared" si="15"/>
        <v>0</v>
      </c>
      <c r="L38" s="277">
        <f t="shared" si="15"/>
        <v>0</v>
      </c>
      <c r="M38" s="277">
        <f t="shared" si="15"/>
        <v>0</v>
      </c>
      <c r="N38" s="277">
        <f t="shared" si="15"/>
        <v>0</v>
      </c>
      <c r="O38" s="277">
        <f t="shared" si="15"/>
        <v>0</v>
      </c>
      <c r="P38" s="277">
        <f t="shared" si="15"/>
        <v>0</v>
      </c>
      <c r="Q38" s="271">
        <f>ROUND(SUM(E38:P38)/12,0)</f>
        <v>0</v>
      </c>
      <c r="S38" s="273"/>
      <c r="T38" s="353"/>
      <c r="U38" s="354"/>
      <c r="V38" s="354"/>
      <c r="W38" s="354"/>
      <c r="X38" s="354"/>
      <c r="Y38" s="354"/>
      <c r="Z38" s="354"/>
      <c r="AA38" s="354"/>
      <c r="AB38" s="354"/>
      <c r="AC38" s="354"/>
      <c r="AD38" s="354"/>
      <c r="AE38" s="354"/>
      <c r="AF38" s="354"/>
      <c r="AG38" s="355"/>
    </row>
    <row r="39" spans="1:33" ht="20.100000000000001" customHeight="1">
      <c r="A39" s="262"/>
      <c r="B39" s="1531" t="s">
        <v>8</v>
      </c>
      <c r="C39" s="1532"/>
      <c r="D39" s="344" t="s">
        <v>577</v>
      </c>
      <c r="E39" s="345"/>
      <c r="F39" s="277">
        <f t="shared" ref="F39:P39" si="16">IF($E39=0,F11,$E39*F12)</f>
        <v>0</v>
      </c>
      <c r="G39" s="277">
        <f t="shared" si="16"/>
        <v>0</v>
      </c>
      <c r="H39" s="277">
        <f t="shared" si="16"/>
        <v>0</v>
      </c>
      <c r="I39" s="277">
        <f t="shared" si="16"/>
        <v>0</v>
      </c>
      <c r="J39" s="277">
        <f t="shared" si="16"/>
        <v>0</v>
      </c>
      <c r="K39" s="277">
        <f t="shared" si="16"/>
        <v>0</v>
      </c>
      <c r="L39" s="277">
        <f t="shared" si="16"/>
        <v>0</v>
      </c>
      <c r="M39" s="277">
        <f t="shared" si="16"/>
        <v>0</v>
      </c>
      <c r="N39" s="277">
        <f t="shared" si="16"/>
        <v>0</v>
      </c>
      <c r="O39" s="277">
        <f t="shared" si="16"/>
        <v>0</v>
      </c>
      <c r="P39" s="277">
        <f t="shared" si="16"/>
        <v>0</v>
      </c>
      <c r="Q39" s="346">
        <f>ROUND(SUM(E39:P39)/12,0)</f>
        <v>0</v>
      </c>
      <c r="S39" s="273"/>
      <c r="T39" s="353"/>
      <c r="U39" s="354"/>
      <c r="V39" s="354"/>
      <c r="W39" s="354"/>
      <c r="X39" s="354"/>
      <c r="Y39" s="354"/>
      <c r="Z39" s="354"/>
      <c r="AA39" s="354"/>
      <c r="AB39" s="354"/>
      <c r="AC39" s="354"/>
      <c r="AD39" s="354"/>
      <c r="AE39" s="354"/>
      <c r="AF39" s="354"/>
      <c r="AG39" s="355"/>
    </row>
    <row r="40" spans="1:33" ht="20.100000000000001" customHeight="1" thickBot="1">
      <c r="B40" s="1520" t="s">
        <v>0</v>
      </c>
      <c r="C40" s="1521"/>
      <c r="D40" s="347"/>
      <c r="E40" s="348">
        <f t="shared" ref="E40:Q40" si="17">SUM(E37:E39)</f>
        <v>0</v>
      </c>
      <c r="F40" s="348">
        <f t="shared" si="17"/>
        <v>0</v>
      </c>
      <c r="G40" s="348">
        <f t="shared" si="17"/>
        <v>0</v>
      </c>
      <c r="H40" s="348">
        <f t="shared" si="17"/>
        <v>0</v>
      </c>
      <c r="I40" s="348">
        <f t="shared" si="17"/>
        <v>0</v>
      </c>
      <c r="J40" s="348">
        <f t="shared" si="17"/>
        <v>0</v>
      </c>
      <c r="K40" s="348">
        <f t="shared" si="17"/>
        <v>0</v>
      </c>
      <c r="L40" s="348">
        <f t="shared" si="17"/>
        <v>0</v>
      </c>
      <c r="M40" s="348">
        <f t="shared" si="17"/>
        <v>0</v>
      </c>
      <c r="N40" s="348">
        <f t="shared" si="17"/>
        <v>0</v>
      </c>
      <c r="O40" s="348">
        <f t="shared" si="17"/>
        <v>0</v>
      </c>
      <c r="P40" s="348">
        <f t="shared" si="17"/>
        <v>0</v>
      </c>
      <c r="Q40" s="349">
        <f t="shared" si="17"/>
        <v>0</v>
      </c>
      <c r="S40" s="273"/>
      <c r="T40" s="353"/>
      <c r="U40" s="354"/>
      <c r="V40" s="352"/>
      <c r="W40" s="352"/>
      <c r="X40" s="354"/>
      <c r="Y40" s="354"/>
      <c r="Z40" s="354"/>
      <c r="AA40" s="354"/>
      <c r="AB40" s="354"/>
      <c r="AC40" s="354"/>
      <c r="AD40" s="354"/>
      <c r="AE40" s="354"/>
      <c r="AF40" s="354"/>
      <c r="AG40" s="355"/>
    </row>
    <row r="41" spans="1:33" ht="20.100000000000001" customHeight="1">
      <c r="A41" s="262"/>
      <c r="B41" s="1549" t="s">
        <v>101</v>
      </c>
      <c r="C41" s="1550"/>
      <c r="D41" s="366" t="s">
        <v>240</v>
      </c>
      <c r="E41" s="267">
        <v>4</v>
      </c>
      <c r="F41" s="268">
        <v>5</v>
      </c>
      <c r="G41" s="268">
        <v>6</v>
      </c>
      <c r="H41" s="268">
        <v>7</v>
      </c>
      <c r="I41" s="268">
        <v>8</v>
      </c>
      <c r="J41" s="268">
        <v>9</v>
      </c>
      <c r="K41" s="268">
        <v>10</v>
      </c>
      <c r="L41" s="268">
        <v>11</v>
      </c>
      <c r="M41" s="268">
        <v>12</v>
      </c>
      <c r="N41" s="268">
        <v>1</v>
      </c>
      <c r="O41" s="268">
        <v>2</v>
      </c>
      <c r="P41" s="268">
        <v>3</v>
      </c>
      <c r="Q41" s="343" t="s">
        <v>1</v>
      </c>
      <c r="S41" s="352"/>
      <c r="T41" s="352"/>
      <c r="U41" s="352"/>
      <c r="V41" s="351"/>
      <c r="W41" s="351"/>
      <c r="X41" s="352"/>
      <c r="Y41" s="352"/>
      <c r="Z41" s="352"/>
      <c r="AA41" s="352"/>
      <c r="AB41" s="352"/>
      <c r="AC41" s="352"/>
      <c r="AD41" s="352"/>
      <c r="AE41" s="352"/>
      <c r="AF41" s="352"/>
      <c r="AG41" s="352"/>
    </row>
    <row r="42" spans="1:33" ht="20.100000000000001" customHeight="1">
      <c r="A42" s="262"/>
      <c r="B42" s="1533" t="s">
        <v>203</v>
      </c>
      <c r="C42" s="1534"/>
      <c r="D42" s="269" t="s">
        <v>577</v>
      </c>
      <c r="E42" s="270"/>
      <c r="F42" s="277">
        <f t="shared" ref="F42:P42" si="18">IF($E42=0,F15,$E42*F16)</f>
        <v>0</v>
      </c>
      <c r="G42" s="277">
        <f t="shared" si="18"/>
        <v>0</v>
      </c>
      <c r="H42" s="277">
        <f t="shared" si="18"/>
        <v>0</v>
      </c>
      <c r="I42" s="277">
        <f t="shared" si="18"/>
        <v>0</v>
      </c>
      <c r="J42" s="277">
        <f t="shared" si="18"/>
        <v>0</v>
      </c>
      <c r="K42" s="277">
        <f t="shared" si="18"/>
        <v>0</v>
      </c>
      <c r="L42" s="277">
        <f t="shared" si="18"/>
        <v>0</v>
      </c>
      <c r="M42" s="277">
        <f t="shared" si="18"/>
        <v>0</v>
      </c>
      <c r="N42" s="277">
        <f t="shared" si="18"/>
        <v>0</v>
      </c>
      <c r="O42" s="277">
        <f t="shared" si="18"/>
        <v>0</v>
      </c>
      <c r="P42" s="277">
        <f t="shared" si="18"/>
        <v>0</v>
      </c>
      <c r="Q42" s="271">
        <f>ROUND(SUM(E42:P42)/12,0)</f>
        <v>0</v>
      </c>
      <c r="S42" s="352"/>
      <c r="T42" s="351"/>
      <c r="U42" s="351"/>
      <c r="V42" s="354"/>
      <c r="W42" s="354"/>
      <c r="X42" s="351"/>
      <c r="Y42" s="351"/>
      <c r="Z42" s="351"/>
      <c r="AA42" s="351"/>
      <c r="AB42" s="351"/>
      <c r="AC42" s="351"/>
      <c r="AD42" s="351"/>
      <c r="AE42" s="351"/>
      <c r="AF42" s="351"/>
      <c r="AG42" s="352"/>
    </row>
    <row r="43" spans="1:33" ht="20.100000000000001" customHeight="1">
      <c r="A43" s="262"/>
      <c r="B43" s="1533" t="s">
        <v>153</v>
      </c>
      <c r="C43" s="1534"/>
      <c r="D43" s="272" t="s">
        <v>577</v>
      </c>
      <c r="E43" s="270"/>
      <c r="F43" s="277">
        <f t="shared" ref="F43:P43" si="19">IF($E43=0,F17,$E43*F18)</f>
        <v>0</v>
      </c>
      <c r="G43" s="277">
        <f>IF($E43=0,G17,$E43*G18)</f>
        <v>0</v>
      </c>
      <c r="H43" s="277">
        <f t="shared" si="19"/>
        <v>0</v>
      </c>
      <c r="I43" s="277">
        <f t="shared" si="19"/>
        <v>0</v>
      </c>
      <c r="J43" s="277">
        <f t="shared" si="19"/>
        <v>0</v>
      </c>
      <c r="K43" s="277">
        <f t="shared" si="19"/>
        <v>0</v>
      </c>
      <c r="L43" s="277">
        <f t="shared" si="19"/>
        <v>0</v>
      </c>
      <c r="M43" s="277">
        <f t="shared" si="19"/>
        <v>0</v>
      </c>
      <c r="N43" s="277">
        <f t="shared" si="19"/>
        <v>0</v>
      </c>
      <c r="O43" s="277">
        <f t="shared" si="19"/>
        <v>0</v>
      </c>
      <c r="P43" s="277">
        <f t="shared" si="19"/>
        <v>0</v>
      </c>
      <c r="Q43" s="271">
        <f>ROUND(SUM(E43:P43)/12,0)</f>
        <v>0</v>
      </c>
      <c r="S43" s="265"/>
      <c r="T43" s="353"/>
      <c r="U43" s="354"/>
      <c r="V43" s="354"/>
      <c r="W43" s="354"/>
      <c r="X43" s="354"/>
      <c r="Y43" s="354"/>
      <c r="Z43" s="354"/>
      <c r="AA43" s="354"/>
      <c r="AB43" s="354"/>
      <c r="AC43" s="354"/>
      <c r="AD43" s="354"/>
      <c r="AE43" s="354"/>
      <c r="AF43" s="354"/>
      <c r="AG43" s="355"/>
    </row>
    <row r="44" spans="1:33" ht="20.100000000000001" customHeight="1">
      <c r="A44" s="262"/>
      <c r="B44" s="1533" t="s">
        <v>751</v>
      </c>
      <c r="C44" s="1534"/>
      <c r="D44" s="272" t="s">
        <v>577</v>
      </c>
      <c r="E44" s="270"/>
      <c r="F44" s="277">
        <f t="shared" ref="F44:P44" si="20">IF($E44=0,F19,$E44*F20)</f>
        <v>0</v>
      </c>
      <c r="G44" s="277">
        <f t="shared" si="20"/>
        <v>0</v>
      </c>
      <c r="H44" s="277">
        <f t="shared" si="20"/>
        <v>0</v>
      </c>
      <c r="I44" s="277">
        <f t="shared" si="20"/>
        <v>0</v>
      </c>
      <c r="J44" s="277">
        <f t="shared" si="20"/>
        <v>0</v>
      </c>
      <c r="K44" s="277">
        <f t="shared" si="20"/>
        <v>0</v>
      </c>
      <c r="L44" s="277">
        <f t="shared" si="20"/>
        <v>0</v>
      </c>
      <c r="M44" s="277">
        <f t="shared" si="20"/>
        <v>0</v>
      </c>
      <c r="N44" s="277">
        <f t="shared" si="20"/>
        <v>0</v>
      </c>
      <c r="O44" s="277">
        <f t="shared" si="20"/>
        <v>0</v>
      </c>
      <c r="P44" s="277">
        <f t="shared" si="20"/>
        <v>0</v>
      </c>
      <c r="Q44" s="271">
        <f>ROUND(SUM(E44:P44)/12,0)</f>
        <v>0</v>
      </c>
      <c r="S44" s="265"/>
      <c r="T44" s="353"/>
      <c r="U44" s="354"/>
      <c r="V44" s="354"/>
      <c r="W44" s="354"/>
      <c r="X44" s="354"/>
      <c r="Y44" s="354"/>
      <c r="Z44" s="354"/>
      <c r="AA44" s="354"/>
      <c r="AB44" s="354"/>
      <c r="AC44" s="354"/>
      <c r="AD44" s="354"/>
      <c r="AE44" s="354"/>
      <c r="AF44" s="354"/>
      <c r="AG44" s="355"/>
    </row>
    <row r="45" spans="1:33" ht="20.100000000000001" customHeight="1">
      <c r="A45" s="262"/>
      <c r="B45" s="1531" t="s">
        <v>8</v>
      </c>
      <c r="C45" s="1532"/>
      <c r="D45" s="344" t="s">
        <v>577</v>
      </c>
      <c r="E45" s="345"/>
      <c r="F45" s="277">
        <f t="shared" ref="F45:P45" si="21">IF($E45=0,F21,$E45*F22)</f>
        <v>0</v>
      </c>
      <c r="G45" s="277">
        <f t="shared" si="21"/>
        <v>0</v>
      </c>
      <c r="H45" s="277">
        <f t="shared" si="21"/>
        <v>0</v>
      </c>
      <c r="I45" s="277">
        <f t="shared" si="21"/>
        <v>0</v>
      </c>
      <c r="J45" s="277">
        <f t="shared" si="21"/>
        <v>0</v>
      </c>
      <c r="K45" s="277">
        <f t="shared" si="21"/>
        <v>0</v>
      </c>
      <c r="L45" s="277">
        <f t="shared" si="21"/>
        <v>0</v>
      </c>
      <c r="M45" s="277">
        <f t="shared" si="21"/>
        <v>0</v>
      </c>
      <c r="N45" s="277">
        <f t="shared" si="21"/>
        <v>0</v>
      </c>
      <c r="O45" s="277">
        <f t="shared" si="21"/>
        <v>0</v>
      </c>
      <c r="P45" s="277">
        <f t="shared" si="21"/>
        <v>0</v>
      </c>
      <c r="Q45" s="346">
        <f>ROUND(SUM(E45:P45)/12,0)</f>
        <v>0</v>
      </c>
      <c r="S45" s="265"/>
      <c r="T45" s="353"/>
      <c r="U45" s="354"/>
      <c r="V45" s="354"/>
      <c r="W45" s="354"/>
      <c r="X45" s="354"/>
      <c r="Y45" s="354"/>
      <c r="Z45" s="354"/>
      <c r="AA45" s="354"/>
      <c r="AB45" s="354"/>
      <c r="AC45" s="354"/>
      <c r="AD45" s="354"/>
      <c r="AE45" s="354"/>
      <c r="AF45" s="354"/>
      <c r="AG45" s="355"/>
    </row>
    <row r="46" spans="1:33" ht="20.100000000000001" customHeight="1" thickBot="1">
      <c r="B46" s="1520" t="s">
        <v>0</v>
      </c>
      <c r="C46" s="1521"/>
      <c r="D46" s="347"/>
      <c r="E46" s="348">
        <f t="shared" ref="E46:Q46" si="22">SUM(E42:E45)</f>
        <v>0</v>
      </c>
      <c r="F46" s="348">
        <f t="shared" si="22"/>
        <v>0</v>
      </c>
      <c r="G46" s="348">
        <f t="shared" si="22"/>
        <v>0</v>
      </c>
      <c r="H46" s="348">
        <f t="shared" si="22"/>
        <v>0</v>
      </c>
      <c r="I46" s="348">
        <f t="shared" si="22"/>
        <v>0</v>
      </c>
      <c r="J46" s="348">
        <f t="shared" si="22"/>
        <v>0</v>
      </c>
      <c r="K46" s="348">
        <f t="shared" si="22"/>
        <v>0</v>
      </c>
      <c r="L46" s="348">
        <f t="shared" si="22"/>
        <v>0</v>
      </c>
      <c r="M46" s="348">
        <f t="shared" si="22"/>
        <v>0</v>
      </c>
      <c r="N46" s="348">
        <f t="shared" si="22"/>
        <v>0</v>
      </c>
      <c r="O46" s="348">
        <f t="shared" si="22"/>
        <v>0</v>
      </c>
      <c r="P46" s="348">
        <f t="shared" si="22"/>
        <v>0</v>
      </c>
      <c r="Q46" s="349">
        <f t="shared" si="22"/>
        <v>0</v>
      </c>
      <c r="S46" s="265"/>
      <c r="T46" s="353"/>
      <c r="U46" s="354"/>
      <c r="V46" s="352"/>
      <c r="W46" s="352"/>
      <c r="X46" s="354"/>
      <c r="Y46" s="354"/>
      <c r="Z46" s="354"/>
      <c r="AA46" s="354"/>
      <c r="AB46" s="354"/>
      <c r="AC46" s="354"/>
      <c r="AD46" s="354"/>
      <c r="AE46" s="354"/>
      <c r="AF46" s="354"/>
      <c r="AG46" s="355"/>
    </row>
    <row r="47" spans="1:33" ht="20.100000000000001" customHeight="1">
      <c r="A47" s="262"/>
      <c r="B47" s="1549" t="s">
        <v>205</v>
      </c>
      <c r="C47" s="1550"/>
      <c r="D47" s="366" t="s">
        <v>240</v>
      </c>
      <c r="E47" s="267">
        <v>4</v>
      </c>
      <c r="F47" s="268">
        <v>5</v>
      </c>
      <c r="G47" s="268">
        <v>6</v>
      </c>
      <c r="H47" s="268">
        <v>7</v>
      </c>
      <c r="I47" s="268">
        <v>8</v>
      </c>
      <c r="J47" s="268">
        <v>9</v>
      </c>
      <c r="K47" s="268">
        <v>10</v>
      </c>
      <c r="L47" s="268">
        <v>11</v>
      </c>
      <c r="M47" s="268">
        <v>12</v>
      </c>
      <c r="N47" s="268">
        <v>1</v>
      </c>
      <c r="O47" s="268">
        <v>2</v>
      </c>
      <c r="P47" s="268">
        <v>3</v>
      </c>
      <c r="Q47" s="343" t="s">
        <v>1</v>
      </c>
      <c r="S47" s="352"/>
      <c r="T47" s="352"/>
      <c r="U47" s="352"/>
      <c r="V47" s="351"/>
      <c r="W47" s="351"/>
      <c r="X47" s="352"/>
      <c r="Y47" s="352"/>
      <c r="Z47" s="352"/>
      <c r="AA47" s="352"/>
      <c r="AB47" s="352"/>
      <c r="AC47" s="352"/>
      <c r="AD47" s="352"/>
      <c r="AE47" s="352"/>
      <c r="AF47" s="352"/>
      <c r="AG47" s="352"/>
    </row>
    <row r="48" spans="1:33" ht="20.100000000000001" customHeight="1">
      <c r="A48" s="262"/>
      <c r="B48" s="1533" t="s">
        <v>203</v>
      </c>
      <c r="C48" s="1534"/>
      <c r="D48" s="269" t="s">
        <v>577</v>
      </c>
      <c r="E48" s="270"/>
      <c r="F48" s="277">
        <f t="shared" ref="F48:P48" si="23">IF($E48=0,F25,$E48*F26)</f>
        <v>0</v>
      </c>
      <c r="G48" s="277">
        <f t="shared" si="23"/>
        <v>0</v>
      </c>
      <c r="H48" s="277">
        <f t="shared" si="23"/>
        <v>0</v>
      </c>
      <c r="I48" s="277">
        <f t="shared" si="23"/>
        <v>0</v>
      </c>
      <c r="J48" s="277">
        <f t="shared" si="23"/>
        <v>0</v>
      </c>
      <c r="K48" s="277">
        <f t="shared" si="23"/>
        <v>0</v>
      </c>
      <c r="L48" s="277">
        <f t="shared" si="23"/>
        <v>0</v>
      </c>
      <c r="M48" s="277">
        <f t="shared" si="23"/>
        <v>0</v>
      </c>
      <c r="N48" s="277">
        <f t="shared" si="23"/>
        <v>0</v>
      </c>
      <c r="O48" s="277">
        <f t="shared" si="23"/>
        <v>0</v>
      </c>
      <c r="P48" s="277">
        <f t="shared" si="23"/>
        <v>0</v>
      </c>
      <c r="Q48" s="271">
        <f>ROUND(SUM(E48:P48)/12,0)</f>
        <v>0</v>
      </c>
      <c r="S48" s="352"/>
      <c r="T48" s="351"/>
      <c r="U48" s="351"/>
      <c r="V48" s="354"/>
      <c r="W48" s="354"/>
      <c r="X48" s="351"/>
      <c r="Y48" s="351"/>
      <c r="Z48" s="351"/>
      <c r="AA48" s="351"/>
      <c r="AB48" s="351"/>
      <c r="AC48" s="351"/>
      <c r="AD48" s="351"/>
      <c r="AE48" s="351"/>
      <c r="AF48" s="351"/>
      <c r="AG48" s="352"/>
    </row>
    <row r="49" spans="1:33" ht="20.100000000000001" customHeight="1">
      <c r="A49" s="262"/>
      <c r="B49" s="1533" t="s">
        <v>153</v>
      </c>
      <c r="C49" s="1534"/>
      <c r="D49" s="272" t="s">
        <v>577</v>
      </c>
      <c r="E49" s="270"/>
      <c r="F49" s="277">
        <f t="shared" ref="F49:P49" si="24">IF($E49=0,F27,$E49*F28)</f>
        <v>0</v>
      </c>
      <c r="G49" s="277">
        <f t="shared" si="24"/>
        <v>0</v>
      </c>
      <c r="H49" s="277">
        <f t="shared" si="24"/>
        <v>0</v>
      </c>
      <c r="I49" s="277">
        <f t="shared" si="24"/>
        <v>0</v>
      </c>
      <c r="J49" s="277">
        <f t="shared" si="24"/>
        <v>0</v>
      </c>
      <c r="K49" s="277">
        <f t="shared" si="24"/>
        <v>0</v>
      </c>
      <c r="L49" s="277">
        <f t="shared" si="24"/>
        <v>0</v>
      </c>
      <c r="M49" s="277">
        <f t="shared" si="24"/>
        <v>0</v>
      </c>
      <c r="N49" s="277">
        <f t="shared" si="24"/>
        <v>0</v>
      </c>
      <c r="O49" s="277">
        <f t="shared" si="24"/>
        <v>0</v>
      </c>
      <c r="P49" s="277">
        <f t="shared" si="24"/>
        <v>0</v>
      </c>
      <c r="Q49" s="271">
        <f>ROUND(SUM(E49:P49)/12,0)</f>
        <v>0</v>
      </c>
      <c r="S49" s="265"/>
      <c r="T49" s="353"/>
      <c r="U49" s="354"/>
      <c r="V49" s="354"/>
      <c r="W49" s="354"/>
      <c r="X49" s="354"/>
      <c r="Y49" s="354"/>
      <c r="Z49" s="354"/>
      <c r="AA49" s="354"/>
      <c r="AB49" s="354"/>
      <c r="AC49" s="354"/>
      <c r="AD49" s="354"/>
      <c r="AE49" s="354"/>
      <c r="AF49" s="354"/>
      <c r="AG49" s="355"/>
    </row>
    <row r="50" spans="1:33" ht="20.100000000000001" customHeight="1">
      <c r="A50" s="262"/>
      <c r="B50" s="1533" t="s">
        <v>751</v>
      </c>
      <c r="C50" s="1534"/>
      <c r="D50" s="272" t="s">
        <v>577</v>
      </c>
      <c r="E50" s="270"/>
      <c r="F50" s="277">
        <f t="shared" ref="F50:P50" si="25">IF($E50=0,F29,$E50*F30)</f>
        <v>0</v>
      </c>
      <c r="G50" s="277">
        <f t="shared" si="25"/>
        <v>0</v>
      </c>
      <c r="H50" s="277">
        <f t="shared" si="25"/>
        <v>0</v>
      </c>
      <c r="I50" s="277">
        <f t="shared" si="25"/>
        <v>0</v>
      </c>
      <c r="J50" s="277">
        <f t="shared" si="25"/>
        <v>0</v>
      </c>
      <c r="K50" s="277">
        <f t="shared" si="25"/>
        <v>0</v>
      </c>
      <c r="L50" s="277">
        <f t="shared" si="25"/>
        <v>0</v>
      </c>
      <c r="M50" s="277">
        <f t="shared" si="25"/>
        <v>0</v>
      </c>
      <c r="N50" s="277">
        <f t="shared" si="25"/>
        <v>0</v>
      </c>
      <c r="O50" s="277">
        <f t="shared" si="25"/>
        <v>0</v>
      </c>
      <c r="P50" s="277">
        <f t="shared" si="25"/>
        <v>0</v>
      </c>
      <c r="Q50" s="271">
        <f>ROUND(SUM(E50:P50)/12,0)</f>
        <v>0</v>
      </c>
      <c r="S50" s="265"/>
      <c r="T50" s="353"/>
      <c r="U50" s="354"/>
      <c r="V50" s="354"/>
      <c r="W50" s="354"/>
      <c r="X50" s="354"/>
      <c r="Y50" s="354"/>
      <c r="Z50" s="354"/>
      <c r="AA50" s="354"/>
      <c r="AB50" s="354"/>
      <c r="AC50" s="354"/>
      <c r="AD50" s="354"/>
      <c r="AE50" s="354"/>
      <c r="AF50" s="354"/>
      <c r="AG50" s="355"/>
    </row>
    <row r="51" spans="1:33" ht="20.100000000000001" customHeight="1">
      <c r="A51" s="262"/>
      <c r="B51" s="1531" t="s">
        <v>8</v>
      </c>
      <c r="C51" s="1532"/>
      <c r="D51" s="344" t="s">
        <v>577</v>
      </c>
      <c r="E51" s="345"/>
      <c r="F51" s="277">
        <f t="shared" ref="F51:P51" si="26">IF($E51=0,F31,$E51*F32)</f>
        <v>0</v>
      </c>
      <c r="G51" s="277">
        <f t="shared" si="26"/>
        <v>0</v>
      </c>
      <c r="H51" s="277">
        <f t="shared" si="26"/>
        <v>0</v>
      </c>
      <c r="I51" s="277">
        <f t="shared" si="26"/>
        <v>0</v>
      </c>
      <c r="J51" s="277">
        <f t="shared" si="26"/>
        <v>0</v>
      </c>
      <c r="K51" s="277">
        <f t="shared" si="26"/>
        <v>0</v>
      </c>
      <c r="L51" s="277">
        <f t="shared" si="26"/>
        <v>0</v>
      </c>
      <c r="M51" s="277">
        <f t="shared" si="26"/>
        <v>0</v>
      </c>
      <c r="N51" s="277">
        <f t="shared" si="26"/>
        <v>0</v>
      </c>
      <c r="O51" s="277">
        <f t="shared" si="26"/>
        <v>0</v>
      </c>
      <c r="P51" s="277">
        <f t="shared" si="26"/>
        <v>0</v>
      </c>
      <c r="Q51" s="346">
        <f>ROUND(SUM(E51:P51)/12,0)</f>
        <v>0</v>
      </c>
      <c r="S51" s="265"/>
      <c r="T51" s="353"/>
      <c r="U51" s="354"/>
      <c r="V51" s="354"/>
      <c r="W51" s="354"/>
      <c r="X51" s="354"/>
      <c r="Y51" s="354"/>
      <c r="Z51" s="354"/>
      <c r="AA51" s="354"/>
      <c r="AB51" s="354"/>
      <c r="AC51" s="354"/>
      <c r="AD51" s="354"/>
      <c r="AE51" s="354"/>
      <c r="AF51" s="354"/>
      <c r="AG51" s="355"/>
    </row>
    <row r="52" spans="1:33" ht="20.100000000000001" customHeight="1" thickBot="1">
      <c r="B52" s="1520" t="s">
        <v>0</v>
      </c>
      <c r="C52" s="1521"/>
      <c r="D52" s="347"/>
      <c r="E52" s="348">
        <f t="shared" ref="E52:Q52" si="27">SUM(E48:E51)</f>
        <v>0</v>
      </c>
      <c r="F52" s="348">
        <f t="shared" si="27"/>
        <v>0</v>
      </c>
      <c r="G52" s="348">
        <f t="shared" si="27"/>
        <v>0</v>
      </c>
      <c r="H52" s="348">
        <f t="shared" si="27"/>
        <v>0</v>
      </c>
      <c r="I52" s="348">
        <f t="shared" si="27"/>
        <v>0</v>
      </c>
      <c r="J52" s="348">
        <f t="shared" si="27"/>
        <v>0</v>
      </c>
      <c r="K52" s="348">
        <f t="shared" si="27"/>
        <v>0</v>
      </c>
      <c r="L52" s="348">
        <f t="shared" si="27"/>
        <v>0</v>
      </c>
      <c r="M52" s="348">
        <f t="shared" si="27"/>
        <v>0</v>
      </c>
      <c r="N52" s="348">
        <f t="shared" si="27"/>
        <v>0</v>
      </c>
      <c r="O52" s="348">
        <f t="shared" si="27"/>
        <v>0</v>
      </c>
      <c r="P52" s="348">
        <f t="shared" si="27"/>
        <v>0</v>
      </c>
      <c r="Q52" s="349">
        <f t="shared" si="27"/>
        <v>0</v>
      </c>
      <c r="S52" s="265"/>
      <c r="T52" s="353"/>
      <c r="U52" s="354"/>
      <c r="X52" s="354"/>
      <c r="Y52" s="354"/>
      <c r="Z52" s="354"/>
      <c r="AA52" s="354"/>
      <c r="AB52" s="354"/>
      <c r="AC52" s="354"/>
      <c r="AD52" s="354"/>
      <c r="AE52" s="354"/>
      <c r="AF52" s="354"/>
      <c r="AG52" s="355"/>
    </row>
    <row r="53" spans="1:33" ht="20.100000000000001" customHeight="1">
      <c r="A53" s="262"/>
      <c r="B53" s="262"/>
      <c r="C53" s="273"/>
      <c r="D53" s="262"/>
      <c r="E53" s="262"/>
      <c r="F53" s="262"/>
      <c r="G53" s="262"/>
      <c r="H53" s="262"/>
      <c r="I53" s="262"/>
      <c r="J53" s="262"/>
      <c r="K53" s="262"/>
      <c r="L53" s="262"/>
      <c r="M53" s="262"/>
      <c r="N53" s="262"/>
      <c r="O53" s="262"/>
      <c r="P53" s="262"/>
      <c r="Q53" s="262"/>
      <c r="S53" s="265"/>
      <c r="T53" s="353"/>
      <c r="U53" s="354"/>
      <c r="X53" s="354"/>
      <c r="Y53" s="354"/>
      <c r="Z53" s="354"/>
      <c r="AA53" s="354"/>
      <c r="AB53" s="354"/>
      <c r="AC53" s="354"/>
      <c r="AD53" s="354"/>
      <c r="AE53" s="354"/>
      <c r="AF53" s="354"/>
      <c r="AG53" s="355"/>
    </row>
    <row r="54" spans="1:33" ht="20.100000000000001" customHeight="1" thickBot="1">
      <c r="A54" s="284" t="s">
        <v>822</v>
      </c>
      <c r="B54" s="262"/>
      <c r="C54" s="273"/>
      <c r="D54" s="262"/>
      <c r="E54" s="262"/>
      <c r="F54" s="262"/>
      <c r="G54" s="262"/>
      <c r="H54" s="262"/>
      <c r="I54" s="262"/>
      <c r="J54" s="262"/>
      <c r="K54" s="262"/>
      <c r="L54" s="262"/>
      <c r="M54" s="262"/>
      <c r="N54" s="262"/>
      <c r="O54" s="262"/>
      <c r="P54" s="262"/>
      <c r="Q54" s="262"/>
    </row>
    <row r="55" spans="1:33" ht="20.100000000000001" customHeight="1" thickBot="1">
      <c r="A55" s="262"/>
      <c r="B55" s="1553" t="s">
        <v>823</v>
      </c>
      <c r="C55" s="1554"/>
      <c r="D55" s="1554"/>
      <c r="E55" s="1554"/>
      <c r="F55" s="1554"/>
      <c r="G55" s="1554"/>
      <c r="H55" s="1554"/>
      <c r="I55" s="1554"/>
      <c r="J55" s="1554"/>
      <c r="K55" s="1554"/>
      <c r="L55" s="1554"/>
      <c r="M55" s="434"/>
      <c r="N55" s="1546"/>
      <c r="O55" s="1547"/>
      <c r="P55" s="1548"/>
      <c r="Q55" s="262"/>
    </row>
    <row r="56" spans="1:33" ht="20.100000000000001" customHeight="1">
      <c r="A56" s="262"/>
      <c r="B56" s="1553" t="s">
        <v>828</v>
      </c>
      <c r="C56" s="1554"/>
      <c r="D56" s="1554"/>
      <c r="E56" s="1554"/>
      <c r="F56" s="1554"/>
      <c r="G56" s="1554"/>
      <c r="H56" s="1554"/>
      <c r="I56" s="1554"/>
      <c r="J56" s="1554"/>
      <c r="K56" s="1554"/>
      <c r="L56" s="1554"/>
      <c r="M56" s="367"/>
      <c r="N56" s="367"/>
      <c r="O56" s="367"/>
      <c r="P56" s="1082"/>
      <c r="Q56" s="262"/>
    </row>
    <row r="57" spans="1:33" ht="9.75" customHeight="1">
      <c r="A57" s="262"/>
      <c r="B57" s="435"/>
      <c r="C57" s="436"/>
      <c r="D57" s="436"/>
      <c r="E57" s="436"/>
      <c r="F57" s="436"/>
      <c r="G57" s="436"/>
      <c r="H57" s="436"/>
      <c r="I57" s="436"/>
      <c r="J57" s="436"/>
      <c r="K57" s="436"/>
      <c r="L57" s="436"/>
      <c r="M57" s="367"/>
      <c r="N57" s="367"/>
      <c r="O57" s="367"/>
      <c r="P57" s="399"/>
      <c r="Q57" s="262"/>
    </row>
    <row r="58" spans="1:33" ht="20.100000000000001" customHeight="1">
      <c r="A58" s="284" t="s">
        <v>824</v>
      </c>
      <c r="B58" s="285"/>
      <c r="C58" s="278"/>
      <c r="D58" s="278"/>
      <c r="E58" s="278"/>
      <c r="F58" s="278"/>
      <c r="G58" s="278"/>
      <c r="H58" s="278"/>
      <c r="I58" s="278"/>
      <c r="J58" s="278"/>
      <c r="K58" s="278"/>
      <c r="L58" s="278"/>
      <c r="M58" s="278"/>
      <c r="N58" s="278"/>
      <c r="O58" s="278"/>
      <c r="P58" s="278"/>
      <c r="Q58" s="278"/>
    </row>
    <row r="59" spans="1:33" ht="20.100000000000001" hidden="1" customHeight="1">
      <c r="A59" s="286"/>
      <c r="B59" s="285" t="s">
        <v>825</v>
      </c>
      <c r="C59" s="278"/>
      <c r="D59" s="278"/>
      <c r="E59" s="278"/>
      <c r="F59" s="278"/>
      <c r="G59" s="278"/>
      <c r="H59" s="278"/>
      <c r="I59" s="278"/>
      <c r="J59" s="278"/>
      <c r="K59" s="278"/>
      <c r="L59" s="278"/>
      <c r="M59" s="278"/>
      <c r="N59" s="278"/>
      <c r="O59" s="278"/>
      <c r="P59" s="278"/>
      <c r="Q59" s="278"/>
    </row>
    <row r="60" spans="1:33" ht="20.100000000000001" hidden="1" customHeight="1" thickBot="1">
      <c r="A60" s="286"/>
      <c r="B60" s="285"/>
      <c r="C60" s="278"/>
      <c r="D60" s="278"/>
      <c r="E60" s="278"/>
      <c r="F60" s="278"/>
      <c r="G60" s="278"/>
      <c r="H60" s="278"/>
      <c r="I60" s="278"/>
      <c r="J60" s="278"/>
      <c r="K60" s="278"/>
      <c r="L60" s="278"/>
      <c r="M60" s="278"/>
      <c r="N60" s="278"/>
      <c r="O60" s="278"/>
      <c r="P60" s="278"/>
      <c r="Q60" s="278"/>
    </row>
    <row r="61" spans="1:33" ht="20.100000000000001" hidden="1" customHeight="1" thickBot="1">
      <c r="A61" s="286"/>
      <c r="B61" s="439"/>
      <c r="C61" s="287" t="s">
        <v>579</v>
      </c>
      <c r="D61" s="278"/>
      <c r="E61" s="278"/>
      <c r="F61" s="278"/>
      <c r="G61" s="278"/>
      <c r="H61" s="278"/>
      <c r="I61" s="278"/>
      <c r="J61" s="278"/>
      <c r="K61" s="278"/>
      <c r="L61" s="278"/>
      <c r="M61" s="278"/>
      <c r="N61" s="278"/>
      <c r="O61" s="278"/>
      <c r="P61" s="278"/>
      <c r="Q61" s="278"/>
    </row>
    <row r="62" spans="1:33" ht="20.100000000000001" hidden="1" customHeight="1" thickBot="1">
      <c r="A62" s="437"/>
      <c r="B62" s="438"/>
      <c r="C62" s="437"/>
      <c r="D62" s="437"/>
      <c r="E62" s="437"/>
      <c r="F62" s="437"/>
      <c r="G62" s="437"/>
      <c r="H62" s="437"/>
      <c r="I62" s="437"/>
      <c r="J62" s="437"/>
      <c r="K62" s="437"/>
      <c r="L62" s="437"/>
      <c r="M62" s="437"/>
      <c r="N62" s="437"/>
      <c r="O62" s="437"/>
      <c r="P62" s="437"/>
      <c r="Q62" s="437"/>
    </row>
    <row r="63" spans="1:33" ht="20.100000000000001" hidden="1" customHeight="1" thickBot="1">
      <c r="A63" s="286"/>
      <c r="B63" s="439"/>
      <c r="C63" s="287" t="s">
        <v>580</v>
      </c>
      <c r="D63" s="278"/>
      <c r="E63" s="278"/>
      <c r="F63" s="278"/>
      <c r="G63" s="278"/>
      <c r="H63" s="278"/>
      <c r="I63" s="278"/>
      <c r="J63" s="278"/>
      <c r="K63" s="278"/>
      <c r="L63" s="278"/>
      <c r="M63" s="278"/>
      <c r="N63" s="278"/>
      <c r="O63" s="278"/>
      <c r="P63" s="278"/>
      <c r="Q63" s="278"/>
    </row>
    <row r="64" spans="1:33" ht="20.100000000000001" hidden="1" customHeight="1" thickBot="1">
      <c r="A64" s="286"/>
      <c r="B64" s="288"/>
      <c r="C64" s="279"/>
      <c r="D64" s="278"/>
      <c r="E64" s="278"/>
      <c r="F64" s="278"/>
      <c r="G64" s="278"/>
      <c r="H64" s="278"/>
      <c r="I64" s="278"/>
      <c r="J64" s="278"/>
      <c r="K64" s="278"/>
      <c r="L64" s="278"/>
      <c r="M64" s="278"/>
      <c r="N64" s="278"/>
      <c r="O64" s="278"/>
      <c r="P64" s="278"/>
      <c r="Q64" s="278"/>
    </row>
    <row r="65" spans="1:33" ht="20.100000000000001" hidden="1" customHeight="1" thickBot="1">
      <c r="A65" s="286"/>
      <c r="B65" s="439"/>
      <c r="C65" s="287" t="s">
        <v>581</v>
      </c>
      <c r="D65" s="278"/>
      <c r="E65" s="278"/>
      <c r="F65" s="278"/>
      <c r="G65" s="278"/>
      <c r="H65" s="278"/>
      <c r="I65" s="278"/>
      <c r="J65" s="278"/>
      <c r="K65" s="278"/>
      <c r="L65" s="278"/>
      <c r="M65" s="278"/>
      <c r="N65" s="278"/>
      <c r="O65" s="278"/>
      <c r="P65" s="278"/>
      <c r="Q65" s="278"/>
      <c r="V65" s="196"/>
      <c r="W65" s="196"/>
    </row>
    <row r="66" spans="1:33" ht="20.100000000000001" hidden="1" customHeight="1">
      <c r="A66" s="286"/>
      <c r="B66" s="1535"/>
      <c r="C66" s="1536"/>
      <c r="D66" s="1536"/>
      <c r="E66" s="1536"/>
      <c r="F66" s="1536"/>
      <c r="G66" s="1536"/>
      <c r="H66" s="1536"/>
      <c r="I66" s="1536"/>
      <c r="J66" s="1536"/>
      <c r="K66" s="1536"/>
      <c r="L66" s="1536"/>
      <c r="M66" s="1536"/>
      <c r="N66" s="1536"/>
      <c r="O66" s="1536"/>
      <c r="P66" s="1537"/>
      <c r="Q66" s="278"/>
      <c r="X66" s="196"/>
      <c r="Y66" s="196"/>
      <c r="Z66" s="196"/>
    </row>
    <row r="67" spans="1:33" ht="20.100000000000001" hidden="1" customHeight="1">
      <c r="A67" s="286"/>
      <c r="B67" s="1538"/>
      <c r="C67" s="1539"/>
      <c r="D67" s="1539"/>
      <c r="E67" s="1539"/>
      <c r="F67" s="1539"/>
      <c r="G67" s="1539"/>
      <c r="H67" s="1539"/>
      <c r="I67" s="1539"/>
      <c r="J67" s="1539"/>
      <c r="K67" s="1539"/>
      <c r="L67" s="1539"/>
      <c r="M67" s="1539"/>
      <c r="N67" s="1539"/>
      <c r="O67" s="1539"/>
      <c r="P67" s="1540"/>
      <c r="Q67" s="278"/>
    </row>
    <row r="68" spans="1:33" ht="20.100000000000001" hidden="1" customHeight="1" thickBot="1">
      <c r="A68" s="281"/>
      <c r="B68" s="1541"/>
      <c r="C68" s="1542"/>
      <c r="D68" s="1542"/>
      <c r="E68" s="1542"/>
      <c r="F68" s="1542"/>
      <c r="G68" s="1542"/>
      <c r="H68" s="1542"/>
      <c r="I68" s="1542"/>
      <c r="J68" s="1542"/>
      <c r="K68" s="1542"/>
      <c r="L68" s="1542"/>
      <c r="M68" s="1542"/>
      <c r="N68" s="1542"/>
      <c r="O68" s="1542"/>
      <c r="P68" s="1543"/>
      <c r="Q68" s="278"/>
    </row>
    <row r="69" spans="1:33" ht="20.100000000000001" hidden="1" customHeight="1">
      <c r="A69" s="176"/>
      <c r="B69" s="177"/>
      <c r="C69" s="177"/>
      <c r="D69" s="177"/>
      <c r="E69" s="177"/>
      <c r="F69" s="177"/>
      <c r="G69" s="177"/>
      <c r="H69" s="177"/>
      <c r="I69" s="177"/>
      <c r="J69" s="177"/>
      <c r="K69" s="177"/>
      <c r="L69" s="177"/>
      <c r="M69" s="177"/>
      <c r="N69" s="177"/>
      <c r="O69" s="177"/>
      <c r="P69" s="177"/>
      <c r="Q69" s="177"/>
      <c r="V69" s="176"/>
      <c r="W69" s="176"/>
    </row>
    <row r="70" spans="1:33" s="176" customFormat="1" ht="20.100000000000001" customHeight="1" thickBot="1">
      <c r="A70" s="280"/>
      <c r="B70" s="285" t="s">
        <v>827</v>
      </c>
      <c r="C70" s="278"/>
      <c r="D70" s="279"/>
      <c r="E70" s="368"/>
      <c r="F70" s="279"/>
      <c r="G70" s="279"/>
      <c r="H70" s="279"/>
      <c r="I70" s="279"/>
      <c r="J70" s="279"/>
      <c r="K70" s="279"/>
      <c r="L70" s="279"/>
      <c r="M70" s="279"/>
      <c r="N70" s="279"/>
      <c r="O70" s="279"/>
      <c r="P70" s="279"/>
      <c r="Q70" s="278"/>
    </row>
    <row r="71" spans="1:33" ht="20.100000000000001" customHeight="1" thickBot="1">
      <c r="A71" s="280"/>
      <c r="B71" s="1544" t="s">
        <v>764</v>
      </c>
      <c r="C71" s="1545"/>
      <c r="D71" s="370">
        <v>4</v>
      </c>
      <c r="E71" s="369" t="str">
        <f>IF(AND($D$71&lt;=E$72,$D$71&gt;3),"○","")</f>
        <v>○</v>
      </c>
      <c r="F71" s="369" t="str">
        <f t="shared" ref="F71:M71" si="28">IF(AND($D$71&lt;=F$72,$D$71&gt;3),"○","")</f>
        <v>○</v>
      </c>
      <c r="G71" s="369" t="str">
        <f t="shared" si="28"/>
        <v>○</v>
      </c>
      <c r="H71" s="369" t="str">
        <f t="shared" si="28"/>
        <v>○</v>
      </c>
      <c r="I71" s="369" t="str">
        <f t="shared" si="28"/>
        <v>○</v>
      </c>
      <c r="J71" s="369" t="str">
        <f t="shared" si="28"/>
        <v>○</v>
      </c>
      <c r="K71" s="369" t="str">
        <f t="shared" si="28"/>
        <v>○</v>
      </c>
      <c r="L71" s="369" t="str">
        <f t="shared" si="28"/>
        <v>○</v>
      </c>
      <c r="M71" s="369" t="str">
        <f t="shared" si="28"/>
        <v>○</v>
      </c>
      <c r="N71" s="369" t="str">
        <f>IF(AND($D$71&lt;=N$72+12,$D$71&gt;0),"○","")</f>
        <v>○</v>
      </c>
      <c r="O71" s="369" t="str">
        <f>IF(AND($D$71&lt;=O$72+12,$D$71&gt;0),"○","")</f>
        <v>○</v>
      </c>
      <c r="P71" s="369" t="str">
        <f>IF(AND($D$71&lt;=P$72+12,$D$71&gt;0),"○","")</f>
        <v>○</v>
      </c>
      <c r="Q71" s="371">
        <f>COUNTIF(E71:P71,"○")</f>
        <v>12</v>
      </c>
      <c r="X71" s="176"/>
      <c r="Y71" s="176"/>
      <c r="Z71" s="176"/>
    </row>
    <row r="72" spans="1:33" ht="20.100000000000001" customHeight="1">
      <c r="A72" s="281"/>
      <c r="B72" s="1529" t="s">
        <v>186</v>
      </c>
      <c r="C72" s="1530"/>
      <c r="D72" s="366" t="s">
        <v>240</v>
      </c>
      <c r="E72" s="282">
        <v>4</v>
      </c>
      <c r="F72" s="282">
        <v>5</v>
      </c>
      <c r="G72" s="282">
        <v>6</v>
      </c>
      <c r="H72" s="282">
        <v>7</v>
      </c>
      <c r="I72" s="282">
        <v>8</v>
      </c>
      <c r="J72" s="282">
        <v>9</v>
      </c>
      <c r="K72" s="282">
        <v>10</v>
      </c>
      <c r="L72" s="282">
        <v>11</v>
      </c>
      <c r="M72" s="282">
        <v>12</v>
      </c>
      <c r="N72" s="282">
        <v>1</v>
      </c>
      <c r="O72" s="282">
        <v>2</v>
      </c>
      <c r="P72" s="282">
        <v>3</v>
      </c>
      <c r="Q72" s="343" t="s">
        <v>1</v>
      </c>
    </row>
    <row r="73" spans="1:33" ht="20.100000000000001" customHeight="1">
      <c r="A73" s="262"/>
      <c r="B73" s="1533" t="s">
        <v>752</v>
      </c>
      <c r="C73" s="1534"/>
      <c r="D73" s="269" t="s">
        <v>577</v>
      </c>
      <c r="E73" s="270"/>
      <c r="F73" s="440"/>
      <c r="G73" s="440"/>
      <c r="H73" s="440"/>
      <c r="I73" s="440"/>
      <c r="J73" s="440"/>
      <c r="K73" s="440"/>
      <c r="L73" s="440"/>
      <c r="M73" s="440"/>
      <c r="N73" s="440"/>
      <c r="O73" s="440"/>
      <c r="P73" s="440"/>
      <c r="Q73" s="271">
        <f>IF(ISERROR(ROUND(SUM(E73:P73)/$Q$71,0)),0,ROUND(SUM(E73:P73)/$Q$71,0))</f>
        <v>0</v>
      </c>
      <c r="V73" s="354"/>
      <c r="W73" s="354"/>
    </row>
    <row r="74" spans="1:33" ht="20.100000000000001" customHeight="1">
      <c r="A74" s="262"/>
      <c r="B74" s="1533" t="s">
        <v>751</v>
      </c>
      <c r="C74" s="1534"/>
      <c r="D74" s="272" t="s">
        <v>577</v>
      </c>
      <c r="E74" s="270"/>
      <c r="F74" s="440"/>
      <c r="G74" s="440"/>
      <c r="H74" s="440"/>
      <c r="I74" s="440"/>
      <c r="J74" s="440"/>
      <c r="K74" s="440"/>
      <c r="L74" s="440"/>
      <c r="M74" s="440"/>
      <c r="N74" s="440"/>
      <c r="O74" s="440"/>
      <c r="P74" s="440"/>
      <c r="Q74" s="271">
        <f>IF(ISERROR(ROUND(SUM(E74:P74)/$Q$71,0)),0,ROUND(SUM(E74:P74)/$Q$71,0))</f>
        <v>0</v>
      </c>
      <c r="S74" s="273"/>
      <c r="T74" s="353"/>
      <c r="U74" s="354"/>
      <c r="V74" s="354"/>
      <c r="W74" s="354"/>
      <c r="X74" s="354"/>
      <c r="Y74" s="354"/>
      <c r="Z74" s="354"/>
      <c r="AA74" s="354"/>
      <c r="AB74" s="354"/>
      <c r="AC74" s="354"/>
      <c r="AD74" s="354"/>
      <c r="AE74" s="354"/>
      <c r="AF74" s="354"/>
      <c r="AG74" s="355"/>
    </row>
    <row r="75" spans="1:33" ht="20.100000000000001" customHeight="1">
      <c r="A75" s="262"/>
      <c r="B75" s="1531" t="s">
        <v>8</v>
      </c>
      <c r="C75" s="1532"/>
      <c r="D75" s="344" t="s">
        <v>577</v>
      </c>
      <c r="E75" s="345"/>
      <c r="F75" s="440"/>
      <c r="G75" s="440"/>
      <c r="H75" s="440"/>
      <c r="I75" s="440"/>
      <c r="J75" s="440"/>
      <c r="K75" s="440"/>
      <c r="L75" s="440"/>
      <c r="M75" s="440"/>
      <c r="N75" s="440"/>
      <c r="O75" s="440"/>
      <c r="P75" s="440"/>
      <c r="Q75" s="346">
        <f>IF(ISERROR(ROUND(SUM(E75:P75)/$Q$71,0)),0,ROUND(SUM(E75:P75)/$Q$71,0))</f>
        <v>0</v>
      </c>
      <c r="S75" s="273"/>
      <c r="T75" s="353"/>
      <c r="U75" s="354"/>
      <c r="V75" s="354"/>
      <c r="W75" s="354"/>
      <c r="X75" s="354"/>
      <c r="Y75" s="354"/>
      <c r="Z75" s="354"/>
      <c r="AA75" s="354"/>
      <c r="AB75" s="354"/>
      <c r="AC75" s="354"/>
      <c r="AD75" s="354"/>
      <c r="AE75" s="354"/>
      <c r="AF75" s="354"/>
      <c r="AG75" s="355"/>
    </row>
    <row r="76" spans="1:33" ht="20.100000000000001" customHeight="1" thickBot="1">
      <c r="B76" s="1520" t="s">
        <v>0</v>
      </c>
      <c r="C76" s="1521"/>
      <c r="D76" s="347"/>
      <c r="E76" s="348">
        <f t="shared" ref="E76:Q76" si="29">SUM(E73:E75)</f>
        <v>0</v>
      </c>
      <c r="F76" s="348">
        <f t="shared" si="29"/>
        <v>0</v>
      </c>
      <c r="G76" s="348">
        <f t="shared" si="29"/>
        <v>0</v>
      </c>
      <c r="H76" s="348">
        <f t="shared" si="29"/>
        <v>0</v>
      </c>
      <c r="I76" s="348">
        <f t="shared" si="29"/>
        <v>0</v>
      </c>
      <c r="J76" s="348">
        <f t="shared" si="29"/>
        <v>0</v>
      </c>
      <c r="K76" s="348">
        <f t="shared" si="29"/>
        <v>0</v>
      </c>
      <c r="L76" s="348">
        <f t="shared" si="29"/>
        <v>0</v>
      </c>
      <c r="M76" s="348">
        <f t="shared" si="29"/>
        <v>0</v>
      </c>
      <c r="N76" s="348">
        <f t="shared" si="29"/>
        <v>0</v>
      </c>
      <c r="O76" s="348">
        <f t="shared" si="29"/>
        <v>0</v>
      </c>
      <c r="P76" s="348">
        <f t="shared" si="29"/>
        <v>0</v>
      </c>
      <c r="Q76" s="349">
        <f t="shared" si="29"/>
        <v>0</v>
      </c>
      <c r="S76" s="273"/>
      <c r="T76" s="353"/>
      <c r="U76" s="354"/>
      <c r="V76" s="352"/>
      <c r="W76" s="352"/>
      <c r="X76" s="354"/>
      <c r="Y76" s="354"/>
      <c r="Z76" s="354"/>
      <c r="AA76" s="354"/>
      <c r="AB76" s="354"/>
      <c r="AC76" s="354"/>
      <c r="AD76" s="354"/>
      <c r="AE76" s="354"/>
      <c r="AF76" s="354"/>
      <c r="AG76" s="355"/>
    </row>
    <row r="77" spans="1:33" ht="20.100000000000001" customHeight="1">
      <c r="A77" s="262"/>
      <c r="B77" s="1549" t="s">
        <v>101</v>
      </c>
      <c r="C77" s="1550"/>
      <c r="D77" s="366" t="s">
        <v>240</v>
      </c>
      <c r="E77" s="267">
        <v>4</v>
      </c>
      <c r="F77" s="268">
        <v>5</v>
      </c>
      <c r="G77" s="268">
        <v>6</v>
      </c>
      <c r="H77" s="268">
        <v>7</v>
      </c>
      <c r="I77" s="268">
        <v>8</v>
      </c>
      <c r="J77" s="268">
        <v>9</v>
      </c>
      <c r="K77" s="268">
        <v>10</v>
      </c>
      <c r="L77" s="268">
        <v>11</v>
      </c>
      <c r="M77" s="268">
        <v>12</v>
      </c>
      <c r="N77" s="268">
        <v>1</v>
      </c>
      <c r="O77" s="268">
        <v>2</v>
      </c>
      <c r="P77" s="268">
        <v>3</v>
      </c>
      <c r="Q77" s="343" t="s">
        <v>1</v>
      </c>
      <c r="S77" s="352"/>
      <c r="T77" s="352"/>
      <c r="U77" s="352"/>
      <c r="V77" s="351"/>
      <c r="W77" s="351"/>
      <c r="X77" s="352"/>
      <c r="Y77" s="352"/>
      <c r="Z77" s="352"/>
      <c r="AA77" s="352"/>
      <c r="AB77" s="352"/>
      <c r="AC77" s="352"/>
      <c r="AD77" s="352"/>
      <c r="AE77" s="352"/>
      <c r="AF77" s="352"/>
      <c r="AG77" s="352"/>
    </row>
    <row r="78" spans="1:33" ht="20.100000000000001" customHeight="1">
      <c r="A78" s="262"/>
      <c r="B78" s="1533" t="s">
        <v>203</v>
      </c>
      <c r="C78" s="1534"/>
      <c r="D78" s="269" t="s">
        <v>577</v>
      </c>
      <c r="E78" s="270"/>
      <c r="F78" s="440"/>
      <c r="G78" s="440"/>
      <c r="H78" s="440"/>
      <c r="I78" s="440"/>
      <c r="J78" s="440"/>
      <c r="K78" s="440"/>
      <c r="L78" s="440"/>
      <c r="M78" s="440"/>
      <c r="N78" s="440"/>
      <c r="O78" s="440"/>
      <c r="P78" s="440"/>
      <c r="Q78" s="271">
        <f>IF(ISERROR(ROUND(SUM(E78:P78)/$Q$71,0)),0,ROUND(SUM(E78:P78)/$Q$71,0))</f>
        <v>0</v>
      </c>
      <c r="S78" s="352"/>
      <c r="T78" s="351"/>
      <c r="U78" s="351"/>
      <c r="V78" s="354"/>
      <c r="W78" s="354"/>
      <c r="X78" s="351"/>
      <c r="Y78" s="351"/>
      <c r="Z78" s="351"/>
      <c r="AA78" s="351"/>
      <c r="AB78" s="351"/>
      <c r="AC78" s="351"/>
      <c r="AD78" s="351"/>
      <c r="AE78" s="351"/>
      <c r="AF78" s="351"/>
      <c r="AG78" s="352"/>
    </row>
    <row r="79" spans="1:33" ht="20.100000000000001" customHeight="1">
      <c r="A79" s="262"/>
      <c r="B79" s="1533" t="s">
        <v>153</v>
      </c>
      <c r="C79" s="1534"/>
      <c r="D79" s="272" t="s">
        <v>577</v>
      </c>
      <c r="E79" s="270"/>
      <c r="F79" s="440"/>
      <c r="G79" s="440"/>
      <c r="H79" s="440"/>
      <c r="I79" s="440"/>
      <c r="J79" s="440"/>
      <c r="K79" s="440"/>
      <c r="L79" s="440"/>
      <c r="M79" s="440"/>
      <c r="N79" s="440"/>
      <c r="O79" s="440"/>
      <c r="P79" s="440"/>
      <c r="Q79" s="271">
        <f>IF(ISERROR(ROUND(SUM(E79:P79)/$Q$71,0)),0,ROUND(SUM(E79:P79)/$Q$71,0))</f>
        <v>0</v>
      </c>
      <c r="S79" s="265"/>
      <c r="T79" s="353"/>
      <c r="U79" s="354"/>
      <c r="V79" s="354"/>
      <c r="W79" s="354"/>
      <c r="X79" s="354"/>
      <c r="Y79" s="354"/>
      <c r="Z79" s="354"/>
      <c r="AA79" s="354"/>
      <c r="AB79" s="354"/>
      <c r="AC79" s="354"/>
      <c r="AD79" s="354"/>
      <c r="AE79" s="354"/>
      <c r="AF79" s="354"/>
      <c r="AG79" s="355"/>
    </row>
    <row r="80" spans="1:33" ht="20.100000000000001" customHeight="1">
      <c r="A80" s="262"/>
      <c r="B80" s="1533" t="s">
        <v>751</v>
      </c>
      <c r="C80" s="1534"/>
      <c r="D80" s="272" t="s">
        <v>577</v>
      </c>
      <c r="E80" s="270"/>
      <c r="F80" s="440"/>
      <c r="G80" s="440"/>
      <c r="H80" s="440"/>
      <c r="I80" s="440"/>
      <c r="J80" s="440"/>
      <c r="K80" s="440"/>
      <c r="L80" s="440"/>
      <c r="M80" s="440"/>
      <c r="N80" s="440"/>
      <c r="O80" s="440"/>
      <c r="P80" s="440"/>
      <c r="Q80" s="271">
        <f>IF(ISERROR(ROUND(SUM(E80:P80)/$Q$71,0)),0,ROUND(SUM(E80:P80)/$Q$71,0))</f>
        <v>0</v>
      </c>
      <c r="S80" s="265"/>
      <c r="T80" s="353"/>
      <c r="U80" s="354"/>
      <c r="V80" s="354"/>
      <c r="W80" s="354"/>
      <c r="X80" s="354"/>
      <c r="Y80" s="354"/>
      <c r="Z80" s="354"/>
      <c r="AA80" s="354"/>
      <c r="AB80" s="354"/>
      <c r="AC80" s="354"/>
      <c r="AD80" s="354"/>
      <c r="AE80" s="354"/>
      <c r="AF80" s="354"/>
      <c r="AG80" s="355"/>
    </row>
    <row r="81" spans="1:33" ht="20.100000000000001" customHeight="1">
      <c r="A81" s="262"/>
      <c r="B81" s="1531" t="s">
        <v>8</v>
      </c>
      <c r="C81" s="1532"/>
      <c r="D81" s="344" t="s">
        <v>577</v>
      </c>
      <c r="E81" s="345"/>
      <c r="F81" s="440"/>
      <c r="G81" s="440"/>
      <c r="H81" s="440"/>
      <c r="I81" s="440"/>
      <c r="J81" s="440"/>
      <c r="K81" s="440"/>
      <c r="L81" s="440"/>
      <c r="M81" s="440"/>
      <c r="N81" s="440"/>
      <c r="O81" s="440"/>
      <c r="P81" s="440"/>
      <c r="Q81" s="346">
        <f>IF(ISERROR(ROUND(SUM(E81:P81)/$Q$71,0)),0,ROUND(SUM(E81:P81)/$Q$71,0))</f>
        <v>0</v>
      </c>
      <c r="S81" s="265"/>
      <c r="T81" s="353"/>
      <c r="U81" s="354"/>
      <c r="V81" s="354"/>
      <c r="W81" s="354"/>
      <c r="X81" s="354"/>
      <c r="Y81" s="354"/>
      <c r="Z81" s="354"/>
      <c r="AA81" s="354"/>
      <c r="AB81" s="354"/>
      <c r="AC81" s="354"/>
      <c r="AD81" s="354"/>
      <c r="AE81" s="354"/>
      <c r="AF81" s="354"/>
      <c r="AG81" s="355"/>
    </row>
    <row r="82" spans="1:33" ht="20.100000000000001" customHeight="1" thickBot="1">
      <c r="B82" s="1520" t="s">
        <v>0</v>
      </c>
      <c r="C82" s="1521"/>
      <c r="D82" s="347"/>
      <c r="E82" s="348">
        <f t="shared" ref="E82:Q82" si="30">SUM(E78:E81)</f>
        <v>0</v>
      </c>
      <c r="F82" s="348">
        <f t="shared" si="30"/>
        <v>0</v>
      </c>
      <c r="G82" s="348">
        <f t="shared" si="30"/>
        <v>0</v>
      </c>
      <c r="H82" s="348">
        <f t="shared" si="30"/>
        <v>0</v>
      </c>
      <c r="I82" s="348">
        <f t="shared" si="30"/>
        <v>0</v>
      </c>
      <c r="J82" s="348">
        <f t="shared" si="30"/>
        <v>0</v>
      </c>
      <c r="K82" s="348">
        <f t="shared" si="30"/>
        <v>0</v>
      </c>
      <c r="L82" s="348">
        <f t="shared" si="30"/>
        <v>0</v>
      </c>
      <c r="M82" s="348">
        <f t="shared" si="30"/>
        <v>0</v>
      </c>
      <c r="N82" s="348">
        <f t="shared" si="30"/>
        <v>0</v>
      </c>
      <c r="O82" s="348">
        <f t="shared" si="30"/>
        <v>0</v>
      </c>
      <c r="P82" s="348">
        <f t="shared" si="30"/>
        <v>0</v>
      </c>
      <c r="Q82" s="349">
        <f t="shared" si="30"/>
        <v>0</v>
      </c>
      <c r="S82" s="265"/>
      <c r="T82" s="353"/>
      <c r="U82" s="354"/>
      <c r="V82" s="352"/>
      <c r="W82" s="352"/>
      <c r="X82" s="354"/>
      <c r="Y82" s="354"/>
      <c r="Z82" s="354"/>
      <c r="AA82" s="354"/>
      <c r="AB82" s="354"/>
      <c r="AC82" s="354"/>
      <c r="AD82" s="354"/>
      <c r="AE82" s="354"/>
      <c r="AF82" s="354"/>
      <c r="AG82" s="355"/>
    </row>
    <row r="83" spans="1:33" ht="20.100000000000001" customHeight="1">
      <c r="A83" s="262"/>
      <c r="B83" s="1551" t="s">
        <v>205</v>
      </c>
      <c r="C83" s="1552"/>
      <c r="D83" s="366" t="s">
        <v>240</v>
      </c>
      <c r="E83" s="267">
        <v>4</v>
      </c>
      <c r="F83" s="268">
        <v>5</v>
      </c>
      <c r="G83" s="268">
        <v>6</v>
      </c>
      <c r="H83" s="268">
        <v>7</v>
      </c>
      <c r="I83" s="268">
        <v>8</v>
      </c>
      <c r="J83" s="268">
        <v>9</v>
      </c>
      <c r="K83" s="268">
        <v>10</v>
      </c>
      <c r="L83" s="268">
        <v>11</v>
      </c>
      <c r="M83" s="268">
        <v>12</v>
      </c>
      <c r="N83" s="268">
        <v>1</v>
      </c>
      <c r="O83" s="268">
        <v>2</v>
      </c>
      <c r="P83" s="268">
        <v>3</v>
      </c>
      <c r="Q83" s="343" t="s">
        <v>1</v>
      </c>
      <c r="S83" s="352"/>
      <c r="T83" s="352"/>
      <c r="U83" s="352"/>
      <c r="V83" s="351"/>
      <c r="W83" s="351"/>
      <c r="X83" s="352"/>
      <c r="Y83" s="352"/>
      <c r="Z83" s="352"/>
      <c r="AA83" s="352"/>
      <c r="AB83" s="352"/>
      <c r="AC83" s="352"/>
      <c r="AD83" s="352"/>
      <c r="AE83" s="352"/>
      <c r="AF83" s="352"/>
      <c r="AG83" s="352"/>
    </row>
    <row r="84" spans="1:33" ht="20.100000000000001" customHeight="1">
      <c r="A84" s="262"/>
      <c r="B84" s="1533" t="s">
        <v>203</v>
      </c>
      <c r="C84" s="1534"/>
      <c r="D84" s="269" t="s">
        <v>577</v>
      </c>
      <c r="E84" s="270"/>
      <c r="F84" s="440"/>
      <c r="G84" s="440"/>
      <c r="H84" s="440"/>
      <c r="I84" s="440"/>
      <c r="J84" s="440"/>
      <c r="K84" s="440"/>
      <c r="L84" s="440"/>
      <c r="M84" s="440"/>
      <c r="N84" s="440"/>
      <c r="O84" s="440"/>
      <c r="P84" s="440"/>
      <c r="Q84" s="271">
        <f>IF(ISERROR(ROUND(SUM(E84:P84)/$Q$71,0)),0,ROUND(SUM(E84:P84)/$Q$71,0))</f>
        <v>0</v>
      </c>
      <c r="S84" s="352"/>
      <c r="T84" s="351"/>
      <c r="U84" s="351"/>
      <c r="V84" s="354"/>
      <c r="W84" s="354"/>
      <c r="X84" s="351"/>
      <c r="Y84" s="351"/>
      <c r="Z84" s="351"/>
      <c r="AA84" s="351"/>
      <c r="AB84" s="351"/>
      <c r="AC84" s="351"/>
      <c r="AD84" s="351"/>
      <c r="AE84" s="351"/>
      <c r="AF84" s="351"/>
      <c r="AG84" s="352"/>
    </row>
    <row r="85" spans="1:33" ht="20.100000000000001" customHeight="1">
      <c r="A85" s="262"/>
      <c r="B85" s="1533" t="s">
        <v>153</v>
      </c>
      <c r="C85" s="1534"/>
      <c r="D85" s="272" t="s">
        <v>577</v>
      </c>
      <c r="E85" s="270"/>
      <c r="F85" s="440"/>
      <c r="G85" s="440"/>
      <c r="H85" s="440"/>
      <c r="I85" s="440"/>
      <c r="J85" s="440"/>
      <c r="K85" s="440"/>
      <c r="L85" s="440"/>
      <c r="M85" s="440"/>
      <c r="N85" s="440"/>
      <c r="O85" s="440"/>
      <c r="P85" s="440"/>
      <c r="Q85" s="271">
        <f>IF(ISERROR(ROUND(SUM(E85:P85)/$Q$71,0)),0,ROUND(SUM(E85:P85)/$Q$71,0))</f>
        <v>0</v>
      </c>
      <c r="S85" s="265"/>
      <c r="T85" s="353"/>
      <c r="U85" s="354"/>
      <c r="V85" s="354"/>
      <c r="W85" s="354"/>
      <c r="X85" s="354"/>
      <c r="Y85" s="354"/>
      <c r="Z85" s="354"/>
      <c r="AA85" s="354"/>
      <c r="AB85" s="354"/>
      <c r="AC85" s="354"/>
      <c r="AD85" s="354"/>
      <c r="AE85" s="354"/>
      <c r="AF85" s="354"/>
      <c r="AG85" s="355"/>
    </row>
    <row r="86" spans="1:33" ht="20.100000000000001" customHeight="1">
      <c r="A86" s="262"/>
      <c r="B86" s="1533" t="s">
        <v>751</v>
      </c>
      <c r="C86" s="1534"/>
      <c r="D86" s="272" t="s">
        <v>577</v>
      </c>
      <c r="E86" s="270"/>
      <c r="F86" s="440"/>
      <c r="G86" s="440"/>
      <c r="H86" s="440"/>
      <c r="I86" s="440"/>
      <c r="J86" s="440"/>
      <c r="K86" s="440"/>
      <c r="L86" s="440"/>
      <c r="M86" s="440"/>
      <c r="N86" s="440"/>
      <c r="O86" s="440"/>
      <c r="P86" s="440"/>
      <c r="Q86" s="271">
        <f>IF(ISERROR(ROUND(SUM(E86:P86)/$Q$71,0)),0,ROUND(SUM(E86:P86)/$Q$71,0))</f>
        <v>0</v>
      </c>
      <c r="S86" s="265"/>
      <c r="T86" s="353"/>
      <c r="U86" s="354"/>
      <c r="V86" s="354"/>
      <c r="W86" s="354"/>
      <c r="X86" s="354"/>
      <c r="Y86" s="354"/>
      <c r="Z86" s="354"/>
      <c r="AA86" s="354"/>
      <c r="AB86" s="354"/>
      <c r="AC86" s="354"/>
      <c r="AD86" s="354"/>
      <c r="AE86" s="354"/>
      <c r="AF86" s="354"/>
      <c r="AG86" s="355"/>
    </row>
    <row r="87" spans="1:33" ht="20.100000000000001" customHeight="1">
      <c r="A87" s="262"/>
      <c r="B87" s="1531" t="s">
        <v>8</v>
      </c>
      <c r="C87" s="1532"/>
      <c r="D87" s="344" t="s">
        <v>577</v>
      </c>
      <c r="E87" s="345"/>
      <c r="F87" s="440"/>
      <c r="G87" s="440"/>
      <c r="H87" s="440"/>
      <c r="I87" s="440"/>
      <c r="J87" s="440"/>
      <c r="K87" s="440"/>
      <c r="L87" s="440"/>
      <c r="M87" s="440"/>
      <c r="N87" s="440"/>
      <c r="O87" s="440"/>
      <c r="P87" s="440"/>
      <c r="Q87" s="346">
        <f>IF(ISERROR(ROUND(SUM(E87:P87)/$Q$71,0)),0,ROUND(SUM(E87:P87)/$Q$71,0))</f>
        <v>0</v>
      </c>
      <c r="S87" s="265"/>
      <c r="T87" s="353"/>
      <c r="U87" s="354"/>
      <c r="V87" s="354"/>
      <c r="W87" s="354"/>
      <c r="X87" s="354"/>
      <c r="Y87" s="354"/>
      <c r="Z87" s="354"/>
      <c r="AA87" s="354"/>
      <c r="AB87" s="354"/>
      <c r="AC87" s="354"/>
      <c r="AD87" s="354"/>
      <c r="AE87" s="354"/>
      <c r="AF87" s="354"/>
      <c r="AG87" s="355"/>
    </row>
    <row r="88" spans="1:33" ht="20.100000000000001" customHeight="1" thickBot="1">
      <c r="B88" s="1520" t="s">
        <v>0</v>
      </c>
      <c r="C88" s="1521"/>
      <c r="D88" s="347"/>
      <c r="E88" s="348">
        <f t="shared" ref="E88:Q88" si="31">SUM(E84:E87)</f>
        <v>0</v>
      </c>
      <c r="F88" s="348">
        <f t="shared" si="31"/>
        <v>0</v>
      </c>
      <c r="G88" s="348">
        <f t="shared" si="31"/>
        <v>0</v>
      </c>
      <c r="H88" s="348">
        <f t="shared" si="31"/>
        <v>0</v>
      </c>
      <c r="I88" s="348">
        <f t="shared" si="31"/>
        <v>0</v>
      </c>
      <c r="J88" s="348">
        <f t="shared" si="31"/>
        <v>0</v>
      </c>
      <c r="K88" s="348">
        <f t="shared" si="31"/>
        <v>0</v>
      </c>
      <c r="L88" s="348">
        <f t="shared" si="31"/>
        <v>0</v>
      </c>
      <c r="M88" s="348">
        <f t="shared" si="31"/>
        <v>0</v>
      </c>
      <c r="N88" s="348">
        <f t="shared" si="31"/>
        <v>0</v>
      </c>
      <c r="O88" s="348">
        <f t="shared" si="31"/>
        <v>0</v>
      </c>
      <c r="P88" s="348">
        <f t="shared" si="31"/>
        <v>0</v>
      </c>
      <c r="Q88" s="349">
        <f t="shared" si="31"/>
        <v>0</v>
      </c>
      <c r="S88" s="265"/>
      <c r="T88" s="353"/>
      <c r="U88" s="354"/>
      <c r="X88" s="354"/>
      <c r="Y88" s="354"/>
      <c r="Z88" s="354"/>
      <c r="AA88" s="354"/>
      <c r="AB88" s="354"/>
      <c r="AC88" s="354"/>
      <c r="AD88" s="354"/>
      <c r="AE88" s="354"/>
      <c r="AF88" s="354"/>
      <c r="AG88" s="355"/>
    </row>
    <row r="89" spans="1:33" ht="20.100000000000001" customHeight="1">
      <c r="A89" s="278"/>
      <c r="B89" s="278"/>
      <c r="C89" s="279"/>
      <c r="D89" s="279"/>
      <c r="E89" s="283"/>
      <c r="F89" s="283"/>
      <c r="G89" s="283"/>
      <c r="H89" s="283"/>
      <c r="I89" s="283"/>
      <c r="J89" s="283"/>
      <c r="K89" s="283"/>
      <c r="L89" s="283"/>
      <c r="M89" s="283"/>
      <c r="N89" s="283"/>
      <c r="O89" s="283"/>
      <c r="P89" s="283"/>
      <c r="Q89" s="283"/>
    </row>
    <row r="90" spans="1:33" ht="20.100000000000001" customHeight="1">
      <c r="B90" s="289"/>
      <c r="C90" s="289"/>
      <c r="D90" s="289"/>
      <c r="E90" s="289"/>
      <c r="F90" s="289"/>
      <c r="G90" s="289"/>
      <c r="H90" s="289"/>
      <c r="I90" s="289"/>
      <c r="J90" s="289"/>
      <c r="K90" s="289"/>
      <c r="L90" s="289"/>
      <c r="M90" s="289"/>
      <c r="N90" s="289"/>
      <c r="O90" s="289"/>
      <c r="P90" s="289"/>
      <c r="Q90" s="289"/>
    </row>
    <row r="91" spans="1:33" ht="17.25" customHeight="1"/>
    <row r="92" spans="1:33" ht="17.25" customHeight="1"/>
    <row r="93" spans="1:33" ht="17.25" customHeight="1"/>
    <row r="94" spans="1:33" ht="17.25" customHeight="1"/>
    <row r="95" spans="1:33" ht="17.25" customHeight="1"/>
    <row r="96" spans="1:33"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sheetData>
  <sheetProtection algorithmName="SHA-512" hashValue="cFaPCQWWfWBLNgVCd0tdSOXgoV6woi83LGHWj//uwJ5yV+j4/yPKQRR0wFdMtRgT1EfeZJrpt4141lShcBLkvg==" saltValue="sEA5vSj4ZsN6YbjjFQM1bQ==" spinCount="100000" sheet="1" objects="1" scenarios="1"/>
  <customSheetViews>
    <customSheetView guid="{2E52E5FF-9846-4DC5-A671-268FE925398C}" showPageBreaks="1" printArea="1" view="pageBreakPreview">
      <selection activeCell="X7" sqref="X7"/>
      <rowBreaks count="1" manualBreakCount="1">
        <brk id="55" max="16" man="1"/>
      </rowBreaks>
      <pageMargins left="0.70866141732283472" right="0.70866141732283472" top="0.74803149606299213" bottom="0.74803149606299213" header="0.31496062992125984" footer="0.31496062992125984"/>
      <pageSetup paperSize="9" scale="70" orientation="portrait" r:id="rId1"/>
    </customSheetView>
    <customSheetView guid="{BADA99B3-B36A-4925-87A7-F72FC97D3DBA}" showPageBreaks="1" printArea="1" view="pageBreakPreview">
      <selection activeCell="P10" sqref="P10"/>
      <rowBreaks count="1" manualBreakCount="1">
        <brk id="55" max="16" man="1"/>
      </rowBreaks>
      <pageMargins left="0.70866141732283472" right="0.70866141732283472" top="0.74803149606299213" bottom="0.74803149606299213" header="0.31496062992125984" footer="0.31496062992125984"/>
      <pageSetup paperSize="9" scale="70" orientation="portrait" r:id="rId2"/>
    </customSheetView>
  </customSheetViews>
  <mergeCells count="71">
    <mergeCell ref="B56:L56"/>
    <mergeCell ref="B52:C52"/>
    <mergeCell ref="B36:C36"/>
    <mergeCell ref="B37:C37"/>
    <mergeCell ref="B43:C43"/>
    <mergeCell ref="B44:C44"/>
    <mergeCell ref="B45:C45"/>
    <mergeCell ref="B46:C46"/>
    <mergeCell ref="B51:C51"/>
    <mergeCell ref="B47:C47"/>
    <mergeCell ref="B48:C48"/>
    <mergeCell ref="B42:C42"/>
    <mergeCell ref="B55:L55"/>
    <mergeCell ref="B41:C41"/>
    <mergeCell ref="B49:C49"/>
    <mergeCell ref="B50:C50"/>
    <mergeCell ref="B38:C38"/>
    <mergeCell ref="B39:C39"/>
    <mergeCell ref="B40:C40"/>
    <mergeCell ref="B29:C30"/>
    <mergeCell ref="Q29:Q30"/>
    <mergeCell ref="B31:C32"/>
    <mergeCell ref="Q31:Q32"/>
    <mergeCell ref="N55:P55"/>
    <mergeCell ref="B33:C33"/>
    <mergeCell ref="B86:C86"/>
    <mergeCell ref="B87:C87"/>
    <mergeCell ref="B88:C88"/>
    <mergeCell ref="B73:C73"/>
    <mergeCell ref="B74:C74"/>
    <mergeCell ref="B76:C76"/>
    <mergeCell ref="B77:C77"/>
    <mergeCell ref="B78:C78"/>
    <mergeCell ref="B79:C79"/>
    <mergeCell ref="B80:C80"/>
    <mergeCell ref="B81:C81"/>
    <mergeCell ref="B82:C82"/>
    <mergeCell ref="B83:C83"/>
    <mergeCell ref="B84:C84"/>
    <mergeCell ref="B75:C75"/>
    <mergeCell ref="B85:C85"/>
    <mergeCell ref="B66:P68"/>
    <mergeCell ref="B71:C71"/>
    <mergeCell ref="B72:C72"/>
    <mergeCell ref="V1:AB1"/>
    <mergeCell ref="B21:C22"/>
    <mergeCell ref="Q21:Q22"/>
    <mergeCell ref="B25:C26"/>
    <mergeCell ref="Q25:Q26"/>
    <mergeCell ref="O1:Q1"/>
    <mergeCell ref="A1:N1"/>
    <mergeCell ref="T1:U1"/>
    <mergeCell ref="B13:C13"/>
    <mergeCell ref="B24:C24"/>
    <mergeCell ref="B6:C6"/>
    <mergeCell ref="B14:C14"/>
    <mergeCell ref="Q7:Q8"/>
    <mergeCell ref="B7:C8"/>
    <mergeCell ref="B9:C10"/>
    <mergeCell ref="B11:C12"/>
    <mergeCell ref="Q9:Q10"/>
    <mergeCell ref="B27:C28"/>
    <mergeCell ref="Q27:Q28"/>
    <mergeCell ref="B15:C16"/>
    <mergeCell ref="Q15:Q16"/>
    <mergeCell ref="B17:C18"/>
    <mergeCell ref="Q17:Q18"/>
    <mergeCell ref="B19:C20"/>
    <mergeCell ref="B23:C23"/>
    <mergeCell ref="Q11:Q12"/>
    <mergeCell ref="Q19:Q20"/>
  </mergeCells>
  <phoneticPr fontId="60"/>
  <dataValidations count="4">
    <dataValidation type="list" showInputMessage="1" showErrorMessage="1" sqref="B61 B63 B65" xr:uid="{00000000-0002-0000-0800-000000000000}">
      <formula1>$U$2:$U$3</formula1>
    </dataValidation>
    <dataValidation type="list" allowBlank="1" showInputMessage="1" showErrorMessage="1" sqref="WVM983110 D65613 JA65606 SW65606 ACS65606 AMO65606 AWK65606 BGG65606 BQC65606 BZY65606 CJU65606 CTQ65606 DDM65606 DNI65606 DXE65606 EHA65606 EQW65606 FAS65606 FKO65606 FUK65606 GEG65606 GOC65606 GXY65606 HHU65606 HRQ65606 IBM65606 ILI65606 IVE65606 JFA65606 JOW65606 JYS65606 KIO65606 KSK65606 LCG65606 LMC65606 LVY65606 MFU65606 MPQ65606 MZM65606 NJI65606 NTE65606 ODA65606 OMW65606 OWS65606 PGO65606 PQK65606 QAG65606 QKC65606 QTY65606 RDU65606 RNQ65606 RXM65606 SHI65606 SRE65606 TBA65606 TKW65606 TUS65606 UEO65606 UOK65606 UYG65606 VIC65606 VRY65606 WBU65606 WLQ65606 WVM65606 D131149 JA131142 SW131142 ACS131142 AMO131142 AWK131142 BGG131142 BQC131142 BZY131142 CJU131142 CTQ131142 DDM131142 DNI131142 DXE131142 EHA131142 EQW131142 FAS131142 FKO131142 FUK131142 GEG131142 GOC131142 GXY131142 HHU131142 HRQ131142 IBM131142 ILI131142 IVE131142 JFA131142 JOW131142 JYS131142 KIO131142 KSK131142 LCG131142 LMC131142 LVY131142 MFU131142 MPQ131142 MZM131142 NJI131142 NTE131142 ODA131142 OMW131142 OWS131142 PGO131142 PQK131142 QAG131142 QKC131142 QTY131142 RDU131142 RNQ131142 RXM131142 SHI131142 SRE131142 TBA131142 TKW131142 TUS131142 UEO131142 UOK131142 UYG131142 VIC131142 VRY131142 WBU131142 WLQ131142 WVM131142 D196685 JA196678 SW196678 ACS196678 AMO196678 AWK196678 BGG196678 BQC196678 BZY196678 CJU196678 CTQ196678 DDM196678 DNI196678 DXE196678 EHA196678 EQW196678 FAS196678 FKO196678 FUK196678 GEG196678 GOC196678 GXY196678 HHU196678 HRQ196678 IBM196678 ILI196678 IVE196678 JFA196678 JOW196678 JYS196678 KIO196678 KSK196678 LCG196678 LMC196678 LVY196678 MFU196678 MPQ196678 MZM196678 NJI196678 NTE196678 ODA196678 OMW196678 OWS196678 PGO196678 PQK196678 QAG196678 QKC196678 QTY196678 RDU196678 RNQ196678 RXM196678 SHI196678 SRE196678 TBA196678 TKW196678 TUS196678 UEO196678 UOK196678 UYG196678 VIC196678 VRY196678 WBU196678 WLQ196678 WVM196678 D262221 JA262214 SW262214 ACS262214 AMO262214 AWK262214 BGG262214 BQC262214 BZY262214 CJU262214 CTQ262214 DDM262214 DNI262214 DXE262214 EHA262214 EQW262214 FAS262214 FKO262214 FUK262214 GEG262214 GOC262214 GXY262214 HHU262214 HRQ262214 IBM262214 ILI262214 IVE262214 JFA262214 JOW262214 JYS262214 KIO262214 KSK262214 LCG262214 LMC262214 LVY262214 MFU262214 MPQ262214 MZM262214 NJI262214 NTE262214 ODA262214 OMW262214 OWS262214 PGO262214 PQK262214 QAG262214 QKC262214 QTY262214 RDU262214 RNQ262214 RXM262214 SHI262214 SRE262214 TBA262214 TKW262214 TUS262214 UEO262214 UOK262214 UYG262214 VIC262214 VRY262214 WBU262214 WLQ262214 WVM262214 D327757 JA327750 SW327750 ACS327750 AMO327750 AWK327750 BGG327750 BQC327750 BZY327750 CJU327750 CTQ327750 DDM327750 DNI327750 DXE327750 EHA327750 EQW327750 FAS327750 FKO327750 FUK327750 GEG327750 GOC327750 GXY327750 HHU327750 HRQ327750 IBM327750 ILI327750 IVE327750 JFA327750 JOW327750 JYS327750 KIO327750 KSK327750 LCG327750 LMC327750 LVY327750 MFU327750 MPQ327750 MZM327750 NJI327750 NTE327750 ODA327750 OMW327750 OWS327750 PGO327750 PQK327750 QAG327750 QKC327750 QTY327750 RDU327750 RNQ327750 RXM327750 SHI327750 SRE327750 TBA327750 TKW327750 TUS327750 UEO327750 UOK327750 UYG327750 VIC327750 VRY327750 WBU327750 WLQ327750 WVM327750 D393293 JA393286 SW393286 ACS393286 AMO393286 AWK393286 BGG393286 BQC393286 BZY393286 CJU393286 CTQ393286 DDM393286 DNI393286 DXE393286 EHA393286 EQW393286 FAS393286 FKO393286 FUK393286 GEG393286 GOC393286 GXY393286 HHU393286 HRQ393286 IBM393286 ILI393286 IVE393286 JFA393286 JOW393286 JYS393286 KIO393286 KSK393286 LCG393286 LMC393286 LVY393286 MFU393286 MPQ393286 MZM393286 NJI393286 NTE393286 ODA393286 OMW393286 OWS393286 PGO393286 PQK393286 QAG393286 QKC393286 QTY393286 RDU393286 RNQ393286 RXM393286 SHI393286 SRE393286 TBA393286 TKW393286 TUS393286 UEO393286 UOK393286 UYG393286 VIC393286 VRY393286 WBU393286 WLQ393286 WVM393286 D458829 JA458822 SW458822 ACS458822 AMO458822 AWK458822 BGG458822 BQC458822 BZY458822 CJU458822 CTQ458822 DDM458822 DNI458822 DXE458822 EHA458822 EQW458822 FAS458822 FKO458822 FUK458822 GEG458822 GOC458822 GXY458822 HHU458822 HRQ458822 IBM458822 ILI458822 IVE458822 JFA458822 JOW458822 JYS458822 KIO458822 KSK458822 LCG458822 LMC458822 LVY458822 MFU458822 MPQ458822 MZM458822 NJI458822 NTE458822 ODA458822 OMW458822 OWS458822 PGO458822 PQK458822 QAG458822 QKC458822 QTY458822 RDU458822 RNQ458822 RXM458822 SHI458822 SRE458822 TBA458822 TKW458822 TUS458822 UEO458822 UOK458822 UYG458822 VIC458822 VRY458822 WBU458822 WLQ458822 WVM458822 D524365 JA524358 SW524358 ACS524358 AMO524358 AWK524358 BGG524358 BQC524358 BZY524358 CJU524358 CTQ524358 DDM524358 DNI524358 DXE524358 EHA524358 EQW524358 FAS524358 FKO524358 FUK524358 GEG524358 GOC524358 GXY524358 HHU524358 HRQ524358 IBM524358 ILI524358 IVE524358 JFA524358 JOW524358 JYS524358 KIO524358 KSK524358 LCG524358 LMC524358 LVY524358 MFU524358 MPQ524358 MZM524358 NJI524358 NTE524358 ODA524358 OMW524358 OWS524358 PGO524358 PQK524358 QAG524358 QKC524358 QTY524358 RDU524358 RNQ524358 RXM524358 SHI524358 SRE524358 TBA524358 TKW524358 TUS524358 UEO524358 UOK524358 UYG524358 VIC524358 VRY524358 WBU524358 WLQ524358 WVM524358 D589901 JA589894 SW589894 ACS589894 AMO589894 AWK589894 BGG589894 BQC589894 BZY589894 CJU589894 CTQ589894 DDM589894 DNI589894 DXE589894 EHA589894 EQW589894 FAS589894 FKO589894 FUK589894 GEG589894 GOC589894 GXY589894 HHU589894 HRQ589894 IBM589894 ILI589894 IVE589894 JFA589894 JOW589894 JYS589894 KIO589894 KSK589894 LCG589894 LMC589894 LVY589894 MFU589894 MPQ589894 MZM589894 NJI589894 NTE589894 ODA589894 OMW589894 OWS589894 PGO589894 PQK589894 QAG589894 QKC589894 QTY589894 RDU589894 RNQ589894 RXM589894 SHI589894 SRE589894 TBA589894 TKW589894 TUS589894 UEO589894 UOK589894 UYG589894 VIC589894 VRY589894 WBU589894 WLQ589894 WVM589894 D655437 JA655430 SW655430 ACS655430 AMO655430 AWK655430 BGG655430 BQC655430 BZY655430 CJU655430 CTQ655430 DDM655430 DNI655430 DXE655430 EHA655430 EQW655430 FAS655430 FKO655430 FUK655430 GEG655430 GOC655430 GXY655430 HHU655430 HRQ655430 IBM655430 ILI655430 IVE655430 JFA655430 JOW655430 JYS655430 KIO655430 KSK655430 LCG655430 LMC655430 LVY655430 MFU655430 MPQ655430 MZM655430 NJI655430 NTE655430 ODA655430 OMW655430 OWS655430 PGO655430 PQK655430 QAG655430 QKC655430 QTY655430 RDU655430 RNQ655430 RXM655430 SHI655430 SRE655430 TBA655430 TKW655430 TUS655430 UEO655430 UOK655430 UYG655430 VIC655430 VRY655430 WBU655430 WLQ655430 WVM655430 D720973 JA720966 SW720966 ACS720966 AMO720966 AWK720966 BGG720966 BQC720966 BZY720966 CJU720966 CTQ720966 DDM720966 DNI720966 DXE720966 EHA720966 EQW720966 FAS720966 FKO720966 FUK720966 GEG720966 GOC720966 GXY720966 HHU720966 HRQ720966 IBM720966 ILI720966 IVE720966 JFA720966 JOW720966 JYS720966 KIO720966 KSK720966 LCG720966 LMC720966 LVY720966 MFU720966 MPQ720966 MZM720966 NJI720966 NTE720966 ODA720966 OMW720966 OWS720966 PGO720966 PQK720966 QAG720966 QKC720966 QTY720966 RDU720966 RNQ720966 RXM720966 SHI720966 SRE720966 TBA720966 TKW720966 TUS720966 UEO720966 UOK720966 UYG720966 VIC720966 VRY720966 WBU720966 WLQ720966 WVM720966 D786509 JA786502 SW786502 ACS786502 AMO786502 AWK786502 BGG786502 BQC786502 BZY786502 CJU786502 CTQ786502 DDM786502 DNI786502 DXE786502 EHA786502 EQW786502 FAS786502 FKO786502 FUK786502 GEG786502 GOC786502 GXY786502 HHU786502 HRQ786502 IBM786502 ILI786502 IVE786502 JFA786502 JOW786502 JYS786502 KIO786502 KSK786502 LCG786502 LMC786502 LVY786502 MFU786502 MPQ786502 MZM786502 NJI786502 NTE786502 ODA786502 OMW786502 OWS786502 PGO786502 PQK786502 QAG786502 QKC786502 QTY786502 RDU786502 RNQ786502 RXM786502 SHI786502 SRE786502 TBA786502 TKW786502 TUS786502 UEO786502 UOK786502 UYG786502 VIC786502 VRY786502 WBU786502 WLQ786502 WVM786502 D852045 JA852038 SW852038 ACS852038 AMO852038 AWK852038 BGG852038 BQC852038 BZY852038 CJU852038 CTQ852038 DDM852038 DNI852038 DXE852038 EHA852038 EQW852038 FAS852038 FKO852038 FUK852038 GEG852038 GOC852038 GXY852038 HHU852038 HRQ852038 IBM852038 ILI852038 IVE852038 JFA852038 JOW852038 JYS852038 KIO852038 KSK852038 LCG852038 LMC852038 LVY852038 MFU852038 MPQ852038 MZM852038 NJI852038 NTE852038 ODA852038 OMW852038 OWS852038 PGO852038 PQK852038 QAG852038 QKC852038 QTY852038 RDU852038 RNQ852038 RXM852038 SHI852038 SRE852038 TBA852038 TKW852038 TUS852038 UEO852038 UOK852038 UYG852038 VIC852038 VRY852038 WBU852038 WLQ852038 WVM852038 D917581 JA917574 SW917574 ACS917574 AMO917574 AWK917574 BGG917574 BQC917574 BZY917574 CJU917574 CTQ917574 DDM917574 DNI917574 DXE917574 EHA917574 EQW917574 FAS917574 FKO917574 FUK917574 GEG917574 GOC917574 GXY917574 HHU917574 HRQ917574 IBM917574 ILI917574 IVE917574 JFA917574 JOW917574 JYS917574 KIO917574 KSK917574 LCG917574 LMC917574 LVY917574 MFU917574 MPQ917574 MZM917574 NJI917574 NTE917574 ODA917574 OMW917574 OWS917574 PGO917574 PQK917574 QAG917574 QKC917574 QTY917574 RDU917574 RNQ917574 RXM917574 SHI917574 SRE917574 TBA917574 TKW917574 TUS917574 UEO917574 UOK917574 UYG917574 VIC917574 VRY917574 WBU917574 WLQ917574 WVM917574 D983117 JA983110 SW983110 ACS983110 AMO983110 AWK983110 BGG983110 BQC983110 BZY983110 CJU983110 CTQ983110 DDM983110 DNI983110 DXE983110 EHA983110 EQW983110 FAS983110 FKO983110 FUK983110 GEG983110 GOC983110 GXY983110 HHU983110 HRQ983110 IBM983110 ILI983110 IVE983110 JFA983110 JOW983110 JYS983110 KIO983110 KSK983110 LCG983110 LMC983110 LVY983110 MFU983110 MPQ983110 MZM983110 NJI983110 NTE983110 ODA983110 OMW983110 OWS983110 PGO983110 PQK983110 QAG983110 QKC983110 QTY983110 RDU983110 RNQ983110 RXM983110 SHI983110 SRE983110 TBA983110 TKW983110 TUS983110 UEO983110 UOK983110 UYG983110 VIC983110 VRY983110 WBU983110 WLQ983110" xr:uid="{00000000-0002-0000-0800-000001000000}">
      <formula1>"　,満たす,満たさない"</formula1>
    </dataValidation>
    <dataValidation type="list" allowBlank="1" showInputMessage="1" showErrorMessage="1" sqref="D65604:D65612 JA65597:JA65605 SW65597:SW65605 ACS65597:ACS65605 AMO65597:AMO65605 AWK65597:AWK65605 BGG65597:BGG65605 BQC65597:BQC65605 BZY65597:BZY65605 CJU65597:CJU65605 CTQ65597:CTQ65605 DDM65597:DDM65605 DNI65597:DNI65605 DXE65597:DXE65605 EHA65597:EHA65605 EQW65597:EQW65605 FAS65597:FAS65605 FKO65597:FKO65605 FUK65597:FUK65605 GEG65597:GEG65605 GOC65597:GOC65605 GXY65597:GXY65605 HHU65597:HHU65605 HRQ65597:HRQ65605 IBM65597:IBM65605 ILI65597:ILI65605 IVE65597:IVE65605 JFA65597:JFA65605 JOW65597:JOW65605 JYS65597:JYS65605 KIO65597:KIO65605 KSK65597:KSK65605 LCG65597:LCG65605 LMC65597:LMC65605 LVY65597:LVY65605 MFU65597:MFU65605 MPQ65597:MPQ65605 MZM65597:MZM65605 NJI65597:NJI65605 NTE65597:NTE65605 ODA65597:ODA65605 OMW65597:OMW65605 OWS65597:OWS65605 PGO65597:PGO65605 PQK65597:PQK65605 QAG65597:QAG65605 QKC65597:QKC65605 QTY65597:QTY65605 RDU65597:RDU65605 RNQ65597:RNQ65605 RXM65597:RXM65605 SHI65597:SHI65605 SRE65597:SRE65605 TBA65597:TBA65605 TKW65597:TKW65605 TUS65597:TUS65605 UEO65597:UEO65605 UOK65597:UOK65605 UYG65597:UYG65605 VIC65597:VIC65605 VRY65597:VRY65605 WBU65597:WBU65605 WLQ65597:WLQ65605 WVM65597:WVM65605 D131140:D131148 JA131133:JA131141 SW131133:SW131141 ACS131133:ACS131141 AMO131133:AMO131141 AWK131133:AWK131141 BGG131133:BGG131141 BQC131133:BQC131141 BZY131133:BZY131141 CJU131133:CJU131141 CTQ131133:CTQ131141 DDM131133:DDM131141 DNI131133:DNI131141 DXE131133:DXE131141 EHA131133:EHA131141 EQW131133:EQW131141 FAS131133:FAS131141 FKO131133:FKO131141 FUK131133:FUK131141 GEG131133:GEG131141 GOC131133:GOC131141 GXY131133:GXY131141 HHU131133:HHU131141 HRQ131133:HRQ131141 IBM131133:IBM131141 ILI131133:ILI131141 IVE131133:IVE131141 JFA131133:JFA131141 JOW131133:JOW131141 JYS131133:JYS131141 KIO131133:KIO131141 KSK131133:KSK131141 LCG131133:LCG131141 LMC131133:LMC131141 LVY131133:LVY131141 MFU131133:MFU131141 MPQ131133:MPQ131141 MZM131133:MZM131141 NJI131133:NJI131141 NTE131133:NTE131141 ODA131133:ODA131141 OMW131133:OMW131141 OWS131133:OWS131141 PGO131133:PGO131141 PQK131133:PQK131141 QAG131133:QAG131141 QKC131133:QKC131141 QTY131133:QTY131141 RDU131133:RDU131141 RNQ131133:RNQ131141 RXM131133:RXM131141 SHI131133:SHI131141 SRE131133:SRE131141 TBA131133:TBA131141 TKW131133:TKW131141 TUS131133:TUS131141 UEO131133:UEO131141 UOK131133:UOK131141 UYG131133:UYG131141 VIC131133:VIC131141 VRY131133:VRY131141 WBU131133:WBU131141 WLQ131133:WLQ131141 WVM131133:WVM131141 D196676:D196684 JA196669:JA196677 SW196669:SW196677 ACS196669:ACS196677 AMO196669:AMO196677 AWK196669:AWK196677 BGG196669:BGG196677 BQC196669:BQC196677 BZY196669:BZY196677 CJU196669:CJU196677 CTQ196669:CTQ196677 DDM196669:DDM196677 DNI196669:DNI196677 DXE196669:DXE196677 EHA196669:EHA196677 EQW196669:EQW196677 FAS196669:FAS196677 FKO196669:FKO196677 FUK196669:FUK196677 GEG196669:GEG196677 GOC196669:GOC196677 GXY196669:GXY196677 HHU196669:HHU196677 HRQ196669:HRQ196677 IBM196669:IBM196677 ILI196669:ILI196677 IVE196669:IVE196677 JFA196669:JFA196677 JOW196669:JOW196677 JYS196669:JYS196677 KIO196669:KIO196677 KSK196669:KSK196677 LCG196669:LCG196677 LMC196669:LMC196677 LVY196669:LVY196677 MFU196669:MFU196677 MPQ196669:MPQ196677 MZM196669:MZM196677 NJI196669:NJI196677 NTE196669:NTE196677 ODA196669:ODA196677 OMW196669:OMW196677 OWS196669:OWS196677 PGO196669:PGO196677 PQK196669:PQK196677 QAG196669:QAG196677 QKC196669:QKC196677 QTY196669:QTY196677 RDU196669:RDU196677 RNQ196669:RNQ196677 RXM196669:RXM196677 SHI196669:SHI196677 SRE196669:SRE196677 TBA196669:TBA196677 TKW196669:TKW196677 TUS196669:TUS196677 UEO196669:UEO196677 UOK196669:UOK196677 UYG196669:UYG196677 VIC196669:VIC196677 VRY196669:VRY196677 WBU196669:WBU196677 WLQ196669:WLQ196677 WVM196669:WVM196677 D262212:D262220 JA262205:JA262213 SW262205:SW262213 ACS262205:ACS262213 AMO262205:AMO262213 AWK262205:AWK262213 BGG262205:BGG262213 BQC262205:BQC262213 BZY262205:BZY262213 CJU262205:CJU262213 CTQ262205:CTQ262213 DDM262205:DDM262213 DNI262205:DNI262213 DXE262205:DXE262213 EHA262205:EHA262213 EQW262205:EQW262213 FAS262205:FAS262213 FKO262205:FKO262213 FUK262205:FUK262213 GEG262205:GEG262213 GOC262205:GOC262213 GXY262205:GXY262213 HHU262205:HHU262213 HRQ262205:HRQ262213 IBM262205:IBM262213 ILI262205:ILI262213 IVE262205:IVE262213 JFA262205:JFA262213 JOW262205:JOW262213 JYS262205:JYS262213 KIO262205:KIO262213 KSK262205:KSK262213 LCG262205:LCG262213 LMC262205:LMC262213 LVY262205:LVY262213 MFU262205:MFU262213 MPQ262205:MPQ262213 MZM262205:MZM262213 NJI262205:NJI262213 NTE262205:NTE262213 ODA262205:ODA262213 OMW262205:OMW262213 OWS262205:OWS262213 PGO262205:PGO262213 PQK262205:PQK262213 QAG262205:QAG262213 QKC262205:QKC262213 QTY262205:QTY262213 RDU262205:RDU262213 RNQ262205:RNQ262213 RXM262205:RXM262213 SHI262205:SHI262213 SRE262205:SRE262213 TBA262205:TBA262213 TKW262205:TKW262213 TUS262205:TUS262213 UEO262205:UEO262213 UOK262205:UOK262213 UYG262205:UYG262213 VIC262205:VIC262213 VRY262205:VRY262213 WBU262205:WBU262213 WLQ262205:WLQ262213 WVM262205:WVM262213 D327748:D327756 JA327741:JA327749 SW327741:SW327749 ACS327741:ACS327749 AMO327741:AMO327749 AWK327741:AWK327749 BGG327741:BGG327749 BQC327741:BQC327749 BZY327741:BZY327749 CJU327741:CJU327749 CTQ327741:CTQ327749 DDM327741:DDM327749 DNI327741:DNI327749 DXE327741:DXE327749 EHA327741:EHA327749 EQW327741:EQW327749 FAS327741:FAS327749 FKO327741:FKO327749 FUK327741:FUK327749 GEG327741:GEG327749 GOC327741:GOC327749 GXY327741:GXY327749 HHU327741:HHU327749 HRQ327741:HRQ327749 IBM327741:IBM327749 ILI327741:ILI327749 IVE327741:IVE327749 JFA327741:JFA327749 JOW327741:JOW327749 JYS327741:JYS327749 KIO327741:KIO327749 KSK327741:KSK327749 LCG327741:LCG327749 LMC327741:LMC327749 LVY327741:LVY327749 MFU327741:MFU327749 MPQ327741:MPQ327749 MZM327741:MZM327749 NJI327741:NJI327749 NTE327741:NTE327749 ODA327741:ODA327749 OMW327741:OMW327749 OWS327741:OWS327749 PGO327741:PGO327749 PQK327741:PQK327749 QAG327741:QAG327749 QKC327741:QKC327749 QTY327741:QTY327749 RDU327741:RDU327749 RNQ327741:RNQ327749 RXM327741:RXM327749 SHI327741:SHI327749 SRE327741:SRE327749 TBA327741:TBA327749 TKW327741:TKW327749 TUS327741:TUS327749 UEO327741:UEO327749 UOK327741:UOK327749 UYG327741:UYG327749 VIC327741:VIC327749 VRY327741:VRY327749 WBU327741:WBU327749 WLQ327741:WLQ327749 WVM327741:WVM327749 D393284:D393292 JA393277:JA393285 SW393277:SW393285 ACS393277:ACS393285 AMO393277:AMO393285 AWK393277:AWK393285 BGG393277:BGG393285 BQC393277:BQC393285 BZY393277:BZY393285 CJU393277:CJU393285 CTQ393277:CTQ393285 DDM393277:DDM393285 DNI393277:DNI393285 DXE393277:DXE393285 EHA393277:EHA393285 EQW393277:EQW393285 FAS393277:FAS393285 FKO393277:FKO393285 FUK393277:FUK393285 GEG393277:GEG393285 GOC393277:GOC393285 GXY393277:GXY393285 HHU393277:HHU393285 HRQ393277:HRQ393285 IBM393277:IBM393285 ILI393277:ILI393285 IVE393277:IVE393285 JFA393277:JFA393285 JOW393277:JOW393285 JYS393277:JYS393285 KIO393277:KIO393285 KSK393277:KSK393285 LCG393277:LCG393285 LMC393277:LMC393285 LVY393277:LVY393285 MFU393277:MFU393285 MPQ393277:MPQ393285 MZM393277:MZM393285 NJI393277:NJI393285 NTE393277:NTE393285 ODA393277:ODA393285 OMW393277:OMW393285 OWS393277:OWS393285 PGO393277:PGO393285 PQK393277:PQK393285 QAG393277:QAG393285 QKC393277:QKC393285 QTY393277:QTY393285 RDU393277:RDU393285 RNQ393277:RNQ393285 RXM393277:RXM393285 SHI393277:SHI393285 SRE393277:SRE393285 TBA393277:TBA393285 TKW393277:TKW393285 TUS393277:TUS393285 UEO393277:UEO393285 UOK393277:UOK393285 UYG393277:UYG393285 VIC393277:VIC393285 VRY393277:VRY393285 WBU393277:WBU393285 WLQ393277:WLQ393285 WVM393277:WVM393285 D458820:D458828 JA458813:JA458821 SW458813:SW458821 ACS458813:ACS458821 AMO458813:AMO458821 AWK458813:AWK458821 BGG458813:BGG458821 BQC458813:BQC458821 BZY458813:BZY458821 CJU458813:CJU458821 CTQ458813:CTQ458821 DDM458813:DDM458821 DNI458813:DNI458821 DXE458813:DXE458821 EHA458813:EHA458821 EQW458813:EQW458821 FAS458813:FAS458821 FKO458813:FKO458821 FUK458813:FUK458821 GEG458813:GEG458821 GOC458813:GOC458821 GXY458813:GXY458821 HHU458813:HHU458821 HRQ458813:HRQ458821 IBM458813:IBM458821 ILI458813:ILI458821 IVE458813:IVE458821 JFA458813:JFA458821 JOW458813:JOW458821 JYS458813:JYS458821 KIO458813:KIO458821 KSK458813:KSK458821 LCG458813:LCG458821 LMC458813:LMC458821 LVY458813:LVY458821 MFU458813:MFU458821 MPQ458813:MPQ458821 MZM458813:MZM458821 NJI458813:NJI458821 NTE458813:NTE458821 ODA458813:ODA458821 OMW458813:OMW458821 OWS458813:OWS458821 PGO458813:PGO458821 PQK458813:PQK458821 QAG458813:QAG458821 QKC458813:QKC458821 QTY458813:QTY458821 RDU458813:RDU458821 RNQ458813:RNQ458821 RXM458813:RXM458821 SHI458813:SHI458821 SRE458813:SRE458821 TBA458813:TBA458821 TKW458813:TKW458821 TUS458813:TUS458821 UEO458813:UEO458821 UOK458813:UOK458821 UYG458813:UYG458821 VIC458813:VIC458821 VRY458813:VRY458821 WBU458813:WBU458821 WLQ458813:WLQ458821 WVM458813:WVM458821 D524356:D524364 JA524349:JA524357 SW524349:SW524357 ACS524349:ACS524357 AMO524349:AMO524357 AWK524349:AWK524357 BGG524349:BGG524357 BQC524349:BQC524357 BZY524349:BZY524357 CJU524349:CJU524357 CTQ524349:CTQ524357 DDM524349:DDM524357 DNI524349:DNI524357 DXE524349:DXE524357 EHA524349:EHA524357 EQW524349:EQW524357 FAS524349:FAS524357 FKO524349:FKO524357 FUK524349:FUK524357 GEG524349:GEG524357 GOC524349:GOC524357 GXY524349:GXY524357 HHU524349:HHU524357 HRQ524349:HRQ524357 IBM524349:IBM524357 ILI524349:ILI524357 IVE524349:IVE524357 JFA524349:JFA524357 JOW524349:JOW524357 JYS524349:JYS524357 KIO524349:KIO524357 KSK524349:KSK524357 LCG524349:LCG524357 LMC524349:LMC524357 LVY524349:LVY524357 MFU524349:MFU524357 MPQ524349:MPQ524357 MZM524349:MZM524357 NJI524349:NJI524357 NTE524349:NTE524357 ODA524349:ODA524357 OMW524349:OMW524357 OWS524349:OWS524357 PGO524349:PGO524357 PQK524349:PQK524357 QAG524349:QAG524357 QKC524349:QKC524357 QTY524349:QTY524357 RDU524349:RDU524357 RNQ524349:RNQ524357 RXM524349:RXM524357 SHI524349:SHI524357 SRE524349:SRE524357 TBA524349:TBA524357 TKW524349:TKW524357 TUS524349:TUS524357 UEO524349:UEO524357 UOK524349:UOK524357 UYG524349:UYG524357 VIC524349:VIC524357 VRY524349:VRY524357 WBU524349:WBU524357 WLQ524349:WLQ524357 WVM524349:WVM524357 D589892:D589900 JA589885:JA589893 SW589885:SW589893 ACS589885:ACS589893 AMO589885:AMO589893 AWK589885:AWK589893 BGG589885:BGG589893 BQC589885:BQC589893 BZY589885:BZY589893 CJU589885:CJU589893 CTQ589885:CTQ589893 DDM589885:DDM589893 DNI589885:DNI589893 DXE589885:DXE589893 EHA589885:EHA589893 EQW589885:EQW589893 FAS589885:FAS589893 FKO589885:FKO589893 FUK589885:FUK589893 GEG589885:GEG589893 GOC589885:GOC589893 GXY589885:GXY589893 HHU589885:HHU589893 HRQ589885:HRQ589893 IBM589885:IBM589893 ILI589885:ILI589893 IVE589885:IVE589893 JFA589885:JFA589893 JOW589885:JOW589893 JYS589885:JYS589893 KIO589885:KIO589893 KSK589885:KSK589893 LCG589885:LCG589893 LMC589885:LMC589893 LVY589885:LVY589893 MFU589885:MFU589893 MPQ589885:MPQ589893 MZM589885:MZM589893 NJI589885:NJI589893 NTE589885:NTE589893 ODA589885:ODA589893 OMW589885:OMW589893 OWS589885:OWS589893 PGO589885:PGO589893 PQK589885:PQK589893 QAG589885:QAG589893 QKC589885:QKC589893 QTY589885:QTY589893 RDU589885:RDU589893 RNQ589885:RNQ589893 RXM589885:RXM589893 SHI589885:SHI589893 SRE589885:SRE589893 TBA589885:TBA589893 TKW589885:TKW589893 TUS589885:TUS589893 UEO589885:UEO589893 UOK589885:UOK589893 UYG589885:UYG589893 VIC589885:VIC589893 VRY589885:VRY589893 WBU589885:WBU589893 WLQ589885:WLQ589893 WVM589885:WVM589893 D655428:D655436 JA655421:JA655429 SW655421:SW655429 ACS655421:ACS655429 AMO655421:AMO655429 AWK655421:AWK655429 BGG655421:BGG655429 BQC655421:BQC655429 BZY655421:BZY655429 CJU655421:CJU655429 CTQ655421:CTQ655429 DDM655421:DDM655429 DNI655421:DNI655429 DXE655421:DXE655429 EHA655421:EHA655429 EQW655421:EQW655429 FAS655421:FAS655429 FKO655421:FKO655429 FUK655421:FUK655429 GEG655421:GEG655429 GOC655421:GOC655429 GXY655421:GXY655429 HHU655421:HHU655429 HRQ655421:HRQ655429 IBM655421:IBM655429 ILI655421:ILI655429 IVE655421:IVE655429 JFA655421:JFA655429 JOW655421:JOW655429 JYS655421:JYS655429 KIO655421:KIO655429 KSK655421:KSK655429 LCG655421:LCG655429 LMC655421:LMC655429 LVY655421:LVY655429 MFU655421:MFU655429 MPQ655421:MPQ655429 MZM655421:MZM655429 NJI655421:NJI655429 NTE655421:NTE655429 ODA655421:ODA655429 OMW655421:OMW655429 OWS655421:OWS655429 PGO655421:PGO655429 PQK655421:PQK655429 QAG655421:QAG655429 QKC655421:QKC655429 QTY655421:QTY655429 RDU655421:RDU655429 RNQ655421:RNQ655429 RXM655421:RXM655429 SHI655421:SHI655429 SRE655421:SRE655429 TBA655421:TBA655429 TKW655421:TKW655429 TUS655421:TUS655429 UEO655421:UEO655429 UOK655421:UOK655429 UYG655421:UYG655429 VIC655421:VIC655429 VRY655421:VRY655429 WBU655421:WBU655429 WLQ655421:WLQ655429 WVM655421:WVM655429 D720964:D720972 JA720957:JA720965 SW720957:SW720965 ACS720957:ACS720965 AMO720957:AMO720965 AWK720957:AWK720965 BGG720957:BGG720965 BQC720957:BQC720965 BZY720957:BZY720965 CJU720957:CJU720965 CTQ720957:CTQ720965 DDM720957:DDM720965 DNI720957:DNI720965 DXE720957:DXE720965 EHA720957:EHA720965 EQW720957:EQW720965 FAS720957:FAS720965 FKO720957:FKO720965 FUK720957:FUK720965 GEG720957:GEG720965 GOC720957:GOC720965 GXY720957:GXY720965 HHU720957:HHU720965 HRQ720957:HRQ720965 IBM720957:IBM720965 ILI720957:ILI720965 IVE720957:IVE720965 JFA720957:JFA720965 JOW720957:JOW720965 JYS720957:JYS720965 KIO720957:KIO720965 KSK720957:KSK720965 LCG720957:LCG720965 LMC720957:LMC720965 LVY720957:LVY720965 MFU720957:MFU720965 MPQ720957:MPQ720965 MZM720957:MZM720965 NJI720957:NJI720965 NTE720957:NTE720965 ODA720957:ODA720965 OMW720957:OMW720965 OWS720957:OWS720965 PGO720957:PGO720965 PQK720957:PQK720965 QAG720957:QAG720965 QKC720957:QKC720965 QTY720957:QTY720965 RDU720957:RDU720965 RNQ720957:RNQ720965 RXM720957:RXM720965 SHI720957:SHI720965 SRE720957:SRE720965 TBA720957:TBA720965 TKW720957:TKW720965 TUS720957:TUS720965 UEO720957:UEO720965 UOK720957:UOK720965 UYG720957:UYG720965 VIC720957:VIC720965 VRY720957:VRY720965 WBU720957:WBU720965 WLQ720957:WLQ720965 WVM720957:WVM720965 D786500:D786508 JA786493:JA786501 SW786493:SW786501 ACS786493:ACS786501 AMO786493:AMO786501 AWK786493:AWK786501 BGG786493:BGG786501 BQC786493:BQC786501 BZY786493:BZY786501 CJU786493:CJU786501 CTQ786493:CTQ786501 DDM786493:DDM786501 DNI786493:DNI786501 DXE786493:DXE786501 EHA786493:EHA786501 EQW786493:EQW786501 FAS786493:FAS786501 FKO786493:FKO786501 FUK786493:FUK786501 GEG786493:GEG786501 GOC786493:GOC786501 GXY786493:GXY786501 HHU786493:HHU786501 HRQ786493:HRQ786501 IBM786493:IBM786501 ILI786493:ILI786501 IVE786493:IVE786501 JFA786493:JFA786501 JOW786493:JOW786501 JYS786493:JYS786501 KIO786493:KIO786501 KSK786493:KSK786501 LCG786493:LCG786501 LMC786493:LMC786501 LVY786493:LVY786501 MFU786493:MFU786501 MPQ786493:MPQ786501 MZM786493:MZM786501 NJI786493:NJI786501 NTE786493:NTE786501 ODA786493:ODA786501 OMW786493:OMW786501 OWS786493:OWS786501 PGO786493:PGO786501 PQK786493:PQK786501 QAG786493:QAG786501 QKC786493:QKC786501 QTY786493:QTY786501 RDU786493:RDU786501 RNQ786493:RNQ786501 RXM786493:RXM786501 SHI786493:SHI786501 SRE786493:SRE786501 TBA786493:TBA786501 TKW786493:TKW786501 TUS786493:TUS786501 UEO786493:UEO786501 UOK786493:UOK786501 UYG786493:UYG786501 VIC786493:VIC786501 VRY786493:VRY786501 WBU786493:WBU786501 WLQ786493:WLQ786501 WVM786493:WVM786501 D852036:D852044 JA852029:JA852037 SW852029:SW852037 ACS852029:ACS852037 AMO852029:AMO852037 AWK852029:AWK852037 BGG852029:BGG852037 BQC852029:BQC852037 BZY852029:BZY852037 CJU852029:CJU852037 CTQ852029:CTQ852037 DDM852029:DDM852037 DNI852029:DNI852037 DXE852029:DXE852037 EHA852029:EHA852037 EQW852029:EQW852037 FAS852029:FAS852037 FKO852029:FKO852037 FUK852029:FUK852037 GEG852029:GEG852037 GOC852029:GOC852037 GXY852029:GXY852037 HHU852029:HHU852037 HRQ852029:HRQ852037 IBM852029:IBM852037 ILI852029:ILI852037 IVE852029:IVE852037 JFA852029:JFA852037 JOW852029:JOW852037 JYS852029:JYS852037 KIO852029:KIO852037 KSK852029:KSK852037 LCG852029:LCG852037 LMC852029:LMC852037 LVY852029:LVY852037 MFU852029:MFU852037 MPQ852029:MPQ852037 MZM852029:MZM852037 NJI852029:NJI852037 NTE852029:NTE852037 ODA852029:ODA852037 OMW852029:OMW852037 OWS852029:OWS852037 PGO852029:PGO852037 PQK852029:PQK852037 QAG852029:QAG852037 QKC852029:QKC852037 QTY852029:QTY852037 RDU852029:RDU852037 RNQ852029:RNQ852037 RXM852029:RXM852037 SHI852029:SHI852037 SRE852029:SRE852037 TBA852029:TBA852037 TKW852029:TKW852037 TUS852029:TUS852037 UEO852029:UEO852037 UOK852029:UOK852037 UYG852029:UYG852037 VIC852029:VIC852037 VRY852029:VRY852037 WBU852029:WBU852037 WLQ852029:WLQ852037 WVM852029:WVM852037 D917572:D917580 JA917565:JA917573 SW917565:SW917573 ACS917565:ACS917573 AMO917565:AMO917573 AWK917565:AWK917573 BGG917565:BGG917573 BQC917565:BQC917573 BZY917565:BZY917573 CJU917565:CJU917573 CTQ917565:CTQ917573 DDM917565:DDM917573 DNI917565:DNI917573 DXE917565:DXE917573 EHA917565:EHA917573 EQW917565:EQW917573 FAS917565:FAS917573 FKO917565:FKO917573 FUK917565:FUK917573 GEG917565:GEG917573 GOC917565:GOC917573 GXY917565:GXY917573 HHU917565:HHU917573 HRQ917565:HRQ917573 IBM917565:IBM917573 ILI917565:ILI917573 IVE917565:IVE917573 JFA917565:JFA917573 JOW917565:JOW917573 JYS917565:JYS917573 KIO917565:KIO917573 KSK917565:KSK917573 LCG917565:LCG917573 LMC917565:LMC917573 LVY917565:LVY917573 MFU917565:MFU917573 MPQ917565:MPQ917573 MZM917565:MZM917573 NJI917565:NJI917573 NTE917565:NTE917573 ODA917565:ODA917573 OMW917565:OMW917573 OWS917565:OWS917573 PGO917565:PGO917573 PQK917565:PQK917573 QAG917565:QAG917573 QKC917565:QKC917573 QTY917565:QTY917573 RDU917565:RDU917573 RNQ917565:RNQ917573 RXM917565:RXM917573 SHI917565:SHI917573 SRE917565:SRE917573 TBA917565:TBA917573 TKW917565:TKW917573 TUS917565:TUS917573 UEO917565:UEO917573 UOK917565:UOK917573 UYG917565:UYG917573 VIC917565:VIC917573 VRY917565:VRY917573 WBU917565:WBU917573 WLQ917565:WLQ917573 WVM917565:WVM917573 D983108:D983116 JA983101:JA983109 SW983101:SW983109 ACS983101:ACS983109 AMO983101:AMO983109 AWK983101:AWK983109 BGG983101:BGG983109 BQC983101:BQC983109 BZY983101:BZY983109 CJU983101:CJU983109 CTQ983101:CTQ983109 DDM983101:DDM983109 DNI983101:DNI983109 DXE983101:DXE983109 EHA983101:EHA983109 EQW983101:EQW983109 FAS983101:FAS983109 FKO983101:FKO983109 FUK983101:FUK983109 GEG983101:GEG983109 GOC983101:GOC983109 GXY983101:GXY983109 HHU983101:HHU983109 HRQ983101:HRQ983109 IBM983101:IBM983109 ILI983101:ILI983109 IVE983101:IVE983109 JFA983101:JFA983109 JOW983101:JOW983109 JYS983101:JYS983109 KIO983101:KIO983109 KSK983101:KSK983109 LCG983101:LCG983109 LMC983101:LMC983109 LVY983101:LVY983109 MFU983101:MFU983109 MPQ983101:MPQ983109 MZM983101:MZM983109 NJI983101:NJI983109 NTE983101:NTE983109 ODA983101:ODA983109 OMW983101:OMW983109 OWS983101:OWS983109 PGO983101:PGO983109 PQK983101:PQK983109 QAG983101:QAG983109 QKC983101:QKC983109 QTY983101:QTY983109 RDU983101:RDU983109 RNQ983101:RNQ983109 RXM983101:RXM983109 SHI983101:SHI983109 SRE983101:SRE983109 TBA983101:TBA983109 TKW983101:TKW983109 TUS983101:TUS983109 UEO983101:UEO983109 UOK983101:UOK983109 UYG983101:UYG983109 VIC983101:VIC983109 VRY983101:VRY983109 WBU983101:WBU983109 WLQ983101:WLQ983109 WVM983101:WVM983109 SW54 WVM14 WLQ14 WBU14 VRY14 VIC14 UYG14 UOK14 UEO14 TUS14 TKW14 TBA14 SRE14 SHI14 RXM14 RNQ14 RDU14 QTY14 QKC14 QAG14 PQK14 PGO14 OWS14 OMW14 ODA14 NTE14 NJI14 MZM14 MPQ14 MFU14 LVY14 LMC14 LCG14 KSK14 KIO14 JYS14 JOW14 JFA14 IVE14 ILI14 IBM14 HRQ14 HHU14 GXY14 GOC14 GEG14 FUK14 FKO14 FAS14 EQW14 EHA14 DXE14 DNI14 DDM14 CTQ14 CJU14 BZY14 BQC14 BGG14 AWK14 AMO14 ACS14 SW14 JA14 JA24 WVM24 WLQ24 WBU24 VRY24 VIC24 UYG24 UOK24 UEO24 TUS24 TKW24 TBA24 SRE24 SHI24 RXM24 RNQ24 RDU24 QTY24 QKC24 QAG24 PQK24 PGO24 OWS24 OMW24 ODA24 NTE24 NJI24 MZM24 MPQ24 MFU24 LVY24 LMC24 LCG24 KSK24 KIO24 JYS24 JOW24 JFA24 IVE24 ILI24 IBM24 HRQ24 HHU24 GXY24 GOC24 GEG24 FUK24 FKO24 FAS24 EQW24 EHA24 DXE24 DNI24 DDM24 CTQ24 CJU24 BZY24 BQC24 BGG24 AWK24 AMO24 ACS24 SW24 JA54 WVM54 WLQ54 WBU54 VRY54 VIC54 UYG54 UOK54 UEO54 TUS54 TKW54 TBA54 SRE54 SHI54 RXM54 RNQ54 RDU54 QTY54 QKC54 QAG54 PQK54 PGO54 OWS54 OMW54 ODA54 NTE54 NJI54 MZM54 MPQ54 MFU54 LVY54 LMC54 LCG54 KSK54 KIO54 JYS54 JOW54 JFA54 IVE54 ILI54 IBM54 HRQ54 HHU54 GXY54 GOC54 GEG54 FUK54 FKO54 FAS54 EQW54 EHA54 DXE54 DNI54 DDM54 CTQ54 CJU54 BZY54 BQC54 BGG54 AWK54 AMO54 ACS54 WVM41 WLQ41 WBU41 VRY41 VIC41 UYG41 UOK41 UEO41 TUS41 TKW41 TBA41 SRE41 SHI41 RXM41 RNQ41 RDU41 QTY41 QKC41 QAG41 PQK41 PGO41 OWS41 OMW41 ODA41 NTE41 NJI41 MZM41 MPQ41 MFU41 LVY41 LMC41 LCG41 KSK41 KIO41 JYS41 JOW41 JFA41 IVE41 ILI41 IBM41 HRQ41 HHU41 GXY41 GOC41 GEG41 FUK41 FKO41 FAS41 EQW41 EHA41 DXE41 DNI41 DDM41 CTQ41 CJU41 BZY41 BQC41 BGG41 AWK41 AMO41 ACS41 SW41 JA41 JA47 WVM47 WLQ47 WBU47 VRY47 VIC47 UYG47 UOK47 UEO47 TUS47 TKW47 TBA47 SRE47 SHI47 RXM47 RNQ47 RDU47 QTY47 QKC47 QAG47 PQK47 PGO47 OWS47 OMW47 ODA47 NTE47 NJI47 MZM47 MPQ47 MFU47 LVY47 LMC47 LCG47 KSK47 KIO47 JYS47 JOW47 JFA47 IVE47 ILI47 IBM47 HRQ47 HHU47 GXY47 GOC47 GEG47 FUK47 FKO47 FAS47 EQW47 EHA47 DXE47 DNI47 DDM47 CTQ47 CJU47 BZY47 BQC47 BGG47 AWK47 AMO47 ACS47 SW47 D53:D54 SW89 JA89 WVM89 WLQ89 WBU89 VRY89 VIC89 UYG89 UOK89 UEO89 TUS89 TKW89 TBA89 SRE89 SHI89 RXM89 RNQ89 RDU89 QTY89 QKC89 QAG89 PQK89 PGO89 OWS89 OMW89 ODA89 NTE89 NJI89 MZM89 MPQ89 MFU89 LVY89 LMC89 LCG89 KSK89 KIO89 JYS89 JOW89 JFA89 IVE89 ILI89 IBM89 HRQ89 HHU89 GXY89 GOC89 GEG89 FUK89 FKO89 FAS89 EQW89 EHA89 DXE89 DNI89 DDM89 CTQ89 CJU89 BZY89 BQC89 BGG89 AWK89 AMO89 ACS89 WVM77 WLQ77 WBU77 VRY77 VIC77 UYG77 UOK77 UEO77 TUS77 TKW77 TBA77 SRE77 SHI77 RXM77 RNQ77 RDU77 QTY77 QKC77 QAG77 PQK77 PGO77 OWS77 OMW77 ODA77 NTE77 NJI77 MZM77 MPQ77 MFU77 LVY77 LMC77 LCG77 KSK77 KIO77 JYS77 JOW77 JFA77 IVE77 ILI77 IBM77 HRQ77 HHU77 GXY77 GOC77 GEG77 FUK77 FKO77 FAS77 EQW77 EHA77 DXE77 DNI77 DDM77 CTQ77 CJU77 BZY77 BQC77 BGG77 AWK77 AMO77 ACS77 SW77 JA77 JA83 WVM83 WLQ83 WBU83 VRY83 VIC83 UYG83 UOK83 UEO83 TUS83 TKW83 TBA83 SRE83 SHI83 RXM83 RNQ83 RDU83 QTY83 QKC83 QAG83 PQK83 PGO83 OWS83 OMW83 ODA83 NTE83 NJI83 MZM83 MPQ83 MFU83 LVY83 LMC83 LCG83 KSK83 KIO83 JYS83 JOW83 JFA83 IVE83 ILI83 IBM83 HRQ83 HHU83 GXY83 GOC83 GEG83 FUK83 FKO83 FAS83 EQW83 EHA83 DXE83 DNI83 DDM83 CTQ83 CJU83 BZY83 BQC83 BGG83 AWK83 AMO83 ACS83 SW83 D35 SW34:SW36 JA34:JA36 WVM34:WVM36 WLQ34:WLQ36 WBU34:WBU36 VRY34:VRY36 VIC34:VIC36 UYG34:UYG36 UOK34:UOK36 UEO34:UEO36 TUS34:TUS36 TKW34:TKW36 TBA34:TBA36 SRE34:SRE36 SHI34:SHI36 RXM34:RXM36 RNQ34:RNQ36 RDU34:RDU36 QTY34:QTY36 QKC34:QKC36 QAG34:QAG36 PQK34:PQK36 PGO34:PGO36 OWS34:OWS36 OMW34:OMW36 ODA34:ODA36 NTE34:NTE36 NJI34:NJI36 MZM34:MZM36 MPQ34:MPQ36 MFU34:MFU36 LVY34:LVY36 LMC34:LMC36 LCG34:LCG36 KSK34:KSK36 KIO34:KIO36 JYS34:JYS36 JOW34:JOW36 JFA34:JFA36 IVE34:IVE36 ILI34:ILI36 IBM34:IBM36 HRQ34:HRQ36 HHU34:HHU36 GXY34:GXY36 GOC34:GOC36 GEG34:GEG36 FUK34:FUK36 FKO34:FKO36 FAS34:FAS36 EQW34:EQW36 EHA34:EHA36 DXE34:DXE36 DNI34:DNI36 DDM34:DDM36 CTQ34:CTQ36 CJU34:CJU36 BZY34:BZY36 BQC34:BQC36 BGG34:BGG36 AWK34:AWK36 AMO34:AMO36 ACS34:ACS36" xr:uid="{00000000-0002-0000-0800-000002000000}">
      <formula1>"　,あり,なし"</formula1>
    </dataValidation>
    <dataValidation type="list" allowBlank="1" showInputMessage="1" showErrorMessage="1" sqref="N55:P55" xr:uid="{00000000-0002-0000-0800-000003000000}">
      <formula1>$T$2:$T$4</formula1>
    </dataValidation>
  </dataValidations>
  <pageMargins left="0.70866141732283472" right="0.70866141732283472" top="0.74803149606299213" bottom="0.74803149606299213" header="0.31496062992125984" footer="0.31496062992125984"/>
  <pageSetup paperSize="9" scale="70" orientation="portrait" r:id="rId3"/>
  <rowBreaks count="1" manualBreakCount="1">
    <brk id="57" max="16"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6">
    <tabColor rgb="FF92D050"/>
  </sheetPr>
  <dimension ref="A1:AE103"/>
  <sheetViews>
    <sheetView view="pageBreakPreview" zoomScale="85" zoomScaleNormal="100" zoomScaleSheetLayoutView="85" workbookViewId="0">
      <selection activeCell="X6" sqref="X6"/>
    </sheetView>
  </sheetViews>
  <sheetFormatPr defaultRowHeight="13.5" outlineLevelCol="1"/>
  <cols>
    <col min="1" max="1" width="2.25" style="260" customWidth="1"/>
    <col min="2" max="2" width="4.25" style="260" customWidth="1"/>
    <col min="3" max="3" width="10.375" style="260" customWidth="1"/>
    <col min="4" max="4" width="8.625" style="260" customWidth="1"/>
    <col min="5" max="16" width="6.625" style="260" customWidth="1"/>
    <col min="17" max="17" width="8.625" style="260" customWidth="1"/>
    <col min="18" max="20" width="9" style="260" hidden="1" customWidth="1" outlineLevel="1"/>
    <col min="21" max="21" width="5.5" style="260" hidden="1" customWidth="1" outlineLevel="1"/>
    <col min="22" max="26" width="9" style="260" hidden="1" customWidth="1" outlineLevel="1"/>
    <col min="27" max="27" width="9" style="260" collapsed="1"/>
    <col min="28" max="255" width="9" style="260"/>
    <col min="256" max="256" width="2.25" style="260" customWidth="1"/>
    <col min="257" max="257" width="4.25" style="260" customWidth="1"/>
    <col min="258" max="258" width="10.375" style="260" customWidth="1"/>
    <col min="259" max="259" width="8.625" style="260" customWidth="1"/>
    <col min="260" max="271" width="6.625" style="260" customWidth="1"/>
    <col min="272" max="272" width="8.625" style="260" customWidth="1"/>
    <col min="273" max="511" width="9" style="260"/>
    <col min="512" max="512" width="2.25" style="260" customWidth="1"/>
    <col min="513" max="513" width="4.25" style="260" customWidth="1"/>
    <col min="514" max="514" width="10.375" style="260" customWidth="1"/>
    <col min="515" max="515" width="8.625" style="260" customWidth="1"/>
    <col min="516" max="527" width="6.625" style="260" customWidth="1"/>
    <col min="528" max="528" width="8.625" style="260" customWidth="1"/>
    <col min="529" max="767" width="9" style="260"/>
    <col min="768" max="768" width="2.25" style="260" customWidth="1"/>
    <col min="769" max="769" width="4.25" style="260" customWidth="1"/>
    <col min="770" max="770" width="10.375" style="260" customWidth="1"/>
    <col min="771" max="771" width="8.625" style="260" customWidth="1"/>
    <col min="772" max="783" width="6.625" style="260" customWidth="1"/>
    <col min="784" max="784" width="8.625" style="260" customWidth="1"/>
    <col min="785" max="1023" width="9" style="260"/>
    <col min="1024" max="1024" width="2.25" style="260" customWidth="1"/>
    <col min="1025" max="1025" width="4.25" style="260" customWidth="1"/>
    <col min="1026" max="1026" width="10.375" style="260" customWidth="1"/>
    <col min="1027" max="1027" width="8.625" style="260" customWidth="1"/>
    <col min="1028" max="1039" width="6.625" style="260" customWidth="1"/>
    <col min="1040" max="1040" width="8.625" style="260" customWidth="1"/>
    <col min="1041" max="1279" width="9" style="260"/>
    <col min="1280" max="1280" width="2.25" style="260" customWidth="1"/>
    <col min="1281" max="1281" width="4.25" style="260" customWidth="1"/>
    <col min="1282" max="1282" width="10.375" style="260" customWidth="1"/>
    <col min="1283" max="1283" width="8.625" style="260" customWidth="1"/>
    <col min="1284" max="1295" width="6.625" style="260" customWidth="1"/>
    <col min="1296" max="1296" width="8.625" style="260" customWidth="1"/>
    <col min="1297" max="1535" width="9" style="260"/>
    <col min="1536" max="1536" width="2.25" style="260" customWidth="1"/>
    <col min="1537" max="1537" width="4.25" style="260" customWidth="1"/>
    <col min="1538" max="1538" width="10.375" style="260" customWidth="1"/>
    <col min="1539" max="1539" width="8.625" style="260" customWidth="1"/>
    <col min="1540" max="1551" width="6.625" style="260" customWidth="1"/>
    <col min="1552" max="1552" width="8.625" style="260" customWidth="1"/>
    <col min="1553" max="1791" width="9" style="260"/>
    <col min="1792" max="1792" width="2.25" style="260" customWidth="1"/>
    <col min="1793" max="1793" width="4.25" style="260" customWidth="1"/>
    <col min="1794" max="1794" width="10.375" style="260" customWidth="1"/>
    <col min="1795" max="1795" width="8.625" style="260" customWidth="1"/>
    <col min="1796" max="1807" width="6.625" style="260" customWidth="1"/>
    <col min="1808" max="1808" width="8.625" style="260" customWidth="1"/>
    <col min="1809" max="2047" width="9" style="260"/>
    <col min="2048" max="2048" width="2.25" style="260" customWidth="1"/>
    <col min="2049" max="2049" width="4.25" style="260" customWidth="1"/>
    <col min="2050" max="2050" width="10.375" style="260" customWidth="1"/>
    <col min="2051" max="2051" width="8.625" style="260" customWidth="1"/>
    <col min="2052" max="2063" width="6.625" style="260" customWidth="1"/>
    <col min="2064" max="2064" width="8.625" style="260" customWidth="1"/>
    <col min="2065" max="2303" width="9" style="260"/>
    <col min="2304" max="2304" width="2.25" style="260" customWidth="1"/>
    <col min="2305" max="2305" width="4.25" style="260" customWidth="1"/>
    <col min="2306" max="2306" width="10.375" style="260" customWidth="1"/>
    <col min="2307" max="2307" width="8.625" style="260" customWidth="1"/>
    <col min="2308" max="2319" width="6.625" style="260" customWidth="1"/>
    <col min="2320" max="2320" width="8.625" style="260" customWidth="1"/>
    <col min="2321" max="2559" width="9" style="260"/>
    <col min="2560" max="2560" width="2.25" style="260" customWidth="1"/>
    <col min="2561" max="2561" width="4.25" style="260" customWidth="1"/>
    <col min="2562" max="2562" width="10.375" style="260" customWidth="1"/>
    <col min="2563" max="2563" width="8.625" style="260" customWidth="1"/>
    <col min="2564" max="2575" width="6.625" style="260" customWidth="1"/>
    <col min="2576" max="2576" width="8.625" style="260" customWidth="1"/>
    <col min="2577" max="2815" width="9" style="260"/>
    <col min="2816" max="2816" width="2.25" style="260" customWidth="1"/>
    <col min="2817" max="2817" width="4.25" style="260" customWidth="1"/>
    <col min="2818" max="2818" width="10.375" style="260" customWidth="1"/>
    <col min="2819" max="2819" width="8.625" style="260" customWidth="1"/>
    <col min="2820" max="2831" width="6.625" style="260" customWidth="1"/>
    <col min="2832" max="2832" width="8.625" style="260" customWidth="1"/>
    <col min="2833" max="3071" width="9" style="260"/>
    <col min="3072" max="3072" width="2.25" style="260" customWidth="1"/>
    <col min="3073" max="3073" width="4.25" style="260" customWidth="1"/>
    <col min="3074" max="3074" width="10.375" style="260" customWidth="1"/>
    <col min="3075" max="3075" width="8.625" style="260" customWidth="1"/>
    <col min="3076" max="3087" width="6.625" style="260" customWidth="1"/>
    <col min="3088" max="3088" width="8.625" style="260" customWidth="1"/>
    <col min="3089" max="3327" width="9" style="260"/>
    <col min="3328" max="3328" width="2.25" style="260" customWidth="1"/>
    <col min="3329" max="3329" width="4.25" style="260" customWidth="1"/>
    <col min="3330" max="3330" width="10.375" style="260" customWidth="1"/>
    <col min="3331" max="3331" width="8.625" style="260" customWidth="1"/>
    <col min="3332" max="3343" width="6.625" style="260" customWidth="1"/>
    <col min="3344" max="3344" width="8.625" style="260" customWidth="1"/>
    <col min="3345" max="3583" width="9" style="260"/>
    <col min="3584" max="3584" width="2.25" style="260" customWidth="1"/>
    <col min="3585" max="3585" width="4.25" style="260" customWidth="1"/>
    <col min="3586" max="3586" width="10.375" style="260" customWidth="1"/>
    <col min="3587" max="3587" width="8.625" style="260" customWidth="1"/>
    <col min="3588" max="3599" width="6.625" style="260" customWidth="1"/>
    <col min="3600" max="3600" width="8.625" style="260" customWidth="1"/>
    <col min="3601" max="3839" width="9" style="260"/>
    <col min="3840" max="3840" width="2.25" style="260" customWidth="1"/>
    <col min="3841" max="3841" width="4.25" style="260" customWidth="1"/>
    <col min="3842" max="3842" width="10.375" style="260" customWidth="1"/>
    <col min="3843" max="3843" width="8.625" style="260" customWidth="1"/>
    <col min="3844" max="3855" width="6.625" style="260" customWidth="1"/>
    <col min="3856" max="3856" width="8.625" style="260" customWidth="1"/>
    <col min="3857" max="4095" width="9" style="260"/>
    <col min="4096" max="4096" width="2.25" style="260" customWidth="1"/>
    <col min="4097" max="4097" width="4.25" style="260" customWidth="1"/>
    <col min="4098" max="4098" width="10.375" style="260" customWidth="1"/>
    <col min="4099" max="4099" width="8.625" style="260" customWidth="1"/>
    <col min="4100" max="4111" width="6.625" style="260" customWidth="1"/>
    <col min="4112" max="4112" width="8.625" style="260" customWidth="1"/>
    <col min="4113" max="4351" width="9" style="260"/>
    <col min="4352" max="4352" width="2.25" style="260" customWidth="1"/>
    <col min="4353" max="4353" width="4.25" style="260" customWidth="1"/>
    <col min="4354" max="4354" width="10.375" style="260" customWidth="1"/>
    <col min="4355" max="4355" width="8.625" style="260" customWidth="1"/>
    <col min="4356" max="4367" width="6.625" style="260" customWidth="1"/>
    <col min="4368" max="4368" width="8.625" style="260" customWidth="1"/>
    <col min="4369" max="4607" width="9" style="260"/>
    <col min="4608" max="4608" width="2.25" style="260" customWidth="1"/>
    <col min="4609" max="4609" width="4.25" style="260" customWidth="1"/>
    <col min="4610" max="4610" width="10.375" style="260" customWidth="1"/>
    <col min="4611" max="4611" width="8.625" style="260" customWidth="1"/>
    <col min="4612" max="4623" width="6.625" style="260" customWidth="1"/>
    <col min="4624" max="4624" width="8.625" style="260" customWidth="1"/>
    <col min="4625" max="4863" width="9" style="260"/>
    <col min="4864" max="4864" width="2.25" style="260" customWidth="1"/>
    <col min="4865" max="4865" width="4.25" style="260" customWidth="1"/>
    <col min="4866" max="4866" width="10.375" style="260" customWidth="1"/>
    <col min="4867" max="4867" width="8.625" style="260" customWidth="1"/>
    <col min="4868" max="4879" width="6.625" style="260" customWidth="1"/>
    <col min="4880" max="4880" width="8.625" style="260" customWidth="1"/>
    <col min="4881" max="5119" width="9" style="260"/>
    <col min="5120" max="5120" width="2.25" style="260" customWidth="1"/>
    <col min="5121" max="5121" width="4.25" style="260" customWidth="1"/>
    <col min="5122" max="5122" width="10.375" style="260" customWidth="1"/>
    <col min="5123" max="5123" width="8.625" style="260" customWidth="1"/>
    <col min="5124" max="5135" width="6.625" style="260" customWidth="1"/>
    <col min="5136" max="5136" width="8.625" style="260" customWidth="1"/>
    <col min="5137" max="5375" width="9" style="260"/>
    <col min="5376" max="5376" width="2.25" style="260" customWidth="1"/>
    <col min="5377" max="5377" width="4.25" style="260" customWidth="1"/>
    <col min="5378" max="5378" width="10.375" style="260" customWidth="1"/>
    <col min="5379" max="5379" width="8.625" style="260" customWidth="1"/>
    <col min="5380" max="5391" width="6.625" style="260" customWidth="1"/>
    <col min="5392" max="5392" width="8.625" style="260" customWidth="1"/>
    <col min="5393" max="5631" width="9" style="260"/>
    <col min="5632" max="5632" width="2.25" style="260" customWidth="1"/>
    <col min="5633" max="5633" width="4.25" style="260" customWidth="1"/>
    <col min="5634" max="5634" width="10.375" style="260" customWidth="1"/>
    <col min="5635" max="5635" width="8.625" style="260" customWidth="1"/>
    <col min="5636" max="5647" width="6.625" style="260" customWidth="1"/>
    <col min="5648" max="5648" width="8.625" style="260" customWidth="1"/>
    <col min="5649" max="5887" width="9" style="260"/>
    <col min="5888" max="5888" width="2.25" style="260" customWidth="1"/>
    <col min="5889" max="5889" width="4.25" style="260" customWidth="1"/>
    <col min="5890" max="5890" width="10.375" style="260" customWidth="1"/>
    <col min="5891" max="5891" width="8.625" style="260" customWidth="1"/>
    <col min="5892" max="5903" width="6.625" style="260" customWidth="1"/>
    <col min="5904" max="5904" width="8.625" style="260" customWidth="1"/>
    <col min="5905" max="6143" width="9" style="260"/>
    <col min="6144" max="6144" width="2.25" style="260" customWidth="1"/>
    <col min="6145" max="6145" width="4.25" style="260" customWidth="1"/>
    <col min="6146" max="6146" width="10.375" style="260" customWidth="1"/>
    <col min="6147" max="6147" width="8.625" style="260" customWidth="1"/>
    <col min="6148" max="6159" width="6.625" style="260" customWidth="1"/>
    <col min="6160" max="6160" width="8.625" style="260" customWidth="1"/>
    <col min="6161" max="6399" width="9" style="260"/>
    <col min="6400" max="6400" width="2.25" style="260" customWidth="1"/>
    <col min="6401" max="6401" width="4.25" style="260" customWidth="1"/>
    <col min="6402" max="6402" width="10.375" style="260" customWidth="1"/>
    <col min="6403" max="6403" width="8.625" style="260" customWidth="1"/>
    <col min="6404" max="6415" width="6.625" style="260" customWidth="1"/>
    <col min="6416" max="6416" width="8.625" style="260" customWidth="1"/>
    <col min="6417" max="6655" width="9" style="260"/>
    <col min="6656" max="6656" width="2.25" style="260" customWidth="1"/>
    <col min="6657" max="6657" width="4.25" style="260" customWidth="1"/>
    <col min="6658" max="6658" width="10.375" style="260" customWidth="1"/>
    <col min="6659" max="6659" width="8.625" style="260" customWidth="1"/>
    <col min="6660" max="6671" width="6.625" style="260" customWidth="1"/>
    <col min="6672" max="6672" width="8.625" style="260" customWidth="1"/>
    <col min="6673" max="6911" width="9" style="260"/>
    <col min="6912" max="6912" width="2.25" style="260" customWidth="1"/>
    <col min="6913" max="6913" width="4.25" style="260" customWidth="1"/>
    <col min="6914" max="6914" width="10.375" style="260" customWidth="1"/>
    <col min="6915" max="6915" width="8.625" style="260" customWidth="1"/>
    <col min="6916" max="6927" width="6.625" style="260" customWidth="1"/>
    <col min="6928" max="6928" width="8.625" style="260" customWidth="1"/>
    <col min="6929" max="7167" width="9" style="260"/>
    <col min="7168" max="7168" width="2.25" style="260" customWidth="1"/>
    <col min="7169" max="7169" width="4.25" style="260" customWidth="1"/>
    <col min="7170" max="7170" width="10.375" style="260" customWidth="1"/>
    <col min="7171" max="7171" width="8.625" style="260" customWidth="1"/>
    <col min="7172" max="7183" width="6.625" style="260" customWidth="1"/>
    <col min="7184" max="7184" width="8.625" style="260" customWidth="1"/>
    <col min="7185" max="7423" width="9" style="260"/>
    <col min="7424" max="7424" width="2.25" style="260" customWidth="1"/>
    <col min="7425" max="7425" width="4.25" style="260" customWidth="1"/>
    <col min="7426" max="7426" width="10.375" style="260" customWidth="1"/>
    <col min="7427" max="7427" width="8.625" style="260" customWidth="1"/>
    <col min="7428" max="7439" width="6.625" style="260" customWidth="1"/>
    <col min="7440" max="7440" width="8.625" style="260" customWidth="1"/>
    <col min="7441" max="7679" width="9" style="260"/>
    <col min="7680" max="7680" width="2.25" style="260" customWidth="1"/>
    <col min="7681" max="7681" width="4.25" style="260" customWidth="1"/>
    <col min="7682" max="7682" width="10.375" style="260" customWidth="1"/>
    <col min="7683" max="7683" width="8.625" style="260" customWidth="1"/>
    <col min="7684" max="7695" width="6.625" style="260" customWidth="1"/>
    <col min="7696" max="7696" width="8.625" style="260" customWidth="1"/>
    <col min="7697" max="7935" width="9" style="260"/>
    <col min="7936" max="7936" width="2.25" style="260" customWidth="1"/>
    <col min="7937" max="7937" width="4.25" style="260" customWidth="1"/>
    <col min="7938" max="7938" width="10.375" style="260" customWidth="1"/>
    <col min="7939" max="7939" width="8.625" style="260" customWidth="1"/>
    <col min="7940" max="7951" width="6.625" style="260" customWidth="1"/>
    <col min="7952" max="7952" width="8.625" style="260" customWidth="1"/>
    <col min="7953" max="8191" width="9" style="260"/>
    <col min="8192" max="8192" width="2.25" style="260" customWidth="1"/>
    <col min="8193" max="8193" width="4.25" style="260" customWidth="1"/>
    <col min="8194" max="8194" width="10.375" style="260" customWidth="1"/>
    <col min="8195" max="8195" width="8.625" style="260" customWidth="1"/>
    <col min="8196" max="8207" width="6.625" style="260" customWidth="1"/>
    <col min="8208" max="8208" width="8.625" style="260" customWidth="1"/>
    <col min="8209" max="8447" width="9" style="260"/>
    <col min="8448" max="8448" width="2.25" style="260" customWidth="1"/>
    <col min="8449" max="8449" width="4.25" style="260" customWidth="1"/>
    <col min="8450" max="8450" width="10.375" style="260" customWidth="1"/>
    <col min="8451" max="8451" width="8.625" style="260" customWidth="1"/>
    <col min="8452" max="8463" width="6.625" style="260" customWidth="1"/>
    <col min="8464" max="8464" width="8.625" style="260" customWidth="1"/>
    <col min="8465" max="8703" width="9" style="260"/>
    <col min="8704" max="8704" width="2.25" style="260" customWidth="1"/>
    <col min="8705" max="8705" width="4.25" style="260" customWidth="1"/>
    <col min="8706" max="8706" width="10.375" style="260" customWidth="1"/>
    <col min="8707" max="8707" width="8.625" style="260" customWidth="1"/>
    <col min="8708" max="8719" width="6.625" style="260" customWidth="1"/>
    <col min="8720" max="8720" width="8.625" style="260" customWidth="1"/>
    <col min="8721" max="8959" width="9" style="260"/>
    <col min="8960" max="8960" width="2.25" style="260" customWidth="1"/>
    <col min="8961" max="8961" width="4.25" style="260" customWidth="1"/>
    <col min="8962" max="8962" width="10.375" style="260" customWidth="1"/>
    <col min="8963" max="8963" width="8.625" style="260" customWidth="1"/>
    <col min="8964" max="8975" width="6.625" style="260" customWidth="1"/>
    <col min="8976" max="8976" width="8.625" style="260" customWidth="1"/>
    <col min="8977" max="9215" width="9" style="260"/>
    <col min="9216" max="9216" width="2.25" style="260" customWidth="1"/>
    <col min="9217" max="9217" width="4.25" style="260" customWidth="1"/>
    <col min="9218" max="9218" width="10.375" style="260" customWidth="1"/>
    <col min="9219" max="9219" width="8.625" style="260" customWidth="1"/>
    <col min="9220" max="9231" width="6.625" style="260" customWidth="1"/>
    <col min="9232" max="9232" width="8.625" style="260" customWidth="1"/>
    <col min="9233" max="9471" width="9" style="260"/>
    <col min="9472" max="9472" width="2.25" style="260" customWidth="1"/>
    <col min="9473" max="9473" width="4.25" style="260" customWidth="1"/>
    <col min="9474" max="9474" width="10.375" style="260" customWidth="1"/>
    <col min="9475" max="9475" width="8.625" style="260" customWidth="1"/>
    <col min="9476" max="9487" width="6.625" style="260" customWidth="1"/>
    <col min="9488" max="9488" width="8.625" style="260" customWidth="1"/>
    <col min="9489" max="9727" width="9" style="260"/>
    <col min="9728" max="9728" width="2.25" style="260" customWidth="1"/>
    <col min="9729" max="9729" width="4.25" style="260" customWidth="1"/>
    <col min="9730" max="9730" width="10.375" style="260" customWidth="1"/>
    <col min="9731" max="9731" width="8.625" style="260" customWidth="1"/>
    <col min="9732" max="9743" width="6.625" style="260" customWidth="1"/>
    <col min="9744" max="9744" width="8.625" style="260" customWidth="1"/>
    <col min="9745" max="9983" width="9" style="260"/>
    <col min="9984" max="9984" width="2.25" style="260" customWidth="1"/>
    <col min="9985" max="9985" width="4.25" style="260" customWidth="1"/>
    <col min="9986" max="9986" width="10.375" style="260" customWidth="1"/>
    <col min="9987" max="9987" width="8.625" style="260" customWidth="1"/>
    <col min="9988" max="9999" width="6.625" style="260" customWidth="1"/>
    <col min="10000" max="10000" width="8.625" style="260" customWidth="1"/>
    <col min="10001" max="10239" width="9" style="260"/>
    <col min="10240" max="10240" width="2.25" style="260" customWidth="1"/>
    <col min="10241" max="10241" width="4.25" style="260" customWidth="1"/>
    <col min="10242" max="10242" width="10.375" style="260" customWidth="1"/>
    <col min="10243" max="10243" width="8.625" style="260" customWidth="1"/>
    <col min="10244" max="10255" width="6.625" style="260" customWidth="1"/>
    <col min="10256" max="10256" width="8.625" style="260" customWidth="1"/>
    <col min="10257" max="10495" width="9" style="260"/>
    <col min="10496" max="10496" width="2.25" style="260" customWidth="1"/>
    <col min="10497" max="10497" width="4.25" style="260" customWidth="1"/>
    <col min="10498" max="10498" width="10.375" style="260" customWidth="1"/>
    <col min="10499" max="10499" width="8.625" style="260" customWidth="1"/>
    <col min="10500" max="10511" width="6.625" style="260" customWidth="1"/>
    <col min="10512" max="10512" width="8.625" style="260" customWidth="1"/>
    <col min="10513" max="10751" width="9" style="260"/>
    <col min="10752" max="10752" width="2.25" style="260" customWidth="1"/>
    <col min="10753" max="10753" width="4.25" style="260" customWidth="1"/>
    <col min="10754" max="10754" width="10.375" style="260" customWidth="1"/>
    <col min="10755" max="10755" width="8.625" style="260" customWidth="1"/>
    <col min="10756" max="10767" width="6.625" style="260" customWidth="1"/>
    <col min="10768" max="10768" width="8.625" style="260" customWidth="1"/>
    <col min="10769" max="11007" width="9" style="260"/>
    <col min="11008" max="11008" width="2.25" style="260" customWidth="1"/>
    <col min="11009" max="11009" width="4.25" style="260" customWidth="1"/>
    <col min="11010" max="11010" width="10.375" style="260" customWidth="1"/>
    <col min="11011" max="11011" width="8.625" style="260" customWidth="1"/>
    <col min="11012" max="11023" width="6.625" style="260" customWidth="1"/>
    <col min="11024" max="11024" width="8.625" style="260" customWidth="1"/>
    <col min="11025" max="11263" width="9" style="260"/>
    <col min="11264" max="11264" width="2.25" style="260" customWidth="1"/>
    <col min="11265" max="11265" width="4.25" style="260" customWidth="1"/>
    <col min="11266" max="11266" width="10.375" style="260" customWidth="1"/>
    <col min="11267" max="11267" width="8.625" style="260" customWidth="1"/>
    <col min="11268" max="11279" width="6.625" style="260" customWidth="1"/>
    <col min="11280" max="11280" width="8.625" style="260" customWidth="1"/>
    <col min="11281" max="11519" width="9" style="260"/>
    <col min="11520" max="11520" width="2.25" style="260" customWidth="1"/>
    <col min="11521" max="11521" width="4.25" style="260" customWidth="1"/>
    <col min="11522" max="11522" width="10.375" style="260" customWidth="1"/>
    <col min="11523" max="11523" width="8.625" style="260" customWidth="1"/>
    <col min="11524" max="11535" width="6.625" style="260" customWidth="1"/>
    <col min="11536" max="11536" width="8.625" style="260" customWidth="1"/>
    <col min="11537" max="11775" width="9" style="260"/>
    <col min="11776" max="11776" width="2.25" style="260" customWidth="1"/>
    <col min="11777" max="11777" width="4.25" style="260" customWidth="1"/>
    <col min="11778" max="11778" width="10.375" style="260" customWidth="1"/>
    <col min="11779" max="11779" width="8.625" style="260" customWidth="1"/>
    <col min="11780" max="11791" width="6.625" style="260" customWidth="1"/>
    <col min="11792" max="11792" width="8.625" style="260" customWidth="1"/>
    <col min="11793" max="12031" width="9" style="260"/>
    <col min="12032" max="12032" width="2.25" style="260" customWidth="1"/>
    <col min="12033" max="12033" width="4.25" style="260" customWidth="1"/>
    <col min="12034" max="12034" width="10.375" style="260" customWidth="1"/>
    <col min="12035" max="12035" width="8.625" style="260" customWidth="1"/>
    <col min="12036" max="12047" width="6.625" style="260" customWidth="1"/>
    <col min="12048" max="12048" width="8.625" style="260" customWidth="1"/>
    <col min="12049" max="12287" width="9" style="260"/>
    <col min="12288" max="12288" width="2.25" style="260" customWidth="1"/>
    <col min="12289" max="12289" width="4.25" style="260" customWidth="1"/>
    <col min="12290" max="12290" width="10.375" style="260" customWidth="1"/>
    <col min="12291" max="12291" width="8.625" style="260" customWidth="1"/>
    <col min="12292" max="12303" width="6.625" style="260" customWidth="1"/>
    <col min="12304" max="12304" width="8.625" style="260" customWidth="1"/>
    <col min="12305" max="12543" width="9" style="260"/>
    <col min="12544" max="12544" width="2.25" style="260" customWidth="1"/>
    <col min="12545" max="12545" width="4.25" style="260" customWidth="1"/>
    <col min="12546" max="12546" width="10.375" style="260" customWidth="1"/>
    <col min="12547" max="12547" width="8.625" style="260" customWidth="1"/>
    <col min="12548" max="12559" width="6.625" style="260" customWidth="1"/>
    <col min="12560" max="12560" width="8.625" style="260" customWidth="1"/>
    <col min="12561" max="12799" width="9" style="260"/>
    <col min="12800" max="12800" width="2.25" style="260" customWidth="1"/>
    <col min="12801" max="12801" width="4.25" style="260" customWidth="1"/>
    <col min="12802" max="12802" width="10.375" style="260" customWidth="1"/>
    <col min="12803" max="12803" width="8.625" style="260" customWidth="1"/>
    <col min="12804" max="12815" width="6.625" style="260" customWidth="1"/>
    <col min="12816" max="12816" width="8.625" style="260" customWidth="1"/>
    <col min="12817" max="13055" width="9" style="260"/>
    <col min="13056" max="13056" width="2.25" style="260" customWidth="1"/>
    <col min="13057" max="13057" width="4.25" style="260" customWidth="1"/>
    <col min="13058" max="13058" width="10.375" style="260" customWidth="1"/>
    <col min="13059" max="13059" width="8.625" style="260" customWidth="1"/>
    <col min="13060" max="13071" width="6.625" style="260" customWidth="1"/>
    <col min="13072" max="13072" width="8.625" style="260" customWidth="1"/>
    <col min="13073" max="13311" width="9" style="260"/>
    <col min="13312" max="13312" width="2.25" style="260" customWidth="1"/>
    <col min="13313" max="13313" width="4.25" style="260" customWidth="1"/>
    <col min="13314" max="13314" width="10.375" style="260" customWidth="1"/>
    <col min="13315" max="13315" width="8.625" style="260" customWidth="1"/>
    <col min="13316" max="13327" width="6.625" style="260" customWidth="1"/>
    <col min="13328" max="13328" width="8.625" style="260" customWidth="1"/>
    <col min="13329" max="13567" width="9" style="260"/>
    <col min="13568" max="13568" width="2.25" style="260" customWidth="1"/>
    <col min="13569" max="13569" width="4.25" style="260" customWidth="1"/>
    <col min="13570" max="13570" width="10.375" style="260" customWidth="1"/>
    <col min="13571" max="13571" width="8.625" style="260" customWidth="1"/>
    <col min="13572" max="13583" width="6.625" style="260" customWidth="1"/>
    <col min="13584" max="13584" width="8.625" style="260" customWidth="1"/>
    <col min="13585" max="13823" width="9" style="260"/>
    <col min="13824" max="13824" width="2.25" style="260" customWidth="1"/>
    <col min="13825" max="13825" width="4.25" style="260" customWidth="1"/>
    <col min="13826" max="13826" width="10.375" style="260" customWidth="1"/>
    <col min="13827" max="13827" width="8.625" style="260" customWidth="1"/>
    <col min="13828" max="13839" width="6.625" style="260" customWidth="1"/>
    <col min="13840" max="13840" width="8.625" style="260" customWidth="1"/>
    <col min="13841" max="14079" width="9" style="260"/>
    <col min="14080" max="14080" width="2.25" style="260" customWidth="1"/>
    <col min="14081" max="14081" width="4.25" style="260" customWidth="1"/>
    <col min="14082" max="14082" width="10.375" style="260" customWidth="1"/>
    <col min="14083" max="14083" width="8.625" style="260" customWidth="1"/>
    <col min="14084" max="14095" width="6.625" style="260" customWidth="1"/>
    <col min="14096" max="14096" width="8.625" style="260" customWidth="1"/>
    <col min="14097" max="14335" width="9" style="260"/>
    <col min="14336" max="14336" width="2.25" style="260" customWidth="1"/>
    <col min="14337" max="14337" width="4.25" style="260" customWidth="1"/>
    <col min="14338" max="14338" width="10.375" style="260" customWidth="1"/>
    <col min="14339" max="14339" width="8.625" style="260" customWidth="1"/>
    <col min="14340" max="14351" width="6.625" style="260" customWidth="1"/>
    <col min="14352" max="14352" width="8.625" style="260" customWidth="1"/>
    <col min="14353" max="14591" width="9" style="260"/>
    <col min="14592" max="14592" width="2.25" style="260" customWidth="1"/>
    <col min="14593" max="14593" width="4.25" style="260" customWidth="1"/>
    <col min="14594" max="14594" width="10.375" style="260" customWidth="1"/>
    <col min="14595" max="14595" width="8.625" style="260" customWidth="1"/>
    <col min="14596" max="14607" width="6.625" style="260" customWidth="1"/>
    <col min="14608" max="14608" width="8.625" style="260" customWidth="1"/>
    <col min="14609" max="14847" width="9" style="260"/>
    <col min="14848" max="14848" width="2.25" style="260" customWidth="1"/>
    <col min="14849" max="14849" width="4.25" style="260" customWidth="1"/>
    <col min="14850" max="14850" width="10.375" style="260" customWidth="1"/>
    <col min="14851" max="14851" width="8.625" style="260" customWidth="1"/>
    <col min="14852" max="14863" width="6.625" style="260" customWidth="1"/>
    <col min="14864" max="14864" width="8.625" style="260" customWidth="1"/>
    <col min="14865" max="15103" width="9" style="260"/>
    <col min="15104" max="15104" width="2.25" style="260" customWidth="1"/>
    <col min="15105" max="15105" width="4.25" style="260" customWidth="1"/>
    <col min="15106" max="15106" width="10.375" style="260" customWidth="1"/>
    <col min="15107" max="15107" width="8.625" style="260" customWidth="1"/>
    <col min="15108" max="15119" width="6.625" style="260" customWidth="1"/>
    <col min="15120" max="15120" width="8.625" style="260" customWidth="1"/>
    <col min="15121" max="15359" width="9" style="260"/>
    <col min="15360" max="15360" width="2.25" style="260" customWidth="1"/>
    <col min="15361" max="15361" width="4.25" style="260" customWidth="1"/>
    <col min="15362" max="15362" width="10.375" style="260" customWidth="1"/>
    <col min="15363" max="15363" width="8.625" style="260" customWidth="1"/>
    <col min="15364" max="15375" width="6.625" style="260" customWidth="1"/>
    <col min="15376" max="15376" width="8.625" style="260" customWidth="1"/>
    <col min="15377" max="15615" width="9" style="260"/>
    <col min="15616" max="15616" width="2.25" style="260" customWidth="1"/>
    <col min="15617" max="15617" width="4.25" style="260" customWidth="1"/>
    <col min="15618" max="15618" width="10.375" style="260" customWidth="1"/>
    <col min="15619" max="15619" width="8.625" style="260" customWidth="1"/>
    <col min="15620" max="15631" width="6.625" style="260" customWidth="1"/>
    <col min="15632" max="15632" width="8.625" style="260" customWidth="1"/>
    <col min="15633" max="15871" width="9" style="260"/>
    <col min="15872" max="15872" width="2.25" style="260" customWidth="1"/>
    <col min="15873" max="15873" width="4.25" style="260" customWidth="1"/>
    <col min="15874" max="15874" width="10.375" style="260" customWidth="1"/>
    <col min="15875" max="15875" width="8.625" style="260" customWidth="1"/>
    <col min="15876" max="15887" width="6.625" style="260" customWidth="1"/>
    <col min="15888" max="15888" width="8.625" style="260" customWidth="1"/>
    <col min="15889" max="16127" width="9" style="260"/>
    <col min="16128" max="16128" width="2.25" style="260" customWidth="1"/>
    <col min="16129" max="16129" width="4.25" style="260" customWidth="1"/>
    <col min="16130" max="16130" width="10.375" style="260" customWidth="1"/>
    <col min="16131" max="16131" width="8.625" style="260" customWidth="1"/>
    <col min="16132" max="16143" width="6.625" style="260" customWidth="1"/>
    <col min="16144" max="16144" width="8.625" style="260" customWidth="1"/>
    <col min="16145" max="16384" width="9" style="260"/>
  </cols>
  <sheetData>
    <row r="1" spans="1:31" ht="20.100000000000001" customHeight="1">
      <c r="A1" s="1526" t="s">
        <v>780</v>
      </c>
      <c r="B1" s="1526"/>
      <c r="C1" s="1526"/>
      <c r="D1" s="1526"/>
      <c r="E1" s="1526"/>
      <c r="F1" s="1526"/>
      <c r="G1" s="1526"/>
      <c r="H1" s="1526"/>
      <c r="I1" s="1526"/>
      <c r="J1" s="1526"/>
      <c r="K1" s="1526"/>
      <c r="L1" s="1526"/>
      <c r="M1" s="1526"/>
      <c r="N1" s="1526"/>
      <c r="O1" s="1525" t="str">
        <f>CONCATENATE('入力（基本)'!G11)</f>
        <v/>
      </c>
      <c r="P1" s="1525"/>
      <c r="Q1" s="1525"/>
      <c r="T1" s="261" t="s">
        <v>182</v>
      </c>
      <c r="U1" s="261" t="s">
        <v>182</v>
      </c>
      <c r="V1" s="1564" t="s">
        <v>760</v>
      </c>
      <c r="W1" s="1564"/>
      <c r="X1" s="1564"/>
      <c r="Y1" s="1564"/>
      <c r="Z1" s="1564"/>
    </row>
    <row r="2" spans="1:31" ht="20.100000000000001" customHeight="1">
      <c r="A2" s="262"/>
      <c r="B2" s="262"/>
      <c r="C2" s="263"/>
      <c r="D2" s="262"/>
      <c r="E2" s="262"/>
      <c r="F2" s="262"/>
      <c r="G2" s="262"/>
      <c r="H2" s="262"/>
      <c r="I2" s="262"/>
      <c r="J2" s="262"/>
      <c r="K2" s="262"/>
      <c r="L2" s="262"/>
      <c r="M2" s="262"/>
      <c r="N2" s="262"/>
      <c r="O2" s="262"/>
      <c r="P2" s="262"/>
      <c r="Q2" s="262"/>
      <c r="T2" s="261"/>
      <c r="U2" s="261"/>
      <c r="V2" s="429"/>
      <c r="W2" s="261" t="s">
        <v>762</v>
      </c>
      <c r="X2" s="261" t="s">
        <v>763</v>
      </c>
      <c r="Y2" s="261"/>
      <c r="Z2" s="261" t="s">
        <v>779</v>
      </c>
    </row>
    <row r="3" spans="1:31" ht="20.100000000000001" customHeight="1">
      <c r="A3" s="262"/>
      <c r="B3" s="264" t="s">
        <v>575</v>
      </c>
      <c r="C3" s="262"/>
      <c r="D3" s="262"/>
      <c r="E3" s="262"/>
      <c r="F3" s="262"/>
      <c r="G3" s="262"/>
      <c r="H3" s="265"/>
      <c r="I3" s="265"/>
      <c r="J3" s="265"/>
      <c r="K3" s="265"/>
      <c r="L3" s="265"/>
      <c r="M3" s="265"/>
      <c r="N3" s="265"/>
      <c r="O3" s="265"/>
      <c r="P3" s="265"/>
      <c r="Q3" s="265"/>
      <c r="T3" s="261" t="s">
        <v>756</v>
      </c>
      <c r="U3" s="261" t="s">
        <v>758</v>
      </c>
      <c r="V3" s="261" t="s">
        <v>203</v>
      </c>
      <c r="W3" s="261">
        <f>IF($N$42="はい",Q60,Q29)</f>
        <v>0</v>
      </c>
      <c r="X3" s="261">
        <f>IF($N$42="はい",Q66,Q35)</f>
        <v>0</v>
      </c>
      <c r="Y3" s="261" t="s">
        <v>774</v>
      </c>
      <c r="Z3" s="261">
        <f>SUM(W6:X6)</f>
        <v>0</v>
      </c>
    </row>
    <row r="4" spans="1:31" ht="20.100000000000001" customHeight="1">
      <c r="A4" s="262"/>
      <c r="B4" s="441" t="s">
        <v>576</v>
      </c>
      <c r="C4" s="262"/>
      <c r="D4" s="262"/>
      <c r="E4" s="262"/>
      <c r="F4" s="262"/>
      <c r="G4" s="262"/>
      <c r="H4" s="265"/>
      <c r="I4" s="265"/>
      <c r="J4" s="265"/>
      <c r="K4" s="265"/>
      <c r="L4" s="265"/>
      <c r="M4" s="265"/>
      <c r="N4" s="265"/>
      <c r="O4" s="265"/>
      <c r="P4" s="265"/>
      <c r="Q4" s="265"/>
      <c r="T4" s="261" t="s">
        <v>757</v>
      </c>
      <c r="U4" s="261"/>
      <c r="V4" s="261" t="s">
        <v>153</v>
      </c>
      <c r="W4" s="261">
        <f>IF($N$42="はい",Q61,Q30)</f>
        <v>0</v>
      </c>
      <c r="X4" s="261">
        <f>IF($N$42="はい",Q67,Q36)</f>
        <v>0</v>
      </c>
      <c r="Y4" s="261" t="s">
        <v>775</v>
      </c>
      <c r="Z4" s="261">
        <f>SUM(W5:X5)</f>
        <v>0</v>
      </c>
    </row>
    <row r="5" spans="1:31" ht="20.100000000000001" customHeight="1" thickBot="1">
      <c r="A5" s="266" t="s">
        <v>754</v>
      </c>
      <c r="B5" s="266"/>
      <c r="C5" s="262"/>
      <c r="D5" s="262"/>
      <c r="E5" s="262"/>
      <c r="F5" s="262"/>
      <c r="G5" s="262"/>
      <c r="H5" s="262"/>
      <c r="I5" s="262"/>
      <c r="J5" s="262"/>
      <c r="K5" s="262"/>
      <c r="L5" s="262"/>
      <c r="M5" s="262"/>
      <c r="N5" s="262"/>
      <c r="O5" s="262"/>
      <c r="P5" s="262"/>
      <c r="Q5" s="262"/>
      <c r="V5" s="261" t="s">
        <v>751</v>
      </c>
      <c r="W5" s="261">
        <f>IF($N$42="はい",Q62,Q31)</f>
        <v>0</v>
      </c>
      <c r="X5" s="261">
        <f>IF($N$42="はい",Q68,Q37)</f>
        <v>0</v>
      </c>
      <c r="Y5" s="261" t="s">
        <v>777</v>
      </c>
      <c r="Z5" s="261">
        <f>SUM(W4:X4)</f>
        <v>0</v>
      </c>
    </row>
    <row r="6" spans="1:31" ht="20.100000000000001" customHeight="1">
      <c r="A6" s="262"/>
      <c r="B6" s="1549" t="s">
        <v>101</v>
      </c>
      <c r="C6" s="1550"/>
      <c r="D6" s="366" t="s">
        <v>240</v>
      </c>
      <c r="E6" s="267">
        <v>4</v>
      </c>
      <c r="F6" s="268">
        <v>5</v>
      </c>
      <c r="G6" s="268">
        <v>6</v>
      </c>
      <c r="H6" s="268">
        <v>7</v>
      </c>
      <c r="I6" s="268">
        <v>8</v>
      </c>
      <c r="J6" s="268">
        <v>9</v>
      </c>
      <c r="K6" s="268">
        <v>10</v>
      </c>
      <c r="L6" s="268">
        <v>11</v>
      </c>
      <c r="M6" s="268">
        <v>12</v>
      </c>
      <c r="N6" s="268">
        <v>1</v>
      </c>
      <c r="O6" s="268">
        <v>2</v>
      </c>
      <c r="P6" s="268">
        <v>3</v>
      </c>
      <c r="Q6" s="343" t="s">
        <v>1</v>
      </c>
      <c r="V6" s="261" t="s">
        <v>706</v>
      </c>
      <c r="W6" s="261">
        <f>IF($N$42="はい",Q63,Q32)</f>
        <v>0</v>
      </c>
      <c r="X6" s="261">
        <f>IF($N$42="はい",Q69,Q38)</f>
        <v>0</v>
      </c>
      <c r="Y6" s="261" t="s">
        <v>778</v>
      </c>
      <c r="Z6" s="261">
        <f>SUM(W3:X3)</f>
        <v>0</v>
      </c>
    </row>
    <row r="7" spans="1:31" ht="20.100000000000001" customHeight="1">
      <c r="A7" s="262"/>
      <c r="B7" s="1516" t="s">
        <v>203</v>
      </c>
      <c r="C7" s="1517"/>
      <c r="D7" s="356" t="s">
        <v>577</v>
      </c>
      <c r="E7" s="357"/>
      <c r="F7" s="358"/>
      <c r="G7" s="357"/>
      <c r="H7" s="358"/>
      <c r="I7" s="357"/>
      <c r="J7" s="358"/>
      <c r="K7" s="357"/>
      <c r="L7" s="358"/>
      <c r="M7" s="357"/>
      <c r="N7" s="358"/>
      <c r="O7" s="357"/>
      <c r="P7" s="358"/>
      <c r="Q7" s="1514">
        <f>ROUND(SUM(E7:P7)/12,0)</f>
        <v>0</v>
      </c>
      <c r="S7" s="342"/>
      <c r="T7" s="351"/>
      <c r="U7" s="351"/>
      <c r="V7" s="351"/>
      <c r="W7" s="351"/>
      <c r="X7" s="351"/>
      <c r="Y7" s="352"/>
      <c r="Z7" s="352"/>
      <c r="AA7" s="351"/>
      <c r="AB7" s="351"/>
      <c r="AC7" s="351"/>
      <c r="AD7" s="351"/>
      <c r="AE7" s="352"/>
    </row>
    <row r="8" spans="1:31" ht="9.9499999999999993" customHeight="1">
      <c r="A8" s="262"/>
      <c r="B8" s="1518"/>
      <c r="C8" s="1519"/>
      <c r="D8" s="363" t="s">
        <v>753</v>
      </c>
      <c r="E8" s="364"/>
      <c r="F8" s="365">
        <f t="shared" ref="F8:P8" si="0">IF($E7=0,F7/1,IF(ISERROR(F7/$E7),0,F7/$E7))</f>
        <v>0</v>
      </c>
      <c r="G8" s="365">
        <f t="shared" si="0"/>
        <v>0</v>
      </c>
      <c r="H8" s="365">
        <f t="shared" si="0"/>
        <v>0</v>
      </c>
      <c r="I8" s="365">
        <f t="shared" si="0"/>
        <v>0</v>
      </c>
      <c r="J8" s="365">
        <f t="shared" si="0"/>
        <v>0</v>
      </c>
      <c r="K8" s="365">
        <f t="shared" si="0"/>
        <v>0</v>
      </c>
      <c r="L8" s="365">
        <f t="shared" si="0"/>
        <v>0</v>
      </c>
      <c r="M8" s="365">
        <f t="shared" si="0"/>
        <v>0</v>
      </c>
      <c r="N8" s="365">
        <f t="shared" si="0"/>
        <v>0</v>
      </c>
      <c r="O8" s="365">
        <f t="shared" si="0"/>
        <v>0</v>
      </c>
      <c r="P8" s="365">
        <f t="shared" si="0"/>
        <v>0</v>
      </c>
      <c r="Q8" s="1515"/>
      <c r="S8" s="273"/>
      <c r="T8" s="352"/>
      <c r="U8" s="352"/>
      <c r="V8" s="352"/>
      <c r="W8" s="352"/>
      <c r="X8" s="352"/>
      <c r="Y8" s="360"/>
      <c r="Z8" s="360"/>
      <c r="AA8" s="352"/>
      <c r="AB8" s="352"/>
      <c r="AC8" s="352"/>
      <c r="AD8" s="352"/>
      <c r="AE8" s="355" t="s">
        <v>578</v>
      </c>
    </row>
    <row r="9" spans="1:31" ht="20.100000000000001" customHeight="1">
      <c r="A9" s="262"/>
      <c r="B9" s="1516" t="s">
        <v>153</v>
      </c>
      <c r="C9" s="1517"/>
      <c r="D9" s="356" t="s">
        <v>577</v>
      </c>
      <c r="E9" s="357"/>
      <c r="F9" s="358"/>
      <c r="G9" s="357"/>
      <c r="H9" s="358"/>
      <c r="I9" s="357"/>
      <c r="J9" s="358"/>
      <c r="K9" s="357"/>
      <c r="L9" s="358"/>
      <c r="M9" s="357"/>
      <c r="N9" s="358"/>
      <c r="O9" s="357"/>
      <c r="P9" s="358"/>
      <c r="Q9" s="1514">
        <f>ROUND(SUM(E9:P9)/12,0)</f>
        <v>0</v>
      </c>
      <c r="S9" s="273"/>
      <c r="T9" s="359"/>
      <c r="U9" s="360"/>
      <c r="V9" s="360"/>
      <c r="W9" s="360"/>
      <c r="X9" s="360"/>
      <c r="Y9" s="352"/>
      <c r="Z9" s="352"/>
      <c r="AA9" s="360"/>
      <c r="AB9" s="360"/>
      <c r="AC9" s="360"/>
      <c r="AD9" s="360"/>
      <c r="AE9" s="355"/>
    </row>
    <row r="10" spans="1:31" ht="9.9499999999999993" customHeight="1">
      <c r="A10" s="262"/>
      <c r="B10" s="1518"/>
      <c r="C10" s="1519"/>
      <c r="D10" s="363" t="s">
        <v>753</v>
      </c>
      <c r="E10" s="364"/>
      <c r="F10" s="365">
        <f t="shared" ref="F10:P10" si="1">IF($E9=0,F9/1,IF(ISERROR(F9/$E9),0,F9/$E9))</f>
        <v>0</v>
      </c>
      <c r="G10" s="365">
        <f t="shared" si="1"/>
        <v>0</v>
      </c>
      <c r="H10" s="365">
        <f t="shared" si="1"/>
        <v>0</v>
      </c>
      <c r="I10" s="365">
        <f t="shared" si="1"/>
        <v>0</v>
      </c>
      <c r="J10" s="365">
        <f t="shared" si="1"/>
        <v>0</v>
      </c>
      <c r="K10" s="365">
        <f t="shared" si="1"/>
        <v>0</v>
      </c>
      <c r="L10" s="365">
        <f t="shared" si="1"/>
        <v>0</v>
      </c>
      <c r="M10" s="365">
        <f t="shared" si="1"/>
        <v>0</v>
      </c>
      <c r="N10" s="365">
        <f t="shared" si="1"/>
        <v>0</v>
      </c>
      <c r="O10" s="365">
        <f t="shared" si="1"/>
        <v>0</v>
      </c>
      <c r="P10" s="365">
        <f t="shared" si="1"/>
        <v>0</v>
      </c>
      <c r="Q10" s="1515"/>
      <c r="S10" s="273"/>
      <c r="T10" s="352"/>
      <c r="U10" s="352"/>
      <c r="V10" s="352"/>
      <c r="W10" s="352"/>
      <c r="X10" s="352"/>
      <c r="Y10" s="360"/>
      <c r="Z10" s="360"/>
      <c r="AA10" s="352"/>
      <c r="AB10" s="352"/>
      <c r="AC10" s="352"/>
      <c r="AD10" s="352"/>
      <c r="AE10" s="355"/>
    </row>
    <row r="11" spans="1:31" ht="20.100000000000001" customHeight="1">
      <c r="A11" s="262"/>
      <c r="B11" s="1516" t="s">
        <v>751</v>
      </c>
      <c r="C11" s="1517"/>
      <c r="D11" s="356" t="s">
        <v>577</v>
      </c>
      <c r="E11" s="357"/>
      <c r="F11" s="358"/>
      <c r="G11" s="357"/>
      <c r="H11" s="358"/>
      <c r="I11" s="357"/>
      <c r="J11" s="358"/>
      <c r="K11" s="357"/>
      <c r="L11" s="358"/>
      <c r="M11" s="357"/>
      <c r="N11" s="358"/>
      <c r="O11" s="357"/>
      <c r="P11" s="358"/>
      <c r="Q11" s="1514">
        <f>ROUND(SUM(E11:P11)/12,0)</f>
        <v>0</v>
      </c>
      <c r="S11" s="273"/>
      <c r="T11" s="359"/>
      <c r="U11" s="360"/>
      <c r="V11" s="360"/>
      <c r="W11" s="360"/>
      <c r="X11" s="360"/>
      <c r="Y11" s="352"/>
      <c r="Z11" s="352"/>
      <c r="AA11" s="360"/>
      <c r="AB11" s="360"/>
      <c r="AC11" s="360"/>
      <c r="AD11" s="360"/>
      <c r="AE11" s="355"/>
    </row>
    <row r="12" spans="1:31" ht="9.9499999999999993" customHeight="1">
      <c r="A12" s="262"/>
      <c r="B12" s="1518"/>
      <c r="C12" s="1519"/>
      <c r="D12" s="363" t="s">
        <v>753</v>
      </c>
      <c r="E12" s="364"/>
      <c r="F12" s="365">
        <f t="shared" ref="F12:P12" si="2">IF($E11=0,F11/1,IF(ISERROR(F11/$E11),0,F11/$E11))</f>
        <v>0</v>
      </c>
      <c r="G12" s="365">
        <f t="shared" si="2"/>
        <v>0</v>
      </c>
      <c r="H12" s="365">
        <f t="shared" si="2"/>
        <v>0</v>
      </c>
      <c r="I12" s="365">
        <f t="shared" si="2"/>
        <v>0</v>
      </c>
      <c r="J12" s="365">
        <f t="shared" si="2"/>
        <v>0</v>
      </c>
      <c r="K12" s="365">
        <f t="shared" si="2"/>
        <v>0</v>
      </c>
      <c r="L12" s="365">
        <f t="shared" si="2"/>
        <v>0</v>
      </c>
      <c r="M12" s="365">
        <f t="shared" si="2"/>
        <v>0</v>
      </c>
      <c r="N12" s="365">
        <f t="shared" si="2"/>
        <v>0</v>
      </c>
      <c r="O12" s="365">
        <f t="shared" si="2"/>
        <v>0</v>
      </c>
      <c r="P12" s="365">
        <f t="shared" si="2"/>
        <v>0</v>
      </c>
      <c r="Q12" s="1515"/>
      <c r="S12" s="273"/>
      <c r="T12" s="352"/>
      <c r="U12" s="352"/>
      <c r="V12" s="352"/>
      <c r="W12" s="352"/>
      <c r="X12" s="352"/>
      <c r="Y12" s="360"/>
      <c r="Z12" s="360"/>
      <c r="AA12" s="352"/>
      <c r="AB12" s="352"/>
      <c r="AC12" s="352"/>
      <c r="AD12" s="352"/>
      <c r="AE12" s="355"/>
    </row>
    <row r="13" spans="1:31" ht="20.100000000000001" customHeight="1">
      <c r="A13" s="262"/>
      <c r="B13" s="1516" t="s">
        <v>8</v>
      </c>
      <c r="C13" s="1517"/>
      <c r="D13" s="356" t="s">
        <v>577</v>
      </c>
      <c r="E13" s="357"/>
      <c r="F13" s="358"/>
      <c r="G13" s="357"/>
      <c r="H13" s="358"/>
      <c r="I13" s="357"/>
      <c r="J13" s="358"/>
      <c r="K13" s="357"/>
      <c r="L13" s="358"/>
      <c r="M13" s="357"/>
      <c r="N13" s="358"/>
      <c r="O13" s="357"/>
      <c r="P13" s="358"/>
      <c r="Q13" s="1514">
        <f>ROUND(SUM(E13:P13)/12,0)</f>
        <v>0</v>
      </c>
      <c r="S13" s="273"/>
      <c r="T13" s="359"/>
      <c r="U13" s="360"/>
      <c r="V13" s="360"/>
      <c r="W13" s="360"/>
      <c r="X13" s="360"/>
      <c r="Y13" s="352"/>
      <c r="Z13" s="352"/>
      <c r="AA13" s="360"/>
      <c r="AB13" s="360"/>
      <c r="AC13" s="360"/>
      <c r="AD13" s="360"/>
      <c r="AE13" s="355"/>
    </row>
    <row r="14" spans="1:31" ht="9.9499999999999993" customHeight="1">
      <c r="A14" s="262"/>
      <c r="B14" s="1518"/>
      <c r="C14" s="1519"/>
      <c r="D14" s="363" t="s">
        <v>753</v>
      </c>
      <c r="E14" s="364"/>
      <c r="F14" s="365">
        <f t="shared" ref="F14:P14" si="3">IF($E13=0,F13/1,IF(ISERROR(F13/$E13),0,F13/$E13))</f>
        <v>0</v>
      </c>
      <c r="G14" s="365">
        <f t="shared" si="3"/>
        <v>0</v>
      </c>
      <c r="H14" s="365">
        <f t="shared" si="3"/>
        <v>0</v>
      </c>
      <c r="I14" s="365">
        <f t="shared" si="3"/>
        <v>0</v>
      </c>
      <c r="J14" s="365">
        <f t="shared" si="3"/>
        <v>0</v>
      </c>
      <c r="K14" s="365">
        <f t="shared" si="3"/>
        <v>0</v>
      </c>
      <c r="L14" s="365">
        <f t="shared" si="3"/>
        <v>0</v>
      </c>
      <c r="M14" s="365">
        <f t="shared" si="3"/>
        <v>0</v>
      </c>
      <c r="N14" s="365">
        <f t="shared" si="3"/>
        <v>0</v>
      </c>
      <c r="O14" s="365">
        <f t="shared" si="3"/>
        <v>0</v>
      </c>
      <c r="P14" s="365">
        <f t="shared" si="3"/>
        <v>0</v>
      </c>
      <c r="Q14" s="1515"/>
      <c r="S14" s="273"/>
      <c r="T14" s="352"/>
      <c r="U14" s="352"/>
      <c r="V14" s="352"/>
      <c r="W14" s="352"/>
      <c r="X14" s="352"/>
      <c r="Y14" s="360"/>
      <c r="Z14" s="360"/>
      <c r="AA14" s="352"/>
      <c r="AB14" s="352"/>
      <c r="AC14" s="352"/>
      <c r="AD14" s="352"/>
      <c r="AE14" s="355"/>
    </row>
    <row r="15" spans="1:31" ht="20.100000000000001" customHeight="1" thickBot="1">
      <c r="B15" s="1520" t="s">
        <v>0</v>
      </c>
      <c r="C15" s="1521"/>
      <c r="D15" s="347"/>
      <c r="E15" s="348">
        <f>SUM(E7,E9,E11,E13)</f>
        <v>0</v>
      </c>
      <c r="F15" s="348">
        <f t="shared" ref="F15:P15" si="4">SUM(F7,F9,F11,F13)</f>
        <v>0</v>
      </c>
      <c r="G15" s="348">
        <f t="shared" si="4"/>
        <v>0</v>
      </c>
      <c r="H15" s="348">
        <f t="shared" si="4"/>
        <v>0</v>
      </c>
      <c r="I15" s="348">
        <f t="shared" si="4"/>
        <v>0</v>
      </c>
      <c r="J15" s="348">
        <f t="shared" si="4"/>
        <v>0</v>
      </c>
      <c r="K15" s="348">
        <f t="shared" si="4"/>
        <v>0</v>
      </c>
      <c r="L15" s="348">
        <f t="shared" si="4"/>
        <v>0</v>
      </c>
      <c r="M15" s="348">
        <f t="shared" si="4"/>
        <v>0</v>
      </c>
      <c r="N15" s="348">
        <f t="shared" si="4"/>
        <v>0</v>
      </c>
      <c r="O15" s="348">
        <f t="shared" si="4"/>
        <v>0</v>
      </c>
      <c r="P15" s="348">
        <f t="shared" si="4"/>
        <v>0</v>
      </c>
      <c r="Q15" s="349">
        <f>SUM(Q7:Q14)</f>
        <v>0</v>
      </c>
      <c r="S15" s="265"/>
      <c r="T15" s="359"/>
      <c r="U15" s="360"/>
      <c r="V15" s="360"/>
      <c r="W15" s="360"/>
      <c r="X15" s="360"/>
      <c r="AA15" s="360"/>
      <c r="AB15" s="360"/>
      <c r="AC15" s="360"/>
      <c r="AD15" s="360"/>
      <c r="AE15" s="355"/>
    </row>
    <row r="16" spans="1:31" ht="20.100000000000001" customHeight="1">
      <c r="A16" s="262"/>
      <c r="B16" s="1549" t="s">
        <v>205</v>
      </c>
      <c r="C16" s="1550"/>
      <c r="D16" s="366" t="s">
        <v>240</v>
      </c>
      <c r="E16" s="267">
        <v>4</v>
      </c>
      <c r="F16" s="268">
        <v>5</v>
      </c>
      <c r="G16" s="268">
        <v>6</v>
      </c>
      <c r="H16" s="268">
        <v>7</v>
      </c>
      <c r="I16" s="268">
        <v>8</v>
      </c>
      <c r="J16" s="268">
        <v>9</v>
      </c>
      <c r="K16" s="268">
        <v>10</v>
      </c>
      <c r="L16" s="268">
        <v>11</v>
      </c>
      <c r="M16" s="268">
        <v>12</v>
      </c>
      <c r="N16" s="268">
        <v>1</v>
      </c>
      <c r="O16" s="268">
        <v>2</v>
      </c>
      <c r="P16" s="268">
        <v>3</v>
      </c>
      <c r="Q16" s="343" t="s">
        <v>1</v>
      </c>
      <c r="Y16" s="351"/>
      <c r="Z16" s="351"/>
      <c r="AE16" s="352"/>
    </row>
    <row r="17" spans="1:31" ht="20.100000000000001" customHeight="1">
      <c r="A17" s="262"/>
      <c r="B17" s="1516" t="s">
        <v>203</v>
      </c>
      <c r="C17" s="1517"/>
      <c r="D17" s="356" t="s">
        <v>577</v>
      </c>
      <c r="E17" s="357"/>
      <c r="F17" s="358"/>
      <c r="G17" s="357"/>
      <c r="H17" s="358"/>
      <c r="I17" s="357"/>
      <c r="J17" s="358"/>
      <c r="K17" s="357"/>
      <c r="L17" s="358"/>
      <c r="M17" s="357"/>
      <c r="N17" s="358"/>
      <c r="O17" s="357"/>
      <c r="P17" s="358"/>
      <c r="Q17" s="1514">
        <f>ROUND(SUM(E17:P17)/12,0)</f>
        <v>0</v>
      </c>
      <c r="S17" s="342"/>
      <c r="T17" s="351"/>
      <c r="U17" s="351"/>
      <c r="V17" s="351"/>
      <c r="W17" s="351"/>
      <c r="X17" s="351"/>
      <c r="Y17" s="352"/>
      <c r="Z17" s="352"/>
      <c r="AA17" s="351"/>
      <c r="AB17" s="351"/>
      <c r="AC17" s="351"/>
      <c r="AD17" s="351"/>
      <c r="AE17" s="352"/>
    </row>
    <row r="18" spans="1:31" ht="9.9499999999999993" customHeight="1">
      <c r="A18" s="262"/>
      <c r="B18" s="1518"/>
      <c r="C18" s="1519"/>
      <c r="D18" s="363" t="s">
        <v>753</v>
      </c>
      <c r="E18" s="364"/>
      <c r="F18" s="365">
        <f t="shared" ref="F18:P18" si="5">IF($E17=0,F17/1,IF(ISERROR(F17/$E17),0,F17/$E17))</f>
        <v>0</v>
      </c>
      <c r="G18" s="365">
        <f t="shared" si="5"/>
        <v>0</v>
      </c>
      <c r="H18" s="365">
        <f t="shared" si="5"/>
        <v>0</v>
      </c>
      <c r="I18" s="365">
        <f t="shared" si="5"/>
        <v>0</v>
      </c>
      <c r="J18" s="365">
        <f t="shared" si="5"/>
        <v>0</v>
      </c>
      <c r="K18" s="365">
        <f t="shared" si="5"/>
        <v>0</v>
      </c>
      <c r="L18" s="365">
        <f t="shared" si="5"/>
        <v>0</v>
      </c>
      <c r="M18" s="365">
        <f t="shared" si="5"/>
        <v>0</v>
      </c>
      <c r="N18" s="365">
        <f t="shared" si="5"/>
        <v>0</v>
      </c>
      <c r="O18" s="365">
        <f t="shared" si="5"/>
        <v>0</v>
      </c>
      <c r="P18" s="365">
        <f t="shared" si="5"/>
        <v>0</v>
      </c>
      <c r="Q18" s="1515"/>
      <c r="S18" s="273"/>
      <c r="T18" s="352"/>
      <c r="U18" s="352"/>
      <c r="V18" s="352"/>
      <c r="W18" s="352"/>
      <c r="X18" s="352"/>
      <c r="Y18" s="360"/>
      <c r="Z18" s="360"/>
      <c r="AA18" s="352"/>
      <c r="AB18" s="352"/>
      <c r="AC18" s="352"/>
      <c r="AD18" s="352"/>
      <c r="AE18" s="355" t="s">
        <v>578</v>
      </c>
    </row>
    <row r="19" spans="1:31" ht="20.100000000000001" customHeight="1">
      <c r="A19" s="262"/>
      <c r="B19" s="1516" t="s">
        <v>153</v>
      </c>
      <c r="C19" s="1517"/>
      <c r="D19" s="356" t="s">
        <v>577</v>
      </c>
      <c r="E19" s="357"/>
      <c r="F19" s="358"/>
      <c r="G19" s="357"/>
      <c r="H19" s="358"/>
      <c r="I19" s="357"/>
      <c r="J19" s="358"/>
      <c r="K19" s="357"/>
      <c r="L19" s="358"/>
      <c r="M19" s="357"/>
      <c r="N19" s="358"/>
      <c r="O19" s="357"/>
      <c r="P19" s="358"/>
      <c r="Q19" s="1514">
        <f>ROUND(SUM(E19:P19)/12,0)</f>
        <v>0</v>
      </c>
      <c r="S19" s="273"/>
      <c r="T19" s="359"/>
      <c r="U19" s="360"/>
      <c r="V19" s="360"/>
      <c r="W19" s="360"/>
      <c r="X19" s="360"/>
      <c r="Y19" s="352"/>
      <c r="Z19" s="352"/>
      <c r="AA19" s="360"/>
      <c r="AB19" s="360"/>
      <c r="AC19" s="360"/>
      <c r="AD19" s="360"/>
      <c r="AE19" s="355"/>
    </row>
    <row r="20" spans="1:31" ht="9.9499999999999993" customHeight="1">
      <c r="A20" s="262"/>
      <c r="B20" s="1518"/>
      <c r="C20" s="1519"/>
      <c r="D20" s="363" t="s">
        <v>753</v>
      </c>
      <c r="E20" s="364"/>
      <c r="F20" s="365">
        <f t="shared" ref="F20:P20" si="6">IF($E19=0,F19/1,IF(ISERROR(F19/$E19),0,F19/$E19))</f>
        <v>0</v>
      </c>
      <c r="G20" s="365">
        <f t="shared" si="6"/>
        <v>0</v>
      </c>
      <c r="H20" s="365">
        <f t="shared" si="6"/>
        <v>0</v>
      </c>
      <c r="I20" s="365">
        <f t="shared" si="6"/>
        <v>0</v>
      </c>
      <c r="J20" s="365">
        <f t="shared" si="6"/>
        <v>0</v>
      </c>
      <c r="K20" s="365">
        <f t="shared" si="6"/>
        <v>0</v>
      </c>
      <c r="L20" s="365">
        <f t="shared" si="6"/>
        <v>0</v>
      </c>
      <c r="M20" s="365">
        <f t="shared" si="6"/>
        <v>0</v>
      </c>
      <c r="N20" s="365">
        <f t="shared" si="6"/>
        <v>0</v>
      </c>
      <c r="O20" s="365">
        <f t="shared" si="6"/>
        <v>0</v>
      </c>
      <c r="P20" s="365">
        <f t="shared" si="6"/>
        <v>0</v>
      </c>
      <c r="Q20" s="1515"/>
      <c r="S20" s="273"/>
      <c r="T20" s="352"/>
      <c r="U20" s="352"/>
      <c r="V20" s="352"/>
      <c r="W20" s="352"/>
      <c r="X20" s="352"/>
      <c r="Y20" s="360"/>
      <c r="Z20" s="360"/>
      <c r="AA20" s="352"/>
      <c r="AB20" s="352"/>
      <c r="AC20" s="352"/>
      <c r="AD20" s="352"/>
      <c r="AE20" s="355"/>
    </row>
    <row r="21" spans="1:31" ht="20.100000000000001" customHeight="1">
      <c r="A21" s="262"/>
      <c r="B21" s="1516" t="s">
        <v>751</v>
      </c>
      <c r="C21" s="1517"/>
      <c r="D21" s="356" t="s">
        <v>577</v>
      </c>
      <c r="E21" s="357"/>
      <c r="F21" s="358"/>
      <c r="G21" s="357"/>
      <c r="H21" s="358"/>
      <c r="I21" s="357"/>
      <c r="J21" s="358"/>
      <c r="K21" s="357"/>
      <c r="L21" s="358"/>
      <c r="M21" s="357"/>
      <c r="N21" s="358"/>
      <c r="O21" s="357"/>
      <c r="P21" s="358"/>
      <c r="Q21" s="1514">
        <f>ROUND(SUM(E21:P21)/12,0)</f>
        <v>0</v>
      </c>
      <c r="S21" s="273"/>
      <c r="T21" s="359"/>
      <c r="U21" s="360"/>
      <c r="V21" s="360"/>
      <c r="W21" s="360"/>
      <c r="X21" s="360"/>
      <c r="Y21" s="352"/>
      <c r="Z21" s="352"/>
      <c r="AA21" s="360"/>
      <c r="AB21" s="360"/>
      <c r="AC21" s="360"/>
      <c r="AD21" s="360"/>
      <c r="AE21" s="355"/>
    </row>
    <row r="22" spans="1:31" ht="9.9499999999999993" customHeight="1">
      <c r="A22" s="262"/>
      <c r="B22" s="1518"/>
      <c r="C22" s="1519"/>
      <c r="D22" s="363" t="s">
        <v>753</v>
      </c>
      <c r="E22" s="364"/>
      <c r="F22" s="365">
        <f t="shared" ref="F22:P22" si="7">IF($E21=0,F21/1,IF(ISERROR(F21/$E21),0,F21/$E21))</f>
        <v>0</v>
      </c>
      <c r="G22" s="365">
        <f t="shared" si="7"/>
        <v>0</v>
      </c>
      <c r="H22" s="365">
        <f t="shared" si="7"/>
        <v>0</v>
      </c>
      <c r="I22" s="365">
        <f t="shared" si="7"/>
        <v>0</v>
      </c>
      <c r="J22" s="365">
        <f t="shared" si="7"/>
        <v>0</v>
      </c>
      <c r="K22" s="365">
        <f t="shared" si="7"/>
        <v>0</v>
      </c>
      <c r="L22" s="365">
        <f t="shared" si="7"/>
        <v>0</v>
      </c>
      <c r="M22" s="365">
        <f t="shared" si="7"/>
        <v>0</v>
      </c>
      <c r="N22" s="365">
        <f t="shared" si="7"/>
        <v>0</v>
      </c>
      <c r="O22" s="365">
        <f t="shared" si="7"/>
        <v>0</v>
      </c>
      <c r="P22" s="365">
        <f t="shared" si="7"/>
        <v>0</v>
      </c>
      <c r="Q22" s="1515"/>
      <c r="S22" s="273"/>
      <c r="T22" s="352"/>
      <c r="U22" s="352"/>
      <c r="V22" s="352"/>
      <c r="W22" s="352"/>
      <c r="X22" s="352"/>
      <c r="Y22" s="360"/>
      <c r="Z22" s="360"/>
      <c r="AA22" s="352"/>
      <c r="AB22" s="352"/>
      <c r="AC22" s="352"/>
      <c r="AD22" s="352"/>
      <c r="AE22" s="355"/>
    </row>
    <row r="23" spans="1:31" ht="20.100000000000001" customHeight="1">
      <c r="A23" s="262"/>
      <c r="B23" s="1516" t="s">
        <v>8</v>
      </c>
      <c r="C23" s="1517"/>
      <c r="D23" s="356" t="s">
        <v>577</v>
      </c>
      <c r="E23" s="357"/>
      <c r="F23" s="358"/>
      <c r="G23" s="357"/>
      <c r="H23" s="358"/>
      <c r="I23" s="357"/>
      <c r="J23" s="358"/>
      <c r="K23" s="357"/>
      <c r="L23" s="358"/>
      <c r="M23" s="357"/>
      <c r="N23" s="358"/>
      <c r="O23" s="357"/>
      <c r="P23" s="358"/>
      <c r="Q23" s="1514">
        <f>ROUND(SUM(E23:P23)/12,0)</f>
        <v>0</v>
      </c>
      <c r="S23" s="273"/>
      <c r="T23" s="359"/>
      <c r="U23" s="360"/>
      <c r="V23" s="360"/>
      <c r="W23" s="360"/>
      <c r="X23" s="360"/>
      <c r="Y23" s="352"/>
      <c r="Z23" s="352"/>
      <c r="AA23" s="360"/>
      <c r="AB23" s="360"/>
      <c r="AC23" s="360"/>
      <c r="AD23" s="360"/>
      <c r="AE23" s="355"/>
    </row>
    <row r="24" spans="1:31" ht="9.9499999999999993" customHeight="1">
      <c r="A24" s="262"/>
      <c r="B24" s="1518"/>
      <c r="C24" s="1519"/>
      <c r="D24" s="363" t="s">
        <v>753</v>
      </c>
      <c r="E24" s="364"/>
      <c r="F24" s="365">
        <f t="shared" ref="F24:P24" si="8">IF($E23=0,F23/1,IF(ISERROR(F23/$E23),0,F23/$E23))</f>
        <v>0</v>
      </c>
      <c r="G24" s="365">
        <f t="shared" si="8"/>
        <v>0</v>
      </c>
      <c r="H24" s="365">
        <f t="shared" si="8"/>
        <v>0</v>
      </c>
      <c r="I24" s="365">
        <f t="shared" si="8"/>
        <v>0</v>
      </c>
      <c r="J24" s="365">
        <f t="shared" si="8"/>
        <v>0</v>
      </c>
      <c r="K24" s="365">
        <f t="shared" si="8"/>
        <v>0</v>
      </c>
      <c r="L24" s="365">
        <f t="shared" si="8"/>
        <v>0</v>
      </c>
      <c r="M24" s="365">
        <f t="shared" si="8"/>
        <v>0</v>
      </c>
      <c r="N24" s="365">
        <f t="shared" si="8"/>
        <v>0</v>
      </c>
      <c r="O24" s="365">
        <f t="shared" si="8"/>
        <v>0</v>
      </c>
      <c r="P24" s="365">
        <f t="shared" si="8"/>
        <v>0</v>
      </c>
      <c r="Q24" s="1515"/>
      <c r="S24" s="273"/>
      <c r="T24" s="352"/>
      <c r="U24" s="352"/>
      <c r="V24" s="352"/>
      <c r="W24" s="352"/>
      <c r="X24" s="352"/>
      <c r="Y24" s="360"/>
      <c r="Z24" s="360"/>
      <c r="AA24" s="352"/>
      <c r="AB24" s="352"/>
      <c r="AC24" s="352"/>
      <c r="AD24" s="352"/>
      <c r="AE24" s="355"/>
    </row>
    <row r="25" spans="1:31" ht="20.100000000000001" customHeight="1" thickBot="1">
      <c r="B25" s="1520" t="s">
        <v>0</v>
      </c>
      <c r="C25" s="1521"/>
      <c r="D25" s="347"/>
      <c r="E25" s="348">
        <f>SUM(E17,E19,E21,E23)</f>
        <v>0</v>
      </c>
      <c r="F25" s="348">
        <f t="shared" ref="F25:P25" si="9">SUM(F17,F19,F21,F23)</f>
        <v>0</v>
      </c>
      <c r="G25" s="348">
        <f t="shared" si="9"/>
        <v>0</v>
      </c>
      <c r="H25" s="348">
        <f t="shared" si="9"/>
        <v>0</v>
      </c>
      <c r="I25" s="348">
        <f t="shared" si="9"/>
        <v>0</v>
      </c>
      <c r="J25" s="348">
        <f t="shared" si="9"/>
        <v>0</v>
      </c>
      <c r="K25" s="348">
        <f t="shared" si="9"/>
        <v>0</v>
      </c>
      <c r="L25" s="348">
        <f t="shared" si="9"/>
        <v>0</v>
      </c>
      <c r="M25" s="348">
        <f t="shared" si="9"/>
        <v>0</v>
      </c>
      <c r="N25" s="348">
        <f t="shared" si="9"/>
        <v>0</v>
      </c>
      <c r="O25" s="348">
        <f t="shared" si="9"/>
        <v>0</v>
      </c>
      <c r="P25" s="348">
        <f t="shared" si="9"/>
        <v>0</v>
      </c>
      <c r="Q25" s="349">
        <f>SUM(Q17:Q24)</f>
        <v>0</v>
      </c>
      <c r="S25" s="265"/>
      <c r="T25" s="359"/>
      <c r="U25" s="360"/>
      <c r="V25" s="360"/>
      <c r="W25" s="360"/>
      <c r="X25" s="360"/>
      <c r="AA25" s="360"/>
      <c r="AB25" s="360"/>
      <c r="AC25" s="360"/>
      <c r="AD25" s="360"/>
      <c r="AE25" s="355"/>
    </row>
    <row r="26" spans="1:31" ht="20.100000000000001" customHeight="1">
      <c r="A26" s="262"/>
      <c r="B26" s="262"/>
      <c r="C26" s="264"/>
      <c r="D26" s="265"/>
      <c r="E26" s="273"/>
      <c r="F26" s="274"/>
      <c r="G26" s="274"/>
      <c r="H26" s="274"/>
      <c r="I26" s="274"/>
      <c r="J26" s="274"/>
      <c r="K26" s="274"/>
      <c r="L26" s="274"/>
      <c r="M26" s="274"/>
      <c r="N26" s="274"/>
      <c r="O26" s="274"/>
      <c r="P26" s="274"/>
      <c r="Q26" s="275"/>
    </row>
    <row r="27" spans="1:31" ht="20.100000000000001" customHeight="1" thickBot="1">
      <c r="A27" s="266" t="s">
        <v>755</v>
      </c>
      <c r="B27" s="266"/>
      <c r="C27" s="262"/>
      <c r="D27" s="262"/>
      <c r="E27" s="276"/>
      <c r="F27" s="262"/>
      <c r="G27" s="262"/>
      <c r="H27" s="262"/>
      <c r="I27" s="262"/>
      <c r="J27" s="262"/>
      <c r="K27" s="262"/>
      <c r="L27" s="262"/>
      <c r="M27" s="262"/>
      <c r="N27" s="262"/>
      <c r="O27" s="262"/>
      <c r="P27" s="262"/>
      <c r="Q27" s="275"/>
    </row>
    <row r="28" spans="1:31" ht="20.100000000000001" customHeight="1">
      <c r="A28" s="262"/>
      <c r="B28" s="1549" t="s">
        <v>101</v>
      </c>
      <c r="C28" s="1550"/>
      <c r="D28" s="366" t="s">
        <v>240</v>
      </c>
      <c r="E28" s="267">
        <v>4</v>
      </c>
      <c r="F28" s="268">
        <v>5</v>
      </c>
      <c r="G28" s="268">
        <v>6</v>
      </c>
      <c r="H28" s="268">
        <v>7</v>
      </c>
      <c r="I28" s="268">
        <v>8</v>
      </c>
      <c r="J28" s="268">
        <v>9</v>
      </c>
      <c r="K28" s="268">
        <v>10</v>
      </c>
      <c r="L28" s="268">
        <v>11</v>
      </c>
      <c r="M28" s="268">
        <v>12</v>
      </c>
      <c r="N28" s="268">
        <v>1</v>
      </c>
      <c r="O28" s="268">
        <v>2</v>
      </c>
      <c r="P28" s="268">
        <v>3</v>
      </c>
      <c r="Q28" s="343" t="s">
        <v>1</v>
      </c>
      <c r="V28" s="352"/>
      <c r="W28" s="352"/>
      <c r="X28" s="352"/>
      <c r="Y28" s="351"/>
      <c r="Z28" s="351"/>
    </row>
    <row r="29" spans="1:31" ht="20.100000000000001" customHeight="1">
      <c r="A29" s="262"/>
      <c r="B29" s="1533" t="s">
        <v>203</v>
      </c>
      <c r="C29" s="1534"/>
      <c r="D29" s="269" t="s">
        <v>577</v>
      </c>
      <c r="E29" s="270"/>
      <c r="F29" s="277">
        <f t="shared" ref="F29:P29" si="10">IF($E29=0,F7,$E29*F8)</f>
        <v>0</v>
      </c>
      <c r="G29" s="277">
        <f t="shared" si="10"/>
        <v>0</v>
      </c>
      <c r="H29" s="277">
        <f t="shared" si="10"/>
        <v>0</v>
      </c>
      <c r="I29" s="277">
        <f t="shared" si="10"/>
        <v>0</v>
      </c>
      <c r="J29" s="277">
        <f t="shared" si="10"/>
        <v>0</v>
      </c>
      <c r="K29" s="277">
        <f t="shared" si="10"/>
        <v>0</v>
      </c>
      <c r="L29" s="277">
        <f t="shared" si="10"/>
        <v>0</v>
      </c>
      <c r="M29" s="277">
        <f t="shared" si="10"/>
        <v>0</v>
      </c>
      <c r="N29" s="277">
        <f t="shared" si="10"/>
        <v>0</v>
      </c>
      <c r="O29" s="277">
        <f t="shared" si="10"/>
        <v>0</v>
      </c>
      <c r="P29" s="277">
        <f t="shared" si="10"/>
        <v>0</v>
      </c>
      <c r="Q29" s="271">
        <f>ROUND(SUM(E29:P29)/12,0)</f>
        <v>0</v>
      </c>
      <c r="S29" s="352"/>
      <c r="T29" s="351"/>
      <c r="U29" s="351"/>
      <c r="V29" s="351"/>
      <c r="W29" s="351"/>
      <c r="X29" s="351"/>
      <c r="Y29" s="354"/>
      <c r="Z29" s="354"/>
      <c r="AA29" s="351"/>
      <c r="AB29" s="351"/>
      <c r="AC29" s="351"/>
      <c r="AD29" s="351"/>
      <c r="AE29" s="352"/>
    </row>
    <row r="30" spans="1:31" ht="20.100000000000001" customHeight="1">
      <c r="A30" s="262"/>
      <c r="B30" s="1533" t="s">
        <v>153</v>
      </c>
      <c r="C30" s="1534"/>
      <c r="D30" s="272" t="s">
        <v>577</v>
      </c>
      <c r="E30" s="270"/>
      <c r="F30" s="277">
        <f t="shared" ref="F30:P30" si="11">IF($E30=0,F9,$E30*F10)</f>
        <v>0</v>
      </c>
      <c r="G30" s="277">
        <f t="shared" si="11"/>
        <v>0</v>
      </c>
      <c r="H30" s="277">
        <f t="shared" si="11"/>
        <v>0</v>
      </c>
      <c r="I30" s="277">
        <f t="shared" si="11"/>
        <v>0</v>
      </c>
      <c r="J30" s="277">
        <f t="shared" si="11"/>
        <v>0</v>
      </c>
      <c r="K30" s="277">
        <f t="shared" si="11"/>
        <v>0</v>
      </c>
      <c r="L30" s="277">
        <f t="shared" si="11"/>
        <v>0</v>
      </c>
      <c r="M30" s="277">
        <f t="shared" si="11"/>
        <v>0</v>
      </c>
      <c r="N30" s="277">
        <f t="shared" si="11"/>
        <v>0</v>
      </c>
      <c r="O30" s="277">
        <f t="shared" si="11"/>
        <v>0</v>
      </c>
      <c r="P30" s="277">
        <f t="shared" si="11"/>
        <v>0</v>
      </c>
      <c r="Q30" s="271">
        <f>ROUND(SUM(E30:P30)/12,0)</f>
        <v>0</v>
      </c>
      <c r="S30" s="265"/>
      <c r="T30" s="353"/>
      <c r="U30" s="354"/>
      <c r="V30" s="354"/>
      <c r="W30" s="354"/>
      <c r="X30" s="354"/>
      <c r="Y30" s="354"/>
      <c r="Z30" s="354"/>
      <c r="AA30" s="354"/>
      <c r="AB30" s="354"/>
      <c r="AC30" s="354"/>
      <c r="AD30" s="354"/>
      <c r="AE30" s="355"/>
    </row>
    <row r="31" spans="1:31" ht="20.100000000000001" customHeight="1">
      <c r="A31" s="262"/>
      <c r="B31" s="1533" t="s">
        <v>751</v>
      </c>
      <c r="C31" s="1534"/>
      <c r="D31" s="272" t="s">
        <v>577</v>
      </c>
      <c r="E31" s="270"/>
      <c r="F31" s="277">
        <f t="shared" ref="F31:P31" si="12">IF($E31=0,F11,$E31*F12)</f>
        <v>0</v>
      </c>
      <c r="G31" s="277">
        <f t="shared" si="12"/>
        <v>0</v>
      </c>
      <c r="H31" s="277">
        <f t="shared" si="12"/>
        <v>0</v>
      </c>
      <c r="I31" s="277">
        <f t="shared" si="12"/>
        <v>0</v>
      </c>
      <c r="J31" s="277">
        <f t="shared" si="12"/>
        <v>0</v>
      </c>
      <c r="K31" s="277">
        <f t="shared" si="12"/>
        <v>0</v>
      </c>
      <c r="L31" s="277">
        <f t="shared" si="12"/>
        <v>0</v>
      </c>
      <c r="M31" s="277">
        <f t="shared" si="12"/>
        <v>0</v>
      </c>
      <c r="N31" s="277">
        <f t="shared" si="12"/>
        <v>0</v>
      </c>
      <c r="O31" s="277">
        <f t="shared" si="12"/>
        <v>0</v>
      </c>
      <c r="P31" s="277">
        <f t="shared" si="12"/>
        <v>0</v>
      </c>
      <c r="Q31" s="271">
        <f>ROUND(SUM(E31:P31)/12,0)</f>
        <v>0</v>
      </c>
      <c r="S31" s="265"/>
      <c r="T31" s="353"/>
      <c r="U31" s="354"/>
      <c r="V31" s="354"/>
      <c r="W31" s="354"/>
      <c r="X31" s="354"/>
      <c r="Y31" s="354"/>
      <c r="Z31" s="354"/>
      <c r="AA31" s="354"/>
      <c r="AB31" s="354"/>
      <c r="AC31" s="354"/>
      <c r="AD31" s="354"/>
      <c r="AE31" s="355"/>
    </row>
    <row r="32" spans="1:31" ht="20.100000000000001" customHeight="1">
      <c r="A32" s="262"/>
      <c r="B32" s="1531" t="s">
        <v>8</v>
      </c>
      <c r="C32" s="1532"/>
      <c r="D32" s="344" t="s">
        <v>577</v>
      </c>
      <c r="E32" s="345"/>
      <c r="F32" s="277">
        <f t="shared" ref="F32:P32" si="13">IF($E32=0,F13,$E32*F14)</f>
        <v>0</v>
      </c>
      <c r="G32" s="277">
        <f t="shared" si="13"/>
        <v>0</v>
      </c>
      <c r="H32" s="277">
        <f t="shared" si="13"/>
        <v>0</v>
      </c>
      <c r="I32" s="277">
        <f t="shared" si="13"/>
        <v>0</v>
      </c>
      <c r="J32" s="277">
        <f t="shared" si="13"/>
        <v>0</v>
      </c>
      <c r="K32" s="277">
        <f t="shared" si="13"/>
        <v>0</v>
      </c>
      <c r="L32" s="277">
        <f t="shared" si="13"/>
        <v>0</v>
      </c>
      <c r="M32" s="277">
        <f t="shared" si="13"/>
        <v>0</v>
      </c>
      <c r="N32" s="277">
        <f t="shared" si="13"/>
        <v>0</v>
      </c>
      <c r="O32" s="277">
        <f t="shared" si="13"/>
        <v>0</v>
      </c>
      <c r="P32" s="277">
        <f t="shared" si="13"/>
        <v>0</v>
      </c>
      <c r="Q32" s="346">
        <f>ROUND(SUM(E32:P32)/12,0)</f>
        <v>0</v>
      </c>
      <c r="S32" s="265"/>
      <c r="T32" s="353"/>
      <c r="U32" s="354"/>
      <c r="V32" s="354"/>
      <c r="W32" s="354"/>
      <c r="X32" s="354"/>
      <c r="Y32" s="354"/>
      <c r="Z32" s="354"/>
      <c r="AA32" s="354"/>
      <c r="AB32" s="354"/>
      <c r="AC32" s="354"/>
      <c r="AD32" s="354"/>
      <c r="AE32" s="355"/>
    </row>
    <row r="33" spans="1:31" ht="20.100000000000001" customHeight="1" thickBot="1">
      <c r="B33" s="1520" t="s">
        <v>0</v>
      </c>
      <c r="C33" s="1521"/>
      <c r="D33" s="347"/>
      <c r="E33" s="348">
        <f>SUM(E29:E32)</f>
        <v>0</v>
      </c>
      <c r="F33" s="348">
        <f t="shared" ref="F33:P33" si="14">SUM(F29:F32)</f>
        <v>0</v>
      </c>
      <c r="G33" s="348">
        <f t="shared" si="14"/>
        <v>0</v>
      </c>
      <c r="H33" s="348">
        <f t="shared" si="14"/>
        <v>0</v>
      </c>
      <c r="I33" s="348">
        <f t="shared" si="14"/>
        <v>0</v>
      </c>
      <c r="J33" s="348">
        <f t="shared" si="14"/>
        <v>0</v>
      </c>
      <c r="K33" s="348">
        <f t="shared" si="14"/>
        <v>0</v>
      </c>
      <c r="L33" s="348">
        <f t="shared" si="14"/>
        <v>0</v>
      </c>
      <c r="M33" s="348">
        <f t="shared" si="14"/>
        <v>0</v>
      </c>
      <c r="N33" s="348">
        <f t="shared" si="14"/>
        <v>0</v>
      </c>
      <c r="O33" s="348">
        <f t="shared" si="14"/>
        <v>0</v>
      </c>
      <c r="P33" s="348">
        <f t="shared" si="14"/>
        <v>0</v>
      </c>
      <c r="Q33" s="349">
        <f>SUM(Q29:Q32)</f>
        <v>0</v>
      </c>
      <c r="S33" s="265"/>
      <c r="T33" s="353"/>
      <c r="U33" s="354"/>
      <c r="V33" s="354"/>
      <c r="W33" s="354"/>
      <c r="X33" s="354"/>
      <c r="Y33" s="352"/>
      <c r="Z33" s="352"/>
      <c r="AA33" s="354"/>
      <c r="AB33" s="354"/>
      <c r="AC33" s="354"/>
      <c r="AD33" s="354"/>
      <c r="AE33" s="355"/>
    </row>
    <row r="34" spans="1:31" ht="20.100000000000001" customHeight="1">
      <c r="A34" s="262"/>
      <c r="B34" s="1549" t="s">
        <v>205</v>
      </c>
      <c r="C34" s="1550"/>
      <c r="D34" s="366" t="s">
        <v>240</v>
      </c>
      <c r="E34" s="267">
        <v>4</v>
      </c>
      <c r="F34" s="268">
        <v>5</v>
      </c>
      <c r="G34" s="268">
        <v>6</v>
      </c>
      <c r="H34" s="268">
        <v>7</v>
      </c>
      <c r="I34" s="268">
        <v>8</v>
      </c>
      <c r="J34" s="268">
        <v>9</v>
      </c>
      <c r="K34" s="268">
        <v>10</v>
      </c>
      <c r="L34" s="268">
        <v>11</v>
      </c>
      <c r="M34" s="268">
        <v>12</v>
      </c>
      <c r="N34" s="268">
        <v>1</v>
      </c>
      <c r="O34" s="268">
        <v>2</v>
      </c>
      <c r="P34" s="268">
        <v>3</v>
      </c>
      <c r="Q34" s="343" t="s">
        <v>1</v>
      </c>
      <c r="S34" s="352"/>
      <c r="T34" s="352"/>
      <c r="U34" s="352"/>
      <c r="V34" s="352"/>
      <c r="W34" s="352"/>
      <c r="X34" s="352"/>
      <c r="Y34" s="351"/>
      <c r="Z34" s="351"/>
      <c r="AA34" s="352"/>
      <c r="AB34" s="352"/>
      <c r="AC34" s="352"/>
      <c r="AD34" s="352"/>
      <c r="AE34" s="352"/>
    </row>
    <row r="35" spans="1:31" ht="20.100000000000001" customHeight="1">
      <c r="A35" s="262"/>
      <c r="B35" s="1533" t="s">
        <v>203</v>
      </c>
      <c r="C35" s="1534"/>
      <c r="D35" s="269" t="s">
        <v>577</v>
      </c>
      <c r="E35" s="270"/>
      <c r="F35" s="277">
        <f t="shared" ref="F35:P35" si="15">IF($E35=0,F17,$E35*F18)</f>
        <v>0</v>
      </c>
      <c r="G35" s="277">
        <f t="shared" si="15"/>
        <v>0</v>
      </c>
      <c r="H35" s="277">
        <f t="shared" si="15"/>
        <v>0</v>
      </c>
      <c r="I35" s="277">
        <f t="shared" si="15"/>
        <v>0</v>
      </c>
      <c r="J35" s="277">
        <f t="shared" si="15"/>
        <v>0</v>
      </c>
      <c r="K35" s="277">
        <f t="shared" si="15"/>
        <v>0</v>
      </c>
      <c r="L35" s="277">
        <f t="shared" si="15"/>
        <v>0</v>
      </c>
      <c r="M35" s="277">
        <f t="shared" si="15"/>
        <v>0</v>
      </c>
      <c r="N35" s="277">
        <f t="shared" si="15"/>
        <v>0</v>
      </c>
      <c r="O35" s="277">
        <f t="shared" si="15"/>
        <v>0</v>
      </c>
      <c r="P35" s="277">
        <f t="shared" si="15"/>
        <v>0</v>
      </c>
      <c r="Q35" s="271">
        <f>ROUND(SUM(E35:P35)/12,0)</f>
        <v>0</v>
      </c>
      <c r="S35" s="352"/>
      <c r="T35" s="351"/>
      <c r="U35" s="351"/>
      <c r="V35" s="351"/>
      <c r="W35" s="351"/>
      <c r="X35" s="351"/>
      <c r="Y35" s="354"/>
      <c r="Z35" s="354"/>
      <c r="AA35" s="351"/>
      <c r="AB35" s="351"/>
      <c r="AC35" s="351"/>
      <c r="AD35" s="351"/>
      <c r="AE35" s="352"/>
    </row>
    <row r="36" spans="1:31" ht="20.100000000000001" customHeight="1">
      <c r="A36" s="262"/>
      <c r="B36" s="1533" t="s">
        <v>153</v>
      </c>
      <c r="C36" s="1534"/>
      <c r="D36" s="272" t="s">
        <v>577</v>
      </c>
      <c r="E36" s="270"/>
      <c r="F36" s="277">
        <f t="shared" ref="F36:P36" si="16">IF($E36=0,F19,$E36*F20)</f>
        <v>0</v>
      </c>
      <c r="G36" s="277">
        <f t="shared" si="16"/>
        <v>0</v>
      </c>
      <c r="H36" s="277">
        <f t="shared" si="16"/>
        <v>0</v>
      </c>
      <c r="I36" s="277">
        <f t="shared" si="16"/>
        <v>0</v>
      </c>
      <c r="J36" s="277">
        <f t="shared" si="16"/>
        <v>0</v>
      </c>
      <c r="K36" s="277">
        <f t="shared" si="16"/>
        <v>0</v>
      </c>
      <c r="L36" s="277">
        <f t="shared" si="16"/>
        <v>0</v>
      </c>
      <c r="M36" s="277">
        <f t="shared" si="16"/>
        <v>0</v>
      </c>
      <c r="N36" s="277">
        <f t="shared" si="16"/>
        <v>0</v>
      </c>
      <c r="O36" s="277">
        <f t="shared" si="16"/>
        <v>0</v>
      </c>
      <c r="P36" s="277">
        <f t="shared" si="16"/>
        <v>0</v>
      </c>
      <c r="Q36" s="271">
        <f>ROUND(SUM(E36:P36)/12,0)</f>
        <v>0</v>
      </c>
      <c r="S36" s="265"/>
      <c r="T36" s="353"/>
      <c r="U36" s="354"/>
      <c r="V36" s="354"/>
      <c r="W36" s="354"/>
      <c r="X36" s="354"/>
      <c r="Y36" s="354"/>
      <c r="Z36" s="354"/>
      <c r="AA36" s="354"/>
      <c r="AB36" s="354"/>
      <c r="AC36" s="354"/>
      <c r="AD36" s="354"/>
      <c r="AE36" s="355"/>
    </row>
    <row r="37" spans="1:31" ht="20.100000000000001" customHeight="1">
      <c r="A37" s="262"/>
      <c r="B37" s="1533" t="s">
        <v>751</v>
      </c>
      <c r="C37" s="1534"/>
      <c r="D37" s="272" t="s">
        <v>577</v>
      </c>
      <c r="E37" s="270"/>
      <c r="F37" s="277">
        <f t="shared" ref="F37:P37" si="17">IF($E37=0,F21,$E37*F22)</f>
        <v>0</v>
      </c>
      <c r="G37" s="277">
        <f t="shared" si="17"/>
        <v>0</v>
      </c>
      <c r="H37" s="277">
        <f t="shared" si="17"/>
        <v>0</v>
      </c>
      <c r="I37" s="277">
        <f t="shared" si="17"/>
        <v>0</v>
      </c>
      <c r="J37" s="277">
        <f t="shared" si="17"/>
        <v>0</v>
      </c>
      <c r="K37" s="277">
        <f t="shared" si="17"/>
        <v>0</v>
      </c>
      <c r="L37" s="277">
        <f t="shared" si="17"/>
        <v>0</v>
      </c>
      <c r="M37" s="277">
        <f t="shared" si="17"/>
        <v>0</v>
      </c>
      <c r="N37" s="277">
        <f t="shared" si="17"/>
        <v>0</v>
      </c>
      <c r="O37" s="277">
        <f t="shared" si="17"/>
        <v>0</v>
      </c>
      <c r="P37" s="277">
        <f t="shared" si="17"/>
        <v>0</v>
      </c>
      <c r="Q37" s="271">
        <f>ROUND(SUM(E37:P37)/12,0)</f>
        <v>0</v>
      </c>
      <c r="S37" s="265"/>
      <c r="T37" s="353"/>
      <c r="U37" s="354"/>
      <c r="V37" s="354"/>
      <c r="W37" s="354"/>
      <c r="X37" s="354"/>
      <c r="Y37" s="354"/>
      <c r="Z37" s="354"/>
      <c r="AA37" s="354"/>
      <c r="AB37" s="354"/>
      <c r="AC37" s="354"/>
      <c r="AD37" s="354"/>
      <c r="AE37" s="355"/>
    </row>
    <row r="38" spans="1:31" ht="20.100000000000001" customHeight="1">
      <c r="A38" s="262"/>
      <c r="B38" s="1531" t="s">
        <v>8</v>
      </c>
      <c r="C38" s="1532"/>
      <c r="D38" s="344" t="s">
        <v>577</v>
      </c>
      <c r="E38" s="345"/>
      <c r="F38" s="277">
        <f t="shared" ref="F38:P38" si="18">IF($E38=0,F23,$E38*F24)</f>
        <v>0</v>
      </c>
      <c r="G38" s="277">
        <f t="shared" si="18"/>
        <v>0</v>
      </c>
      <c r="H38" s="277">
        <f t="shared" si="18"/>
        <v>0</v>
      </c>
      <c r="I38" s="277">
        <f t="shared" si="18"/>
        <v>0</v>
      </c>
      <c r="J38" s="277">
        <f t="shared" si="18"/>
        <v>0</v>
      </c>
      <c r="K38" s="277">
        <f t="shared" si="18"/>
        <v>0</v>
      </c>
      <c r="L38" s="277">
        <f t="shared" si="18"/>
        <v>0</v>
      </c>
      <c r="M38" s="277">
        <f t="shared" si="18"/>
        <v>0</v>
      </c>
      <c r="N38" s="277">
        <f t="shared" si="18"/>
        <v>0</v>
      </c>
      <c r="O38" s="277">
        <f t="shared" si="18"/>
        <v>0</v>
      </c>
      <c r="P38" s="277">
        <f t="shared" si="18"/>
        <v>0</v>
      </c>
      <c r="Q38" s="346">
        <f>ROUND(SUM(E38:P38)/12,0)</f>
        <v>0</v>
      </c>
      <c r="S38" s="265"/>
      <c r="T38" s="353"/>
      <c r="U38" s="354"/>
      <c r="V38" s="354"/>
      <c r="W38" s="354"/>
      <c r="X38" s="354"/>
      <c r="Y38" s="354"/>
      <c r="Z38" s="354"/>
      <c r="AA38" s="354"/>
      <c r="AB38" s="354"/>
      <c r="AC38" s="354"/>
      <c r="AD38" s="354"/>
      <c r="AE38" s="355"/>
    </row>
    <row r="39" spans="1:31" ht="20.100000000000001" customHeight="1" thickBot="1">
      <c r="B39" s="1520" t="s">
        <v>0</v>
      </c>
      <c r="C39" s="1521"/>
      <c r="D39" s="347"/>
      <c r="E39" s="348">
        <f>SUM(E35:E38)</f>
        <v>0</v>
      </c>
      <c r="F39" s="348">
        <f t="shared" ref="F39:P39" si="19">SUM(F35:F38)</f>
        <v>0</v>
      </c>
      <c r="G39" s="348">
        <f t="shared" si="19"/>
        <v>0</v>
      </c>
      <c r="H39" s="348">
        <f t="shared" si="19"/>
        <v>0</v>
      </c>
      <c r="I39" s="348">
        <f t="shared" si="19"/>
        <v>0</v>
      </c>
      <c r="J39" s="348">
        <f t="shared" si="19"/>
        <v>0</v>
      </c>
      <c r="K39" s="348">
        <f t="shared" si="19"/>
        <v>0</v>
      </c>
      <c r="L39" s="348">
        <f t="shared" si="19"/>
        <v>0</v>
      </c>
      <c r="M39" s="348">
        <f t="shared" si="19"/>
        <v>0</v>
      </c>
      <c r="N39" s="348">
        <f t="shared" si="19"/>
        <v>0</v>
      </c>
      <c r="O39" s="348">
        <f t="shared" si="19"/>
        <v>0</v>
      </c>
      <c r="P39" s="348">
        <f t="shared" si="19"/>
        <v>0</v>
      </c>
      <c r="Q39" s="349">
        <f>SUM(Q35:Q38)</f>
        <v>0</v>
      </c>
      <c r="S39" s="265"/>
      <c r="T39" s="353"/>
      <c r="U39" s="354"/>
      <c r="V39" s="354"/>
      <c r="W39" s="354"/>
      <c r="X39" s="354"/>
      <c r="AA39" s="354"/>
      <c r="AB39" s="354"/>
      <c r="AC39" s="354"/>
      <c r="AD39" s="354"/>
      <c r="AE39" s="355"/>
    </row>
    <row r="40" spans="1:31" ht="20.100000000000001" customHeight="1">
      <c r="A40" s="262"/>
      <c r="B40" s="262"/>
      <c r="C40" s="652"/>
      <c r="D40" s="262"/>
      <c r="E40" s="262"/>
      <c r="F40" s="262"/>
      <c r="G40" s="262"/>
      <c r="H40" s="262"/>
      <c r="I40" s="262"/>
      <c r="J40" s="262"/>
      <c r="K40" s="262"/>
      <c r="L40" s="262"/>
      <c r="M40" s="262"/>
      <c r="N40" s="262"/>
      <c r="O40" s="262"/>
      <c r="P40" s="262"/>
      <c r="Q40" s="262"/>
    </row>
    <row r="41" spans="1:31" ht="20.100000000000001" customHeight="1" thickBot="1">
      <c r="A41" s="284" t="s">
        <v>822</v>
      </c>
      <c r="B41" s="262"/>
      <c r="C41" s="652"/>
      <c r="D41" s="262"/>
      <c r="E41" s="262"/>
      <c r="F41" s="262"/>
      <c r="G41" s="262"/>
      <c r="H41" s="262"/>
      <c r="I41" s="262"/>
      <c r="J41" s="262"/>
      <c r="K41" s="262"/>
      <c r="L41" s="262"/>
      <c r="M41" s="262"/>
      <c r="N41" s="262"/>
      <c r="O41" s="262"/>
      <c r="P41" s="262"/>
      <c r="Q41" s="262"/>
    </row>
    <row r="42" spans="1:31" ht="20.100000000000001" customHeight="1" thickBot="1">
      <c r="A42" s="262"/>
      <c r="B42" s="1553" t="s">
        <v>823</v>
      </c>
      <c r="C42" s="1554"/>
      <c r="D42" s="1554"/>
      <c r="E42" s="1554"/>
      <c r="F42" s="1554"/>
      <c r="G42" s="1554"/>
      <c r="H42" s="1554"/>
      <c r="I42" s="1554"/>
      <c r="J42" s="1554"/>
      <c r="K42" s="1554"/>
      <c r="L42" s="1554"/>
      <c r="M42" s="367"/>
      <c r="N42" s="1546"/>
      <c r="O42" s="1547"/>
      <c r="P42" s="1548"/>
      <c r="Q42" s="262"/>
    </row>
    <row r="43" spans="1:31" ht="20.100000000000001" customHeight="1">
      <c r="A43" s="262"/>
      <c r="B43" s="1553" t="s">
        <v>828</v>
      </c>
      <c r="C43" s="1554"/>
      <c r="D43" s="1554"/>
      <c r="E43" s="1554"/>
      <c r="F43" s="1554"/>
      <c r="G43" s="1554"/>
      <c r="H43" s="1554"/>
      <c r="I43" s="1554"/>
      <c r="J43" s="1554"/>
      <c r="K43" s="1554"/>
      <c r="L43" s="1554"/>
      <c r="M43" s="278"/>
      <c r="N43" s="278"/>
      <c r="O43" s="278"/>
      <c r="P43" s="278"/>
      <c r="Q43" s="278"/>
    </row>
    <row r="44" spans="1:31" ht="20.100000000000001" customHeight="1">
      <c r="A44" s="262"/>
      <c r="B44" s="650"/>
      <c r="C44" s="651"/>
      <c r="D44" s="651"/>
      <c r="E44" s="651"/>
      <c r="F44" s="651"/>
      <c r="G44" s="651"/>
      <c r="H44" s="651"/>
      <c r="I44" s="651"/>
      <c r="J44" s="651"/>
      <c r="K44" s="651"/>
      <c r="L44" s="651"/>
      <c r="M44" s="278"/>
      <c r="N44" s="278"/>
      <c r="O44" s="278"/>
      <c r="P44" s="278"/>
      <c r="Q44" s="278"/>
    </row>
    <row r="45" spans="1:31" ht="20.100000000000001" customHeight="1">
      <c r="A45" s="284" t="s">
        <v>824</v>
      </c>
      <c r="B45" s="285"/>
      <c r="C45" s="278"/>
      <c r="D45" s="278"/>
      <c r="E45" s="278"/>
      <c r="F45" s="278"/>
      <c r="G45" s="278"/>
      <c r="H45" s="278"/>
      <c r="I45" s="278"/>
      <c r="J45" s="278"/>
      <c r="K45" s="278"/>
      <c r="L45" s="278"/>
      <c r="M45" s="278"/>
      <c r="N45" s="278"/>
      <c r="O45" s="278"/>
      <c r="P45" s="278"/>
      <c r="Q45" s="278"/>
    </row>
    <row r="46" spans="1:31" ht="20.100000000000001" customHeight="1">
      <c r="A46" s="286"/>
      <c r="B46" s="285" t="s">
        <v>825</v>
      </c>
      <c r="C46" s="278"/>
      <c r="D46" s="278"/>
      <c r="E46" s="278"/>
      <c r="F46" s="278"/>
      <c r="G46" s="278"/>
      <c r="H46" s="278"/>
      <c r="I46" s="278"/>
      <c r="J46" s="278"/>
      <c r="K46" s="278"/>
      <c r="L46" s="278"/>
      <c r="M46" s="278"/>
      <c r="N46" s="278"/>
      <c r="O46" s="278"/>
      <c r="P46" s="278"/>
      <c r="Q46" s="278"/>
    </row>
    <row r="47" spans="1:31" ht="20.100000000000001" customHeight="1" thickBot="1">
      <c r="A47" s="286"/>
      <c r="B47" s="285"/>
      <c r="C47" s="278"/>
      <c r="D47" s="278"/>
      <c r="E47" s="278"/>
      <c r="F47" s="278"/>
      <c r="G47" s="278"/>
      <c r="H47" s="278"/>
      <c r="I47" s="278"/>
      <c r="J47" s="278"/>
      <c r="K47" s="278"/>
      <c r="L47" s="278"/>
      <c r="M47" s="278"/>
      <c r="N47" s="278"/>
      <c r="O47" s="278"/>
      <c r="P47" s="278"/>
      <c r="Q47" s="278"/>
    </row>
    <row r="48" spans="1:31" ht="20.100000000000001" customHeight="1" thickBot="1">
      <c r="A48" s="286"/>
      <c r="B48" s="439"/>
      <c r="C48" s="287" t="s">
        <v>579</v>
      </c>
      <c r="D48" s="278"/>
      <c r="E48" s="278"/>
      <c r="F48" s="278"/>
      <c r="G48" s="278"/>
      <c r="H48" s="278"/>
      <c r="I48" s="278"/>
      <c r="J48" s="278"/>
      <c r="K48" s="278"/>
      <c r="L48" s="278"/>
      <c r="M48" s="278"/>
      <c r="N48" s="278"/>
      <c r="O48" s="278"/>
      <c r="P48" s="278"/>
      <c r="Q48" s="278"/>
    </row>
    <row r="49" spans="1:31" ht="20.100000000000001" customHeight="1" thickBot="1">
      <c r="A49" s="437"/>
      <c r="B49" s="438"/>
      <c r="C49" s="437"/>
      <c r="D49" s="437"/>
      <c r="E49" s="437"/>
      <c r="F49" s="437"/>
      <c r="G49" s="437"/>
      <c r="H49" s="437"/>
      <c r="I49" s="437"/>
      <c r="J49" s="437"/>
      <c r="K49" s="437"/>
      <c r="L49" s="437"/>
      <c r="M49" s="437"/>
      <c r="N49" s="437"/>
      <c r="O49" s="437"/>
      <c r="P49" s="437"/>
      <c r="Q49" s="437"/>
    </row>
    <row r="50" spans="1:31" ht="20.100000000000001" customHeight="1" thickBot="1">
      <c r="A50" s="286"/>
      <c r="B50" s="439"/>
      <c r="C50" s="287" t="s">
        <v>580</v>
      </c>
      <c r="D50" s="278"/>
      <c r="E50" s="278"/>
      <c r="F50" s="278"/>
      <c r="G50" s="278"/>
      <c r="H50" s="278"/>
      <c r="I50" s="278"/>
      <c r="J50" s="278"/>
      <c r="K50" s="278"/>
      <c r="L50" s="278"/>
      <c r="M50" s="278"/>
      <c r="N50" s="278"/>
      <c r="O50" s="278"/>
      <c r="P50" s="278"/>
      <c r="Q50" s="278"/>
    </row>
    <row r="51" spans="1:31" ht="20.100000000000001" customHeight="1" thickBot="1">
      <c r="A51" s="286"/>
      <c r="B51" s="288"/>
      <c r="C51" s="279"/>
      <c r="D51" s="278"/>
      <c r="E51" s="278"/>
      <c r="F51" s="278"/>
      <c r="G51" s="278"/>
      <c r="H51" s="278"/>
      <c r="I51" s="278"/>
      <c r="J51" s="278"/>
      <c r="K51" s="278"/>
      <c r="L51" s="278"/>
      <c r="M51" s="278"/>
      <c r="N51" s="278"/>
      <c r="O51" s="278"/>
      <c r="P51" s="278"/>
      <c r="Q51" s="278"/>
    </row>
    <row r="52" spans="1:31" ht="20.100000000000001" customHeight="1" thickBot="1">
      <c r="A52" s="286"/>
      <c r="B52" s="439"/>
      <c r="C52" s="287" t="s">
        <v>581</v>
      </c>
      <c r="D52" s="278"/>
      <c r="E52" s="278"/>
      <c r="F52" s="278"/>
      <c r="G52" s="278"/>
      <c r="H52" s="278"/>
      <c r="I52" s="278"/>
      <c r="J52" s="278"/>
      <c r="K52" s="278"/>
      <c r="L52" s="278"/>
      <c r="M52" s="278"/>
      <c r="N52" s="278"/>
      <c r="O52" s="278"/>
      <c r="P52" s="278"/>
      <c r="Q52" s="278"/>
    </row>
    <row r="53" spans="1:31" ht="20.100000000000001" customHeight="1">
      <c r="A53" s="286"/>
      <c r="B53" s="1555"/>
      <c r="C53" s="1556"/>
      <c r="D53" s="1556"/>
      <c r="E53" s="1556"/>
      <c r="F53" s="1556"/>
      <c r="G53" s="1556"/>
      <c r="H53" s="1556"/>
      <c r="I53" s="1556"/>
      <c r="J53" s="1556"/>
      <c r="K53" s="1556"/>
      <c r="L53" s="1556"/>
      <c r="M53" s="1556"/>
      <c r="N53" s="1556"/>
      <c r="O53" s="1556"/>
      <c r="P53" s="1557"/>
      <c r="Q53" s="278"/>
      <c r="V53" s="196"/>
      <c r="W53" s="196"/>
      <c r="X53" s="196"/>
    </row>
    <row r="54" spans="1:31" ht="20.100000000000001" customHeight="1">
      <c r="A54" s="286"/>
      <c r="B54" s="1558"/>
      <c r="C54" s="1559"/>
      <c r="D54" s="1559"/>
      <c r="E54" s="1559"/>
      <c r="F54" s="1559"/>
      <c r="G54" s="1559"/>
      <c r="H54" s="1559"/>
      <c r="I54" s="1559"/>
      <c r="J54" s="1559"/>
      <c r="K54" s="1559"/>
      <c r="L54" s="1559"/>
      <c r="M54" s="1559"/>
      <c r="N54" s="1559"/>
      <c r="O54" s="1559"/>
      <c r="P54" s="1560"/>
      <c r="Q54" s="278"/>
    </row>
    <row r="55" spans="1:31" ht="20.100000000000001" customHeight="1" thickBot="1">
      <c r="A55" s="281"/>
      <c r="B55" s="1561"/>
      <c r="C55" s="1562"/>
      <c r="D55" s="1562"/>
      <c r="E55" s="1562"/>
      <c r="F55" s="1562"/>
      <c r="G55" s="1562"/>
      <c r="H55" s="1562"/>
      <c r="I55" s="1562"/>
      <c r="J55" s="1562"/>
      <c r="K55" s="1562"/>
      <c r="L55" s="1562"/>
      <c r="M55" s="1562"/>
      <c r="N55" s="1562"/>
      <c r="O55" s="1562"/>
      <c r="P55" s="1563"/>
      <c r="Q55" s="278"/>
    </row>
    <row r="56" spans="1:31" ht="20.100000000000001" customHeight="1">
      <c r="A56" s="176"/>
      <c r="B56" s="177"/>
      <c r="C56" s="177"/>
      <c r="D56" s="177"/>
      <c r="E56" s="177"/>
      <c r="F56" s="177"/>
      <c r="G56" s="177"/>
      <c r="H56" s="177"/>
      <c r="I56" s="177"/>
      <c r="J56" s="177"/>
      <c r="K56" s="177"/>
      <c r="L56" s="177"/>
      <c r="M56" s="177"/>
      <c r="N56" s="177"/>
      <c r="O56" s="177"/>
      <c r="P56" s="177"/>
      <c r="Q56" s="177"/>
      <c r="Y56" s="176"/>
      <c r="Z56" s="176"/>
    </row>
    <row r="57" spans="1:31" s="176" customFormat="1" ht="20.100000000000001" customHeight="1" thickBot="1">
      <c r="A57" s="280"/>
      <c r="B57" s="285" t="s">
        <v>759</v>
      </c>
      <c r="C57" s="278"/>
      <c r="D57" s="279"/>
      <c r="E57" s="368"/>
      <c r="F57" s="279"/>
      <c r="G57" s="279"/>
      <c r="H57" s="279"/>
      <c r="I57" s="279"/>
      <c r="J57" s="279"/>
      <c r="K57" s="279"/>
      <c r="L57" s="279"/>
      <c r="M57" s="279"/>
      <c r="N57" s="279"/>
      <c r="O57" s="279"/>
      <c r="P57" s="279"/>
      <c r="Q57" s="278"/>
      <c r="Y57" s="260"/>
      <c r="Z57" s="260"/>
    </row>
    <row r="58" spans="1:31" ht="20.100000000000001" customHeight="1" thickBot="1">
      <c r="A58" s="280"/>
      <c r="B58" s="1544" t="s">
        <v>764</v>
      </c>
      <c r="C58" s="1545"/>
      <c r="D58" s="370">
        <v>4</v>
      </c>
      <c r="E58" s="369" t="str">
        <f t="shared" ref="E58:M58" si="20">IF(AND($D$58&lt;=E$59,$D$58&gt;3),"○","")</f>
        <v>○</v>
      </c>
      <c r="F58" s="369" t="str">
        <f t="shared" si="20"/>
        <v>○</v>
      </c>
      <c r="G58" s="369" t="str">
        <f t="shared" si="20"/>
        <v>○</v>
      </c>
      <c r="H58" s="369" t="str">
        <f t="shared" si="20"/>
        <v>○</v>
      </c>
      <c r="I58" s="369" t="str">
        <f t="shared" si="20"/>
        <v>○</v>
      </c>
      <c r="J58" s="369" t="str">
        <f t="shared" si="20"/>
        <v>○</v>
      </c>
      <c r="K58" s="369" t="str">
        <f t="shared" si="20"/>
        <v>○</v>
      </c>
      <c r="L58" s="369" t="str">
        <f t="shared" si="20"/>
        <v>○</v>
      </c>
      <c r="M58" s="369" t="str">
        <f t="shared" si="20"/>
        <v>○</v>
      </c>
      <c r="N58" s="369" t="str">
        <f>IF(AND($D$58&lt;=N$59+12,$D$58&gt;0),"○","")</f>
        <v>○</v>
      </c>
      <c r="O58" s="369" t="str">
        <f>IF(AND($D$58&lt;=O$59+12,$D$58&gt;0),"○","")</f>
        <v>○</v>
      </c>
      <c r="P58" s="369" t="str">
        <f>IF(AND($D$58&lt;=P$59+12,$D$58&gt;0),"○","")</f>
        <v>○</v>
      </c>
      <c r="Q58" s="371">
        <f>COUNTIF(E58:P58,"○")</f>
        <v>12</v>
      </c>
      <c r="V58" s="176"/>
      <c r="W58" s="176"/>
      <c r="X58" s="176"/>
    </row>
    <row r="59" spans="1:31" ht="20.100000000000001" customHeight="1">
      <c r="A59" s="281"/>
      <c r="B59" s="1549" t="s">
        <v>101</v>
      </c>
      <c r="C59" s="1550"/>
      <c r="D59" s="366" t="s">
        <v>240</v>
      </c>
      <c r="E59" s="282">
        <v>4</v>
      </c>
      <c r="F59" s="282">
        <v>5</v>
      </c>
      <c r="G59" s="282">
        <v>6</v>
      </c>
      <c r="H59" s="282">
        <v>7</v>
      </c>
      <c r="I59" s="282">
        <v>8</v>
      </c>
      <c r="J59" s="282">
        <v>9</v>
      </c>
      <c r="K59" s="282">
        <v>10</v>
      </c>
      <c r="L59" s="282">
        <v>11</v>
      </c>
      <c r="M59" s="282">
        <v>12</v>
      </c>
      <c r="N59" s="282">
        <v>1</v>
      </c>
      <c r="O59" s="282">
        <v>2</v>
      </c>
      <c r="P59" s="282">
        <v>3</v>
      </c>
      <c r="Q59" s="343" t="s">
        <v>1</v>
      </c>
    </row>
    <row r="60" spans="1:31" ht="20.100000000000001" customHeight="1">
      <c r="A60" s="262"/>
      <c r="B60" s="1533" t="s">
        <v>203</v>
      </c>
      <c r="C60" s="1534"/>
      <c r="D60" s="269" t="s">
        <v>577</v>
      </c>
      <c r="E60" s="270"/>
      <c r="F60" s="440"/>
      <c r="G60" s="440"/>
      <c r="H60" s="440"/>
      <c r="I60" s="440"/>
      <c r="J60" s="440"/>
      <c r="K60" s="440"/>
      <c r="L60" s="440"/>
      <c r="M60" s="440"/>
      <c r="N60" s="440"/>
      <c r="O60" s="440"/>
      <c r="P60" s="440"/>
      <c r="Q60" s="271">
        <f>IF(ISERROR(ROUND(SUM(E60:P60)/$Q$58,0)),0,ROUND(SUM(E60:P60)/$Q$58,0))</f>
        <v>0</v>
      </c>
      <c r="V60" s="351"/>
      <c r="W60" s="351"/>
      <c r="X60" s="351"/>
      <c r="Y60" s="354"/>
      <c r="Z60" s="354"/>
    </row>
    <row r="61" spans="1:31" ht="20.100000000000001" customHeight="1">
      <c r="A61" s="262"/>
      <c r="B61" s="1533" t="s">
        <v>153</v>
      </c>
      <c r="C61" s="1534"/>
      <c r="D61" s="272" t="s">
        <v>577</v>
      </c>
      <c r="E61" s="270"/>
      <c r="F61" s="440"/>
      <c r="G61" s="440"/>
      <c r="H61" s="440"/>
      <c r="I61" s="440"/>
      <c r="J61" s="440"/>
      <c r="K61" s="440"/>
      <c r="L61" s="440"/>
      <c r="M61" s="440"/>
      <c r="N61" s="440"/>
      <c r="O61" s="440"/>
      <c r="P61" s="440"/>
      <c r="Q61" s="271">
        <f>IF(ISERROR(ROUND(SUM(E61:P61)/$Q$58,0)),0,ROUND(SUM(E61:P61)/$Q$58,0))</f>
        <v>0</v>
      </c>
      <c r="S61" s="265"/>
      <c r="T61" s="353"/>
      <c r="U61" s="354"/>
      <c r="V61" s="354"/>
      <c r="W61" s="354"/>
      <c r="X61" s="354"/>
      <c r="Y61" s="354"/>
      <c r="Z61" s="354"/>
      <c r="AA61" s="354"/>
      <c r="AB61" s="354"/>
      <c r="AC61" s="354"/>
      <c r="AD61" s="354"/>
      <c r="AE61" s="355"/>
    </row>
    <row r="62" spans="1:31" ht="20.100000000000001" customHeight="1">
      <c r="A62" s="262"/>
      <c r="B62" s="1533" t="s">
        <v>751</v>
      </c>
      <c r="C62" s="1534"/>
      <c r="D62" s="272" t="s">
        <v>577</v>
      </c>
      <c r="E62" s="270"/>
      <c r="F62" s="440"/>
      <c r="G62" s="440"/>
      <c r="H62" s="440"/>
      <c r="I62" s="440"/>
      <c r="J62" s="440"/>
      <c r="K62" s="440"/>
      <c r="L62" s="440"/>
      <c r="M62" s="440"/>
      <c r="N62" s="440"/>
      <c r="O62" s="440"/>
      <c r="P62" s="440"/>
      <c r="Q62" s="271">
        <f>IF(ISERROR(ROUND(SUM(E62:P62)/$Q$58,0)),0,ROUND(SUM(E62:P62)/$Q$58,0))</f>
        <v>0</v>
      </c>
      <c r="S62" s="265"/>
      <c r="T62" s="353"/>
      <c r="U62" s="354"/>
      <c r="V62" s="354"/>
      <c r="W62" s="354"/>
      <c r="X62" s="354"/>
      <c r="Y62" s="354"/>
      <c r="Z62" s="354"/>
      <c r="AA62" s="354"/>
      <c r="AB62" s="354"/>
      <c r="AC62" s="354"/>
      <c r="AD62" s="354"/>
      <c r="AE62" s="355"/>
    </row>
    <row r="63" spans="1:31" ht="20.100000000000001" customHeight="1">
      <c r="A63" s="262"/>
      <c r="B63" s="1531" t="s">
        <v>8</v>
      </c>
      <c r="C63" s="1532"/>
      <c r="D63" s="344" t="s">
        <v>577</v>
      </c>
      <c r="E63" s="345"/>
      <c r="F63" s="440"/>
      <c r="G63" s="440"/>
      <c r="H63" s="440"/>
      <c r="I63" s="440"/>
      <c r="J63" s="440"/>
      <c r="K63" s="440"/>
      <c r="L63" s="440"/>
      <c r="M63" s="440"/>
      <c r="N63" s="440"/>
      <c r="O63" s="440"/>
      <c r="P63" s="440"/>
      <c r="Q63" s="346">
        <f>IF(ISERROR(ROUND(SUM(E63:P63)/$Q$58,0)),0,ROUND(SUM(E63:P63)/$Q$58,0))</f>
        <v>0</v>
      </c>
      <c r="S63" s="265"/>
      <c r="T63" s="353"/>
      <c r="U63" s="354"/>
      <c r="V63" s="354"/>
      <c r="W63" s="354"/>
      <c r="X63" s="354"/>
      <c r="Y63" s="354"/>
      <c r="Z63" s="354"/>
      <c r="AA63" s="354"/>
      <c r="AB63" s="354"/>
      <c r="AC63" s="354"/>
      <c r="AD63" s="354"/>
      <c r="AE63" s="355"/>
    </row>
    <row r="64" spans="1:31" ht="20.100000000000001" customHeight="1" thickBot="1">
      <c r="B64" s="1520" t="s">
        <v>0</v>
      </c>
      <c r="C64" s="1521"/>
      <c r="D64" s="347"/>
      <c r="E64" s="348">
        <f>SUM(E60:E63)</f>
        <v>0</v>
      </c>
      <c r="F64" s="348">
        <f t="shared" ref="F64:P64" si="21">SUM(F60:F63)</f>
        <v>0</v>
      </c>
      <c r="G64" s="348">
        <f t="shared" si="21"/>
        <v>0</v>
      </c>
      <c r="H64" s="348">
        <f t="shared" si="21"/>
        <v>0</v>
      </c>
      <c r="I64" s="348">
        <f t="shared" si="21"/>
        <v>0</v>
      </c>
      <c r="J64" s="348">
        <f t="shared" si="21"/>
        <v>0</v>
      </c>
      <c r="K64" s="348">
        <f t="shared" si="21"/>
        <v>0</v>
      </c>
      <c r="L64" s="348">
        <f t="shared" si="21"/>
        <v>0</v>
      </c>
      <c r="M64" s="348">
        <f t="shared" si="21"/>
        <v>0</v>
      </c>
      <c r="N64" s="348">
        <f t="shared" si="21"/>
        <v>0</v>
      </c>
      <c r="O64" s="348">
        <f t="shared" si="21"/>
        <v>0</v>
      </c>
      <c r="P64" s="348">
        <f t="shared" si="21"/>
        <v>0</v>
      </c>
      <c r="Q64" s="349">
        <f>SUM(Q60:Q63)</f>
        <v>0</v>
      </c>
      <c r="S64" s="265"/>
      <c r="T64" s="353"/>
      <c r="U64" s="354"/>
      <c r="V64" s="354"/>
      <c r="W64" s="354"/>
      <c r="X64" s="354"/>
      <c r="Y64" s="352"/>
      <c r="Z64" s="352"/>
      <c r="AA64" s="354"/>
      <c r="AB64" s="354"/>
      <c r="AC64" s="354"/>
      <c r="AD64" s="354"/>
      <c r="AE64" s="355"/>
    </row>
    <row r="65" spans="1:31" ht="20.100000000000001" customHeight="1">
      <c r="A65" s="262"/>
      <c r="B65" s="1549" t="s">
        <v>890</v>
      </c>
      <c r="C65" s="1550"/>
      <c r="D65" s="366" t="s">
        <v>240</v>
      </c>
      <c r="E65" s="267">
        <v>4</v>
      </c>
      <c r="F65" s="268">
        <v>5</v>
      </c>
      <c r="G65" s="268">
        <v>6</v>
      </c>
      <c r="H65" s="268">
        <v>7</v>
      </c>
      <c r="I65" s="268">
        <v>8</v>
      </c>
      <c r="J65" s="268">
        <v>9</v>
      </c>
      <c r="K65" s="268">
        <v>10</v>
      </c>
      <c r="L65" s="268">
        <v>11</v>
      </c>
      <c r="M65" s="268">
        <v>12</v>
      </c>
      <c r="N65" s="268">
        <v>1</v>
      </c>
      <c r="O65" s="268">
        <v>2</v>
      </c>
      <c r="P65" s="268">
        <v>3</v>
      </c>
      <c r="Q65" s="343" t="s">
        <v>1</v>
      </c>
      <c r="S65" s="352"/>
      <c r="T65" s="352"/>
      <c r="U65" s="352"/>
      <c r="V65" s="352"/>
      <c r="W65" s="352"/>
      <c r="X65" s="352"/>
      <c r="Y65" s="351"/>
      <c r="Z65" s="351"/>
      <c r="AA65" s="352"/>
      <c r="AB65" s="352"/>
      <c r="AC65" s="352"/>
      <c r="AD65" s="352"/>
      <c r="AE65" s="352"/>
    </row>
    <row r="66" spans="1:31" ht="20.100000000000001" customHeight="1">
      <c r="A66" s="262"/>
      <c r="B66" s="1533" t="s">
        <v>203</v>
      </c>
      <c r="C66" s="1534"/>
      <c r="D66" s="269" t="s">
        <v>577</v>
      </c>
      <c r="E66" s="270"/>
      <c r="F66" s="440"/>
      <c r="G66" s="440"/>
      <c r="H66" s="440"/>
      <c r="I66" s="440"/>
      <c r="J66" s="440"/>
      <c r="K66" s="440"/>
      <c r="L66" s="440"/>
      <c r="M66" s="440"/>
      <c r="N66" s="440"/>
      <c r="O66" s="440"/>
      <c r="P66" s="440"/>
      <c r="Q66" s="271">
        <f>IF(ISERROR(ROUND(SUM(E66:P66)/$Q$58,0)),0,ROUND(SUM(E66:P66)/$Q$58,0))</f>
        <v>0</v>
      </c>
      <c r="S66" s="352"/>
      <c r="T66" s="351"/>
      <c r="U66" s="351"/>
      <c r="V66" s="351"/>
      <c r="W66" s="351"/>
      <c r="X66" s="351"/>
      <c r="Y66" s="354"/>
      <c r="Z66" s="354"/>
      <c r="AA66" s="351"/>
      <c r="AB66" s="351"/>
      <c r="AC66" s="351"/>
      <c r="AD66" s="351"/>
      <c r="AE66" s="352"/>
    </row>
    <row r="67" spans="1:31" ht="20.100000000000001" customHeight="1">
      <c r="A67" s="262"/>
      <c r="B67" s="1533" t="s">
        <v>153</v>
      </c>
      <c r="C67" s="1534"/>
      <c r="D67" s="272" t="s">
        <v>577</v>
      </c>
      <c r="E67" s="270"/>
      <c r="F67" s="440"/>
      <c r="G67" s="440"/>
      <c r="H67" s="440"/>
      <c r="I67" s="440"/>
      <c r="J67" s="440"/>
      <c r="K67" s="440"/>
      <c r="L67" s="440"/>
      <c r="M67" s="440"/>
      <c r="N67" s="440"/>
      <c r="O67" s="440"/>
      <c r="P67" s="440"/>
      <c r="Q67" s="271">
        <f>IF(ISERROR(ROUND(SUM(E67:P67)/$Q$58,0)),0,ROUND(SUM(E67:P67)/$Q$58,0))</f>
        <v>0</v>
      </c>
      <c r="S67" s="265"/>
      <c r="T67" s="353"/>
      <c r="U67" s="354"/>
      <c r="V67" s="354"/>
      <c r="W67" s="354"/>
      <c r="X67" s="354"/>
      <c r="Y67" s="354"/>
      <c r="Z67" s="354"/>
      <c r="AA67" s="354"/>
      <c r="AB67" s="354"/>
      <c r="AC67" s="354"/>
      <c r="AD67" s="354"/>
      <c r="AE67" s="355"/>
    </row>
    <row r="68" spans="1:31" ht="20.100000000000001" customHeight="1">
      <c r="A68" s="262"/>
      <c r="B68" s="1533" t="s">
        <v>751</v>
      </c>
      <c r="C68" s="1534"/>
      <c r="D68" s="272" t="s">
        <v>577</v>
      </c>
      <c r="E68" s="270"/>
      <c r="F68" s="440"/>
      <c r="G68" s="440"/>
      <c r="H68" s="440"/>
      <c r="I68" s="440"/>
      <c r="J68" s="440"/>
      <c r="K68" s="440"/>
      <c r="L68" s="440"/>
      <c r="M68" s="440"/>
      <c r="N68" s="440"/>
      <c r="O68" s="440"/>
      <c r="P68" s="440"/>
      <c r="Q68" s="271">
        <f>IF(ISERROR(ROUND(SUM(E68:P68)/$Q$58,0)),0,ROUND(SUM(E68:P68)/$Q$58,0))</f>
        <v>0</v>
      </c>
      <c r="S68" s="265"/>
      <c r="T68" s="353"/>
      <c r="U68" s="354"/>
      <c r="V68" s="354"/>
      <c r="W68" s="354"/>
      <c r="X68" s="354"/>
      <c r="Y68" s="354"/>
      <c r="Z68" s="354"/>
      <c r="AA68" s="354"/>
      <c r="AB68" s="354"/>
      <c r="AC68" s="354"/>
      <c r="AD68" s="354"/>
      <c r="AE68" s="355"/>
    </row>
    <row r="69" spans="1:31" ht="20.100000000000001" customHeight="1">
      <c r="A69" s="262"/>
      <c r="B69" s="1531" t="s">
        <v>8</v>
      </c>
      <c r="C69" s="1532"/>
      <c r="D69" s="344" t="s">
        <v>577</v>
      </c>
      <c r="E69" s="345"/>
      <c r="F69" s="440"/>
      <c r="G69" s="440"/>
      <c r="H69" s="440"/>
      <c r="I69" s="440"/>
      <c r="J69" s="440"/>
      <c r="K69" s="440"/>
      <c r="L69" s="440"/>
      <c r="M69" s="440"/>
      <c r="N69" s="440"/>
      <c r="O69" s="440"/>
      <c r="P69" s="440"/>
      <c r="Q69" s="346">
        <f>IF(ISERROR(ROUND(SUM(E69:P69)/$Q$58,0)),0,ROUND(SUM(E69:P69)/$Q$58,0))</f>
        <v>0</v>
      </c>
      <c r="S69" s="265"/>
      <c r="T69" s="353"/>
      <c r="U69" s="354"/>
      <c r="V69" s="354"/>
      <c r="W69" s="354"/>
      <c r="X69" s="354"/>
      <c r="Y69" s="354"/>
      <c r="Z69" s="354"/>
      <c r="AA69" s="354"/>
      <c r="AB69" s="354"/>
      <c r="AC69" s="354"/>
      <c r="AD69" s="354"/>
      <c r="AE69" s="355"/>
    </row>
    <row r="70" spans="1:31" ht="20.100000000000001" customHeight="1" thickBot="1">
      <c r="B70" s="1520" t="s">
        <v>0</v>
      </c>
      <c r="C70" s="1521"/>
      <c r="D70" s="347"/>
      <c r="E70" s="348">
        <f>SUM(E66:E69)</f>
        <v>0</v>
      </c>
      <c r="F70" s="348">
        <f t="shared" ref="F70:P70" si="22">SUM(F66:F69)</f>
        <v>0</v>
      </c>
      <c r="G70" s="348">
        <f t="shared" si="22"/>
        <v>0</v>
      </c>
      <c r="H70" s="348">
        <f t="shared" si="22"/>
        <v>0</v>
      </c>
      <c r="I70" s="348">
        <f t="shared" si="22"/>
        <v>0</v>
      </c>
      <c r="J70" s="348">
        <f t="shared" si="22"/>
        <v>0</v>
      </c>
      <c r="K70" s="348">
        <f t="shared" si="22"/>
        <v>0</v>
      </c>
      <c r="L70" s="348">
        <f t="shared" si="22"/>
        <v>0</v>
      </c>
      <c r="M70" s="348">
        <f t="shared" si="22"/>
        <v>0</v>
      </c>
      <c r="N70" s="348">
        <f t="shared" si="22"/>
        <v>0</v>
      </c>
      <c r="O70" s="348">
        <f t="shared" si="22"/>
        <v>0</v>
      </c>
      <c r="P70" s="348">
        <f t="shared" si="22"/>
        <v>0</v>
      </c>
      <c r="Q70" s="349">
        <f>SUM(Q66:Q69)</f>
        <v>0</v>
      </c>
      <c r="S70" s="265"/>
      <c r="T70" s="353"/>
      <c r="U70" s="354"/>
      <c r="V70" s="354"/>
      <c r="W70" s="354"/>
      <c r="X70" s="354"/>
      <c r="AA70" s="354"/>
      <c r="AB70" s="354"/>
      <c r="AC70" s="354"/>
      <c r="AD70" s="354"/>
      <c r="AE70" s="355"/>
    </row>
    <row r="71" spans="1:31" ht="20.100000000000001" customHeight="1">
      <c r="A71" s="278"/>
      <c r="B71" s="278"/>
      <c r="C71" s="279"/>
      <c r="D71" s="279"/>
      <c r="E71" s="283"/>
      <c r="F71" s="283"/>
      <c r="G71" s="283"/>
      <c r="H71" s="283"/>
      <c r="I71" s="283"/>
      <c r="J71" s="283"/>
      <c r="K71" s="283"/>
      <c r="L71" s="283"/>
      <c r="M71" s="283"/>
      <c r="N71" s="283"/>
      <c r="O71" s="283"/>
      <c r="P71" s="283"/>
      <c r="Q71" s="283"/>
    </row>
    <row r="72" spans="1:31" ht="20.100000000000001" customHeight="1">
      <c r="B72" s="289"/>
      <c r="C72" s="289"/>
      <c r="D72" s="289"/>
      <c r="E72" s="289"/>
      <c r="F72" s="289"/>
      <c r="G72" s="289"/>
      <c r="H72" s="289"/>
      <c r="I72" s="289"/>
      <c r="J72" s="289"/>
      <c r="K72" s="289"/>
      <c r="L72" s="289"/>
      <c r="M72" s="289"/>
      <c r="N72" s="289"/>
      <c r="O72" s="289"/>
      <c r="P72" s="289"/>
      <c r="Q72" s="289"/>
    </row>
    <row r="73" spans="1:31" ht="17.25" customHeight="1"/>
    <row r="74" spans="1:31" ht="17.25" customHeight="1"/>
    <row r="75" spans="1:31" ht="17.25" customHeight="1"/>
    <row r="76" spans="1:31" ht="17.25" customHeight="1"/>
    <row r="77" spans="1:31" ht="17.25" customHeight="1"/>
    <row r="78" spans="1:31" ht="17.25" customHeight="1"/>
    <row r="79" spans="1:31" ht="17.25" customHeight="1"/>
    <row r="80" spans="1:31"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row r="101" ht="17.25" customHeight="1"/>
    <row r="102" ht="17.25" customHeight="1"/>
    <row r="103" ht="17.25" customHeight="1"/>
  </sheetData>
  <sheetProtection algorithmName="SHA-512" hashValue="K+NQBvqoy0R/kYYBH/ASjBUmOSvkakkbubyEcJawhMtjTqiqOL8GB1NGwDN0cMPCmvJ9r+Nhoxmxr2RkRBTPKQ==" saltValue="7PoEr8682+NYSgdPBkx4KQ==" spinCount="100000" sheet="1" objects="1" scenarios="1"/>
  <customSheetViews>
    <customSheetView guid="{2E52E5FF-9846-4DC5-A671-268FE925398C}" scale="85" showPageBreaks="1" printArea="1" view="pageBreakPreview">
      <selection activeCell="Y13" sqref="Y13"/>
      <rowBreaks count="1" manualBreakCount="1">
        <brk id="42" max="16" man="1"/>
      </rowBreaks>
      <pageMargins left="0.70866141732283472" right="0.70866141732283472" top="0.74803149606299213" bottom="0.74803149606299213" header="0.31496062992125984" footer="0.31496062992125984"/>
      <pageSetup paperSize="9" scale="70" orientation="portrait" r:id="rId1"/>
    </customSheetView>
    <customSheetView guid="{BADA99B3-B36A-4925-87A7-F72FC97D3DBA}" scale="85" showPageBreaks="1" printArea="1" view="pageBreakPreview">
      <selection activeCell="Y13" sqref="Y13"/>
      <rowBreaks count="1" manualBreakCount="1">
        <brk id="42" max="16" man="1"/>
      </rowBreaks>
      <pageMargins left="0.70866141732283472" right="0.70866141732283472" top="0.74803149606299213" bottom="0.74803149606299213" header="0.31496062992125984" footer="0.31496062992125984"/>
      <pageSetup paperSize="9" scale="70" orientation="portrait" r:id="rId2"/>
    </customSheetView>
  </customSheetViews>
  <mergeCells count="52">
    <mergeCell ref="B6:C6"/>
    <mergeCell ref="V1:Z1"/>
    <mergeCell ref="A1:N1"/>
    <mergeCell ref="O1:Q1"/>
    <mergeCell ref="B7:C8"/>
    <mergeCell ref="Q7:Q8"/>
    <mergeCell ref="B9:C10"/>
    <mergeCell ref="Q9:Q10"/>
    <mergeCell ref="B11:C12"/>
    <mergeCell ref="Q11:Q12"/>
    <mergeCell ref="B13:C14"/>
    <mergeCell ref="Q13:Q14"/>
    <mergeCell ref="B15:C15"/>
    <mergeCell ref="B16:C16"/>
    <mergeCell ref="B17:C18"/>
    <mergeCell ref="Q17:Q18"/>
    <mergeCell ref="B25:C25"/>
    <mergeCell ref="B19:C20"/>
    <mergeCell ref="Q19:Q20"/>
    <mergeCell ref="B21:C22"/>
    <mergeCell ref="Q21:Q22"/>
    <mergeCell ref="B23:C24"/>
    <mergeCell ref="Q23:Q24"/>
    <mergeCell ref="B39:C39"/>
    <mergeCell ref="B28:C28"/>
    <mergeCell ref="B29:C29"/>
    <mergeCell ref="B30:C30"/>
    <mergeCell ref="B31:C31"/>
    <mergeCell ref="B32:C32"/>
    <mergeCell ref="B33:C33"/>
    <mergeCell ref="B34:C34"/>
    <mergeCell ref="B35:C35"/>
    <mergeCell ref="B36:C36"/>
    <mergeCell ref="B37:C37"/>
    <mergeCell ref="B38:C38"/>
    <mergeCell ref="B60:C60"/>
    <mergeCell ref="B61:C61"/>
    <mergeCell ref="B59:C59"/>
    <mergeCell ref="N42:P42"/>
    <mergeCell ref="B53:P55"/>
    <mergeCell ref="B58:C58"/>
    <mergeCell ref="B42:L42"/>
    <mergeCell ref="B43:L43"/>
    <mergeCell ref="B68:C68"/>
    <mergeCell ref="B69:C69"/>
    <mergeCell ref="B70:C70"/>
    <mergeCell ref="B62:C62"/>
    <mergeCell ref="B63:C63"/>
    <mergeCell ref="B64:C64"/>
    <mergeCell ref="B65:C65"/>
    <mergeCell ref="B66:C66"/>
    <mergeCell ref="B67:C67"/>
  </mergeCells>
  <phoneticPr fontId="60"/>
  <dataValidations disablePrompts="1" count="4">
    <dataValidation type="list" allowBlank="1" showInputMessage="1" showErrorMessage="1" sqref="N42:P42" xr:uid="{00000000-0002-0000-0900-000000000000}">
      <formula1>$T$2:$T$4</formula1>
    </dataValidation>
    <dataValidation type="list" allowBlank="1" showInputMessage="1" showErrorMessage="1" sqref="D65586:D65594 IY65579:IY65587 SU65579:SU65587 ACQ65579:ACQ65587 AMM65579:AMM65587 AWI65579:AWI65587 BGE65579:BGE65587 BQA65579:BQA65587 BZW65579:BZW65587 CJS65579:CJS65587 CTO65579:CTO65587 DDK65579:DDK65587 DNG65579:DNG65587 DXC65579:DXC65587 EGY65579:EGY65587 EQU65579:EQU65587 FAQ65579:FAQ65587 FKM65579:FKM65587 FUI65579:FUI65587 GEE65579:GEE65587 GOA65579:GOA65587 GXW65579:GXW65587 HHS65579:HHS65587 HRO65579:HRO65587 IBK65579:IBK65587 ILG65579:ILG65587 IVC65579:IVC65587 JEY65579:JEY65587 JOU65579:JOU65587 JYQ65579:JYQ65587 KIM65579:KIM65587 KSI65579:KSI65587 LCE65579:LCE65587 LMA65579:LMA65587 LVW65579:LVW65587 MFS65579:MFS65587 MPO65579:MPO65587 MZK65579:MZK65587 NJG65579:NJG65587 NTC65579:NTC65587 OCY65579:OCY65587 OMU65579:OMU65587 OWQ65579:OWQ65587 PGM65579:PGM65587 PQI65579:PQI65587 QAE65579:QAE65587 QKA65579:QKA65587 QTW65579:QTW65587 RDS65579:RDS65587 RNO65579:RNO65587 RXK65579:RXK65587 SHG65579:SHG65587 SRC65579:SRC65587 TAY65579:TAY65587 TKU65579:TKU65587 TUQ65579:TUQ65587 UEM65579:UEM65587 UOI65579:UOI65587 UYE65579:UYE65587 VIA65579:VIA65587 VRW65579:VRW65587 WBS65579:WBS65587 WLO65579:WLO65587 WVK65579:WVK65587 D131122:D131130 IY131115:IY131123 SU131115:SU131123 ACQ131115:ACQ131123 AMM131115:AMM131123 AWI131115:AWI131123 BGE131115:BGE131123 BQA131115:BQA131123 BZW131115:BZW131123 CJS131115:CJS131123 CTO131115:CTO131123 DDK131115:DDK131123 DNG131115:DNG131123 DXC131115:DXC131123 EGY131115:EGY131123 EQU131115:EQU131123 FAQ131115:FAQ131123 FKM131115:FKM131123 FUI131115:FUI131123 GEE131115:GEE131123 GOA131115:GOA131123 GXW131115:GXW131123 HHS131115:HHS131123 HRO131115:HRO131123 IBK131115:IBK131123 ILG131115:ILG131123 IVC131115:IVC131123 JEY131115:JEY131123 JOU131115:JOU131123 JYQ131115:JYQ131123 KIM131115:KIM131123 KSI131115:KSI131123 LCE131115:LCE131123 LMA131115:LMA131123 LVW131115:LVW131123 MFS131115:MFS131123 MPO131115:MPO131123 MZK131115:MZK131123 NJG131115:NJG131123 NTC131115:NTC131123 OCY131115:OCY131123 OMU131115:OMU131123 OWQ131115:OWQ131123 PGM131115:PGM131123 PQI131115:PQI131123 QAE131115:QAE131123 QKA131115:QKA131123 QTW131115:QTW131123 RDS131115:RDS131123 RNO131115:RNO131123 RXK131115:RXK131123 SHG131115:SHG131123 SRC131115:SRC131123 TAY131115:TAY131123 TKU131115:TKU131123 TUQ131115:TUQ131123 UEM131115:UEM131123 UOI131115:UOI131123 UYE131115:UYE131123 VIA131115:VIA131123 VRW131115:VRW131123 WBS131115:WBS131123 WLO131115:WLO131123 WVK131115:WVK131123 D196658:D196666 IY196651:IY196659 SU196651:SU196659 ACQ196651:ACQ196659 AMM196651:AMM196659 AWI196651:AWI196659 BGE196651:BGE196659 BQA196651:BQA196659 BZW196651:BZW196659 CJS196651:CJS196659 CTO196651:CTO196659 DDK196651:DDK196659 DNG196651:DNG196659 DXC196651:DXC196659 EGY196651:EGY196659 EQU196651:EQU196659 FAQ196651:FAQ196659 FKM196651:FKM196659 FUI196651:FUI196659 GEE196651:GEE196659 GOA196651:GOA196659 GXW196651:GXW196659 HHS196651:HHS196659 HRO196651:HRO196659 IBK196651:IBK196659 ILG196651:ILG196659 IVC196651:IVC196659 JEY196651:JEY196659 JOU196651:JOU196659 JYQ196651:JYQ196659 KIM196651:KIM196659 KSI196651:KSI196659 LCE196651:LCE196659 LMA196651:LMA196659 LVW196651:LVW196659 MFS196651:MFS196659 MPO196651:MPO196659 MZK196651:MZK196659 NJG196651:NJG196659 NTC196651:NTC196659 OCY196651:OCY196659 OMU196651:OMU196659 OWQ196651:OWQ196659 PGM196651:PGM196659 PQI196651:PQI196659 QAE196651:QAE196659 QKA196651:QKA196659 QTW196651:QTW196659 RDS196651:RDS196659 RNO196651:RNO196659 RXK196651:RXK196659 SHG196651:SHG196659 SRC196651:SRC196659 TAY196651:TAY196659 TKU196651:TKU196659 TUQ196651:TUQ196659 UEM196651:UEM196659 UOI196651:UOI196659 UYE196651:UYE196659 VIA196651:VIA196659 VRW196651:VRW196659 WBS196651:WBS196659 WLO196651:WLO196659 WVK196651:WVK196659 D262194:D262202 IY262187:IY262195 SU262187:SU262195 ACQ262187:ACQ262195 AMM262187:AMM262195 AWI262187:AWI262195 BGE262187:BGE262195 BQA262187:BQA262195 BZW262187:BZW262195 CJS262187:CJS262195 CTO262187:CTO262195 DDK262187:DDK262195 DNG262187:DNG262195 DXC262187:DXC262195 EGY262187:EGY262195 EQU262187:EQU262195 FAQ262187:FAQ262195 FKM262187:FKM262195 FUI262187:FUI262195 GEE262187:GEE262195 GOA262187:GOA262195 GXW262187:GXW262195 HHS262187:HHS262195 HRO262187:HRO262195 IBK262187:IBK262195 ILG262187:ILG262195 IVC262187:IVC262195 JEY262187:JEY262195 JOU262187:JOU262195 JYQ262187:JYQ262195 KIM262187:KIM262195 KSI262187:KSI262195 LCE262187:LCE262195 LMA262187:LMA262195 LVW262187:LVW262195 MFS262187:MFS262195 MPO262187:MPO262195 MZK262187:MZK262195 NJG262187:NJG262195 NTC262187:NTC262195 OCY262187:OCY262195 OMU262187:OMU262195 OWQ262187:OWQ262195 PGM262187:PGM262195 PQI262187:PQI262195 QAE262187:QAE262195 QKA262187:QKA262195 QTW262187:QTW262195 RDS262187:RDS262195 RNO262187:RNO262195 RXK262187:RXK262195 SHG262187:SHG262195 SRC262187:SRC262195 TAY262187:TAY262195 TKU262187:TKU262195 TUQ262187:TUQ262195 UEM262187:UEM262195 UOI262187:UOI262195 UYE262187:UYE262195 VIA262187:VIA262195 VRW262187:VRW262195 WBS262187:WBS262195 WLO262187:WLO262195 WVK262187:WVK262195 D327730:D327738 IY327723:IY327731 SU327723:SU327731 ACQ327723:ACQ327731 AMM327723:AMM327731 AWI327723:AWI327731 BGE327723:BGE327731 BQA327723:BQA327731 BZW327723:BZW327731 CJS327723:CJS327731 CTO327723:CTO327731 DDK327723:DDK327731 DNG327723:DNG327731 DXC327723:DXC327731 EGY327723:EGY327731 EQU327723:EQU327731 FAQ327723:FAQ327731 FKM327723:FKM327731 FUI327723:FUI327731 GEE327723:GEE327731 GOA327723:GOA327731 GXW327723:GXW327731 HHS327723:HHS327731 HRO327723:HRO327731 IBK327723:IBK327731 ILG327723:ILG327731 IVC327723:IVC327731 JEY327723:JEY327731 JOU327723:JOU327731 JYQ327723:JYQ327731 KIM327723:KIM327731 KSI327723:KSI327731 LCE327723:LCE327731 LMA327723:LMA327731 LVW327723:LVW327731 MFS327723:MFS327731 MPO327723:MPO327731 MZK327723:MZK327731 NJG327723:NJG327731 NTC327723:NTC327731 OCY327723:OCY327731 OMU327723:OMU327731 OWQ327723:OWQ327731 PGM327723:PGM327731 PQI327723:PQI327731 QAE327723:QAE327731 QKA327723:QKA327731 QTW327723:QTW327731 RDS327723:RDS327731 RNO327723:RNO327731 RXK327723:RXK327731 SHG327723:SHG327731 SRC327723:SRC327731 TAY327723:TAY327731 TKU327723:TKU327731 TUQ327723:TUQ327731 UEM327723:UEM327731 UOI327723:UOI327731 UYE327723:UYE327731 VIA327723:VIA327731 VRW327723:VRW327731 WBS327723:WBS327731 WLO327723:WLO327731 WVK327723:WVK327731 D393266:D393274 IY393259:IY393267 SU393259:SU393267 ACQ393259:ACQ393267 AMM393259:AMM393267 AWI393259:AWI393267 BGE393259:BGE393267 BQA393259:BQA393267 BZW393259:BZW393267 CJS393259:CJS393267 CTO393259:CTO393267 DDK393259:DDK393267 DNG393259:DNG393267 DXC393259:DXC393267 EGY393259:EGY393267 EQU393259:EQU393267 FAQ393259:FAQ393267 FKM393259:FKM393267 FUI393259:FUI393267 GEE393259:GEE393267 GOA393259:GOA393267 GXW393259:GXW393267 HHS393259:HHS393267 HRO393259:HRO393267 IBK393259:IBK393267 ILG393259:ILG393267 IVC393259:IVC393267 JEY393259:JEY393267 JOU393259:JOU393267 JYQ393259:JYQ393267 KIM393259:KIM393267 KSI393259:KSI393267 LCE393259:LCE393267 LMA393259:LMA393267 LVW393259:LVW393267 MFS393259:MFS393267 MPO393259:MPO393267 MZK393259:MZK393267 NJG393259:NJG393267 NTC393259:NTC393267 OCY393259:OCY393267 OMU393259:OMU393267 OWQ393259:OWQ393267 PGM393259:PGM393267 PQI393259:PQI393267 QAE393259:QAE393267 QKA393259:QKA393267 QTW393259:QTW393267 RDS393259:RDS393267 RNO393259:RNO393267 RXK393259:RXK393267 SHG393259:SHG393267 SRC393259:SRC393267 TAY393259:TAY393267 TKU393259:TKU393267 TUQ393259:TUQ393267 UEM393259:UEM393267 UOI393259:UOI393267 UYE393259:UYE393267 VIA393259:VIA393267 VRW393259:VRW393267 WBS393259:WBS393267 WLO393259:WLO393267 WVK393259:WVK393267 D458802:D458810 IY458795:IY458803 SU458795:SU458803 ACQ458795:ACQ458803 AMM458795:AMM458803 AWI458795:AWI458803 BGE458795:BGE458803 BQA458795:BQA458803 BZW458795:BZW458803 CJS458795:CJS458803 CTO458795:CTO458803 DDK458795:DDK458803 DNG458795:DNG458803 DXC458795:DXC458803 EGY458795:EGY458803 EQU458795:EQU458803 FAQ458795:FAQ458803 FKM458795:FKM458803 FUI458795:FUI458803 GEE458795:GEE458803 GOA458795:GOA458803 GXW458795:GXW458803 HHS458795:HHS458803 HRO458795:HRO458803 IBK458795:IBK458803 ILG458795:ILG458803 IVC458795:IVC458803 JEY458795:JEY458803 JOU458795:JOU458803 JYQ458795:JYQ458803 KIM458795:KIM458803 KSI458795:KSI458803 LCE458795:LCE458803 LMA458795:LMA458803 LVW458795:LVW458803 MFS458795:MFS458803 MPO458795:MPO458803 MZK458795:MZK458803 NJG458795:NJG458803 NTC458795:NTC458803 OCY458795:OCY458803 OMU458795:OMU458803 OWQ458795:OWQ458803 PGM458795:PGM458803 PQI458795:PQI458803 QAE458795:QAE458803 QKA458795:QKA458803 QTW458795:QTW458803 RDS458795:RDS458803 RNO458795:RNO458803 RXK458795:RXK458803 SHG458795:SHG458803 SRC458795:SRC458803 TAY458795:TAY458803 TKU458795:TKU458803 TUQ458795:TUQ458803 UEM458795:UEM458803 UOI458795:UOI458803 UYE458795:UYE458803 VIA458795:VIA458803 VRW458795:VRW458803 WBS458795:WBS458803 WLO458795:WLO458803 WVK458795:WVK458803 D524338:D524346 IY524331:IY524339 SU524331:SU524339 ACQ524331:ACQ524339 AMM524331:AMM524339 AWI524331:AWI524339 BGE524331:BGE524339 BQA524331:BQA524339 BZW524331:BZW524339 CJS524331:CJS524339 CTO524331:CTO524339 DDK524331:DDK524339 DNG524331:DNG524339 DXC524331:DXC524339 EGY524331:EGY524339 EQU524331:EQU524339 FAQ524331:FAQ524339 FKM524331:FKM524339 FUI524331:FUI524339 GEE524331:GEE524339 GOA524331:GOA524339 GXW524331:GXW524339 HHS524331:HHS524339 HRO524331:HRO524339 IBK524331:IBK524339 ILG524331:ILG524339 IVC524331:IVC524339 JEY524331:JEY524339 JOU524331:JOU524339 JYQ524331:JYQ524339 KIM524331:KIM524339 KSI524331:KSI524339 LCE524331:LCE524339 LMA524331:LMA524339 LVW524331:LVW524339 MFS524331:MFS524339 MPO524331:MPO524339 MZK524331:MZK524339 NJG524331:NJG524339 NTC524331:NTC524339 OCY524331:OCY524339 OMU524331:OMU524339 OWQ524331:OWQ524339 PGM524331:PGM524339 PQI524331:PQI524339 QAE524331:QAE524339 QKA524331:QKA524339 QTW524331:QTW524339 RDS524331:RDS524339 RNO524331:RNO524339 RXK524331:RXK524339 SHG524331:SHG524339 SRC524331:SRC524339 TAY524331:TAY524339 TKU524331:TKU524339 TUQ524331:TUQ524339 UEM524331:UEM524339 UOI524331:UOI524339 UYE524331:UYE524339 VIA524331:VIA524339 VRW524331:VRW524339 WBS524331:WBS524339 WLO524331:WLO524339 WVK524331:WVK524339 D589874:D589882 IY589867:IY589875 SU589867:SU589875 ACQ589867:ACQ589875 AMM589867:AMM589875 AWI589867:AWI589875 BGE589867:BGE589875 BQA589867:BQA589875 BZW589867:BZW589875 CJS589867:CJS589875 CTO589867:CTO589875 DDK589867:DDK589875 DNG589867:DNG589875 DXC589867:DXC589875 EGY589867:EGY589875 EQU589867:EQU589875 FAQ589867:FAQ589875 FKM589867:FKM589875 FUI589867:FUI589875 GEE589867:GEE589875 GOA589867:GOA589875 GXW589867:GXW589875 HHS589867:HHS589875 HRO589867:HRO589875 IBK589867:IBK589875 ILG589867:ILG589875 IVC589867:IVC589875 JEY589867:JEY589875 JOU589867:JOU589875 JYQ589867:JYQ589875 KIM589867:KIM589875 KSI589867:KSI589875 LCE589867:LCE589875 LMA589867:LMA589875 LVW589867:LVW589875 MFS589867:MFS589875 MPO589867:MPO589875 MZK589867:MZK589875 NJG589867:NJG589875 NTC589867:NTC589875 OCY589867:OCY589875 OMU589867:OMU589875 OWQ589867:OWQ589875 PGM589867:PGM589875 PQI589867:PQI589875 QAE589867:QAE589875 QKA589867:QKA589875 QTW589867:QTW589875 RDS589867:RDS589875 RNO589867:RNO589875 RXK589867:RXK589875 SHG589867:SHG589875 SRC589867:SRC589875 TAY589867:TAY589875 TKU589867:TKU589875 TUQ589867:TUQ589875 UEM589867:UEM589875 UOI589867:UOI589875 UYE589867:UYE589875 VIA589867:VIA589875 VRW589867:VRW589875 WBS589867:WBS589875 WLO589867:WLO589875 WVK589867:WVK589875 D655410:D655418 IY655403:IY655411 SU655403:SU655411 ACQ655403:ACQ655411 AMM655403:AMM655411 AWI655403:AWI655411 BGE655403:BGE655411 BQA655403:BQA655411 BZW655403:BZW655411 CJS655403:CJS655411 CTO655403:CTO655411 DDK655403:DDK655411 DNG655403:DNG655411 DXC655403:DXC655411 EGY655403:EGY655411 EQU655403:EQU655411 FAQ655403:FAQ655411 FKM655403:FKM655411 FUI655403:FUI655411 GEE655403:GEE655411 GOA655403:GOA655411 GXW655403:GXW655411 HHS655403:HHS655411 HRO655403:HRO655411 IBK655403:IBK655411 ILG655403:ILG655411 IVC655403:IVC655411 JEY655403:JEY655411 JOU655403:JOU655411 JYQ655403:JYQ655411 KIM655403:KIM655411 KSI655403:KSI655411 LCE655403:LCE655411 LMA655403:LMA655411 LVW655403:LVW655411 MFS655403:MFS655411 MPO655403:MPO655411 MZK655403:MZK655411 NJG655403:NJG655411 NTC655403:NTC655411 OCY655403:OCY655411 OMU655403:OMU655411 OWQ655403:OWQ655411 PGM655403:PGM655411 PQI655403:PQI655411 QAE655403:QAE655411 QKA655403:QKA655411 QTW655403:QTW655411 RDS655403:RDS655411 RNO655403:RNO655411 RXK655403:RXK655411 SHG655403:SHG655411 SRC655403:SRC655411 TAY655403:TAY655411 TKU655403:TKU655411 TUQ655403:TUQ655411 UEM655403:UEM655411 UOI655403:UOI655411 UYE655403:UYE655411 VIA655403:VIA655411 VRW655403:VRW655411 WBS655403:WBS655411 WLO655403:WLO655411 WVK655403:WVK655411 D720946:D720954 IY720939:IY720947 SU720939:SU720947 ACQ720939:ACQ720947 AMM720939:AMM720947 AWI720939:AWI720947 BGE720939:BGE720947 BQA720939:BQA720947 BZW720939:BZW720947 CJS720939:CJS720947 CTO720939:CTO720947 DDK720939:DDK720947 DNG720939:DNG720947 DXC720939:DXC720947 EGY720939:EGY720947 EQU720939:EQU720947 FAQ720939:FAQ720947 FKM720939:FKM720947 FUI720939:FUI720947 GEE720939:GEE720947 GOA720939:GOA720947 GXW720939:GXW720947 HHS720939:HHS720947 HRO720939:HRO720947 IBK720939:IBK720947 ILG720939:ILG720947 IVC720939:IVC720947 JEY720939:JEY720947 JOU720939:JOU720947 JYQ720939:JYQ720947 KIM720939:KIM720947 KSI720939:KSI720947 LCE720939:LCE720947 LMA720939:LMA720947 LVW720939:LVW720947 MFS720939:MFS720947 MPO720939:MPO720947 MZK720939:MZK720947 NJG720939:NJG720947 NTC720939:NTC720947 OCY720939:OCY720947 OMU720939:OMU720947 OWQ720939:OWQ720947 PGM720939:PGM720947 PQI720939:PQI720947 QAE720939:QAE720947 QKA720939:QKA720947 QTW720939:QTW720947 RDS720939:RDS720947 RNO720939:RNO720947 RXK720939:RXK720947 SHG720939:SHG720947 SRC720939:SRC720947 TAY720939:TAY720947 TKU720939:TKU720947 TUQ720939:TUQ720947 UEM720939:UEM720947 UOI720939:UOI720947 UYE720939:UYE720947 VIA720939:VIA720947 VRW720939:VRW720947 WBS720939:WBS720947 WLO720939:WLO720947 WVK720939:WVK720947 D786482:D786490 IY786475:IY786483 SU786475:SU786483 ACQ786475:ACQ786483 AMM786475:AMM786483 AWI786475:AWI786483 BGE786475:BGE786483 BQA786475:BQA786483 BZW786475:BZW786483 CJS786475:CJS786483 CTO786475:CTO786483 DDK786475:DDK786483 DNG786475:DNG786483 DXC786475:DXC786483 EGY786475:EGY786483 EQU786475:EQU786483 FAQ786475:FAQ786483 FKM786475:FKM786483 FUI786475:FUI786483 GEE786475:GEE786483 GOA786475:GOA786483 GXW786475:GXW786483 HHS786475:HHS786483 HRO786475:HRO786483 IBK786475:IBK786483 ILG786475:ILG786483 IVC786475:IVC786483 JEY786475:JEY786483 JOU786475:JOU786483 JYQ786475:JYQ786483 KIM786475:KIM786483 KSI786475:KSI786483 LCE786475:LCE786483 LMA786475:LMA786483 LVW786475:LVW786483 MFS786475:MFS786483 MPO786475:MPO786483 MZK786475:MZK786483 NJG786475:NJG786483 NTC786475:NTC786483 OCY786475:OCY786483 OMU786475:OMU786483 OWQ786475:OWQ786483 PGM786475:PGM786483 PQI786475:PQI786483 QAE786475:QAE786483 QKA786475:QKA786483 QTW786475:QTW786483 RDS786475:RDS786483 RNO786475:RNO786483 RXK786475:RXK786483 SHG786475:SHG786483 SRC786475:SRC786483 TAY786475:TAY786483 TKU786475:TKU786483 TUQ786475:TUQ786483 UEM786475:UEM786483 UOI786475:UOI786483 UYE786475:UYE786483 VIA786475:VIA786483 VRW786475:VRW786483 WBS786475:WBS786483 WLO786475:WLO786483 WVK786475:WVK786483 D852018:D852026 IY852011:IY852019 SU852011:SU852019 ACQ852011:ACQ852019 AMM852011:AMM852019 AWI852011:AWI852019 BGE852011:BGE852019 BQA852011:BQA852019 BZW852011:BZW852019 CJS852011:CJS852019 CTO852011:CTO852019 DDK852011:DDK852019 DNG852011:DNG852019 DXC852011:DXC852019 EGY852011:EGY852019 EQU852011:EQU852019 FAQ852011:FAQ852019 FKM852011:FKM852019 FUI852011:FUI852019 GEE852011:GEE852019 GOA852011:GOA852019 GXW852011:GXW852019 HHS852011:HHS852019 HRO852011:HRO852019 IBK852011:IBK852019 ILG852011:ILG852019 IVC852011:IVC852019 JEY852011:JEY852019 JOU852011:JOU852019 JYQ852011:JYQ852019 KIM852011:KIM852019 KSI852011:KSI852019 LCE852011:LCE852019 LMA852011:LMA852019 LVW852011:LVW852019 MFS852011:MFS852019 MPO852011:MPO852019 MZK852011:MZK852019 NJG852011:NJG852019 NTC852011:NTC852019 OCY852011:OCY852019 OMU852011:OMU852019 OWQ852011:OWQ852019 PGM852011:PGM852019 PQI852011:PQI852019 QAE852011:QAE852019 QKA852011:QKA852019 QTW852011:QTW852019 RDS852011:RDS852019 RNO852011:RNO852019 RXK852011:RXK852019 SHG852011:SHG852019 SRC852011:SRC852019 TAY852011:TAY852019 TKU852011:TKU852019 TUQ852011:TUQ852019 UEM852011:UEM852019 UOI852011:UOI852019 UYE852011:UYE852019 VIA852011:VIA852019 VRW852011:VRW852019 WBS852011:WBS852019 WLO852011:WLO852019 WVK852011:WVK852019 D917554:D917562 IY917547:IY917555 SU917547:SU917555 ACQ917547:ACQ917555 AMM917547:AMM917555 AWI917547:AWI917555 BGE917547:BGE917555 BQA917547:BQA917555 BZW917547:BZW917555 CJS917547:CJS917555 CTO917547:CTO917555 DDK917547:DDK917555 DNG917547:DNG917555 DXC917547:DXC917555 EGY917547:EGY917555 EQU917547:EQU917555 FAQ917547:FAQ917555 FKM917547:FKM917555 FUI917547:FUI917555 GEE917547:GEE917555 GOA917547:GOA917555 GXW917547:GXW917555 HHS917547:HHS917555 HRO917547:HRO917555 IBK917547:IBK917555 ILG917547:ILG917555 IVC917547:IVC917555 JEY917547:JEY917555 JOU917547:JOU917555 JYQ917547:JYQ917555 KIM917547:KIM917555 KSI917547:KSI917555 LCE917547:LCE917555 LMA917547:LMA917555 LVW917547:LVW917555 MFS917547:MFS917555 MPO917547:MPO917555 MZK917547:MZK917555 NJG917547:NJG917555 NTC917547:NTC917555 OCY917547:OCY917555 OMU917547:OMU917555 OWQ917547:OWQ917555 PGM917547:PGM917555 PQI917547:PQI917555 QAE917547:QAE917555 QKA917547:QKA917555 QTW917547:QTW917555 RDS917547:RDS917555 RNO917547:RNO917555 RXK917547:RXK917555 SHG917547:SHG917555 SRC917547:SRC917555 TAY917547:TAY917555 TKU917547:TKU917555 TUQ917547:TUQ917555 UEM917547:UEM917555 UOI917547:UOI917555 UYE917547:UYE917555 VIA917547:VIA917555 VRW917547:VRW917555 WBS917547:WBS917555 WLO917547:WLO917555 WVK917547:WVK917555 D983090:D983098 IY983083:IY983091 SU983083:SU983091 ACQ983083:ACQ983091 AMM983083:AMM983091 AWI983083:AWI983091 BGE983083:BGE983091 BQA983083:BQA983091 BZW983083:BZW983091 CJS983083:CJS983091 CTO983083:CTO983091 DDK983083:DDK983091 DNG983083:DNG983091 DXC983083:DXC983091 EGY983083:EGY983091 EQU983083:EQU983091 FAQ983083:FAQ983091 FKM983083:FKM983091 FUI983083:FUI983091 GEE983083:GEE983091 GOA983083:GOA983091 GXW983083:GXW983091 HHS983083:HHS983091 HRO983083:HRO983091 IBK983083:IBK983091 ILG983083:ILG983091 IVC983083:IVC983091 JEY983083:JEY983091 JOU983083:JOU983091 JYQ983083:JYQ983091 KIM983083:KIM983091 KSI983083:KSI983091 LCE983083:LCE983091 LMA983083:LMA983091 LVW983083:LVW983091 MFS983083:MFS983091 MPO983083:MPO983091 MZK983083:MZK983091 NJG983083:NJG983091 NTC983083:NTC983091 OCY983083:OCY983091 OMU983083:OMU983091 OWQ983083:OWQ983091 PGM983083:PGM983091 PQI983083:PQI983091 QAE983083:QAE983091 QKA983083:QKA983091 QTW983083:QTW983091 RDS983083:RDS983091 RNO983083:RNO983091 RXK983083:RXK983091 SHG983083:SHG983091 SRC983083:SRC983091 TAY983083:TAY983091 TKU983083:TKU983091 TUQ983083:TUQ983091 UEM983083:UEM983091 UOI983083:UOI983091 UYE983083:UYE983091 VIA983083:VIA983091 VRW983083:VRW983091 WBS983083:WBS983091 WLO983083:WLO983091 WVK983083:WVK983091 SU40 IY16 WVK16 WLO16 WBS16 VRW16 VIA16 UYE16 UOI16 UEM16 TUQ16 TKU16 TAY16 SRC16 SHG16 RXK16 RNO16 RDS16 QTW16 QKA16 QAE16 PQI16 PGM16 OWQ16 OMU16 OCY16 NTC16 NJG16 MZK16 MPO16 MFS16 LVW16 LMA16 LCE16 KSI16 KIM16 JYQ16 JOU16 JEY16 IVC16 ILG16 IBK16 HRO16 HHS16 GXW16 GOA16 GEE16 FUI16 FKM16 FAQ16 EQU16 EGY16 DXC16 DNG16 DDK16 CTO16 CJS16 BZW16 BQA16 BGE16 AWI16 AMM16 ACQ16 SU16 IY40 WVK40 WLO40 WBS40 VRW40 VIA40 UYE40 UOI40 UEM40 TUQ40 TKU40 TAY40 SRC40 SHG40 RXK40 RNO40 RDS40 QTW40 QKA40 QAE40 PQI40 PGM40 OWQ40 OMU40 OCY40 NTC40 NJG40 MZK40 MPO40 MFS40 LVW40 LMA40 LCE40 KSI40 KIM40 JYQ40 JOU40 JEY40 IVC40 ILG40 IBK40 HRO40 HHS40 GXW40 GOA40 GEE40 FUI40 FKM40 FAQ40 EQU40 EGY40 DXC40 DNG40 DDK40 CTO40 CJS40 BZW40 BQA40 BGE40 AWI40 AMM40 ACQ40 IY34 WVK34 WLO34 WBS34 VRW34 VIA34 UYE34 UOI34 UEM34 TUQ34 TKU34 TAY34 SRC34 SHG34 RXK34 RNO34 RDS34 QTW34 QKA34 QAE34 PQI34 PGM34 OWQ34 OMU34 OCY34 NTC34 NJG34 MZK34 MPO34 MFS34 LVW34 LMA34 LCE34 KSI34 KIM34 JYQ34 JOU34 JEY34 IVC34 ILG34 IBK34 HRO34 HHS34 GXW34 GOA34 GEE34 FUI34 FKM34 FAQ34 EQU34 EGY34 DXC34 DNG34 DDK34 CTO34 CJS34 BZW34 BQA34 BGE34 AWI34 AMM34 ACQ34 SU34 D40:D41 SU71 IY71 WVK71 WLO71 WBS71 VRW71 VIA71 UYE71 UOI71 UEM71 TUQ71 TKU71 TAY71 SRC71 SHG71 RXK71 RNO71 RDS71 QTW71 QKA71 QAE71 PQI71 PGM71 OWQ71 OMU71 OCY71 NTC71 NJG71 MZK71 MPO71 MFS71 LVW71 LMA71 LCE71 KSI71 KIM71 JYQ71 JOU71 JEY71 IVC71 ILG71 IBK71 HRO71 HHS71 GXW71 GOA71 GEE71 FUI71 FKM71 FAQ71 EQU71 EGY71 DXC71 DNG71 DDK71 CTO71 CJS71 BZW71 BQA71 BGE71 AWI71 AMM71 ACQ71 IY65 WVK65 WLO65 WBS65 VRW65 VIA65 UYE65 UOI65 UEM65 TUQ65 TKU65 TAY65 SRC65 SHG65 RXK65 RNO65 RDS65 QTW65 QKA65 QAE65 PQI65 PGM65 OWQ65 OMU65 OCY65 NTC65 NJG65 MZK65 MPO65 MFS65 LVW65 LMA65 LCE65 KSI65 KIM65 JYQ65 JOU65 JEY65 IVC65 ILG65 IBK65 HRO65 HHS65 GXW65 GOA65 GEE65 FUI65 FKM65 FAQ65 EQU65 EGY65 DXC65 DNG65 DDK65 CTO65 CJS65 BZW65 BQA65 BGE65 AWI65 AMM65 ACQ65 SU65 D27 SU26:SU28 IY26:IY28 WVK26:WVK28 WLO26:WLO28 WBS26:WBS28 VRW26:VRW28 VIA26:VIA28 UYE26:UYE28 UOI26:UOI28 UEM26:UEM28 TUQ26:TUQ28 TKU26:TKU28 TAY26:TAY28 SRC26:SRC28 SHG26:SHG28 RXK26:RXK28 RNO26:RNO28 RDS26:RDS28 QTW26:QTW28 QKA26:QKA28 QAE26:QAE28 PQI26:PQI28 PGM26:PGM28 OWQ26:OWQ28 OMU26:OMU28 OCY26:OCY28 NTC26:NTC28 NJG26:NJG28 MZK26:MZK28 MPO26:MPO28 MFS26:MFS28 LVW26:LVW28 LMA26:LMA28 LCE26:LCE28 KSI26:KSI28 KIM26:KIM28 JYQ26:JYQ28 JOU26:JOU28 JEY26:JEY28 IVC26:IVC28 ILG26:ILG28 IBK26:IBK28 HRO26:HRO28 HHS26:HHS28 GXW26:GXW28 GOA26:GOA28 GEE26:GEE28 FUI26:FUI28 FKM26:FKM28 FAQ26:FAQ28 EQU26:EQU28 EGY26:EGY28 DXC26:DXC28 DNG26:DNG28 DDK26:DDK28 CTO26:CTO28 CJS26:CJS28 BZW26:BZW28 BQA26:BQA28 BGE26:BGE28 AWI26:AWI28 AMM26:AMM28 ACQ26:ACQ28" xr:uid="{00000000-0002-0000-0900-000001000000}">
      <formula1>"　,あり,なし"</formula1>
    </dataValidation>
    <dataValidation type="list" allowBlank="1" showInputMessage="1" showErrorMessage="1" sqref="WVK983092 D65595 IY65588 SU65588 ACQ65588 AMM65588 AWI65588 BGE65588 BQA65588 BZW65588 CJS65588 CTO65588 DDK65588 DNG65588 DXC65588 EGY65588 EQU65588 FAQ65588 FKM65588 FUI65588 GEE65588 GOA65588 GXW65588 HHS65588 HRO65588 IBK65588 ILG65588 IVC65588 JEY65588 JOU65588 JYQ65588 KIM65588 KSI65588 LCE65588 LMA65588 LVW65588 MFS65588 MPO65588 MZK65588 NJG65588 NTC65588 OCY65588 OMU65588 OWQ65588 PGM65588 PQI65588 QAE65588 QKA65588 QTW65588 RDS65588 RNO65588 RXK65588 SHG65588 SRC65588 TAY65588 TKU65588 TUQ65588 UEM65588 UOI65588 UYE65588 VIA65588 VRW65588 WBS65588 WLO65588 WVK65588 D131131 IY131124 SU131124 ACQ131124 AMM131124 AWI131124 BGE131124 BQA131124 BZW131124 CJS131124 CTO131124 DDK131124 DNG131124 DXC131124 EGY131124 EQU131124 FAQ131124 FKM131124 FUI131124 GEE131124 GOA131124 GXW131124 HHS131124 HRO131124 IBK131124 ILG131124 IVC131124 JEY131124 JOU131124 JYQ131124 KIM131124 KSI131124 LCE131124 LMA131124 LVW131124 MFS131124 MPO131124 MZK131124 NJG131124 NTC131124 OCY131124 OMU131124 OWQ131124 PGM131124 PQI131124 QAE131124 QKA131124 QTW131124 RDS131124 RNO131124 RXK131124 SHG131124 SRC131124 TAY131124 TKU131124 TUQ131124 UEM131124 UOI131124 UYE131124 VIA131124 VRW131124 WBS131124 WLO131124 WVK131124 D196667 IY196660 SU196660 ACQ196660 AMM196660 AWI196660 BGE196660 BQA196660 BZW196660 CJS196660 CTO196660 DDK196660 DNG196660 DXC196660 EGY196660 EQU196660 FAQ196660 FKM196660 FUI196660 GEE196660 GOA196660 GXW196660 HHS196660 HRO196660 IBK196660 ILG196660 IVC196660 JEY196660 JOU196660 JYQ196660 KIM196660 KSI196660 LCE196660 LMA196660 LVW196660 MFS196660 MPO196660 MZK196660 NJG196660 NTC196660 OCY196660 OMU196660 OWQ196660 PGM196660 PQI196660 QAE196660 QKA196660 QTW196660 RDS196660 RNO196660 RXK196660 SHG196660 SRC196660 TAY196660 TKU196660 TUQ196660 UEM196660 UOI196660 UYE196660 VIA196660 VRW196660 WBS196660 WLO196660 WVK196660 D262203 IY262196 SU262196 ACQ262196 AMM262196 AWI262196 BGE262196 BQA262196 BZW262196 CJS262196 CTO262196 DDK262196 DNG262196 DXC262196 EGY262196 EQU262196 FAQ262196 FKM262196 FUI262196 GEE262196 GOA262196 GXW262196 HHS262196 HRO262196 IBK262196 ILG262196 IVC262196 JEY262196 JOU262196 JYQ262196 KIM262196 KSI262196 LCE262196 LMA262196 LVW262196 MFS262196 MPO262196 MZK262196 NJG262196 NTC262196 OCY262196 OMU262196 OWQ262196 PGM262196 PQI262196 QAE262196 QKA262196 QTW262196 RDS262196 RNO262196 RXK262196 SHG262196 SRC262196 TAY262196 TKU262196 TUQ262196 UEM262196 UOI262196 UYE262196 VIA262196 VRW262196 WBS262196 WLO262196 WVK262196 D327739 IY327732 SU327732 ACQ327732 AMM327732 AWI327732 BGE327732 BQA327732 BZW327732 CJS327732 CTO327732 DDK327732 DNG327732 DXC327732 EGY327732 EQU327732 FAQ327732 FKM327732 FUI327732 GEE327732 GOA327732 GXW327732 HHS327732 HRO327732 IBK327732 ILG327732 IVC327732 JEY327732 JOU327732 JYQ327732 KIM327732 KSI327732 LCE327732 LMA327732 LVW327732 MFS327732 MPO327732 MZK327732 NJG327732 NTC327732 OCY327732 OMU327732 OWQ327732 PGM327732 PQI327732 QAE327732 QKA327732 QTW327732 RDS327732 RNO327732 RXK327732 SHG327732 SRC327732 TAY327732 TKU327732 TUQ327732 UEM327732 UOI327732 UYE327732 VIA327732 VRW327732 WBS327732 WLO327732 WVK327732 D393275 IY393268 SU393268 ACQ393268 AMM393268 AWI393268 BGE393268 BQA393268 BZW393268 CJS393268 CTO393268 DDK393268 DNG393268 DXC393268 EGY393268 EQU393268 FAQ393268 FKM393268 FUI393268 GEE393268 GOA393268 GXW393268 HHS393268 HRO393268 IBK393268 ILG393268 IVC393268 JEY393268 JOU393268 JYQ393268 KIM393268 KSI393268 LCE393268 LMA393268 LVW393268 MFS393268 MPO393268 MZK393268 NJG393268 NTC393268 OCY393268 OMU393268 OWQ393268 PGM393268 PQI393268 QAE393268 QKA393268 QTW393268 RDS393268 RNO393268 RXK393268 SHG393268 SRC393268 TAY393268 TKU393268 TUQ393268 UEM393268 UOI393268 UYE393268 VIA393268 VRW393268 WBS393268 WLO393268 WVK393268 D458811 IY458804 SU458804 ACQ458804 AMM458804 AWI458804 BGE458804 BQA458804 BZW458804 CJS458804 CTO458804 DDK458804 DNG458804 DXC458804 EGY458804 EQU458804 FAQ458804 FKM458804 FUI458804 GEE458804 GOA458804 GXW458804 HHS458804 HRO458804 IBK458804 ILG458804 IVC458804 JEY458804 JOU458804 JYQ458804 KIM458804 KSI458804 LCE458804 LMA458804 LVW458804 MFS458804 MPO458804 MZK458804 NJG458804 NTC458804 OCY458804 OMU458804 OWQ458804 PGM458804 PQI458804 QAE458804 QKA458804 QTW458804 RDS458804 RNO458804 RXK458804 SHG458804 SRC458804 TAY458804 TKU458804 TUQ458804 UEM458804 UOI458804 UYE458804 VIA458804 VRW458804 WBS458804 WLO458804 WVK458804 D524347 IY524340 SU524340 ACQ524340 AMM524340 AWI524340 BGE524340 BQA524340 BZW524340 CJS524340 CTO524340 DDK524340 DNG524340 DXC524340 EGY524340 EQU524340 FAQ524340 FKM524340 FUI524340 GEE524340 GOA524340 GXW524340 HHS524340 HRO524340 IBK524340 ILG524340 IVC524340 JEY524340 JOU524340 JYQ524340 KIM524340 KSI524340 LCE524340 LMA524340 LVW524340 MFS524340 MPO524340 MZK524340 NJG524340 NTC524340 OCY524340 OMU524340 OWQ524340 PGM524340 PQI524340 QAE524340 QKA524340 QTW524340 RDS524340 RNO524340 RXK524340 SHG524340 SRC524340 TAY524340 TKU524340 TUQ524340 UEM524340 UOI524340 UYE524340 VIA524340 VRW524340 WBS524340 WLO524340 WVK524340 D589883 IY589876 SU589876 ACQ589876 AMM589876 AWI589876 BGE589876 BQA589876 BZW589876 CJS589876 CTO589876 DDK589876 DNG589876 DXC589876 EGY589876 EQU589876 FAQ589876 FKM589876 FUI589876 GEE589876 GOA589876 GXW589876 HHS589876 HRO589876 IBK589876 ILG589876 IVC589876 JEY589876 JOU589876 JYQ589876 KIM589876 KSI589876 LCE589876 LMA589876 LVW589876 MFS589876 MPO589876 MZK589876 NJG589876 NTC589876 OCY589876 OMU589876 OWQ589876 PGM589876 PQI589876 QAE589876 QKA589876 QTW589876 RDS589876 RNO589876 RXK589876 SHG589876 SRC589876 TAY589876 TKU589876 TUQ589876 UEM589876 UOI589876 UYE589876 VIA589876 VRW589876 WBS589876 WLO589876 WVK589876 D655419 IY655412 SU655412 ACQ655412 AMM655412 AWI655412 BGE655412 BQA655412 BZW655412 CJS655412 CTO655412 DDK655412 DNG655412 DXC655412 EGY655412 EQU655412 FAQ655412 FKM655412 FUI655412 GEE655412 GOA655412 GXW655412 HHS655412 HRO655412 IBK655412 ILG655412 IVC655412 JEY655412 JOU655412 JYQ655412 KIM655412 KSI655412 LCE655412 LMA655412 LVW655412 MFS655412 MPO655412 MZK655412 NJG655412 NTC655412 OCY655412 OMU655412 OWQ655412 PGM655412 PQI655412 QAE655412 QKA655412 QTW655412 RDS655412 RNO655412 RXK655412 SHG655412 SRC655412 TAY655412 TKU655412 TUQ655412 UEM655412 UOI655412 UYE655412 VIA655412 VRW655412 WBS655412 WLO655412 WVK655412 D720955 IY720948 SU720948 ACQ720948 AMM720948 AWI720948 BGE720948 BQA720948 BZW720948 CJS720948 CTO720948 DDK720948 DNG720948 DXC720948 EGY720948 EQU720948 FAQ720948 FKM720948 FUI720948 GEE720948 GOA720948 GXW720948 HHS720948 HRO720948 IBK720948 ILG720948 IVC720948 JEY720948 JOU720948 JYQ720948 KIM720948 KSI720948 LCE720948 LMA720948 LVW720948 MFS720948 MPO720948 MZK720948 NJG720948 NTC720948 OCY720948 OMU720948 OWQ720948 PGM720948 PQI720948 QAE720948 QKA720948 QTW720948 RDS720948 RNO720948 RXK720948 SHG720948 SRC720948 TAY720948 TKU720948 TUQ720948 UEM720948 UOI720948 UYE720948 VIA720948 VRW720948 WBS720948 WLO720948 WVK720948 D786491 IY786484 SU786484 ACQ786484 AMM786484 AWI786484 BGE786484 BQA786484 BZW786484 CJS786484 CTO786484 DDK786484 DNG786484 DXC786484 EGY786484 EQU786484 FAQ786484 FKM786484 FUI786484 GEE786484 GOA786484 GXW786484 HHS786484 HRO786484 IBK786484 ILG786484 IVC786484 JEY786484 JOU786484 JYQ786484 KIM786484 KSI786484 LCE786484 LMA786484 LVW786484 MFS786484 MPO786484 MZK786484 NJG786484 NTC786484 OCY786484 OMU786484 OWQ786484 PGM786484 PQI786484 QAE786484 QKA786484 QTW786484 RDS786484 RNO786484 RXK786484 SHG786484 SRC786484 TAY786484 TKU786484 TUQ786484 UEM786484 UOI786484 UYE786484 VIA786484 VRW786484 WBS786484 WLO786484 WVK786484 D852027 IY852020 SU852020 ACQ852020 AMM852020 AWI852020 BGE852020 BQA852020 BZW852020 CJS852020 CTO852020 DDK852020 DNG852020 DXC852020 EGY852020 EQU852020 FAQ852020 FKM852020 FUI852020 GEE852020 GOA852020 GXW852020 HHS852020 HRO852020 IBK852020 ILG852020 IVC852020 JEY852020 JOU852020 JYQ852020 KIM852020 KSI852020 LCE852020 LMA852020 LVW852020 MFS852020 MPO852020 MZK852020 NJG852020 NTC852020 OCY852020 OMU852020 OWQ852020 PGM852020 PQI852020 QAE852020 QKA852020 QTW852020 RDS852020 RNO852020 RXK852020 SHG852020 SRC852020 TAY852020 TKU852020 TUQ852020 UEM852020 UOI852020 UYE852020 VIA852020 VRW852020 WBS852020 WLO852020 WVK852020 D917563 IY917556 SU917556 ACQ917556 AMM917556 AWI917556 BGE917556 BQA917556 BZW917556 CJS917556 CTO917556 DDK917556 DNG917556 DXC917556 EGY917556 EQU917556 FAQ917556 FKM917556 FUI917556 GEE917556 GOA917556 GXW917556 HHS917556 HRO917556 IBK917556 ILG917556 IVC917556 JEY917556 JOU917556 JYQ917556 KIM917556 KSI917556 LCE917556 LMA917556 LVW917556 MFS917556 MPO917556 MZK917556 NJG917556 NTC917556 OCY917556 OMU917556 OWQ917556 PGM917556 PQI917556 QAE917556 QKA917556 QTW917556 RDS917556 RNO917556 RXK917556 SHG917556 SRC917556 TAY917556 TKU917556 TUQ917556 UEM917556 UOI917556 UYE917556 VIA917556 VRW917556 WBS917556 WLO917556 WVK917556 D983099 IY983092 SU983092 ACQ983092 AMM983092 AWI983092 BGE983092 BQA983092 BZW983092 CJS983092 CTO983092 DDK983092 DNG983092 DXC983092 EGY983092 EQU983092 FAQ983092 FKM983092 FUI983092 GEE983092 GOA983092 GXW983092 HHS983092 HRO983092 IBK983092 ILG983092 IVC983092 JEY983092 JOU983092 JYQ983092 KIM983092 KSI983092 LCE983092 LMA983092 LVW983092 MFS983092 MPO983092 MZK983092 NJG983092 NTC983092 OCY983092 OMU983092 OWQ983092 PGM983092 PQI983092 QAE983092 QKA983092 QTW983092 RDS983092 RNO983092 RXK983092 SHG983092 SRC983092 TAY983092 TKU983092 TUQ983092 UEM983092 UOI983092 UYE983092 VIA983092 VRW983092 WBS983092 WLO983092" xr:uid="{00000000-0002-0000-0900-000002000000}">
      <formula1>"　,満たす,満たさない"</formula1>
    </dataValidation>
    <dataValidation type="list" showInputMessage="1" showErrorMessage="1" sqref="B48 B50 B52" xr:uid="{00000000-0002-0000-0900-000003000000}">
      <formula1>$U$2:$U$3</formula1>
    </dataValidation>
  </dataValidations>
  <pageMargins left="0.70866141732283472" right="0.70866141732283472" top="0.74803149606299213" bottom="0.74803149606299213" header="0.31496062992125984" footer="0.31496062992125984"/>
  <pageSetup paperSize="9" scale="70" orientation="portrait" r:id="rId3"/>
  <rowBreaks count="1" manualBreakCount="1">
    <brk id="44" max="16"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77572-3BC8-448D-B467-2CB5E9CF6B34}">
  <sheetPr>
    <tabColor theme="1"/>
  </sheetPr>
  <dimension ref="A1"/>
  <sheetViews>
    <sheetView workbookViewId="0">
      <selection activeCell="H40" sqref="H40"/>
    </sheetView>
  </sheetViews>
  <sheetFormatPr defaultRowHeight="13.5"/>
  <sheetData/>
  <sheetProtection algorithmName="SHA-512" hashValue="R8YUod2fZ9m/InhLcfmKEaOaG3peiLZsaOyXcWvi6Ld0nfnc4refE4wSmAeUhEJcedLeYsZx9Ys8KlM4d3pdIw==" saltValue="ERR7FyjASxf8Yr7HEwFJNw==" spinCount="100000" sheet="1" objects="1" scenarios="1"/>
  <phoneticPr fontId="6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61</vt:i4>
      </vt:variant>
    </vt:vector>
  </HeadingPairs>
  <TitlesOfParts>
    <vt:vector size="110" baseType="lpstr">
      <vt:lpstr>やること</vt:lpstr>
      <vt:lpstr>入力方法</vt:lpstr>
      <vt:lpstr>チェック表</vt:lpstr>
      <vt:lpstr>人数試算の手順</vt:lpstr>
      <vt:lpstr>全員入力</vt:lpstr>
      <vt:lpstr>入力（基本)</vt:lpstr>
      <vt:lpstr>入力（児童数-本園)</vt:lpstr>
      <vt:lpstr>入力（児童数-分園)</vt:lpstr>
      <vt:lpstr>保育所</vt:lpstr>
      <vt:lpstr>入力（加算）保</vt:lpstr>
      <vt:lpstr>【試算用】様式3(保)</vt:lpstr>
      <vt:lpstr>幼稚園</vt:lpstr>
      <vt:lpstr>入力（加算）幼</vt:lpstr>
      <vt:lpstr>【試算用】様式3(幼)</vt:lpstr>
      <vt:lpstr>認定こども園</vt:lpstr>
      <vt:lpstr>入力（加算）認</vt:lpstr>
      <vt:lpstr>【試算用】様式3(認)</vt:lpstr>
      <vt:lpstr>小規模A、事業所内１９</vt:lpstr>
      <vt:lpstr>入力（加算）A</vt:lpstr>
      <vt:lpstr>入力（加算）事19</vt:lpstr>
      <vt:lpstr>【試算用】様式3(A・事19)</vt:lpstr>
      <vt:lpstr>事業所内２０</vt:lpstr>
      <vt:lpstr>入力（加算）事20</vt:lpstr>
      <vt:lpstr>【試算用】様式3(事20)</vt:lpstr>
      <vt:lpstr>家庭的</vt:lpstr>
      <vt:lpstr>入力（加算）家</vt:lpstr>
      <vt:lpstr>【試算用】様式3(家)</vt:lpstr>
      <vt:lpstr>単価表</vt:lpstr>
      <vt:lpstr>保育所1</vt:lpstr>
      <vt:lpstr>保育所2</vt:lpstr>
      <vt:lpstr>保育所３</vt:lpstr>
      <vt:lpstr>幼稚園1</vt:lpstr>
      <vt:lpstr>幼稚園2</vt:lpstr>
      <vt:lpstr>幼稚園３</vt:lpstr>
      <vt:lpstr>認定こども園１号①</vt:lpstr>
      <vt:lpstr>認定こども園１号②</vt:lpstr>
      <vt:lpstr>認定子ども園１号➂</vt:lpstr>
      <vt:lpstr>認定こども園２・３号①</vt:lpstr>
      <vt:lpstr>認定こども園２・３号②</vt:lpstr>
      <vt:lpstr>認定こども絵の2・3号➂</vt:lpstr>
      <vt:lpstr>小規模A</vt:lpstr>
      <vt:lpstr>小規模A2</vt:lpstr>
      <vt:lpstr>家庭的保育事業</vt:lpstr>
      <vt:lpstr>家庭的②</vt:lpstr>
      <vt:lpstr>事業所内保育事業（19人以下A）</vt:lpstr>
      <vt:lpstr>事業所A②</vt:lpstr>
      <vt:lpstr>事業所内保育事業（20人以上）</vt:lpstr>
      <vt:lpstr>事業所20②</vt:lpstr>
      <vt:lpstr>(旧）様式6-2</vt:lpstr>
      <vt:lpstr>'(旧）様式6-2'!Print_Area</vt:lpstr>
      <vt:lpstr>'【試算用】様式3(A・事19)'!Print_Area</vt:lpstr>
      <vt:lpstr>'【試算用】様式3(家)'!Print_Area</vt:lpstr>
      <vt:lpstr>'【試算用】様式3(事20)'!Print_Area</vt:lpstr>
      <vt:lpstr>'【試算用】様式3(認)'!Print_Area</vt:lpstr>
      <vt:lpstr>'【試算用】様式3(保)'!Print_Area</vt:lpstr>
      <vt:lpstr>'【試算用】様式3(幼)'!Print_Area</vt:lpstr>
      <vt:lpstr>チェック表!Print_Area</vt:lpstr>
      <vt:lpstr>家庭的保育事業!Print_Area</vt:lpstr>
      <vt:lpstr>'事業所内保育事業（19人以下A）'!Print_Area</vt:lpstr>
      <vt:lpstr>'事業所内保育事業（20人以上）'!Print_Area</vt:lpstr>
      <vt:lpstr>小規模A!Print_Area</vt:lpstr>
      <vt:lpstr>小規模A2!Print_Area</vt:lpstr>
      <vt:lpstr>'入力（加算）A'!Print_Area</vt:lpstr>
      <vt:lpstr>'入力（加算）家'!Print_Area</vt:lpstr>
      <vt:lpstr>'入力（加算）事19'!Print_Area</vt:lpstr>
      <vt:lpstr>'入力（加算）事20'!Print_Area</vt:lpstr>
      <vt:lpstr>'入力（加算）認'!Print_Area</vt:lpstr>
      <vt:lpstr>'入力（加算）保'!Print_Area</vt:lpstr>
      <vt:lpstr>'入力（加算）幼'!Print_Area</vt:lpstr>
      <vt:lpstr>'入力（基本)'!Print_Area</vt:lpstr>
      <vt:lpstr>'入力（児童数-分園)'!Print_Area</vt:lpstr>
      <vt:lpstr>'入力（児童数-本園)'!Print_Area</vt:lpstr>
      <vt:lpstr>入力方法!Print_Area</vt:lpstr>
      <vt:lpstr>認定こども園１号①!Print_Area</vt:lpstr>
      <vt:lpstr>認定こども園１号②!Print_Area</vt:lpstr>
      <vt:lpstr>認定こども園２・３号①!Print_Area</vt:lpstr>
      <vt:lpstr>認定こども園２・３号②!Print_Area</vt:lpstr>
      <vt:lpstr>認定こども絵の2・3号➂!Print_Area</vt:lpstr>
      <vt:lpstr>保育所1!Print_Area</vt:lpstr>
      <vt:lpstr>保育所2!Print_Area</vt:lpstr>
      <vt:lpstr>保育所３!Print_Area</vt:lpstr>
      <vt:lpstr>幼稚園1!Print_Area</vt:lpstr>
      <vt:lpstr>幼稚園2!Print_Area</vt:lpstr>
      <vt:lpstr>幼稚園３!Print_Area</vt:lpstr>
      <vt:lpstr>家庭的保育事業!Print_Titles</vt:lpstr>
      <vt:lpstr>'事業所内保育事業（19人以下A）'!Print_Titles</vt:lpstr>
      <vt:lpstr>'事業所内保育事業（20人以上）'!Print_Titles</vt:lpstr>
      <vt:lpstr>小規模A!Print_Titles</vt:lpstr>
      <vt:lpstr>'入力（児童数-分園)'!Print_Titles</vt:lpstr>
      <vt:lpstr>'入力（児童数-本園)'!Print_Titles</vt:lpstr>
      <vt:lpstr>認定こども園２・３号①!Print_Titles</vt:lpstr>
      <vt:lpstr>認定こども絵の2・3号➂!Print_Titles</vt:lpstr>
      <vt:lpstr>認定子ども園１号➂!Print_Titles</vt:lpstr>
      <vt:lpstr>保育所1!Print_Titles</vt:lpstr>
      <vt:lpstr>保育所３!Print_Titles</vt:lpstr>
      <vt:lpstr>幼稚園３!Print_Titles</vt:lpstr>
      <vt:lpstr>事⑳０</vt:lpstr>
      <vt:lpstr>事⑳１</vt:lpstr>
      <vt:lpstr>事Ａ０</vt:lpstr>
      <vt:lpstr>事Ａ１</vt:lpstr>
      <vt:lpstr>小Ａ０</vt:lpstr>
      <vt:lpstr>小Ａ１</vt:lpstr>
      <vt:lpstr>認保０</vt:lpstr>
      <vt:lpstr>認保１</vt:lpstr>
      <vt:lpstr>認保３</vt:lpstr>
      <vt:lpstr>認保４</vt:lpstr>
      <vt:lpstr>保０</vt:lpstr>
      <vt:lpstr>保１</vt:lpstr>
      <vt:lpstr>保３</vt:lpstr>
      <vt:lpstr>保４</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札幌市子ども未来局</dc:creator>
  <cp:lastPrinted>2021-08-06T00:42:19Z</cp:lastPrinted>
  <dcterms:created xsi:type="dcterms:W3CDTF">2006-09-16T00:00:00Z</dcterms:created>
  <dcterms:modified xsi:type="dcterms:W3CDTF">2023-07-13T05:09:28Z</dcterms:modified>
</cp:coreProperties>
</file>