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intranet-fs1\子ども未来局\243給付係\05：研修・説明会等\R6.7.22〆移行園向け説明会の動画資料作成について\作業③\02_移行園向け資料\作業用\"/>
    </mc:Choice>
  </mc:AlternateContent>
  <xr:revisionPtr revIDLastSave="0" documentId="13_ncr:1_{EBF03538-BAAD-44AD-B40D-FD041E8DF2B1}" xr6:coauthVersionLast="47" xr6:coauthVersionMax="47" xr10:uidLastSave="{00000000-0000-0000-0000-000000000000}"/>
  <workbookProtection workbookAlgorithmName="SHA-512" workbookHashValue="T1j0Sg+LWr6nDsDK2/q4PwEH5w0ZLZdVDF55qAE+rPK1vPD5bXgSObHd/YXJP4BL5LfavTtv9a7Wh8xQSNExYg==" workbookSaltValue="Ugp9tU0TYiELlZsYYflDYA==" workbookSpinCount="100000" lockStructure="1"/>
  <bookViews>
    <workbookView xWindow="57480" yWindow="75" windowWidth="29040" windowHeight="15840" tabRatio="909" firstSheet="3" activeTab="3" xr2:uid="{00000000-000D-0000-FFFF-FFFF00000000}"/>
  </bookViews>
  <sheets>
    <sheet name="やること" sheetId="67" state="hidden" r:id="rId1"/>
    <sheet name="入力方法" sheetId="2" state="hidden" r:id="rId2"/>
    <sheet name="チェック表" sheetId="60" state="hidden" r:id="rId3"/>
    <sheet name="人数試算の手順" sheetId="76" r:id="rId4"/>
    <sheet name="全員入力" sheetId="54" r:id="rId5"/>
    <sheet name="入力（児童数-本園)" sheetId="7" r:id="rId6"/>
    <sheet name="入力（児童数-分園)" sheetId="8" r:id="rId7"/>
    <sheet name="保育所" sheetId="80" r:id="rId8"/>
    <sheet name="入力（加算）保" sheetId="9" r:id="rId9"/>
    <sheet name="【試算用】様式3(保)" sheetId="37" r:id="rId10"/>
    <sheet name="幼稚園" sheetId="83" r:id="rId11"/>
    <sheet name="入力（加算）幼" sheetId="10" r:id="rId12"/>
    <sheet name="【試算用】様式3(幼)" sheetId="38" r:id="rId13"/>
    <sheet name="認定こども園" sheetId="81" r:id="rId14"/>
    <sheet name="入力（加算）認" sheetId="11" r:id="rId15"/>
    <sheet name="【試算用】様式3(認)" sheetId="39" r:id="rId16"/>
    <sheet name="小規模A、事業所内１９" sheetId="82" r:id="rId17"/>
    <sheet name="入力（加算）A" sheetId="12" r:id="rId18"/>
    <sheet name="入力（加算）事19" sheetId="14" r:id="rId19"/>
    <sheet name="【試算用】様式3(A・事19)" sheetId="40" r:id="rId20"/>
    <sheet name="事業所内２０" sheetId="78" r:id="rId21"/>
    <sheet name="入力（加算）事20" sheetId="15" r:id="rId22"/>
    <sheet name="【試算用】様式3(事20)" sheetId="41" r:id="rId23"/>
    <sheet name="家庭的" sheetId="79" r:id="rId24"/>
    <sheet name="入力（加算）家" sheetId="13" r:id="rId25"/>
    <sheet name="【試算用】様式3(家)" sheetId="42" r:id="rId26"/>
  </sheets>
  <externalReferences>
    <externalReference r:id="rId27"/>
  </externalReferences>
  <definedNames>
    <definedName name="a">#REF!</definedName>
    <definedName name="aaaa">#REF!</definedName>
    <definedName name="b">#REF!</definedName>
    <definedName name="d">#REF!</definedName>
    <definedName name="_xlnm.Print_Area" localSheetId="19">'【試算用】様式3(A・事19)'!$A$1:$J$39</definedName>
    <definedName name="_xlnm.Print_Area" localSheetId="25">'【試算用】様式3(家)'!$A$1:$J$21</definedName>
    <definedName name="_xlnm.Print_Area" localSheetId="22">'【試算用】様式3(事20)'!$A$1:$J$38</definedName>
    <definedName name="_xlnm.Print_Area" localSheetId="15">'【試算用】様式3(認)'!$A$1:$L$65</definedName>
    <definedName name="_xlnm.Print_Area" localSheetId="9">'【試算用】様式3(保)'!$A$1:$L$50</definedName>
    <definedName name="_xlnm.Print_Area" localSheetId="12">'【試算用】様式3(幼)'!$A$1:$I$48</definedName>
    <definedName name="_xlnm.Print_Area" localSheetId="2">チェック表!$A$1:$E$36</definedName>
    <definedName name="_xlnm.Print_Area" localSheetId="17">'入力（加算）A'!$A$1:$Q$66</definedName>
    <definedName name="_xlnm.Print_Area" localSheetId="24">'入力（加算）家'!$A$1:$Q$57</definedName>
    <definedName name="_xlnm.Print_Area" localSheetId="18">'入力（加算）事19'!$A$1:$Q$62</definedName>
    <definedName name="_xlnm.Print_Area" localSheetId="21">'入力（加算）事20'!$A$1:$Q$62</definedName>
    <definedName name="_xlnm.Print_Area" localSheetId="14">'入力（加算）認'!$A$1:$W$92</definedName>
    <definedName name="_xlnm.Print_Area" localSheetId="8">'入力（加算）保'!$A$1:$S$72</definedName>
    <definedName name="_xlnm.Print_Area" localSheetId="11">'入力（加算）幼'!$A$1:$V$54</definedName>
    <definedName name="_xlnm.Print_Area" localSheetId="6">'入力（児童数-分園)'!$A$1:$Q$71</definedName>
    <definedName name="_xlnm.Print_Area" localSheetId="5">'入力（児童数-本園)'!$A$1:$Q$89</definedName>
    <definedName name="_xlnm.Print_Area" localSheetId="1">入力方法!$A$2:$C$14</definedName>
    <definedName name="_xlnm.Print_Titles" localSheetId="6">'入力（児童数-分園)'!$1:$4</definedName>
    <definedName name="_xlnm.Print_Titles" localSheetId="5">'入力（児童数-本園)'!$1:$4</definedName>
    <definedName name="Z_2E52E5FF_9846_4DC5_A671_268FE925398C_.wvu.Cols" localSheetId="17" hidden="1">'入力（加算）A'!$R:$AD</definedName>
    <definedName name="Z_2E52E5FF_9846_4DC5_A671_268FE925398C_.wvu.Cols" localSheetId="24" hidden="1">'入力（加算）家'!$R:$AB</definedName>
    <definedName name="Z_2E52E5FF_9846_4DC5_A671_268FE925398C_.wvu.Cols" localSheetId="18" hidden="1">'入力（加算）事19'!$R:$AD</definedName>
    <definedName name="Z_2E52E5FF_9846_4DC5_A671_268FE925398C_.wvu.Cols" localSheetId="21" hidden="1">'入力（加算）事20'!$R:$AD</definedName>
    <definedName name="Z_2E52E5FF_9846_4DC5_A671_268FE925398C_.wvu.Cols" localSheetId="14" hidden="1">'入力（加算）認'!$X:$AS</definedName>
    <definedName name="Z_2E52E5FF_9846_4DC5_A671_268FE925398C_.wvu.Cols" localSheetId="8" hidden="1">'入力（加算）保'!$T:$AL</definedName>
    <definedName name="Z_2E52E5FF_9846_4DC5_A671_268FE925398C_.wvu.PrintArea" localSheetId="19" hidden="1">'【試算用】様式3(A・事19)'!$A$1:$I$32</definedName>
    <definedName name="Z_2E52E5FF_9846_4DC5_A671_268FE925398C_.wvu.PrintArea" localSheetId="25" hidden="1">'【試算用】様式3(家)'!$A$1:$I$15</definedName>
    <definedName name="Z_2E52E5FF_9846_4DC5_A671_268FE925398C_.wvu.PrintArea" localSheetId="22" hidden="1">'【試算用】様式3(事20)'!$A$1:$I$30</definedName>
    <definedName name="Z_2E52E5FF_9846_4DC5_A671_268FE925398C_.wvu.PrintArea" localSheetId="15" hidden="1">'【試算用】様式3(認)'!$A$1:$L$60</definedName>
    <definedName name="Z_2E52E5FF_9846_4DC5_A671_268FE925398C_.wvu.PrintArea" localSheetId="9" hidden="1">'【試算用】様式3(保)'!$A$1:$L$46</definedName>
    <definedName name="Z_2E52E5FF_9846_4DC5_A671_268FE925398C_.wvu.PrintArea" localSheetId="12" hidden="1">'【試算用】様式3(幼)'!$A$1:$I$42</definedName>
    <definedName name="Z_2E52E5FF_9846_4DC5_A671_268FE925398C_.wvu.PrintArea" localSheetId="17" hidden="1">'入力（加算）A'!$A$1:$Q$51</definedName>
    <definedName name="Z_2E52E5FF_9846_4DC5_A671_268FE925398C_.wvu.PrintArea" localSheetId="24" hidden="1">'入力（加算）家'!$A$1:$Q$46</definedName>
    <definedName name="Z_2E52E5FF_9846_4DC5_A671_268FE925398C_.wvu.PrintArea" localSheetId="18" hidden="1">'入力（加算）事19'!$A$1:$Q$52</definedName>
    <definedName name="Z_2E52E5FF_9846_4DC5_A671_268FE925398C_.wvu.PrintArea" localSheetId="21" hidden="1">'入力（加算）事20'!$A$1:$Q$52</definedName>
    <definedName name="Z_2E52E5FF_9846_4DC5_A671_268FE925398C_.wvu.PrintArea" localSheetId="14" hidden="1">'入力（加算）認'!$A$1:$V$88</definedName>
    <definedName name="Z_2E52E5FF_9846_4DC5_A671_268FE925398C_.wvu.PrintArea" localSheetId="8" hidden="1">'入力（加算）保'!$A$1:$S$70</definedName>
    <definedName name="Z_2E52E5FF_9846_4DC5_A671_268FE925398C_.wvu.PrintArea" localSheetId="11" hidden="1">'入力（加算）幼'!$A$1:$V$46</definedName>
    <definedName name="Z_2E52E5FF_9846_4DC5_A671_268FE925398C_.wvu.PrintArea" localSheetId="6" hidden="1">'入力（児童数-分園)'!$A$1:$Q$71</definedName>
    <definedName name="Z_2E52E5FF_9846_4DC5_A671_268FE925398C_.wvu.PrintArea" localSheetId="5" hidden="1">'入力（児童数-本園)'!$A$1:$Q$89</definedName>
    <definedName name="Z_2E52E5FF_9846_4DC5_A671_268FE925398C_.wvu.PrintArea" localSheetId="1" hidden="1">入力方法!$B$2:$C$24</definedName>
    <definedName name="Z_2E52E5FF_9846_4DC5_A671_268FE925398C_.wvu.PrintTitles" localSheetId="6" hidden="1">'入力（児童数-分園)'!$1:$5</definedName>
    <definedName name="Z_2E52E5FF_9846_4DC5_A671_268FE925398C_.wvu.PrintTitles" localSheetId="5" hidden="1">'入力（児童数-本園)'!$1:$5</definedName>
    <definedName name="Z_BADA99B3_B36A_4925_87A7_F72FC97D3DBA_.wvu.PrintArea" localSheetId="19" hidden="1">'【試算用】様式3(A・事19)'!$A$1:$I$32</definedName>
    <definedName name="Z_BADA99B3_B36A_4925_87A7_F72FC97D3DBA_.wvu.PrintArea" localSheetId="25" hidden="1">'【試算用】様式3(家)'!$A$1:$I$15</definedName>
    <definedName name="Z_BADA99B3_B36A_4925_87A7_F72FC97D3DBA_.wvu.PrintArea" localSheetId="22" hidden="1">'【試算用】様式3(事20)'!$A$1:$I$30</definedName>
    <definedName name="Z_BADA99B3_B36A_4925_87A7_F72FC97D3DBA_.wvu.PrintArea" localSheetId="15" hidden="1">'【試算用】様式3(認)'!$A$1:$L$60</definedName>
    <definedName name="Z_BADA99B3_B36A_4925_87A7_F72FC97D3DBA_.wvu.PrintArea" localSheetId="9" hidden="1">'【試算用】様式3(保)'!$A$1:$L$46</definedName>
    <definedName name="Z_BADA99B3_B36A_4925_87A7_F72FC97D3DBA_.wvu.PrintArea" localSheetId="12" hidden="1">'【試算用】様式3(幼)'!$A$1:$I$42</definedName>
    <definedName name="Z_BADA99B3_B36A_4925_87A7_F72FC97D3DBA_.wvu.PrintArea" localSheetId="17" hidden="1">'入力（加算）A'!$A$1:$Q$51</definedName>
    <definedName name="Z_BADA99B3_B36A_4925_87A7_F72FC97D3DBA_.wvu.PrintArea" localSheetId="24" hidden="1">'入力（加算）家'!$A$1:$Q$46</definedName>
    <definedName name="Z_BADA99B3_B36A_4925_87A7_F72FC97D3DBA_.wvu.PrintArea" localSheetId="18" hidden="1">'入力（加算）事19'!$A$1:$Q$52</definedName>
    <definedName name="Z_BADA99B3_B36A_4925_87A7_F72FC97D3DBA_.wvu.PrintArea" localSheetId="21" hidden="1">'入力（加算）事20'!$A$1:$Q$52</definedName>
    <definedName name="Z_BADA99B3_B36A_4925_87A7_F72FC97D3DBA_.wvu.PrintArea" localSheetId="14" hidden="1">'入力（加算）認'!$A$1:$V$88</definedName>
    <definedName name="Z_BADA99B3_B36A_4925_87A7_F72FC97D3DBA_.wvu.PrintArea" localSheetId="8" hidden="1">'入力（加算）保'!$A$1:$S$70</definedName>
    <definedName name="Z_BADA99B3_B36A_4925_87A7_F72FC97D3DBA_.wvu.PrintArea" localSheetId="11" hidden="1">'入力（加算）幼'!$A$1:$V$46</definedName>
    <definedName name="Z_BADA99B3_B36A_4925_87A7_F72FC97D3DBA_.wvu.PrintArea" localSheetId="6" hidden="1">'入力（児童数-分園)'!$A$1:$Q$71</definedName>
    <definedName name="Z_BADA99B3_B36A_4925_87A7_F72FC97D3DBA_.wvu.PrintArea" localSheetId="5" hidden="1">'入力（児童数-本園)'!$A$1:$Q$89</definedName>
    <definedName name="Z_BADA99B3_B36A_4925_87A7_F72FC97D3DBA_.wvu.PrintArea" localSheetId="1" hidden="1">入力方法!$B$2:$C$24</definedName>
    <definedName name="Z_BADA99B3_B36A_4925_87A7_F72FC97D3DBA_.wvu.PrintTitles" localSheetId="6" hidden="1">'入力（児童数-分園)'!$1:$5</definedName>
    <definedName name="Z_BADA99B3_B36A_4925_87A7_F72FC97D3DBA_.wvu.PrintTitles" localSheetId="5" hidden="1">'入力（児童数-本園)'!$1:$5</definedName>
    <definedName name="家庭的" localSheetId="6">#REF!</definedName>
    <definedName name="家庭的">#REF!</definedName>
    <definedName name="家庭的保育">#REF!</definedName>
    <definedName name="概算交付申出書">#REF!</definedName>
    <definedName name="区分１">#REF!</definedName>
    <definedName name="区分２">#REF!</definedName>
    <definedName name="区分３">#REF!</definedName>
    <definedName name="雇用形態" localSheetId="6">#REF!</definedName>
    <definedName name="雇用形態">#REF!</definedName>
    <definedName name="雇用形態②" localSheetId="6">#REF!</definedName>
    <definedName name="雇用形態②">#REF!</definedName>
    <definedName name="公設民営">#REF!</definedName>
    <definedName name="厚別区01私立01保育所">#REF!</definedName>
    <definedName name="厚別区01私立02幼稚園">#REF!</definedName>
    <definedName name="厚別区01私立03認定こども園">#REF!</definedName>
    <definedName name="厚別区01私立04小規模A・B・C">#REF!</definedName>
    <definedName name="厚別区03公立02幼稚園">#REF!</definedName>
    <definedName name="札幌市あけぼの保育園">#REF!</definedName>
    <definedName name="札幌市外01私立01保育所">#REF!</definedName>
    <definedName name="札幌市外01私立02幼稚園">#REF!</definedName>
    <definedName name="札幌市外01私立03認定こども園">#REF!</definedName>
    <definedName name="札幌市外01私立04小規模A・B・C">#REF!</definedName>
    <definedName name="札幌市外01私立06事業所内">#REF!</definedName>
    <definedName name="札幌市外02公設民営01保育所">#REF!</definedName>
    <definedName name="札幌市外03公立01保育所">#REF!</definedName>
    <definedName name="札幌市外03公立03認定こども園">#REF!</definedName>
    <definedName name="施設種別" localSheetId="6">#REF!</definedName>
    <definedName name="施設種別">#REF!</definedName>
    <definedName name="事⑳０">#REF!</definedName>
    <definedName name="事⑳１">#REF!</definedName>
    <definedName name="事Ａ０">#REF!</definedName>
    <definedName name="事Ａ１">#REF!</definedName>
    <definedName name="事業所内_19人以下Ａ" localSheetId="6">#REF!</definedName>
    <definedName name="事業所内_19人以下Ａ">#REF!</definedName>
    <definedName name="事業所内_20人以上" localSheetId="6">#REF!</definedName>
    <definedName name="事業所内_20人以上">#REF!</definedName>
    <definedName name="事業所内保育">#REF!</definedName>
    <definedName name="手稲区01私立01保育所">#REF!</definedName>
    <definedName name="手稲区01私立02幼稚園">#REF!</definedName>
    <definedName name="手稲区01私立03認定こども園">#REF!</definedName>
    <definedName name="手稲区01私立04小規模A・B・C">#REF!</definedName>
    <definedName name="手稲区01私立05家庭的">#REF!</definedName>
    <definedName name="手稲区03公立01保育所">#REF!</definedName>
    <definedName name="手稲区03公立02幼稚園">#REF!</definedName>
    <definedName name="修正後施設マスタ">#REF!</definedName>
    <definedName name="小Ａ０">#REF!</definedName>
    <definedName name="小Ａ１">#REF!</definedName>
    <definedName name="小Ｂ０" localSheetId="6">#REF!</definedName>
    <definedName name="小Ｂ０">#REF!</definedName>
    <definedName name="小Ｂ１" localSheetId="6">#REF!</definedName>
    <definedName name="小Ｂ１">#REF!</definedName>
    <definedName name="小規模Ａ型" localSheetId="6">#REF!</definedName>
    <definedName name="小規模Ａ型">#REF!</definedName>
    <definedName name="小規模Ｂ" localSheetId="6">#REF!</definedName>
    <definedName name="小規模Ｂ">#REF!</definedName>
    <definedName name="小規模保育">#REF!</definedName>
    <definedName name="職員種類" localSheetId="6">#REF!</definedName>
    <definedName name="職員種類">#REF!</definedName>
    <definedName name="職種" localSheetId="6">#REF!</definedName>
    <definedName name="職種">#REF!</definedName>
    <definedName name="清田区01私立01保育所">#REF!</definedName>
    <definedName name="清田区01私立02幼稚園">#REF!</definedName>
    <definedName name="清田区01私立03認定こども園">#REF!</definedName>
    <definedName name="清田区01私立04小規模A・B・C">#REF!</definedName>
    <definedName name="清田区01私立05家庭的">#REF!</definedName>
    <definedName name="清田区03公立03認定こども園">#REF!</definedName>
    <definedName name="西区01私立01保育所">#REF!</definedName>
    <definedName name="西区01私立02幼稚園">#REF!</definedName>
    <definedName name="西区01私立03認定こども園">#REF!</definedName>
    <definedName name="西区01私立04小規模A・B・C">#REF!</definedName>
    <definedName name="西区01私立05家庭的">#REF!</definedName>
    <definedName name="西区01私立06事業所内">#REF!</definedName>
    <definedName name="西区02公設民営01保育所">#REF!</definedName>
    <definedName name="西区03公立01保育所">#REF!</definedName>
    <definedName name="西区03公立02幼稚園">#REF!</definedName>
    <definedName name="請求書">#REF!</definedName>
    <definedName name="中央区01私立01保育所">#REF!</definedName>
    <definedName name="中央区01私立02幼稚園">#REF!</definedName>
    <definedName name="中央区01私立03認定こども園">#REF!</definedName>
    <definedName name="中央区01私立04小規模A・B・C">#REF!</definedName>
    <definedName name="中央区02公設民営01保育所">#REF!</definedName>
    <definedName name="中央区03公立01保育所">#REF!</definedName>
    <definedName name="中央区03公立02幼稚園">#REF!</definedName>
    <definedName name="中央区私立保育所">#REF!</definedName>
    <definedName name="適用" localSheetId="6">#REF!</definedName>
    <definedName name="適用">#REF!</definedName>
    <definedName name="東区01私立01保育所">#REF!</definedName>
    <definedName name="東区01私立02幼稚園">#REF!</definedName>
    <definedName name="東区01私立03認定こども園">#REF!</definedName>
    <definedName name="東区01私立04小規模A・B・C">#REF!</definedName>
    <definedName name="東区01私立05家庭的">#REF!</definedName>
    <definedName name="東区01私立06事業所内">#REF!</definedName>
    <definedName name="東区03公立01保育所">#REF!</definedName>
    <definedName name="東区03公立02幼稚園">#REF!</definedName>
    <definedName name="東区私立保育所">#REF!</definedName>
    <definedName name="南区01私立01保育所">#REF!</definedName>
    <definedName name="南区01私立02幼稚園">#REF!</definedName>
    <definedName name="南区01私立03認定こども園">#REF!</definedName>
    <definedName name="南区01私立04小規模A・B・C">#REF!</definedName>
    <definedName name="南区01私立05家庭的">#REF!</definedName>
    <definedName name="南区01私立06事業所内">#REF!</definedName>
    <definedName name="南区03公立01保育所">#REF!</definedName>
    <definedName name="南区03公立02幼稚園">#REF!</definedName>
    <definedName name="南区03公立04小規模A・B・C">#REF!</definedName>
    <definedName name="南区私立保育所">#REF!</definedName>
    <definedName name="認定こども園" localSheetId="6">#REF!</definedName>
    <definedName name="認定こども園">#REF!</definedName>
    <definedName name="認定区分">#REF!</definedName>
    <definedName name="認保０">#REF!</definedName>
    <definedName name="認保１">#REF!</definedName>
    <definedName name="認保３">#REF!</definedName>
    <definedName name="認保４">#REF!</definedName>
    <definedName name="認幼３" localSheetId="6">#REF!</definedName>
    <definedName name="認幼３">#REF!</definedName>
    <definedName name="認幼４" localSheetId="6">#REF!</definedName>
    <definedName name="認幼４">#REF!</definedName>
    <definedName name="白石区01私立01保育所">#REF!</definedName>
    <definedName name="白石区01私立02幼稚園">#REF!</definedName>
    <definedName name="白石区01私立03認定こども園">#REF!</definedName>
    <definedName name="白石区01私立04小規模A・B・C">#REF!</definedName>
    <definedName name="白石区01私立05家庭的">#REF!</definedName>
    <definedName name="白石区01私立06事業所内">#REF!</definedName>
    <definedName name="白石区03公立01保育所">#REF!</definedName>
    <definedName name="白石区03公立02幼稚園">#REF!</definedName>
    <definedName name="保０">#REF!</definedName>
    <definedName name="保１">#REF!</definedName>
    <definedName name="保３">#REF!</definedName>
    <definedName name="保４">#REF!</definedName>
    <definedName name="保育園連絡先">#REF!</definedName>
    <definedName name="保育所" localSheetId="6">#REF!</definedName>
    <definedName name="保育所">#REF!</definedName>
    <definedName name="保育所別民改費担当者一覧">#REF!</definedName>
    <definedName name="豊平区01私立01保育所">#REF!</definedName>
    <definedName name="豊平区01私立02幼稚園">#REF!</definedName>
    <definedName name="豊平区01私立03認定こども園">#REF!</definedName>
    <definedName name="豊平区01私立04小規模A・B・C">#REF!</definedName>
    <definedName name="豊平区01私立05家庭的">#REF!</definedName>
    <definedName name="豊平区01私立06事業所内">#REF!</definedName>
    <definedName name="豊平区03公立01保育所">#REF!</definedName>
    <definedName name="豊平区03公立02幼稚園">#REF!</definedName>
    <definedName name="北区01私立01保育所">#REF!</definedName>
    <definedName name="北区01私立02幼稚園">#REF!</definedName>
    <definedName name="北区01私立03認定こども園">#REF!</definedName>
    <definedName name="北区01私立04小規模A・B・C">#REF!</definedName>
    <definedName name="北区01私立05家庭的">#REF!</definedName>
    <definedName name="北区03公立01保育所">#REF!</definedName>
    <definedName name="北区03公立02幼稚園">#REF!</definedName>
    <definedName name="名前１">#REF!</definedName>
    <definedName name="名前２">#REF!</definedName>
    <definedName name="幼３歳児" localSheetId="6">#REF!</definedName>
    <definedName name="幼３歳児">#REF!</definedName>
    <definedName name="幼４歳以上" localSheetId="6">#REF!</definedName>
    <definedName name="幼４歳以上">#REF!</definedName>
    <definedName name="幼稚園" localSheetId="6">#REF!</definedName>
    <definedName name="幼稚園">#REF!</definedName>
    <definedName name="様式３">#REF!</definedName>
    <definedName name="様式４">#REF!</definedName>
    <definedName name="和暦">'[1]様式２-1(1)'!$AL$3:$AL$4</definedName>
  </definedNames>
  <calcPr calcId="191029"/>
  <customWorkbookViews>
    <customWorkbookView name="393.水内　梨加 - 個人用ビュー" guid="{2E52E5FF-9846-4DC5-A671-268FE925398C}" mergeInterval="0" personalView="1" maximized="1" xWindow="-8" yWindow="-8" windowWidth="1936" windowHeight="1056" tabRatio="909" activeSheetId="4" showComments="commIndAndComment"/>
    <customWorkbookView name="395.横山　雄基 - 個人用ビュー" guid="{BADA99B3-B36A-4925-87A7-F72FC97D3DBA}" mergeInterval="0" personalView="1" maximized="1" xWindow="-8" yWindow="-8" windowWidth="1936" windowHeight="1056" tabRatio="909" activeSheetId="1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 i="7" l="1"/>
  <c r="N8" i="40" l="1"/>
  <c r="F48" i="39" l="1"/>
  <c r="E48" i="39"/>
  <c r="E46" i="39"/>
  <c r="E45" i="39"/>
  <c r="E44" i="39"/>
  <c r="E43" i="39"/>
  <c r="E27" i="39"/>
  <c r="Q27" i="11"/>
  <c r="N27" i="11"/>
  <c r="O27" i="11"/>
  <c r="I27" i="39" l="1"/>
  <c r="H27" i="11"/>
  <c r="D29" i="38" l="1"/>
  <c r="D28" i="38"/>
  <c r="D27" i="38"/>
  <c r="D26" i="38"/>
  <c r="D18" i="38"/>
  <c r="E7" i="38"/>
  <c r="E22" i="37" l="1"/>
  <c r="I22" i="37" s="1"/>
  <c r="D8" i="41" l="1"/>
  <c r="G12" i="39"/>
  <c r="F11" i="39"/>
  <c r="F12" i="39"/>
  <c r="F10" i="39"/>
  <c r="D8" i="42"/>
  <c r="D8" i="40"/>
  <c r="D21" i="12"/>
  <c r="A2" i="37"/>
  <c r="G7" i="37"/>
  <c r="F6" i="37" s="1"/>
  <c r="F7" i="37"/>
  <c r="F9" i="39" l="1"/>
  <c r="E32" i="37"/>
  <c r="H32" i="37" s="1"/>
  <c r="F32" i="37"/>
  <c r="E33" i="37"/>
  <c r="D9" i="9"/>
  <c r="I24" i="9" s="1"/>
  <c r="I25" i="9" s="1"/>
  <c r="I26" i="9" s="1"/>
  <c r="I27" i="9" s="1"/>
  <c r="D12" i="9"/>
  <c r="AG2" i="9"/>
  <c r="I30" i="9" l="1"/>
  <c r="I31" i="9" s="1"/>
  <c r="I32" i="9" s="1"/>
  <c r="I37" i="9"/>
  <c r="I43" i="9"/>
  <c r="I44" i="9" s="1"/>
  <c r="I45" i="9" s="1"/>
  <c r="I46" i="9" s="1"/>
  <c r="I33" i="9" l="1"/>
  <c r="I38" i="9"/>
  <c r="I39" i="9" s="1"/>
  <c r="I40" i="9" s="1"/>
  <c r="J4" i="39" l="1"/>
  <c r="E41" i="39"/>
  <c r="H41" i="39" s="1"/>
  <c r="D24" i="38"/>
  <c r="F24" i="38" s="1"/>
  <c r="R6" i="40"/>
  <c r="S6" i="40"/>
  <c r="T6" i="40"/>
  <c r="U6" i="40"/>
  <c r="A52" i="9"/>
  <c r="I34" i="41"/>
  <c r="I35" i="40"/>
  <c r="I34" i="40"/>
  <c r="I62" i="39"/>
  <c r="I61" i="39"/>
  <c r="I46" i="37"/>
  <c r="I45" i="37"/>
  <c r="P33" i="42"/>
  <c r="I19" i="42"/>
  <c r="I18" i="42"/>
  <c r="E19" i="42"/>
  <c r="E18" i="42"/>
  <c r="A2" i="41"/>
  <c r="G4" i="41"/>
  <c r="H23" i="41"/>
  <c r="E20" i="41"/>
  <c r="H20" i="41" s="1"/>
  <c r="E21" i="41"/>
  <c r="H21" i="41" s="1"/>
  <c r="E22" i="41"/>
  <c r="H22" i="41" s="1"/>
  <c r="E33" i="41"/>
  <c r="I33" i="41"/>
  <c r="E34" i="41"/>
  <c r="E35" i="40"/>
  <c r="E34" i="40"/>
  <c r="E62" i="39"/>
  <c r="E61" i="39"/>
  <c r="H44" i="38"/>
  <c r="H43" i="38"/>
  <c r="E44" i="38"/>
  <c r="E43" i="38"/>
  <c r="E46" i="37"/>
  <c r="E45" i="37"/>
  <c r="I51" i="11"/>
  <c r="I52" i="11" s="1"/>
  <c r="I53" i="11" s="1"/>
  <c r="I54" i="11" s="1"/>
  <c r="B39" i="10"/>
  <c r="E31" i="37"/>
  <c r="H31" i="37" s="1"/>
  <c r="G38" i="11"/>
  <c r="G39" i="11" s="1"/>
  <c r="G40" i="11" s="1"/>
  <c r="G41" i="11" s="1"/>
  <c r="H43" i="9"/>
  <c r="H44" i="9" s="1"/>
  <c r="H45" i="9" s="1"/>
  <c r="H46" i="9" s="1"/>
  <c r="H37" i="9"/>
  <c r="H38" i="9" s="1"/>
  <c r="H39" i="9" s="1"/>
  <c r="H40" i="9" s="1"/>
  <c r="H30" i="9"/>
  <c r="H31" i="9" s="1"/>
  <c r="H32" i="9" s="1"/>
  <c r="H33" i="9" s="1"/>
  <c r="H24" i="9"/>
  <c r="E42" i="39"/>
  <c r="H42" i="39" s="1"/>
  <c r="AD2" i="14"/>
  <c r="K34" i="14" s="1"/>
  <c r="P24" i="14"/>
  <c r="P23" i="14"/>
  <c r="P19" i="14"/>
  <c r="P18" i="14"/>
  <c r="P28" i="12"/>
  <c r="P27" i="12"/>
  <c r="P23" i="12"/>
  <c r="P22" i="12"/>
  <c r="J57" i="11"/>
  <c r="J58" i="11" s="1"/>
  <c r="J59" i="11" s="1"/>
  <c r="J60" i="11" s="1"/>
  <c r="J51" i="11"/>
  <c r="J52" i="11" s="1"/>
  <c r="J53" i="11" s="1"/>
  <c r="J54" i="11" s="1"/>
  <c r="I31" i="13"/>
  <c r="I32" i="13" s="1"/>
  <c r="G44" i="11"/>
  <c r="G45" i="11" s="1"/>
  <c r="G46" i="11" s="1"/>
  <c r="G47" i="11" s="1"/>
  <c r="J38" i="11"/>
  <c r="J39" i="11" s="1"/>
  <c r="J40" i="11" s="1"/>
  <c r="J41" i="11" s="1"/>
  <c r="O18" i="10"/>
  <c r="O19" i="10" s="1"/>
  <c r="E49" i="39"/>
  <c r="E39" i="39"/>
  <c r="E30" i="37"/>
  <c r="H30" i="37" s="1"/>
  <c r="E29" i="37"/>
  <c r="H29" i="37" s="1"/>
  <c r="A15" i="60"/>
  <c r="A16" i="60"/>
  <c r="A51" i="15"/>
  <c r="J56" i="14"/>
  <c r="H21" i="13"/>
  <c r="H25" i="13" s="1"/>
  <c r="J47" i="13"/>
  <c r="B51" i="12"/>
  <c r="F21" i="13"/>
  <c r="J56" i="12"/>
  <c r="E2" i="60"/>
  <c r="E4" i="60"/>
  <c r="AR2" i="11"/>
  <c r="R32" i="11" s="1"/>
  <c r="B68" i="11"/>
  <c r="E24" i="37"/>
  <c r="I24" i="37" s="1"/>
  <c r="P34" i="42"/>
  <c r="F19" i="42" s="1"/>
  <c r="L7" i="42"/>
  <c r="L8" i="42"/>
  <c r="E38" i="39"/>
  <c r="E40" i="39"/>
  <c r="H40" i="39" s="1"/>
  <c r="E29" i="39"/>
  <c r="I29" i="39" s="1"/>
  <c r="E30" i="39"/>
  <c r="I30" i="39" s="1"/>
  <c r="E37" i="39"/>
  <c r="H37" i="39" s="1"/>
  <c r="H46" i="39"/>
  <c r="E47" i="39"/>
  <c r="H47" i="39" s="1"/>
  <c r="H48" i="39"/>
  <c r="H33" i="37"/>
  <c r="J4" i="37"/>
  <c r="H4" i="42"/>
  <c r="G4" i="40"/>
  <c r="D22" i="38"/>
  <c r="Q19" i="7"/>
  <c r="P18" i="15"/>
  <c r="P19" i="15"/>
  <c r="P23" i="15"/>
  <c r="P24" i="15"/>
  <c r="R7" i="40"/>
  <c r="R8" i="40" s="1"/>
  <c r="U7" i="40"/>
  <c r="T7" i="40"/>
  <c r="S7" i="40"/>
  <c r="E27" i="11"/>
  <c r="D31" i="38"/>
  <c r="E31" i="38" s="1"/>
  <c r="G58" i="8"/>
  <c r="D30" i="38"/>
  <c r="F30" i="38" s="1"/>
  <c r="F29" i="38"/>
  <c r="D25" i="38"/>
  <c r="F25" i="38" s="1"/>
  <c r="D23" i="38"/>
  <c r="D21" i="38"/>
  <c r="D20" i="38"/>
  <c r="D19" i="38"/>
  <c r="E71" i="7"/>
  <c r="O24" i="12"/>
  <c r="D24" i="12"/>
  <c r="E24" i="12"/>
  <c r="F24" i="12"/>
  <c r="G24" i="12"/>
  <c r="H24" i="12"/>
  <c r="I24" i="12"/>
  <c r="J24" i="12"/>
  <c r="K24" i="12"/>
  <c r="L24" i="12"/>
  <c r="M24" i="12"/>
  <c r="N24" i="12"/>
  <c r="O29" i="12"/>
  <c r="D29" i="12"/>
  <c r="E29" i="12"/>
  <c r="F29" i="12"/>
  <c r="G29" i="12"/>
  <c r="H29" i="12"/>
  <c r="I29" i="12"/>
  <c r="J29" i="12"/>
  <c r="K29" i="12"/>
  <c r="L29" i="12"/>
  <c r="M29" i="12"/>
  <c r="N29" i="12"/>
  <c r="P70" i="8"/>
  <c r="O70" i="8"/>
  <c r="N70" i="8"/>
  <c r="M70" i="8"/>
  <c r="L70" i="8"/>
  <c r="K70" i="8"/>
  <c r="J70" i="8"/>
  <c r="I70" i="8"/>
  <c r="H70" i="8"/>
  <c r="G70" i="8"/>
  <c r="F70" i="8"/>
  <c r="E70" i="8"/>
  <c r="P64" i="8"/>
  <c r="O64" i="8"/>
  <c r="N64" i="8"/>
  <c r="M64" i="8"/>
  <c r="L64" i="8"/>
  <c r="K64" i="8"/>
  <c r="J64" i="8"/>
  <c r="I64" i="8"/>
  <c r="H64" i="8"/>
  <c r="G64" i="8"/>
  <c r="F64" i="8"/>
  <c r="E64" i="8"/>
  <c r="F35" i="8"/>
  <c r="G35" i="8"/>
  <c r="H35" i="8"/>
  <c r="I35" i="8"/>
  <c r="J35" i="8"/>
  <c r="K35" i="8"/>
  <c r="L35" i="8"/>
  <c r="M35" i="8"/>
  <c r="N35" i="8"/>
  <c r="O35" i="8"/>
  <c r="O39" i="8"/>
  <c r="P35" i="8"/>
  <c r="F36" i="8"/>
  <c r="G36" i="8"/>
  <c r="H36" i="8"/>
  <c r="I36" i="8"/>
  <c r="J36" i="8"/>
  <c r="K36" i="8"/>
  <c r="L36" i="8"/>
  <c r="M36" i="8"/>
  <c r="N36" i="8"/>
  <c r="O36" i="8"/>
  <c r="P36" i="8"/>
  <c r="F37" i="8"/>
  <c r="G37" i="8"/>
  <c r="H37" i="8"/>
  <c r="I37" i="8"/>
  <c r="J37" i="8"/>
  <c r="K37" i="8"/>
  <c r="L37" i="8"/>
  <c r="M37" i="8"/>
  <c r="N37" i="8"/>
  <c r="O37" i="8"/>
  <c r="P37" i="8"/>
  <c r="F38" i="8"/>
  <c r="G38" i="8"/>
  <c r="H38" i="8"/>
  <c r="I38" i="8"/>
  <c r="J38" i="8"/>
  <c r="K38" i="8"/>
  <c r="L38" i="8"/>
  <c r="M38" i="8"/>
  <c r="N38" i="8"/>
  <c r="O38" i="8"/>
  <c r="P38" i="8"/>
  <c r="E39" i="8"/>
  <c r="G30" i="8"/>
  <c r="E33" i="8"/>
  <c r="Q17" i="8"/>
  <c r="Q19" i="8"/>
  <c r="Q21" i="8"/>
  <c r="Q23" i="8"/>
  <c r="P25" i="8"/>
  <c r="O25" i="8"/>
  <c r="N25" i="8"/>
  <c r="M25" i="8"/>
  <c r="L25" i="8"/>
  <c r="K25" i="8"/>
  <c r="J25" i="8"/>
  <c r="I25" i="8"/>
  <c r="H25" i="8"/>
  <c r="G25" i="8"/>
  <c r="F25" i="8"/>
  <c r="E25" i="8"/>
  <c r="P24" i="8"/>
  <c r="O24" i="8"/>
  <c r="N24" i="8"/>
  <c r="M24" i="8"/>
  <c r="L24" i="8"/>
  <c r="K24" i="8"/>
  <c r="J24" i="8"/>
  <c r="I24" i="8"/>
  <c r="H24" i="8"/>
  <c r="G24" i="8"/>
  <c r="F24" i="8"/>
  <c r="P22" i="8"/>
  <c r="O22" i="8"/>
  <c r="N22" i="8"/>
  <c r="M22" i="8"/>
  <c r="L22" i="8"/>
  <c r="K22" i="8"/>
  <c r="J22" i="8"/>
  <c r="I22" i="8"/>
  <c r="H22" i="8"/>
  <c r="G22" i="8"/>
  <c r="F22" i="8"/>
  <c r="P20" i="8"/>
  <c r="O20" i="8"/>
  <c r="N20" i="8"/>
  <c r="M20" i="8"/>
  <c r="L20" i="8"/>
  <c r="K20" i="8"/>
  <c r="J20" i="8"/>
  <c r="I20" i="8"/>
  <c r="H20" i="8"/>
  <c r="G20" i="8"/>
  <c r="F20" i="8"/>
  <c r="P18" i="8"/>
  <c r="O18" i="8"/>
  <c r="N18" i="8"/>
  <c r="M18" i="8"/>
  <c r="L18" i="8"/>
  <c r="K18" i="8"/>
  <c r="J18" i="8"/>
  <c r="I18" i="8"/>
  <c r="H18" i="8"/>
  <c r="G18" i="8"/>
  <c r="F18" i="8"/>
  <c r="Q7" i="8"/>
  <c r="Q9" i="8"/>
  <c r="Q11" i="8"/>
  <c r="Q13" i="8"/>
  <c r="P15" i="8"/>
  <c r="O15" i="8"/>
  <c r="N15" i="8"/>
  <c r="M15" i="8"/>
  <c r="L15" i="8"/>
  <c r="K15" i="8"/>
  <c r="J15" i="8"/>
  <c r="I15" i="8"/>
  <c r="H15" i="8"/>
  <c r="G15" i="8"/>
  <c r="F15" i="8"/>
  <c r="E15" i="8"/>
  <c r="P14" i="8"/>
  <c r="P32" i="8" s="1"/>
  <c r="O14" i="8"/>
  <c r="O32" i="8" s="1"/>
  <c r="N14" i="8"/>
  <c r="N32" i="8" s="1"/>
  <c r="M14" i="8"/>
  <c r="M32" i="8" s="1"/>
  <c r="L14" i="8"/>
  <c r="L32" i="8" s="1"/>
  <c r="K14" i="8"/>
  <c r="K32" i="8" s="1"/>
  <c r="J14" i="8"/>
  <c r="J32" i="8" s="1"/>
  <c r="I14" i="8"/>
  <c r="I32" i="8" s="1"/>
  <c r="H14" i="8"/>
  <c r="H32" i="8" s="1"/>
  <c r="G14" i="8"/>
  <c r="G32" i="8" s="1"/>
  <c r="F14" i="8"/>
  <c r="F32" i="8" s="1"/>
  <c r="P12" i="8"/>
  <c r="P31" i="8" s="1"/>
  <c r="O12" i="8"/>
  <c r="O31" i="8" s="1"/>
  <c r="N12" i="8"/>
  <c r="N31" i="8" s="1"/>
  <c r="M12" i="8"/>
  <c r="M31" i="8" s="1"/>
  <c r="L12" i="8"/>
  <c r="L31" i="8" s="1"/>
  <c r="K12" i="8"/>
  <c r="K31" i="8" s="1"/>
  <c r="J12" i="8"/>
  <c r="J31" i="8" s="1"/>
  <c r="I12" i="8"/>
  <c r="I31" i="8" s="1"/>
  <c r="H12" i="8"/>
  <c r="H31" i="8" s="1"/>
  <c r="G12" i="8"/>
  <c r="G31" i="8" s="1"/>
  <c r="F12" i="8"/>
  <c r="F31" i="8" s="1"/>
  <c r="P10" i="8"/>
  <c r="P30" i="8" s="1"/>
  <c r="O10" i="8"/>
  <c r="O30" i="8" s="1"/>
  <c r="N10" i="8"/>
  <c r="N30" i="8" s="1"/>
  <c r="M10" i="8"/>
  <c r="M30" i="8" s="1"/>
  <c r="L10" i="8"/>
  <c r="L30" i="8" s="1"/>
  <c r="K10" i="8"/>
  <c r="K30" i="8" s="1"/>
  <c r="J10" i="8"/>
  <c r="J30" i="8" s="1"/>
  <c r="I10" i="8"/>
  <c r="I30" i="8" s="1"/>
  <c r="H10" i="8"/>
  <c r="H30" i="8" s="1"/>
  <c r="G10" i="8"/>
  <c r="F10" i="8"/>
  <c r="F30" i="8" s="1"/>
  <c r="P8" i="8"/>
  <c r="P29" i="8" s="1"/>
  <c r="O8" i="8"/>
  <c r="O29" i="8" s="1"/>
  <c r="N8" i="8"/>
  <c r="N29" i="8" s="1"/>
  <c r="M8" i="8"/>
  <c r="M29" i="8" s="1"/>
  <c r="L8" i="8"/>
  <c r="L29" i="8" s="1"/>
  <c r="K8" i="8"/>
  <c r="K29" i="8" s="1"/>
  <c r="J8" i="8"/>
  <c r="J29" i="8" s="1"/>
  <c r="I8" i="8"/>
  <c r="I29" i="8" s="1"/>
  <c r="H8" i="8"/>
  <c r="H29" i="8" s="1"/>
  <c r="G8" i="8"/>
  <c r="G29" i="8" s="1"/>
  <c r="F8" i="8"/>
  <c r="F29" i="8" s="1"/>
  <c r="P88" i="7"/>
  <c r="O88" i="7"/>
  <c r="N88" i="7"/>
  <c r="M88" i="7"/>
  <c r="L88" i="7"/>
  <c r="K88" i="7"/>
  <c r="J88" i="7"/>
  <c r="I88" i="7"/>
  <c r="H88" i="7"/>
  <c r="G88" i="7"/>
  <c r="F88" i="7"/>
  <c r="E88" i="7"/>
  <c r="F8" i="7"/>
  <c r="F37" i="7" s="1"/>
  <c r="G8" i="7"/>
  <c r="G37" i="7" s="1"/>
  <c r="H8" i="7"/>
  <c r="H37" i="7" s="1"/>
  <c r="I8" i="7"/>
  <c r="I37" i="7" s="1"/>
  <c r="J8" i="7"/>
  <c r="J37" i="7" s="1"/>
  <c r="K8" i="7"/>
  <c r="K37" i="7" s="1"/>
  <c r="L8" i="7"/>
  <c r="L37" i="7" s="1"/>
  <c r="M8" i="7"/>
  <c r="M37" i="7" s="1"/>
  <c r="N8" i="7"/>
  <c r="N37" i="7" s="1"/>
  <c r="O8" i="7"/>
  <c r="O37" i="7" s="1"/>
  <c r="P8" i="7"/>
  <c r="P37" i="7" s="1"/>
  <c r="F20" i="7"/>
  <c r="F44" i="7" s="1"/>
  <c r="G20" i="7"/>
  <c r="G44" i="7" s="1"/>
  <c r="H20" i="7"/>
  <c r="H44" i="7" s="1"/>
  <c r="I20" i="7"/>
  <c r="I44" i="7" s="1"/>
  <c r="J20" i="7"/>
  <c r="J44" i="7" s="1"/>
  <c r="P82" i="7"/>
  <c r="O82" i="7"/>
  <c r="N82" i="7"/>
  <c r="M82" i="7"/>
  <c r="L82" i="7"/>
  <c r="K82" i="7"/>
  <c r="J82" i="7"/>
  <c r="I82" i="7"/>
  <c r="H82" i="7"/>
  <c r="G82" i="7"/>
  <c r="F82" i="7"/>
  <c r="E82" i="7"/>
  <c r="F32" i="7"/>
  <c r="F51" i="7"/>
  <c r="G32" i="7"/>
  <c r="G51" i="7"/>
  <c r="H32" i="7"/>
  <c r="H51" i="7"/>
  <c r="I32" i="7"/>
  <c r="I51" i="7"/>
  <c r="J32" i="7"/>
  <c r="J51" i="7"/>
  <c r="K32" i="7"/>
  <c r="K51" i="7"/>
  <c r="L32" i="7"/>
  <c r="L51" i="7"/>
  <c r="M32" i="7"/>
  <c r="M51" i="7"/>
  <c r="N32" i="7"/>
  <c r="N51" i="7"/>
  <c r="O32" i="7"/>
  <c r="O51" i="7"/>
  <c r="P32" i="7"/>
  <c r="P51" i="7"/>
  <c r="F33" i="7"/>
  <c r="G33" i="7"/>
  <c r="H33" i="7"/>
  <c r="I33" i="7"/>
  <c r="J33" i="7"/>
  <c r="K33" i="7"/>
  <c r="L33" i="7"/>
  <c r="M33" i="7"/>
  <c r="N33" i="7"/>
  <c r="O33" i="7"/>
  <c r="P33" i="7"/>
  <c r="P76" i="7"/>
  <c r="O76" i="7"/>
  <c r="N76" i="7"/>
  <c r="M76" i="7"/>
  <c r="L76" i="7"/>
  <c r="K76" i="7"/>
  <c r="J76" i="7"/>
  <c r="I76" i="7"/>
  <c r="H76" i="7"/>
  <c r="G76" i="7"/>
  <c r="F76" i="7"/>
  <c r="E76" i="7"/>
  <c r="Q7" i="7"/>
  <c r="Q9" i="7"/>
  <c r="Q11" i="7"/>
  <c r="F13" i="7"/>
  <c r="G13" i="7"/>
  <c r="H13" i="7"/>
  <c r="I13" i="7"/>
  <c r="J13" i="7"/>
  <c r="K13" i="7"/>
  <c r="L13" i="7"/>
  <c r="M13" i="7"/>
  <c r="N13" i="7"/>
  <c r="O13" i="7"/>
  <c r="P13" i="7"/>
  <c r="E13" i="7"/>
  <c r="Q15" i="7"/>
  <c r="Q17" i="7"/>
  <c r="Q21" i="7"/>
  <c r="F23" i="7"/>
  <c r="G23" i="7"/>
  <c r="H23" i="7"/>
  <c r="I23" i="7"/>
  <c r="J23" i="7"/>
  <c r="K23" i="7"/>
  <c r="L23" i="7"/>
  <c r="M23" i="7"/>
  <c r="N23" i="7"/>
  <c r="O23" i="7"/>
  <c r="P23" i="7"/>
  <c r="E23" i="7"/>
  <c r="E33" i="7"/>
  <c r="Q25" i="7"/>
  <c r="Q27" i="7"/>
  <c r="Q29" i="7"/>
  <c r="Q31" i="7"/>
  <c r="F18" i="7"/>
  <c r="F43" i="7" s="1"/>
  <c r="G18" i="7"/>
  <c r="G43" i="7" s="1"/>
  <c r="H18" i="7"/>
  <c r="H43" i="7" s="1"/>
  <c r="I18" i="7"/>
  <c r="I43" i="7" s="1"/>
  <c r="J18" i="7"/>
  <c r="J43" i="7" s="1"/>
  <c r="K18" i="7"/>
  <c r="K43" i="7" s="1"/>
  <c r="L18" i="7"/>
  <c r="L43" i="7" s="1"/>
  <c r="M18" i="7"/>
  <c r="M43" i="7" s="1"/>
  <c r="N18" i="7"/>
  <c r="N43" i="7" s="1"/>
  <c r="O18" i="7"/>
  <c r="O43" i="7" s="1"/>
  <c r="P18" i="7"/>
  <c r="P43" i="7" s="1"/>
  <c r="E52" i="7"/>
  <c r="E46" i="7"/>
  <c r="E40" i="7"/>
  <c r="P26" i="7"/>
  <c r="P48" i="7" s="1"/>
  <c r="P28" i="7"/>
  <c r="P49" i="7" s="1"/>
  <c r="P30" i="7"/>
  <c r="P50" i="7"/>
  <c r="O26" i="7"/>
  <c r="O48" i="7" s="1"/>
  <c r="O28" i="7"/>
  <c r="O49" i="7"/>
  <c r="O30" i="7"/>
  <c r="O50" i="7"/>
  <c r="N26" i="7"/>
  <c r="N48" i="7" s="1"/>
  <c r="N28" i="7"/>
  <c r="N49" i="7" s="1"/>
  <c r="N30" i="7"/>
  <c r="N50" i="7" s="1"/>
  <c r="M26" i="7"/>
  <c r="M48" i="7" s="1"/>
  <c r="M28" i="7"/>
  <c r="M49" i="7"/>
  <c r="M30" i="7"/>
  <c r="M50" i="7"/>
  <c r="L26" i="7"/>
  <c r="L48" i="7" s="1"/>
  <c r="L28" i="7"/>
  <c r="L49" i="7" s="1"/>
  <c r="L30" i="7"/>
  <c r="L50" i="7"/>
  <c r="K26" i="7"/>
  <c r="K48" i="7" s="1"/>
  <c r="K28" i="7"/>
  <c r="K49" i="7"/>
  <c r="K30" i="7"/>
  <c r="K50" i="7"/>
  <c r="J26" i="7"/>
  <c r="J48" i="7" s="1"/>
  <c r="J28" i="7"/>
  <c r="J49" i="7"/>
  <c r="J30" i="7"/>
  <c r="J50" i="7"/>
  <c r="I26" i="7"/>
  <c r="I48" i="7" s="1"/>
  <c r="I28" i="7"/>
  <c r="I49" i="7"/>
  <c r="I30" i="7"/>
  <c r="I50" i="7" s="1"/>
  <c r="H26" i="7"/>
  <c r="H48" i="7" s="1"/>
  <c r="H28" i="7"/>
  <c r="H49" i="7" s="1"/>
  <c r="H30" i="7"/>
  <c r="H50" i="7" s="1"/>
  <c r="G26" i="7"/>
  <c r="G48" i="7" s="1"/>
  <c r="G28" i="7"/>
  <c r="G49" i="7" s="1"/>
  <c r="G30" i="7"/>
  <c r="G50" i="7" s="1"/>
  <c r="F26" i="7"/>
  <c r="F48" i="7" s="1"/>
  <c r="F28" i="7"/>
  <c r="F49" i="7" s="1"/>
  <c r="F30" i="7"/>
  <c r="F50" i="7" s="1"/>
  <c r="P16" i="7"/>
  <c r="P42" i="7" s="1"/>
  <c r="P20" i="7"/>
  <c r="P44" i="7" s="1"/>
  <c r="O16" i="7"/>
  <c r="O42" i="7" s="1"/>
  <c r="O20" i="7"/>
  <c r="O44" i="7" s="1"/>
  <c r="N16" i="7"/>
  <c r="N42" i="7" s="1"/>
  <c r="N20" i="7"/>
  <c r="N44" i="7" s="1"/>
  <c r="M16" i="7"/>
  <c r="M42" i="7" s="1"/>
  <c r="M20" i="7"/>
  <c r="M44" i="7" s="1"/>
  <c r="L16" i="7"/>
  <c r="L42" i="7" s="1"/>
  <c r="L20" i="7"/>
  <c r="L44" i="7" s="1"/>
  <c r="K16" i="7"/>
  <c r="K42" i="7" s="1"/>
  <c r="K20" i="7"/>
  <c r="K44" i="7" s="1"/>
  <c r="J16" i="7"/>
  <c r="J42" i="7" s="1"/>
  <c r="I16" i="7"/>
  <c r="I42" i="7" s="1"/>
  <c r="H16" i="7"/>
  <c r="H42" i="7" s="1"/>
  <c r="G16" i="7"/>
  <c r="G42" i="7" s="1"/>
  <c r="F16" i="7"/>
  <c r="F42" i="7" s="1"/>
  <c r="P22" i="7"/>
  <c r="P45" i="7" s="1"/>
  <c r="O22" i="7"/>
  <c r="O45" i="7" s="1"/>
  <c r="N22" i="7"/>
  <c r="N45" i="7" s="1"/>
  <c r="M22" i="7"/>
  <c r="M45" i="7" s="1"/>
  <c r="L22" i="7"/>
  <c r="L45" i="7"/>
  <c r="K22" i="7"/>
  <c r="K45" i="7" s="1"/>
  <c r="J22" i="7"/>
  <c r="J45" i="7"/>
  <c r="I22" i="7"/>
  <c r="I45" i="7" s="1"/>
  <c r="H22" i="7"/>
  <c r="H45" i="7" s="1"/>
  <c r="G22" i="7"/>
  <c r="G45" i="7" s="1"/>
  <c r="F22" i="7"/>
  <c r="F45" i="7" s="1"/>
  <c r="F10" i="7"/>
  <c r="F38" i="7" s="1"/>
  <c r="G10" i="7"/>
  <c r="G38" i="7" s="1"/>
  <c r="H10" i="7"/>
  <c r="H38" i="7" s="1"/>
  <c r="I10" i="7"/>
  <c r="I38" i="7" s="1"/>
  <c r="J10" i="7"/>
  <c r="J38" i="7" s="1"/>
  <c r="K10" i="7"/>
  <c r="K38" i="7" s="1"/>
  <c r="L10" i="7"/>
  <c r="L38" i="7" s="1"/>
  <c r="M10" i="7"/>
  <c r="M38" i="7" s="1"/>
  <c r="N10" i="7"/>
  <c r="N38" i="7" s="1"/>
  <c r="O10" i="7"/>
  <c r="O38" i="7" s="1"/>
  <c r="P10" i="7"/>
  <c r="P38" i="7" s="1"/>
  <c r="F12" i="7"/>
  <c r="F39" i="7" s="1"/>
  <c r="G12" i="7"/>
  <c r="G39" i="7" s="1"/>
  <c r="H12" i="7"/>
  <c r="H39" i="7" s="1"/>
  <c r="I12" i="7"/>
  <c r="I39" i="7" s="1"/>
  <c r="J12" i="7"/>
  <c r="J39" i="7" s="1"/>
  <c r="K12" i="7"/>
  <c r="K39" i="7" s="1"/>
  <c r="L12" i="7"/>
  <c r="L39" i="7" s="1"/>
  <c r="M12" i="7"/>
  <c r="M39" i="7" s="1"/>
  <c r="N12" i="7"/>
  <c r="N39" i="7" s="1"/>
  <c r="O12" i="7"/>
  <c r="O39" i="7" s="1"/>
  <c r="P12" i="7"/>
  <c r="P39" i="7" s="1"/>
  <c r="N51" i="11"/>
  <c r="N52" i="11" s="1"/>
  <c r="N53" i="11" s="1"/>
  <c r="N54" i="11" s="1"/>
  <c r="P16" i="11"/>
  <c r="P17" i="11" s="1"/>
  <c r="G51" i="11"/>
  <c r="H38" i="15"/>
  <c r="H36" i="15"/>
  <c r="H35" i="15"/>
  <c r="G42" i="15"/>
  <c r="G43" i="15" s="1"/>
  <c r="G44" i="15" s="1"/>
  <c r="G45" i="15" s="1"/>
  <c r="G35" i="15"/>
  <c r="G36" i="15" s="1"/>
  <c r="G37" i="15" s="1"/>
  <c r="G38" i="15" s="1"/>
  <c r="G42" i="14"/>
  <c r="G43" i="14" s="1"/>
  <c r="G44" i="14" s="1"/>
  <c r="G45" i="14" s="1"/>
  <c r="G35" i="14"/>
  <c r="G36" i="14" s="1"/>
  <c r="G37" i="14" s="1"/>
  <c r="G38" i="14" s="1"/>
  <c r="D35" i="13"/>
  <c r="D36" i="13" s="1"/>
  <c r="H36" i="13"/>
  <c r="H35" i="13"/>
  <c r="D31" i="13"/>
  <c r="D32" i="13" s="1"/>
  <c r="H32" i="13"/>
  <c r="H31" i="13"/>
  <c r="H37" i="15"/>
  <c r="D20" i="15"/>
  <c r="E20" i="15"/>
  <c r="F20" i="15"/>
  <c r="G20" i="15"/>
  <c r="H20" i="15"/>
  <c r="I20" i="15"/>
  <c r="J20" i="15"/>
  <c r="K20" i="15"/>
  <c r="L20" i="15"/>
  <c r="M20" i="15"/>
  <c r="N20" i="15"/>
  <c r="O20" i="15"/>
  <c r="G35" i="12"/>
  <c r="G36" i="12" s="1"/>
  <c r="G37" i="12" s="1"/>
  <c r="G38" i="12" s="1"/>
  <c r="E31" i="13"/>
  <c r="E32" i="13"/>
  <c r="P27" i="11"/>
  <c r="G57" i="11"/>
  <c r="G42" i="12"/>
  <c r="G43" i="12" s="1"/>
  <c r="AH4" i="10"/>
  <c r="A1" i="15"/>
  <c r="A1" i="11"/>
  <c r="A1" i="10"/>
  <c r="A1" i="12"/>
  <c r="A1" i="13"/>
  <c r="A1" i="14"/>
  <c r="A1" i="9"/>
  <c r="E35" i="13"/>
  <c r="E36" i="13" s="1"/>
  <c r="O25" i="14"/>
  <c r="N25" i="14"/>
  <c r="M25" i="14"/>
  <c r="L25" i="14"/>
  <c r="K25" i="14"/>
  <c r="J25" i="14"/>
  <c r="I25" i="14"/>
  <c r="H25" i="14"/>
  <c r="G25" i="14"/>
  <c r="F25" i="14"/>
  <c r="P25" i="14" s="1"/>
  <c r="E25" i="14"/>
  <c r="D25" i="14"/>
  <c r="O20" i="14"/>
  <c r="N20" i="14"/>
  <c r="M20" i="14"/>
  <c r="L20" i="14"/>
  <c r="K20" i="14"/>
  <c r="J20" i="14"/>
  <c r="I20" i="14"/>
  <c r="H20" i="14"/>
  <c r="G20" i="14"/>
  <c r="F20" i="14"/>
  <c r="E20" i="14"/>
  <c r="D20" i="14"/>
  <c r="P26" i="13"/>
  <c r="P22" i="13"/>
  <c r="E25" i="15"/>
  <c r="F25" i="15"/>
  <c r="G25" i="15"/>
  <c r="H25" i="15"/>
  <c r="I25" i="15"/>
  <c r="J25" i="15"/>
  <c r="K25" i="15"/>
  <c r="L25" i="15"/>
  <c r="M25" i="15"/>
  <c r="N25" i="15"/>
  <c r="O25" i="15"/>
  <c r="E27" i="13"/>
  <c r="F27" i="13"/>
  <c r="G27" i="13"/>
  <c r="H27" i="13"/>
  <c r="I27" i="13"/>
  <c r="J27" i="13"/>
  <c r="K27" i="13"/>
  <c r="L27" i="13"/>
  <c r="M27" i="13"/>
  <c r="N27" i="13"/>
  <c r="O27" i="13"/>
  <c r="D27" i="13"/>
  <c r="D25" i="15"/>
  <c r="O23" i="13"/>
  <c r="N23" i="13"/>
  <c r="M23" i="13"/>
  <c r="L23" i="13"/>
  <c r="K23" i="13"/>
  <c r="J23" i="13"/>
  <c r="I23" i="13"/>
  <c r="H23" i="13"/>
  <c r="G23" i="13"/>
  <c r="F23" i="13"/>
  <c r="P23" i="13" s="1"/>
  <c r="E23" i="13"/>
  <c r="D23" i="13"/>
  <c r="D52" i="11"/>
  <c r="D51" i="11"/>
  <c r="K51" i="11"/>
  <c r="D53" i="11"/>
  <c r="D58" i="11"/>
  <c r="D57" i="11"/>
  <c r="D54" i="11"/>
  <c r="K54" i="11"/>
  <c r="D60" i="11"/>
  <c r="D59" i="11"/>
  <c r="K52" i="11"/>
  <c r="K60" i="11"/>
  <c r="AR3" i="11"/>
  <c r="R43" i="11" s="1"/>
  <c r="AD2" i="15"/>
  <c r="K34" i="15" s="1"/>
  <c r="I35" i="14"/>
  <c r="I37" i="14" s="1"/>
  <c r="AD2" i="12"/>
  <c r="K41" i="12" s="1"/>
  <c r="I42" i="14"/>
  <c r="I44" i="14" s="1"/>
  <c r="J44" i="11"/>
  <c r="J45" i="11" s="1"/>
  <c r="J46" i="11" s="1"/>
  <c r="J47" i="11" s="1"/>
  <c r="K58" i="11"/>
  <c r="K59" i="11"/>
  <c r="K53" i="11"/>
  <c r="K57" i="11"/>
  <c r="H43" i="15"/>
  <c r="H42" i="15"/>
  <c r="H44" i="15"/>
  <c r="H45" i="15"/>
  <c r="I35" i="13"/>
  <c r="I36" i="13" s="1"/>
  <c r="Q25" i="8"/>
  <c r="M39" i="8"/>
  <c r="J39" i="8"/>
  <c r="I39" i="8"/>
  <c r="N39" i="8"/>
  <c r="H39" i="8"/>
  <c r="G39" i="8"/>
  <c r="K39" i="8"/>
  <c r="L39" i="8"/>
  <c r="Q35" i="8"/>
  <c r="Q36" i="8"/>
  <c r="Q37" i="8"/>
  <c r="P39" i="8"/>
  <c r="Q38" i="8"/>
  <c r="X6" i="8" s="1"/>
  <c r="F39" i="8"/>
  <c r="I57" i="11"/>
  <c r="I58" i="11" s="1"/>
  <c r="I59" i="11" s="1"/>
  <c r="I60" i="11" s="1"/>
  <c r="Q33" i="7"/>
  <c r="N37" i="10"/>
  <c r="F31" i="38"/>
  <c r="G17" i="15"/>
  <c r="G22" i="15" s="1"/>
  <c r="K66" i="9"/>
  <c r="E22" i="38"/>
  <c r="F22" i="38" s="1"/>
  <c r="N17" i="14"/>
  <c r="N22" i="14" s="1"/>
  <c r="F17" i="15"/>
  <c r="F22" i="15" s="1"/>
  <c r="L17" i="15"/>
  <c r="L22" i="15" s="1"/>
  <c r="AC2" i="10"/>
  <c r="U37" i="10" s="1"/>
  <c r="M17" i="14"/>
  <c r="M22" i="14" s="1"/>
  <c r="P58" i="8"/>
  <c r="E17" i="14"/>
  <c r="L58" i="8"/>
  <c r="F25" i="13"/>
  <c r="F58" i="8"/>
  <c r="M58" i="8"/>
  <c r="I58" i="8"/>
  <c r="L21" i="12"/>
  <c r="L26" i="12" s="1"/>
  <c r="N58" i="8"/>
  <c r="H58" i="8"/>
  <c r="X2" i="14"/>
  <c r="Q18" i="14" s="1"/>
  <c r="I53" i="14" s="1"/>
  <c r="H21" i="12"/>
  <c r="H26" i="12" s="1"/>
  <c r="H71" i="7"/>
  <c r="J58" i="8"/>
  <c r="E58" i="8"/>
  <c r="K17" i="15"/>
  <c r="K22" i="15" s="1"/>
  <c r="F49" i="39"/>
  <c r="H49" i="39" s="1"/>
  <c r="U29" i="11"/>
  <c r="P29" i="12"/>
  <c r="AE2" i="11"/>
  <c r="O75" i="11" s="1"/>
  <c r="L71" i="7"/>
  <c r="O58" i="8"/>
  <c r="K58" i="8"/>
  <c r="X2" i="12"/>
  <c r="Q49" i="12" s="1"/>
  <c r="P71" i="7"/>
  <c r="D17" i="15"/>
  <c r="D22" i="15" s="1"/>
  <c r="I17" i="15"/>
  <c r="I22" i="15" s="1"/>
  <c r="J17" i="15"/>
  <c r="J22" i="15" s="1"/>
  <c r="G17" i="14"/>
  <c r="G22" i="14" s="1"/>
  <c r="O17" i="14"/>
  <c r="O22" i="14" s="1"/>
  <c r="K21" i="12"/>
  <c r="K26" i="12" s="1"/>
  <c r="G21" i="12"/>
  <c r="G26" i="12" s="1"/>
  <c r="O71" i="7"/>
  <c r="K71" i="7"/>
  <c r="G71" i="7"/>
  <c r="M17" i="15"/>
  <c r="M22" i="15" s="1"/>
  <c r="H17" i="15"/>
  <c r="H22" i="15" s="1"/>
  <c r="E17" i="15"/>
  <c r="E22" i="15" s="1"/>
  <c r="I17" i="14"/>
  <c r="I22" i="14" s="1"/>
  <c r="D17" i="14"/>
  <c r="D22" i="14" s="1"/>
  <c r="L17" i="14"/>
  <c r="L22" i="14" s="1"/>
  <c r="O17" i="15"/>
  <c r="O22" i="15" s="1"/>
  <c r="N21" i="12"/>
  <c r="N26" i="12" s="1"/>
  <c r="J21" i="12"/>
  <c r="J26" i="12"/>
  <c r="F21" i="12"/>
  <c r="F26" i="12" s="1"/>
  <c r="O21" i="12"/>
  <c r="O26" i="12" s="1"/>
  <c r="N71" i="7"/>
  <c r="J71" i="7"/>
  <c r="F71" i="7"/>
  <c r="X2" i="15"/>
  <c r="K56" i="15" s="1"/>
  <c r="N17" i="15"/>
  <c r="N22" i="15" s="1"/>
  <c r="J17" i="14"/>
  <c r="J22" i="14" s="1"/>
  <c r="K17" i="14"/>
  <c r="K22" i="14" s="1"/>
  <c r="H17" i="14"/>
  <c r="H22" i="14" s="1"/>
  <c r="F17" i="14"/>
  <c r="F22" i="14" s="1"/>
  <c r="M21" i="12"/>
  <c r="M26" i="12" s="1"/>
  <c r="I21" i="12"/>
  <c r="I26" i="12" s="1"/>
  <c r="E21" i="12"/>
  <c r="E26" i="12" s="1"/>
  <c r="M71" i="7"/>
  <c r="I71" i="7"/>
  <c r="P27" i="13"/>
  <c r="P24" i="12"/>
  <c r="A10" i="60"/>
  <c r="Q39" i="8"/>
  <c r="Q22" i="12"/>
  <c r="E37" i="12" s="1"/>
  <c r="Q23" i="12"/>
  <c r="O49" i="14"/>
  <c r="E22" i="14"/>
  <c r="D26" i="12"/>
  <c r="M44" i="11"/>
  <c r="M45" i="11" s="1"/>
  <c r="M46" i="11" s="1"/>
  <c r="M47" i="11" s="1"/>
  <c r="K49" i="14"/>
  <c r="Q19" i="14"/>
  <c r="I54" i="14" s="1"/>
  <c r="G9" i="39"/>
  <c r="I50" i="39" s="1"/>
  <c r="D13" i="11"/>
  <c r="E59" i="11"/>
  <c r="D39" i="11"/>
  <c r="L39" i="11" s="1"/>
  <c r="E46" i="11"/>
  <c r="D36" i="12"/>
  <c r="J36" i="12" s="1"/>
  <c r="H38" i="39"/>
  <c r="Q5" i="38"/>
  <c r="N33" i="11"/>
  <c r="N33" i="10"/>
  <c r="K21" i="10"/>
  <c r="I35" i="12"/>
  <c r="I42" i="12"/>
  <c r="I43" i="12" s="1"/>
  <c r="I44" i="12" s="1"/>
  <c r="I45" i="12" s="1"/>
  <c r="G33" i="11"/>
  <c r="G34" i="11" s="1"/>
  <c r="J33" i="11"/>
  <c r="J34" i="11" s="1"/>
  <c r="J35" i="11" s="1"/>
  <c r="L33" i="11"/>
  <c r="L34" i="11" s="1"/>
  <c r="L35" i="11" s="1"/>
  <c r="F23" i="38"/>
  <c r="K31" i="10"/>
  <c r="K32" i="10" s="1"/>
  <c r="K33" i="10" s="1"/>
  <c r="H31" i="10"/>
  <c r="F31" i="10"/>
  <c r="F32" i="10" s="1"/>
  <c r="E31" i="10"/>
  <c r="E32" i="10" s="1"/>
  <c r="E33" i="10" s="1"/>
  <c r="I42" i="15"/>
  <c r="I45" i="15" s="1"/>
  <c r="I35" i="15"/>
  <c r="I36" i="15" s="1"/>
  <c r="E40" i="11"/>
  <c r="E53" i="11"/>
  <c r="O38" i="11"/>
  <c r="O39" i="11" s="1"/>
  <c r="O40" i="11" s="1"/>
  <c r="O41" i="11" s="1"/>
  <c r="N57" i="11"/>
  <c r="N58" i="11" s="1"/>
  <c r="N59" i="11" s="1"/>
  <c r="N60" i="11" s="1"/>
  <c r="O57" i="11"/>
  <c r="O58" i="11" s="1"/>
  <c r="O59" i="11" s="1"/>
  <c r="O60" i="11" s="1"/>
  <c r="N44" i="11"/>
  <c r="N45" i="11" s="1"/>
  <c r="N46" i="11" s="1"/>
  <c r="N47" i="11" s="1"/>
  <c r="O51" i="11"/>
  <c r="O52" i="11" s="1"/>
  <c r="O53" i="11" s="1"/>
  <c r="O54" i="11" s="1"/>
  <c r="N38" i="11"/>
  <c r="N39" i="11" s="1"/>
  <c r="N40" i="11" s="1"/>
  <c r="N41" i="11" s="1"/>
  <c r="O44" i="11"/>
  <c r="O45" i="11" s="1"/>
  <c r="O46" i="11" s="1"/>
  <c r="O47" i="11" s="1"/>
  <c r="O33" i="11"/>
  <c r="O34" i="11" s="1"/>
  <c r="O35" i="11" s="1"/>
  <c r="Q33" i="11"/>
  <c r="Q34" i="11" s="1"/>
  <c r="Q35" i="11" s="1"/>
  <c r="P33" i="11"/>
  <c r="P34" i="11" s="1"/>
  <c r="P35" i="11" s="1"/>
  <c r="J31" i="10"/>
  <c r="J32" i="10" s="1"/>
  <c r="J33" i="10" s="1"/>
  <c r="AN2" i="10"/>
  <c r="O30" i="10" s="1"/>
  <c r="M33" i="11"/>
  <c r="M34" i="11" s="1"/>
  <c r="M35" i="11" s="1"/>
  <c r="I31" i="10"/>
  <c r="I32" i="10" s="1"/>
  <c r="I33" i="10" s="1"/>
  <c r="X4" i="8"/>
  <c r="X3" i="8"/>
  <c r="M87" i="11" s="1"/>
  <c r="X5" i="8"/>
  <c r="H34" i="37"/>
  <c r="J43" i="9"/>
  <c r="K43" i="9"/>
  <c r="K44" i="9" s="1"/>
  <c r="K45" i="9" s="1"/>
  <c r="K46" i="9" s="1"/>
  <c r="K30" i="9"/>
  <c r="K31" i="9" s="1"/>
  <c r="K32" i="9" s="1"/>
  <c r="K33" i="9" s="1"/>
  <c r="K37" i="9"/>
  <c r="K38" i="9" s="1"/>
  <c r="K39" i="9" s="1"/>
  <c r="K40" i="9" s="1"/>
  <c r="K24" i="9"/>
  <c r="K25" i="9" s="1"/>
  <c r="K26" i="9" s="1"/>
  <c r="K27" i="9" s="1"/>
  <c r="M88" i="11"/>
  <c r="J68" i="9"/>
  <c r="M89" i="11"/>
  <c r="J69" i="9"/>
  <c r="E32" i="9"/>
  <c r="E26" i="9"/>
  <c r="E39" i="9"/>
  <c r="E45" i="9"/>
  <c r="Q24" i="9"/>
  <c r="Q25" i="9" s="1"/>
  <c r="Q26" i="9" s="1"/>
  <c r="Q27" i="9" s="1"/>
  <c r="S33" i="11"/>
  <c r="S34" i="11" s="1"/>
  <c r="S35" i="11" s="1"/>
  <c r="T51" i="11"/>
  <c r="T52" i="11" s="1"/>
  <c r="T57" i="11"/>
  <c r="T58" i="11" s="1"/>
  <c r="T59" i="11" s="1"/>
  <c r="T60" i="11" s="1"/>
  <c r="T44" i="11"/>
  <c r="T45" i="11" s="1"/>
  <c r="T46" i="11" s="1"/>
  <c r="T47" i="11" s="1"/>
  <c r="T38" i="11"/>
  <c r="T39" i="11" s="1"/>
  <c r="T40" i="11" s="1"/>
  <c r="T41" i="11" s="1"/>
  <c r="S38" i="11"/>
  <c r="S39" i="11" s="1"/>
  <c r="S40" i="11" s="1"/>
  <c r="S41" i="11" s="1"/>
  <c r="S57" i="11"/>
  <c r="S58" i="11" s="1"/>
  <c r="S59" i="11" s="1"/>
  <c r="S60" i="11" s="1"/>
  <c r="S44" i="11"/>
  <c r="S45" i="11" s="1"/>
  <c r="S46" i="11" s="1"/>
  <c r="S47" i="11" s="1"/>
  <c r="S51" i="11"/>
  <c r="S52" i="11" s="1"/>
  <c r="S53" i="11" s="1"/>
  <c r="S54" i="11" s="1"/>
  <c r="R31" i="10"/>
  <c r="R32" i="10" s="1"/>
  <c r="R33" i="10" s="1"/>
  <c r="V31" i="10"/>
  <c r="V32" i="10" s="1"/>
  <c r="V33" i="10" s="1"/>
  <c r="Q31" i="10"/>
  <c r="Q32" i="10" s="1"/>
  <c r="Q33" i="10" s="1"/>
  <c r="T31" i="10"/>
  <c r="T32" i="10" s="1"/>
  <c r="T33" i="10" s="1"/>
  <c r="N43" i="9"/>
  <c r="N44" i="9" s="1"/>
  <c r="N45" i="9" s="1"/>
  <c r="N46" i="9" s="1"/>
  <c r="O43" i="9"/>
  <c r="O44" i="9" s="1"/>
  <c r="O45" i="9" s="1"/>
  <c r="O46" i="9" s="1"/>
  <c r="P37" i="9"/>
  <c r="P38" i="9" s="1"/>
  <c r="P39" i="9" s="1"/>
  <c r="P40" i="9" s="1"/>
  <c r="N37" i="9"/>
  <c r="N38" i="9" s="1"/>
  <c r="N39" i="9" s="1"/>
  <c r="N40" i="9" s="1"/>
  <c r="Q37" i="9"/>
  <c r="Q38" i="9" s="1"/>
  <c r="Q39" i="9" s="1"/>
  <c r="Q40" i="9" s="1"/>
  <c r="P43" i="9"/>
  <c r="P44" i="9" s="1"/>
  <c r="P45" i="9" s="1"/>
  <c r="P46" i="9" s="1"/>
  <c r="O37" i="9"/>
  <c r="O38" i="9" s="1"/>
  <c r="O39" i="9" s="1"/>
  <c r="O40" i="9" s="1"/>
  <c r="P24" i="9"/>
  <c r="P25" i="9" s="1"/>
  <c r="P26" i="9" s="1"/>
  <c r="P27" i="9" s="1"/>
  <c r="P30" i="9"/>
  <c r="P31" i="9" s="1"/>
  <c r="P32" i="9" s="1"/>
  <c r="P33" i="9" s="1"/>
  <c r="Q30" i="9"/>
  <c r="Q31" i="9" s="1"/>
  <c r="Q32" i="9" s="1"/>
  <c r="Q33" i="9" s="1"/>
  <c r="Q43" i="9"/>
  <c r="Q44" i="9" s="1"/>
  <c r="Q45" i="9" s="1"/>
  <c r="Q46" i="9" s="1"/>
  <c r="F51" i="11"/>
  <c r="F52" i="11" s="1"/>
  <c r="F53" i="11" s="1"/>
  <c r="F57" i="11"/>
  <c r="F58" i="11" s="1"/>
  <c r="F59" i="11" s="1"/>
  <c r="F60" i="11" s="1"/>
  <c r="N81" i="11"/>
  <c r="N75" i="11"/>
  <c r="N70" i="11"/>
  <c r="N86" i="11"/>
  <c r="N66" i="11"/>
  <c r="T8" i="40"/>
  <c r="E22" i="40" s="1"/>
  <c r="H22" i="40" s="1"/>
  <c r="M31" i="10"/>
  <c r="M32" i="10" s="1"/>
  <c r="M33" i="10" s="1"/>
  <c r="D35" i="12"/>
  <c r="D37" i="12" s="1"/>
  <c r="M51" i="11"/>
  <c r="M52" i="11" s="1"/>
  <c r="M53" i="11" s="1"/>
  <c r="M54" i="11" s="1"/>
  <c r="M38" i="11"/>
  <c r="M39" i="11" s="1"/>
  <c r="M40" i="11" s="1"/>
  <c r="M41" i="11" s="1"/>
  <c r="M57" i="11"/>
  <c r="M58" i="11" s="1"/>
  <c r="M59" i="11" s="1"/>
  <c r="M60" i="11" s="1"/>
  <c r="F27" i="38"/>
  <c r="F28" i="38"/>
  <c r="F32" i="38"/>
  <c r="L31" i="10"/>
  <c r="L32" i="10" s="1"/>
  <c r="L33" i="10" s="1"/>
  <c r="E33" i="11"/>
  <c r="E34" i="11" s="1"/>
  <c r="E35" i="11" s="1"/>
  <c r="U31" i="10"/>
  <c r="U32" i="10" s="1"/>
  <c r="U33" i="10" s="1"/>
  <c r="R5" i="38"/>
  <c r="N32" i="10"/>
  <c r="N31" i="10"/>
  <c r="N2" i="38"/>
  <c r="M10" i="38" s="1"/>
  <c r="D33" i="10"/>
  <c r="D31" i="10"/>
  <c r="D32" i="10" s="1"/>
  <c r="H34" i="39"/>
  <c r="D46" i="11"/>
  <c r="L46" i="11" s="1"/>
  <c r="K21" i="13"/>
  <c r="K25" i="13" s="1"/>
  <c r="I21" i="13"/>
  <c r="I25" i="13" s="1"/>
  <c r="D21" i="13"/>
  <c r="D25" i="13" s="1"/>
  <c r="V2" i="9"/>
  <c r="N61" i="9" s="1"/>
  <c r="E21" i="13"/>
  <c r="E25" i="13" s="1"/>
  <c r="G21" i="13"/>
  <c r="G25" i="13" s="1"/>
  <c r="J21" i="13"/>
  <c r="J25" i="13" s="1"/>
  <c r="M21" i="13"/>
  <c r="M25" i="13" s="1"/>
  <c r="X2" i="13"/>
  <c r="M47" i="13" s="1"/>
  <c r="K55" i="9"/>
  <c r="K50" i="9"/>
  <c r="K61" i="9"/>
  <c r="A51" i="14"/>
  <c r="J49" i="14"/>
  <c r="J41" i="13"/>
  <c r="A43" i="13"/>
  <c r="I43" i="14"/>
  <c r="I45" i="14"/>
  <c r="D42" i="12"/>
  <c r="D44" i="12" s="1"/>
  <c r="H44" i="12" s="1"/>
  <c r="H35" i="39"/>
  <c r="D43" i="12"/>
  <c r="H43" i="12" s="1"/>
  <c r="D41" i="11"/>
  <c r="D47" i="11"/>
  <c r="D44" i="11"/>
  <c r="D45" i="11"/>
  <c r="L19" i="11"/>
  <c r="AI2" i="11"/>
  <c r="F33" i="11" s="1"/>
  <c r="F34" i="11" s="1"/>
  <c r="F35" i="11" s="1"/>
  <c r="AH16" i="10"/>
  <c r="AH5" i="10"/>
  <c r="D10" i="11"/>
  <c r="V33" i="11" s="1"/>
  <c r="V34" i="11" s="1"/>
  <c r="V35" i="11" s="1"/>
  <c r="D33" i="11"/>
  <c r="D34" i="11" s="1"/>
  <c r="I33" i="11"/>
  <c r="Q2" i="39"/>
  <c r="P9" i="39" s="1"/>
  <c r="D35" i="11"/>
  <c r="U33" i="11"/>
  <c r="U34" i="11" s="1"/>
  <c r="U35" i="11" s="1"/>
  <c r="D43" i="9"/>
  <c r="M36" i="9"/>
  <c r="M29" i="9"/>
  <c r="D18" i="42"/>
  <c r="F8" i="39"/>
  <c r="K26" i="39" s="1"/>
  <c r="G44" i="12"/>
  <c r="G45" i="12" s="1"/>
  <c r="I36" i="12"/>
  <c r="I37" i="12" s="1"/>
  <c r="I38" i="12" s="1"/>
  <c r="I38" i="14"/>
  <c r="D43" i="14"/>
  <c r="J43" i="14" s="1"/>
  <c r="M23" i="9"/>
  <c r="AH6" i="10"/>
  <c r="AH11" i="10"/>
  <c r="AH13" i="10"/>
  <c r="AH10" i="10"/>
  <c r="AH15" i="10"/>
  <c r="AH7" i="10"/>
  <c r="AH12" i="10"/>
  <c r="S8" i="40"/>
  <c r="E21" i="40" s="1"/>
  <c r="H21" i="40" s="1"/>
  <c r="D27" i="9"/>
  <c r="Q41" i="13"/>
  <c r="Q26" i="13"/>
  <c r="Q22" i="13"/>
  <c r="L28" i="37"/>
  <c r="K23" i="37"/>
  <c r="L23" i="37" s="1"/>
  <c r="K25" i="37"/>
  <c r="L25" i="37" s="1"/>
  <c r="K26" i="37"/>
  <c r="L26" i="37" s="1"/>
  <c r="L34" i="37"/>
  <c r="D26" i="9"/>
  <c r="K33" i="11"/>
  <c r="K34" i="11" s="1"/>
  <c r="K35" i="11" s="1"/>
  <c r="D33" i="9"/>
  <c r="L33" i="9" s="1"/>
  <c r="D32" i="9"/>
  <c r="D25" i="9"/>
  <c r="D31" i="9"/>
  <c r="F18" i="42"/>
  <c r="D19" i="42" l="1"/>
  <c r="D20" i="42" s="1"/>
  <c r="M49" i="15"/>
  <c r="O56" i="15"/>
  <c r="Q23" i="15"/>
  <c r="P20" i="14"/>
  <c r="H43" i="14"/>
  <c r="J37" i="12"/>
  <c r="H42" i="12"/>
  <c r="H35" i="12"/>
  <c r="H36" i="12"/>
  <c r="H37" i="12"/>
  <c r="D38" i="12"/>
  <c r="H38" i="12" s="1"/>
  <c r="J42" i="12"/>
  <c r="Q15" i="8"/>
  <c r="AK9" i="11"/>
  <c r="I27" i="11"/>
  <c r="R50" i="11"/>
  <c r="R33" i="11"/>
  <c r="R34" i="11"/>
  <c r="R56" i="11"/>
  <c r="R37" i="11"/>
  <c r="R35" i="11"/>
  <c r="L51" i="11"/>
  <c r="R51" i="11" s="1"/>
  <c r="W51" i="11" s="1"/>
  <c r="G33" i="8"/>
  <c r="O33" i="8"/>
  <c r="H33" i="8"/>
  <c r="P33" i="8"/>
  <c r="I33" i="8"/>
  <c r="N33" i="8"/>
  <c r="J33" i="8"/>
  <c r="K33" i="8"/>
  <c r="M33" i="8"/>
  <c r="M13" i="38"/>
  <c r="O37" i="10"/>
  <c r="Q32" i="8"/>
  <c r="W6" i="8" s="1"/>
  <c r="M85" i="11" s="1"/>
  <c r="Q31" i="8"/>
  <c r="W5" i="8" s="1"/>
  <c r="M84" i="11" s="1"/>
  <c r="L33" i="8"/>
  <c r="Q30" i="8"/>
  <c r="W4" i="8" s="1"/>
  <c r="M83" i="11" s="1"/>
  <c r="Q29" i="8"/>
  <c r="P10" i="39"/>
  <c r="P17" i="39"/>
  <c r="P13" i="39"/>
  <c r="Q8" i="40"/>
  <c r="U8" i="40"/>
  <c r="E23" i="40" s="1"/>
  <c r="H23" i="40" s="1"/>
  <c r="Q37" i="10"/>
  <c r="L45" i="11"/>
  <c r="AK5" i="11"/>
  <c r="L44" i="11"/>
  <c r="L47" i="11"/>
  <c r="S37" i="10"/>
  <c r="Q49" i="7"/>
  <c r="Z4" i="7" s="1"/>
  <c r="J57" i="9" s="1"/>
  <c r="M52" i="7"/>
  <c r="H46" i="7"/>
  <c r="J46" i="7"/>
  <c r="Q50" i="7"/>
  <c r="Z5" i="7" s="1"/>
  <c r="H52" i="7"/>
  <c r="L52" i="7"/>
  <c r="I52" i="7"/>
  <c r="O52" i="7"/>
  <c r="Q48" i="7"/>
  <c r="Z3" i="7" s="1"/>
  <c r="F52" i="7"/>
  <c r="P52" i="7"/>
  <c r="J52" i="7"/>
  <c r="G52" i="7"/>
  <c r="K46" i="7"/>
  <c r="Q45" i="7"/>
  <c r="Y6" i="7" s="1"/>
  <c r="J54" i="9" s="1"/>
  <c r="N46" i="7"/>
  <c r="Q44" i="7"/>
  <c r="Y5" i="7" s="1"/>
  <c r="J53" i="9" s="1"/>
  <c r="G46" i="7"/>
  <c r="M46" i="7"/>
  <c r="P46" i="7"/>
  <c r="Q42" i="7"/>
  <c r="Y3" i="7" s="1"/>
  <c r="J51" i="9" s="1"/>
  <c r="I46" i="7"/>
  <c r="F46" i="7"/>
  <c r="O40" i="7"/>
  <c r="Q13" i="7"/>
  <c r="L40" i="7"/>
  <c r="I40" i="7"/>
  <c r="Q38" i="7"/>
  <c r="W4" i="7" s="1"/>
  <c r="M68" i="11" s="1"/>
  <c r="G40" i="7"/>
  <c r="J40" i="7"/>
  <c r="F40" i="7"/>
  <c r="M40" i="7"/>
  <c r="P40" i="7"/>
  <c r="J67" i="9"/>
  <c r="Q58" i="8"/>
  <c r="Q68" i="8" s="1"/>
  <c r="Q71" i="7"/>
  <c r="Q85" i="7" s="1"/>
  <c r="H4" i="38"/>
  <c r="Q18" i="15"/>
  <c r="I53" i="15" s="1"/>
  <c r="O49" i="15"/>
  <c r="Q19" i="15"/>
  <c r="E38" i="15" s="1"/>
  <c r="Q49" i="15"/>
  <c r="Q56" i="15"/>
  <c r="M56" i="15"/>
  <c r="Q24" i="15"/>
  <c r="Q25" i="15" s="1"/>
  <c r="K49" i="15"/>
  <c r="F20" i="42"/>
  <c r="O41" i="13"/>
  <c r="D45" i="14"/>
  <c r="H45" i="14" s="1"/>
  <c r="E38" i="14"/>
  <c r="K56" i="14"/>
  <c r="M56" i="14"/>
  <c r="O56" i="14"/>
  <c r="Q56" i="14"/>
  <c r="M49" i="14"/>
  <c r="Q49" i="14"/>
  <c r="Q24" i="14"/>
  <c r="I61" i="14" s="1"/>
  <c r="Q23" i="14"/>
  <c r="E44" i="14" s="1"/>
  <c r="K34" i="12"/>
  <c r="Q86" i="11"/>
  <c r="S81" i="11"/>
  <c r="L41" i="11"/>
  <c r="O70" i="11"/>
  <c r="U81" i="11"/>
  <c r="U66" i="11"/>
  <c r="AK15" i="11"/>
  <c r="AK6" i="11"/>
  <c r="T33" i="11"/>
  <c r="T34" i="11" s="1"/>
  <c r="T35" i="11" s="1"/>
  <c r="AK8" i="11"/>
  <c r="G52" i="11"/>
  <c r="AK16" i="11"/>
  <c r="AK12" i="11"/>
  <c r="AK10" i="11"/>
  <c r="AK11" i="11"/>
  <c r="AK13" i="11"/>
  <c r="AK14" i="11"/>
  <c r="AK7" i="11"/>
  <c r="M8" i="38"/>
  <c r="O33" i="10"/>
  <c r="M12" i="38"/>
  <c r="M17" i="38"/>
  <c r="M11" i="38"/>
  <c r="M7" i="38"/>
  <c r="M16" i="38"/>
  <c r="M6" i="38"/>
  <c r="M9" i="38"/>
  <c r="O32" i="10"/>
  <c r="Q51" i="7"/>
  <c r="L46" i="7"/>
  <c r="K52" i="7"/>
  <c r="N52" i="7"/>
  <c r="O46" i="7"/>
  <c r="Q43" i="7"/>
  <c r="Y4" i="7" s="1"/>
  <c r="Q23" i="7"/>
  <c r="N40" i="7"/>
  <c r="H40" i="7"/>
  <c r="K40" i="7"/>
  <c r="Q37" i="7"/>
  <c r="W3" i="7" s="1"/>
  <c r="L50" i="9"/>
  <c r="L66" i="9"/>
  <c r="R55" i="9"/>
  <c r="L61" i="9"/>
  <c r="F39" i="39"/>
  <c r="H39" i="39" s="1"/>
  <c r="H25" i="9"/>
  <c r="H26" i="9" s="1"/>
  <c r="H27" i="9" s="1"/>
  <c r="L27" i="9" s="1"/>
  <c r="D45" i="12"/>
  <c r="H45" i="12" s="1"/>
  <c r="J35" i="12"/>
  <c r="J43" i="12"/>
  <c r="L57" i="11"/>
  <c r="R57" i="11" s="1"/>
  <c r="W57" i="11" s="1"/>
  <c r="N87" i="11" s="1"/>
  <c r="O87" i="11" s="1"/>
  <c r="O31" i="10"/>
  <c r="L43" i="9"/>
  <c r="Q67" i="8"/>
  <c r="L31" i="9"/>
  <c r="T53" i="11"/>
  <c r="T54" i="11" s="1"/>
  <c r="G32" i="13"/>
  <c r="Q23" i="13"/>
  <c r="I44" i="13"/>
  <c r="G36" i="13"/>
  <c r="Q27" i="13"/>
  <c r="I50" i="13"/>
  <c r="I49" i="13" s="1"/>
  <c r="L32" i="9"/>
  <c r="L35" i="39"/>
  <c r="L50" i="39"/>
  <c r="L34" i="39"/>
  <c r="P15" i="39"/>
  <c r="M41" i="13"/>
  <c r="D38" i="9"/>
  <c r="M42" i="9"/>
  <c r="M77" i="11"/>
  <c r="P16" i="39"/>
  <c r="P12" i="39"/>
  <c r="K47" i="13"/>
  <c r="D39" i="9"/>
  <c r="D40" i="9"/>
  <c r="D46" i="9"/>
  <c r="D24" i="9"/>
  <c r="D30" i="9"/>
  <c r="P18" i="39"/>
  <c r="P7" i="39"/>
  <c r="Q47" i="13"/>
  <c r="P8" i="39"/>
  <c r="D37" i="9"/>
  <c r="J37" i="9" s="1"/>
  <c r="L55" i="9"/>
  <c r="N66" i="9"/>
  <c r="P50" i="9"/>
  <c r="R61" i="9"/>
  <c r="N55" i="9"/>
  <c r="D45" i="9"/>
  <c r="D44" i="9"/>
  <c r="P11" i="39"/>
  <c r="P14" i="39"/>
  <c r="K41" i="13"/>
  <c r="O47" i="13"/>
  <c r="V6" i="39"/>
  <c r="T6" i="39"/>
  <c r="H44" i="39"/>
  <c r="D36" i="15"/>
  <c r="D38" i="15" s="1"/>
  <c r="D43" i="15"/>
  <c r="D45" i="15" s="1"/>
  <c r="E44" i="15"/>
  <c r="I60" i="15"/>
  <c r="F54" i="11"/>
  <c r="AH9" i="10"/>
  <c r="AH8" i="10"/>
  <c r="AH14" i="10"/>
  <c r="D36" i="14"/>
  <c r="Q7" i="40"/>
  <c r="O66" i="11"/>
  <c r="E45" i="14"/>
  <c r="D38" i="11"/>
  <c r="E38" i="12"/>
  <c r="J38" i="12" s="1"/>
  <c r="I54" i="12"/>
  <c r="Q39" i="7"/>
  <c r="J70" i="9"/>
  <c r="M90" i="11"/>
  <c r="U86" i="11"/>
  <c r="S70" i="11"/>
  <c r="U70" i="11"/>
  <c r="S66" i="11"/>
  <c r="Q66" i="11"/>
  <c r="O81" i="11"/>
  <c r="U75" i="11"/>
  <c r="S75" i="11"/>
  <c r="Q70" i="11"/>
  <c r="E37" i="14"/>
  <c r="Q20" i="14"/>
  <c r="P25" i="15"/>
  <c r="D40" i="11"/>
  <c r="F26" i="38"/>
  <c r="Q81" i="11"/>
  <c r="I53" i="12"/>
  <c r="Q24" i="12"/>
  <c r="P20" i="15"/>
  <c r="F21" i="38"/>
  <c r="S5" i="38"/>
  <c r="O86" i="11"/>
  <c r="Q75" i="11"/>
  <c r="S86" i="11"/>
  <c r="G58" i="11"/>
  <c r="K49" i="12"/>
  <c r="Q56" i="12"/>
  <c r="Q28" i="12"/>
  <c r="M49" i="12"/>
  <c r="O56" i="12"/>
  <c r="Q27" i="12"/>
  <c r="M56" i="12"/>
  <c r="K56" i="12"/>
  <c r="O49" i="12"/>
  <c r="D35" i="14"/>
  <c r="F33" i="8"/>
  <c r="O21" i="13"/>
  <c r="O25" i="13" s="1"/>
  <c r="L21" i="13"/>
  <c r="L25" i="13" s="1"/>
  <c r="J49" i="15"/>
  <c r="N21" i="13"/>
  <c r="N25" i="13" s="1"/>
  <c r="J56" i="15"/>
  <c r="J49" i="12"/>
  <c r="J1" i="37"/>
  <c r="E1" i="60"/>
  <c r="J1" i="39"/>
  <c r="D42" i="14"/>
  <c r="H42" i="14" s="1"/>
  <c r="K41" i="14"/>
  <c r="I36" i="14"/>
  <c r="D38" i="14"/>
  <c r="H38" i="14" s="1"/>
  <c r="K41" i="15"/>
  <c r="D35" i="15"/>
  <c r="J35" i="15" s="1"/>
  <c r="D42" i="15"/>
  <c r="J42" i="15" s="1"/>
  <c r="I43" i="15"/>
  <c r="I37" i="15"/>
  <c r="I38" i="15"/>
  <c r="I44" i="15"/>
  <c r="S1" i="10"/>
  <c r="N1" i="13"/>
  <c r="N1" i="12"/>
  <c r="N1" i="15"/>
  <c r="H1" i="42"/>
  <c r="G1" i="40"/>
  <c r="H1" i="41"/>
  <c r="O1" i="8"/>
  <c r="P1" i="9"/>
  <c r="T1" i="11"/>
  <c r="G1" i="38"/>
  <c r="N1" i="14"/>
  <c r="P61" i="9"/>
  <c r="P66" i="9"/>
  <c r="N50" i="9"/>
  <c r="R50" i="9"/>
  <c r="R66" i="9"/>
  <c r="P55" i="9"/>
  <c r="I54" i="15" l="1"/>
  <c r="J43" i="15"/>
  <c r="E37" i="15"/>
  <c r="J36" i="14"/>
  <c r="H36" i="14"/>
  <c r="J35" i="14"/>
  <c r="H35" i="14"/>
  <c r="J38" i="14"/>
  <c r="J45" i="14"/>
  <c r="I40" i="11"/>
  <c r="I41" i="11" s="1"/>
  <c r="I46" i="11"/>
  <c r="I47" i="11" s="1"/>
  <c r="Z5" i="8"/>
  <c r="G11" i="37" s="1"/>
  <c r="J25" i="37" s="1"/>
  <c r="J63" i="9"/>
  <c r="W34" i="11"/>
  <c r="N68" i="11" s="1"/>
  <c r="O68" i="11" s="1"/>
  <c r="W35" i="11"/>
  <c r="N69" i="11" s="1"/>
  <c r="W33" i="11"/>
  <c r="N67" i="11" s="1"/>
  <c r="L44" i="9"/>
  <c r="J44" i="9"/>
  <c r="L45" i="9"/>
  <c r="J45" i="9"/>
  <c r="L46" i="9"/>
  <c r="J46" i="9"/>
  <c r="L38" i="9"/>
  <c r="J38" i="9"/>
  <c r="L40" i="9"/>
  <c r="J40" i="9"/>
  <c r="L39" i="9"/>
  <c r="J39" i="9"/>
  <c r="L26" i="9"/>
  <c r="J65" i="9"/>
  <c r="Z3" i="8"/>
  <c r="Z4" i="8"/>
  <c r="G10" i="37" s="1"/>
  <c r="J23" i="37" s="1"/>
  <c r="J64" i="9"/>
  <c r="W3" i="8"/>
  <c r="Q33" i="8"/>
  <c r="I51" i="12"/>
  <c r="M71" i="11"/>
  <c r="I51" i="14"/>
  <c r="L39" i="10"/>
  <c r="Q63" i="8"/>
  <c r="I58" i="15"/>
  <c r="M74" i="11"/>
  <c r="Q74" i="7"/>
  <c r="Q87" i="7"/>
  <c r="M73" i="11"/>
  <c r="AB7" i="7"/>
  <c r="I51" i="15"/>
  <c r="E36" i="39"/>
  <c r="H36" i="39" s="1"/>
  <c r="J58" i="9"/>
  <c r="M78" i="11"/>
  <c r="J56" i="9"/>
  <c r="M76" i="11"/>
  <c r="Q46" i="7"/>
  <c r="E19" i="41"/>
  <c r="H19" i="41" s="1"/>
  <c r="Q79" i="7"/>
  <c r="Q61" i="8"/>
  <c r="Q86" i="7"/>
  <c r="Q69" i="8"/>
  <c r="Q66" i="8"/>
  <c r="AB6" i="7"/>
  <c r="F11" i="37" s="1"/>
  <c r="F25" i="37" s="1"/>
  <c r="G25" i="37" s="1"/>
  <c r="H25" i="37" s="1"/>
  <c r="Q60" i="8"/>
  <c r="Q62" i="8"/>
  <c r="I52" i="14"/>
  <c r="Q80" i="7"/>
  <c r="Q73" i="7"/>
  <c r="Q81" i="7"/>
  <c r="Q78" i="7"/>
  <c r="Q84" i="7"/>
  <c r="Q75" i="7"/>
  <c r="Q70" i="8"/>
  <c r="Q64" i="8"/>
  <c r="Q20" i="15"/>
  <c r="E17" i="41" s="1"/>
  <c r="E45" i="15"/>
  <c r="I61" i="15"/>
  <c r="I60" i="14"/>
  <c r="I58" i="14" s="1"/>
  <c r="Q25" i="14"/>
  <c r="P7" i="40"/>
  <c r="G53" i="11"/>
  <c r="L52" i="11"/>
  <c r="R52" i="11" s="1"/>
  <c r="W52" i="11" s="1"/>
  <c r="Z6" i="7"/>
  <c r="Q52" i="7"/>
  <c r="I52" i="15"/>
  <c r="E28" i="37"/>
  <c r="H28" i="37" s="1"/>
  <c r="I52" i="12"/>
  <c r="I43" i="13"/>
  <c r="I51" i="13" s="1"/>
  <c r="M72" i="11"/>
  <c r="J52" i="9"/>
  <c r="E20" i="40"/>
  <c r="H20" i="40" s="1"/>
  <c r="AB5" i="7"/>
  <c r="L38" i="10"/>
  <c r="M67" i="11"/>
  <c r="AB4" i="7"/>
  <c r="L25" i="9"/>
  <c r="D37" i="14"/>
  <c r="J38" i="15"/>
  <c r="N49" i="14"/>
  <c r="A58" i="14"/>
  <c r="N56" i="14"/>
  <c r="L38" i="11"/>
  <c r="O50" i="9"/>
  <c r="O66" i="9"/>
  <c r="O61" i="9"/>
  <c r="A63" i="9"/>
  <c r="O55" i="9"/>
  <c r="R86" i="11"/>
  <c r="R66" i="11"/>
  <c r="R81" i="11"/>
  <c r="R87" i="11"/>
  <c r="S87" i="11" s="1"/>
  <c r="R70" i="11"/>
  <c r="B78" i="11"/>
  <c r="R75" i="11"/>
  <c r="N49" i="15"/>
  <c r="A58" i="15"/>
  <c r="N56" i="15"/>
  <c r="L40" i="11"/>
  <c r="L30" i="9"/>
  <c r="O7" i="40"/>
  <c r="N56" i="12"/>
  <c r="N49" i="12"/>
  <c r="A59" i="12"/>
  <c r="Q29" i="12"/>
  <c r="O6" i="40" s="1"/>
  <c r="P6" i="40"/>
  <c r="I60" i="12"/>
  <c r="I58" i="12" s="1"/>
  <c r="E44" i="12"/>
  <c r="G59" i="11"/>
  <c r="L58" i="11"/>
  <c r="R58" i="11" s="1"/>
  <c r="W58" i="11" s="1"/>
  <c r="P88" i="11" s="1"/>
  <c r="Q88" i="11" s="1"/>
  <c r="W5" i="7"/>
  <c r="Q40" i="7"/>
  <c r="N82" i="11"/>
  <c r="R82" i="11"/>
  <c r="L24" i="9"/>
  <c r="R37" i="10"/>
  <c r="B48" i="10"/>
  <c r="I61" i="12"/>
  <c r="E45" i="12"/>
  <c r="Q6" i="40"/>
  <c r="U6" i="39"/>
  <c r="H45" i="39"/>
  <c r="E50" i="39"/>
  <c r="H50" i="39" s="1"/>
  <c r="H43" i="39"/>
  <c r="W6" i="39"/>
  <c r="G15" i="39"/>
  <c r="L37" i="9"/>
  <c r="J36" i="15"/>
  <c r="A51" i="13"/>
  <c r="N47" i="13"/>
  <c r="N41" i="13"/>
  <c r="L56" i="14"/>
  <c r="L49" i="14"/>
  <c r="A55" i="14"/>
  <c r="L56" i="12"/>
  <c r="A56" i="12"/>
  <c r="L49" i="12"/>
  <c r="L49" i="15"/>
  <c r="A55" i="15"/>
  <c r="L56" i="15"/>
  <c r="A48" i="13"/>
  <c r="L41" i="13"/>
  <c r="L47" i="13"/>
  <c r="P81" i="11"/>
  <c r="P82" i="11"/>
  <c r="P86" i="11"/>
  <c r="P66" i="11"/>
  <c r="P87" i="11"/>
  <c r="Q87" i="11" s="1"/>
  <c r="P70" i="11"/>
  <c r="B74" i="11"/>
  <c r="P75" i="11"/>
  <c r="A57" i="9"/>
  <c r="M50" i="9"/>
  <c r="M61" i="9"/>
  <c r="M55" i="9"/>
  <c r="M66" i="9"/>
  <c r="B44" i="10"/>
  <c r="P37" i="10"/>
  <c r="J42" i="14"/>
  <c r="D44" i="14"/>
  <c r="H44" i="14" s="1"/>
  <c r="D37" i="15"/>
  <c r="D44" i="15"/>
  <c r="J44" i="15" s="1"/>
  <c r="B52" i="10"/>
  <c r="T37" i="10"/>
  <c r="Q50" i="9"/>
  <c r="Q55" i="9"/>
  <c r="A68" i="9"/>
  <c r="Q66" i="9"/>
  <c r="Q61" i="9"/>
  <c r="P49" i="15"/>
  <c r="A61" i="15"/>
  <c r="P56" i="15"/>
  <c r="P47" i="13"/>
  <c r="A55" i="13"/>
  <c r="P41" i="13"/>
  <c r="A63" i="12"/>
  <c r="P56" i="12"/>
  <c r="P49" i="12"/>
  <c r="T86" i="11"/>
  <c r="T66" i="11"/>
  <c r="T87" i="11"/>
  <c r="U87" i="11" s="1"/>
  <c r="T75" i="11"/>
  <c r="T81" i="11"/>
  <c r="T70" i="11"/>
  <c r="T82" i="11"/>
  <c r="B83" i="11"/>
  <c r="A61" i="14"/>
  <c r="P56" i="14"/>
  <c r="P49" i="14"/>
  <c r="J45" i="15" l="1"/>
  <c r="P8" i="40"/>
  <c r="O8" i="40"/>
  <c r="E17" i="40" s="1"/>
  <c r="F17" i="40" s="1"/>
  <c r="J37" i="14"/>
  <c r="H37" i="14"/>
  <c r="F16" i="40"/>
  <c r="G16" i="40" s="1"/>
  <c r="H16" i="40" s="1"/>
  <c r="J45" i="12"/>
  <c r="J44" i="12"/>
  <c r="G17" i="39"/>
  <c r="J31" i="39" s="1"/>
  <c r="K31" i="39" s="1"/>
  <c r="L31" i="39" s="1"/>
  <c r="P69" i="11"/>
  <c r="J28" i="39"/>
  <c r="K28" i="39"/>
  <c r="L28" i="39" s="1"/>
  <c r="T69" i="11"/>
  <c r="T68" i="11"/>
  <c r="U68" i="11" s="1"/>
  <c r="R69" i="11"/>
  <c r="O67" i="11"/>
  <c r="P68" i="11"/>
  <c r="Q68" i="11" s="1"/>
  <c r="T67" i="11"/>
  <c r="U67" i="11" s="1"/>
  <c r="P67" i="11"/>
  <c r="Q67" i="11" s="1"/>
  <c r="R67" i="11"/>
  <c r="S67" i="11" s="1"/>
  <c r="R68" i="11"/>
  <c r="S68" i="11" s="1"/>
  <c r="F17" i="39"/>
  <c r="F31" i="39" s="1"/>
  <c r="G31" i="39" s="1"/>
  <c r="H31" i="39" s="1"/>
  <c r="G14" i="39"/>
  <c r="J26" i="39" s="1"/>
  <c r="L26" i="39" s="1"/>
  <c r="G9" i="37"/>
  <c r="J21" i="37" s="1"/>
  <c r="K21" i="37" s="1"/>
  <c r="L21" i="37" s="1"/>
  <c r="I27" i="37" s="1"/>
  <c r="I35" i="37" s="1"/>
  <c r="I36" i="37" s="1"/>
  <c r="M82" i="11"/>
  <c r="Q82" i="11" s="1"/>
  <c r="Z6" i="8"/>
  <c r="I28" i="37"/>
  <c r="I36" i="39"/>
  <c r="L36" i="39" s="1"/>
  <c r="J62" i="9"/>
  <c r="F12" i="37"/>
  <c r="F26" i="37" s="1"/>
  <c r="G26" i="37" s="1"/>
  <c r="H26" i="37" s="1"/>
  <c r="Q88" i="7"/>
  <c r="F18" i="39"/>
  <c r="F32" i="39" s="1"/>
  <c r="G32" i="39" s="1"/>
  <c r="H32" i="39" s="1"/>
  <c r="F16" i="41"/>
  <c r="G16" i="41" s="1"/>
  <c r="H16" i="41" s="1"/>
  <c r="F15" i="40"/>
  <c r="G15" i="40" s="1"/>
  <c r="H15" i="40" s="1"/>
  <c r="F15" i="41"/>
  <c r="G15" i="41" s="1"/>
  <c r="H15" i="41" s="1"/>
  <c r="Q76" i="7"/>
  <c r="A23" i="60"/>
  <c r="Q82" i="7"/>
  <c r="I59" i="12"/>
  <c r="R83" i="11"/>
  <c r="S83" i="11" s="1"/>
  <c r="T83" i="11"/>
  <c r="U83" i="11" s="1"/>
  <c r="N83" i="11"/>
  <c r="O83" i="11" s="1"/>
  <c r="P83" i="11"/>
  <c r="Q83" i="11" s="1"/>
  <c r="G54" i="11"/>
  <c r="L53" i="11"/>
  <c r="R53" i="11" s="1"/>
  <c r="W53" i="11" s="1"/>
  <c r="I59" i="14"/>
  <c r="M79" i="11"/>
  <c r="I59" i="15"/>
  <c r="I62" i="15" s="1"/>
  <c r="J59" i="9"/>
  <c r="F14" i="41"/>
  <c r="G14" i="41" s="1"/>
  <c r="H14" i="41" s="1"/>
  <c r="F10" i="37"/>
  <c r="F23" i="37" s="1"/>
  <c r="G23" i="37" s="1"/>
  <c r="H23" i="37" s="1"/>
  <c r="E10" i="38"/>
  <c r="F15" i="39"/>
  <c r="F14" i="40"/>
  <c r="G14" i="40" s="1"/>
  <c r="H14" i="40" s="1"/>
  <c r="F16" i="39"/>
  <c r="E11" i="38"/>
  <c r="T88" i="11"/>
  <c r="U88" i="11" s="1"/>
  <c r="F31" i="13"/>
  <c r="F35" i="13"/>
  <c r="F17" i="41"/>
  <c r="G17" i="41" s="1"/>
  <c r="H17" i="41" s="1"/>
  <c r="M69" i="11"/>
  <c r="L40" i="10"/>
  <c r="AB3" i="7"/>
  <c r="R88" i="11"/>
  <c r="S88" i="11" s="1"/>
  <c r="N88" i="11"/>
  <c r="O88" i="11" s="1"/>
  <c r="L59" i="11"/>
  <c r="R59" i="11" s="1"/>
  <c r="W59" i="11" s="1"/>
  <c r="G60" i="11"/>
  <c r="J44" i="14"/>
  <c r="J37" i="15"/>
  <c r="H18" i="41" l="1"/>
  <c r="H24" i="41" s="1"/>
  <c r="H25" i="41" s="1"/>
  <c r="E29" i="41" s="1"/>
  <c r="F29" i="41" s="1"/>
  <c r="F35" i="15"/>
  <c r="L35" i="15"/>
  <c r="L42" i="15"/>
  <c r="G17" i="40"/>
  <c r="H17" i="40" s="1"/>
  <c r="H19" i="40" s="1"/>
  <c r="H25" i="40" s="1"/>
  <c r="H26" i="40" s="1"/>
  <c r="E30" i="40" s="1"/>
  <c r="F30" i="40" s="1"/>
  <c r="U69" i="11"/>
  <c r="F19" i="38"/>
  <c r="G18" i="39"/>
  <c r="G12" i="37"/>
  <c r="U82" i="11"/>
  <c r="O82" i="11"/>
  <c r="S82" i="11"/>
  <c r="I62" i="12"/>
  <c r="L54" i="11"/>
  <c r="R54" i="11" s="1"/>
  <c r="W54" i="11" s="1"/>
  <c r="N84" i="11"/>
  <c r="O84" i="11" s="1"/>
  <c r="T84" i="11"/>
  <c r="U84" i="11" s="1"/>
  <c r="R84" i="11"/>
  <c r="S84" i="11" s="1"/>
  <c r="P84" i="11"/>
  <c r="Q84" i="11" s="1"/>
  <c r="I62" i="14"/>
  <c r="J71" i="9"/>
  <c r="M92" i="11"/>
  <c r="G28" i="39"/>
  <c r="H28" i="39" s="1"/>
  <c r="F28" i="39"/>
  <c r="N89" i="11"/>
  <c r="O89" i="11" s="1"/>
  <c r="R89" i="11"/>
  <c r="S89" i="11" s="1"/>
  <c r="P89" i="11"/>
  <c r="Q89" i="11" s="1"/>
  <c r="T89" i="11"/>
  <c r="U89" i="11" s="1"/>
  <c r="M91" i="11"/>
  <c r="O69" i="11"/>
  <c r="Q69" i="11"/>
  <c r="S69" i="11"/>
  <c r="L60" i="11"/>
  <c r="R60" i="11" s="1"/>
  <c r="W60" i="11" s="1"/>
  <c r="F13" i="41"/>
  <c r="E9" i="38"/>
  <c r="F18" i="38" s="1"/>
  <c r="F9" i="37"/>
  <c r="F13" i="40"/>
  <c r="F14" i="39"/>
  <c r="G26" i="39" s="1"/>
  <c r="F36" i="13"/>
  <c r="J36" i="13" s="1"/>
  <c r="J35" i="13"/>
  <c r="L41" i="10"/>
  <c r="J31" i="13"/>
  <c r="F32" i="13"/>
  <c r="J32" i="13" s="1"/>
  <c r="F42" i="15" l="1"/>
  <c r="L43" i="15"/>
  <c r="L44" i="15"/>
  <c r="L45" i="15"/>
  <c r="L38" i="15"/>
  <c r="L36" i="15"/>
  <c r="L37" i="15"/>
  <c r="F43" i="15"/>
  <c r="M42" i="15"/>
  <c r="J58" i="15" s="1"/>
  <c r="K58" i="15" s="1"/>
  <c r="K42" i="15"/>
  <c r="F36" i="15"/>
  <c r="K35" i="15"/>
  <c r="F35" i="14"/>
  <c r="L42" i="14"/>
  <c r="L35" i="14"/>
  <c r="D35" i="40"/>
  <c r="F35" i="40"/>
  <c r="E29" i="40"/>
  <c r="F29" i="40" s="1"/>
  <c r="D34" i="40" s="1"/>
  <c r="F42" i="12"/>
  <c r="L42" i="12"/>
  <c r="L43" i="12" s="1"/>
  <c r="L44" i="12" s="1"/>
  <c r="L45" i="12" s="1"/>
  <c r="L35" i="12"/>
  <c r="L36" i="12" s="1"/>
  <c r="L37" i="12" s="1"/>
  <c r="L38" i="12" s="1"/>
  <c r="P31" i="10"/>
  <c r="S31" i="10"/>
  <c r="S32" i="10" s="1"/>
  <c r="S33" i="10" s="1"/>
  <c r="J26" i="37"/>
  <c r="G8" i="37"/>
  <c r="J32" i="39"/>
  <c r="K32" i="39" s="1"/>
  <c r="L32" i="39" s="1"/>
  <c r="L33" i="39" s="1"/>
  <c r="I51" i="39" s="1"/>
  <c r="I52" i="39" s="1"/>
  <c r="G13" i="39"/>
  <c r="E28" i="41"/>
  <c r="F28" i="41" s="1"/>
  <c r="F33" i="41" s="1"/>
  <c r="N30" i="9"/>
  <c r="N31" i="9" s="1"/>
  <c r="N32" i="9" s="1"/>
  <c r="N33" i="9" s="1"/>
  <c r="O30" i="9"/>
  <c r="O31" i="9" s="1"/>
  <c r="O32" i="9" s="1"/>
  <c r="O33" i="9" s="1"/>
  <c r="N24" i="9"/>
  <c r="N25" i="9" s="1"/>
  <c r="N26" i="9" s="1"/>
  <c r="N27" i="9" s="1"/>
  <c r="O24" i="9"/>
  <c r="O25" i="9" s="1"/>
  <c r="O26" i="9" s="1"/>
  <c r="O27" i="9" s="1"/>
  <c r="R85" i="11"/>
  <c r="S85" i="11" s="1"/>
  <c r="N85" i="11"/>
  <c r="O85" i="11" s="1"/>
  <c r="P85" i="11"/>
  <c r="Q85" i="11" s="1"/>
  <c r="T85" i="11"/>
  <c r="U85" i="11" s="1"/>
  <c r="F38" i="11"/>
  <c r="F44" i="11"/>
  <c r="R90" i="11"/>
  <c r="S90" i="11" s="1"/>
  <c r="N90" i="11"/>
  <c r="O90" i="11" s="1"/>
  <c r="T90" i="11"/>
  <c r="U90" i="11" s="1"/>
  <c r="P90" i="11"/>
  <c r="Q90" i="11" s="1"/>
  <c r="G13" i="40"/>
  <c r="H13" i="40" s="1"/>
  <c r="E9" i="40"/>
  <c r="J50" i="13"/>
  <c r="K50" i="13" s="1"/>
  <c r="N50" i="13"/>
  <c r="O50" i="13" s="1"/>
  <c r="L50" i="13"/>
  <c r="M50" i="13" s="1"/>
  <c r="P50" i="13"/>
  <c r="Q50" i="13" s="1"/>
  <c r="F17" i="38"/>
  <c r="F33" i="38" s="1"/>
  <c r="F34" i="38" s="1"/>
  <c r="E8" i="38"/>
  <c r="F8" i="38" s="1"/>
  <c r="N44" i="13"/>
  <c r="O44" i="13" s="1"/>
  <c r="J44" i="13"/>
  <c r="K44" i="13" s="1"/>
  <c r="L44" i="13"/>
  <c r="M44" i="13" s="1"/>
  <c r="P44" i="13"/>
  <c r="Q44" i="13" s="1"/>
  <c r="G13" i="41"/>
  <c r="H13" i="41" s="1"/>
  <c r="F9" i="41"/>
  <c r="F8" i="37"/>
  <c r="F21" i="37"/>
  <c r="N43" i="13"/>
  <c r="O43" i="13" s="1"/>
  <c r="J43" i="13"/>
  <c r="K43" i="13" s="1"/>
  <c r="P43" i="13"/>
  <c r="Q43" i="13" s="1"/>
  <c r="L43" i="13"/>
  <c r="M43" i="13" s="1"/>
  <c r="D34" i="41"/>
  <c r="F34" i="41"/>
  <c r="N49" i="13"/>
  <c r="O49" i="13" s="1"/>
  <c r="J49" i="13"/>
  <c r="K49" i="13" s="1"/>
  <c r="L49" i="13"/>
  <c r="M49" i="13" s="1"/>
  <c r="P49" i="13"/>
  <c r="Q49" i="13" s="1"/>
  <c r="F26" i="39"/>
  <c r="H26" i="39" s="1"/>
  <c r="H33" i="39" s="1"/>
  <c r="E51" i="39" s="1"/>
  <c r="E52" i="39" s="1"/>
  <c r="F13" i="39"/>
  <c r="M35" i="15" l="1"/>
  <c r="J51" i="15" s="1"/>
  <c r="K51" i="15" s="1"/>
  <c r="N51" i="15"/>
  <c r="O51" i="15" s="1"/>
  <c r="P51" i="15"/>
  <c r="Q51" i="15" s="1"/>
  <c r="L51" i="15"/>
  <c r="M51" i="15" s="1"/>
  <c r="F37" i="15"/>
  <c r="K36" i="15"/>
  <c r="L58" i="15"/>
  <c r="M58" i="15" s="1"/>
  <c r="N58" i="15"/>
  <c r="O58" i="15" s="1"/>
  <c r="P58" i="15"/>
  <c r="Q58" i="15" s="1"/>
  <c r="F44" i="15"/>
  <c r="M43" i="15"/>
  <c r="J59" i="15" s="1"/>
  <c r="K59" i="15" s="1"/>
  <c r="K43" i="15"/>
  <c r="F42" i="14"/>
  <c r="F43" i="14" s="1"/>
  <c r="L38" i="14"/>
  <c r="L36" i="14"/>
  <c r="L37" i="14"/>
  <c r="L43" i="14"/>
  <c r="L44" i="14"/>
  <c r="L45" i="14"/>
  <c r="K42" i="14"/>
  <c r="M42" i="14"/>
  <c r="F36" i="14"/>
  <c r="K35" i="14"/>
  <c r="M35" i="14" s="1"/>
  <c r="F34" i="40"/>
  <c r="D36" i="40"/>
  <c r="F43" i="12"/>
  <c r="K42" i="12"/>
  <c r="M42" i="12"/>
  <c r="F35" i="12"/>
  <c r="H9" i="37"/>
  <c r="D33" i="41"/>
  <c r="F45" i="11"/>
  <c r="R44" i="11"/>
  <c r="W44" i="11" s="1"/>
  <c r="F39" i="11"/>
  <c r="R38" i="11"/>
  <c r="W38" i="11" s="1"/>
  <c r="P32" i="10"/>
  <c r="M38" i="10"/>
  <c r="G30" i="9"/>
  <c r="G31" i="9" s="1"/>
  <c r="G43" i="9"/>
  <c r="G37" i="9"/>
  <c r="H14" i="39"/>
  <c r="G21" i="37"/>
  <c r="H21" i="37" s="1"/>
  <c r="E27" i="37" s="1"/>
  <c r="E35" i="37" s="1"/>
  <c r="E36" i="37" s="1"/>
  <c r="G24" i="9"/>
  <c r="G25" i="9" s="1"/>
  <c r="M30" i="9"/>
  <c r="R30" i="9" s="1"/>
  <c r="E39" i="38"/>
  <c r="E38" i="38"/>
  <c r="F38" i="38"/>
  <c r="F39" i="38"/>
  <c r="O51" i="13"/>
  <c r="E50" i="13" s="1"/>
  <c r="K51" i="13"/>
  <c r="E42" i="13" s="1"/>
  <c r="F55" i="39"/>
  <c r="G55" i="39" s="1"/>
  <c r="F56" i="39"/>
  <c r="G56" i="39" s="1"/>
  <c r="M51" i="13"/>
  <c r="E47" i="13" s="1"/>
  <c r="Q51" i="13"/>
  <c r="E54" i="13" s="1"/>
  <c r="F35" i="41"/>
  <c r="H37" i="41" s="1"/>
  <c r="N52" i="15" l="1"/>
  <c r="O52" i="15" s="1"/>
  <c r="M36" i="15"/>
  <c r="J52" i="15" s="1"/>
  <c r="K52" i="15" s="1"/>
  <c r="L52" i="15"/>
  <c r="M52" i="15" s="1"/>
  <c r="P52" i="15"/>
  <c r="Q52" i="15" s="1"/>
  <c r="F38" i="15"/>
  <c r="K38" i="15" s="1"/>
  <c r="K37" i="15"/>
  <c r="L59" i="15"/>
  <c r="M59" i="15" s="1"/>
  <c r="P59" i="15"/>
  <c r="Q59" i="15" s="1"/>
  <c r="N59" i="15"/>
  <c r="O59" i="15" s="1"/>
  <c r="F45" i="15"/>
  <c r="M44" i="15"/>
  <c r="J60" i="15" s="1"/>
  <c r="K60" i="15" s="1"/>
  <c r="K44" i="15"/>
  <c r="L51" i="14"/>
  <c r="M51" i="14" s="1"/>
  <c r="P51" i="14"/>
  <c r="Q51" i="14" s="1"/>
  <c r="J51" i="14"/>
  <c r="K51" i="14" s="1"/>
  <c r="N51" i="14"/>
  <c r="O51" i="14" s="1"/>
  <c r="F37" i="14"/>
  <c r="K36" i="14"/>
  <c r="M36" i="14" s="1"/>
  <c r="P58" i="14"/>
  <c r="Q58" i="14" s="1"/>
  <c r="J58" i="14"/>
  <c r="K58" i="14" s="1"/>
  <c r="N58" i="14"/>
  <c r="O58" i="14" s="1"/>
  <c r="L58" i="14"/>
  <c r="M58" i="14" s="1"/>
  <c r="F44" i="14"/>
  <c r="M43" i="14"/>
  <c r="K43" i="14"/>
  <c r="F36" i="40"/>
  <c r="H38" i="40" s="1"/>
  <c r="D35" i="41"/>
  <c r="F36" i="12"/>
  <c r="K35" i="12"/>
  <c r="M35" i="12" s="1"/>
  <c r="J58" i="12"/>
  <c r="K58" i="12" s="1"/>
  <c r="N58" i="12"/>
  <c r="O58" i="12" s="1"/>
  <c r="L58" i="12"/>
  <c r="M58" i="12" s="1"/>
  <c r="P58" i="12"/>
  <c r="Q58" i="12" s="1"/>
  <c r="F44" i="12"/>
  <c r="M43" i="12"/>
  <c r="K43" i="12"/>
  <c r="P71" i="11"/>
  <c r="Q71" i="11" s="1"/>
  <c r="R71" i="11"/>
  <c r="S71" i="11" s="1"/>
  <c r="N71" i="11"/>
  <c r="O71" i="11" s="1"/>
  <c r="T71" i="11"/>
  <c r="U71" i="11" s="1"/>
  <c r="F40" i="11"/>
  <c r="R39" i="11"/>
  <c r="W39" i="11" s="1"/>
  <c r="N76" i="11"/>
  <c r="O76" i="11" s="1"/>
  <c r="R76" i="11"/>
  <c r="S76" i="11" s="1"/>
  <c r="P76" i="11"/>
  <c r="Q76" i="11" s="1"/>
  <c r="T76" i="11"/>
  <c r="U76" i="11" s="1"/>
  <c r="F46" i="11"/>
  <c r="R45" i="11"/>
  <c r="W45" i="11" s="1"/>
  <c r="N38" i="10"/>
  <c r="O38" i="10" s="1"/>
  <c r="P38" i="10"/>
  <c r="Q38" i="10" s="1"/>
  <c r="T38" i="10"/>
  <c r="U38" i="10" s="1"/>
  <c r="R38" i="10"/>
  <c r="S38" i="10" s="1"/>
  <c r="P33" i="10"/>
  <c r="M40" i="10" s="1"/>
  <c r="M39" i="10"/>
  <c r="G38" i="9"/>
  <c r="M37" i="9"/>
  <c r="R37" i="9" s="1"/>
  <c r="G44" i="9"/>
  <c r="M43" i="9"/>
  <c r="R43" i="9" s="1"/>
  <c r="E39" i="37"/>
  <c r="F39" i="37" s="1"/>
  <c r="E40" i="37"/>
  <c r="F40" i="37" s="1"/>
  <c r="D46" i="37" s="1"/>
  <c r="M24" i="9"/>
  <c r="R24" i="9" s="1"/>
  <c r="K51" i="9" s="1"/>
  <c r="L51" i="9" s="1"/>
  <c r="G26" i="9"/>
  <c r="M25" i="9"/>
  <c r="R25" i="9" s="1"/>
  <c r="Q56" i="9"/>
  <c r="R56" i="9" s="1"/>
  <c r="M56" i="9"/>
  <c r="N56" i="9" s="1"/>
  <c r="K56" i="9"/>
  <c r="L56" i="9" s="1"/>
  <c r="O56" i="9"/>
  <c r="P56" i="9" s="1"/>
  <c r="G32" i="9"/>
  <c r="M31" i="9"/>
  <c r="R31" i="9" s="1"/>
  <c r="D44" i="38"/>
  <c r="F44" i="38"/>
  <c r="D43" i="38"/>
  <c r="F43" i="38"/>
  <c r="F62" i="39"/>
  <c r="D62" i="39"/>
  <c r="F61" i="39"/>
  <c r="D61" i="39"/>
  <c r="L53" i="15" l="1"/>
  <c r="M53" i="15" s="1"/>
  <c r="P53" i="15"/>
  <c r="Q53" i="15" s="1"/>
  <c r="M37" i="15"/>
  <c r="J53" i="15" s="1"/>
  <c r="K53" i="15" s="1"/>
  <c r="N53" i="15"/>
  <c r="O53" i="15" s="1"/>
  <c r="P60" i="15"/>
  <c r="Q60" i="15" s="1"/>
  <c r="L60" i="15"/>
  <c r="M60" i="15" s="1"/>
  <c r="N60" i="15"/>
  <c r="O60" i="15" s="1"/>
  <c r="M38" i="15"/>
  <c r="J54" i="15" s="1"/>
  <c r="K54" i="15" s="1"/>
  <c r="L54" i="15"/>
  <c r="M54" i="15" s="1"/>
  <c r="P54" i="15"/>
  <c r="Q54" i="15" s="1"/>
  <c r="N54" i="15"/>
  <c r="O54" i="15" s="1"/>
  <c r="M45" i="15"/>
  <c r="J61" i="15" s="1"/>
  <c r="K61" i="15" s="1"/>
  <c r="K45" i="15"/>
  <c r="L52" i="14"/>
  <c r="M52" i="14" s="1"/>
  <c r="N52" i="14"/>
  <c r="O52" i="14" s="1"/>
  <c r="J52" i="14"/>
  <c r="K52" i="14" s="1"/>
  <c r="P52" i="14"/>
  <c r="Q52" i="14" s="1"/>
  <c r="F38" i="14"/>
  <c r="K38" i="14" s="1"/>
  <c r="M38" i="14" s="1"/>
  <c r="K37" i="14"/>
  <c r="M37" i="14" s="1"/>
  <c r="J59" i="14"/>
  <c r="K59" i="14" s="1"/>
  <c r="N59" i="14"/>
  <c r="O59" i="14" s="1"/>
  <c r="P59" i="14"/>
  <c r="Q59" i="14" s="1"/>
  <c r="L59" i="14"/>
  <c r="M59" i="14" s="1"/>
  <c r="F45" i="14"/>
  <c r="M44" i="14"/>
  <c r="K44" i="14"/>
  <c r="J59" i="12"/>
  <c r="K59" i="12" s="1"/>
  <c r="L59" i="12"/>
  <c r="M59" i="12" s="1"/>
  <c r="P59" i="12"/>
  <c r="Q59" i="12" s="1"/>
  <c r="N59" i="12"/>
  <c r="O59" i="12" s="1"/>
  <c r="F45" i="12"/>
  <c r="K44" i="12"/>
  <c r="M44" i="12"/>
  <c r="J51" i="12"/>
  <c r="K51" i="12" s="1"/>
  <c r="N51" i="12"/>
  <c r="O51" i="12" s="1"/>
  <c r="P51" i="12"/>
  <c r="Q51" i="12" s="1"/>
  <c r="L51" i="12"/>
  <c r="M51" i="12" s="1"/>
  <c r="F37" i="12"/>
  <c r="K36" i="12"/>
  <c r="M36" i="12" s="1"/>
  <c r="N72" i="11"/>
  <c r="O72" i="11" s="1"/>
  <c r="T72" i="11"/>
  <c r="U72" i="11" s="1"/>
  <c r="R72" i="11"/>
  <c r="S72" i="11" s="1"/>
  <c r="P72" i="11"/>
  <c r="Q72" i="11" s="1"/>
  <c r="F41" i="11"/>
  <c r="R41" i="11" s="1"/>
  <c r="W41" i="11" s="1"/>
  <c r="R40" i="11"/>
  <c r="W40" i="11" s="1"/>
  <c r="N77" i="11"/>
  <c r="O77" i="11" s="1"/>
  <c r="R77" i="11"/>
  <c r="S77" i="11" s="1"/>
  <c r="T77" i="11"/>
  <c r="U77" i="11" s="1"/>
  <c r="P77" i="11"/>
  <c r="Q77" i="11" s="1"/>
  <c r="F47" i="11"/>
  <c r="R47" i="11" s="1"/>
  <c r="W47" i="11" s="1"/>
  <c r="R46" i="11"/>
  <c r="W46" i="11" s="1"/>
  <c r="N39" i="10"/>
  <c r="O39" i="10" s="1"/>
  <c r="T39" i="10"/>
  <c r="U39" i="10" s="1"/>
  <c r="P39" i="10"/>
  <c r="Q39" i="10" s="1"/>
  <c r="R39" i="10"/>
  <c r="S39" i="10" s="1"/>
  <c r="N40" i="10"/>
  <c r="O40" i="10" s="1"/>
  <c r="P40" i="10"/>
  <c r="Q40" i="10" s="1"/>
  <c r="R40" i="10"/>
  <c r="S40" i="10" s="1"/>
  <c r="T40" i="10"/>
  <c r="U40" i="10" s="1"/>
  <c r="K67" i="9"/>
  <c r="L67" i="9" s="1"/>
  <c r="M67" i="9"/>
  <c r="N67" i="9" s="1"/>
  <c r="Q67" i="9"/>
  <c r="R67" i="9" s="1"/>
  <c r="O67" i="9"/>
  <c r="P67" i="9" s="1"/>
  <c r="G45" i="9"/>
  <c r="M44" i="9"/>
  <c r="R44" i="9" s="1"/>
  <c r="M62" i="9"/>
  <c r="N62" i="9" s="1"/>
  <c r="Q62" i="9"/>
  <c r="R62" i="9" s="1"/>
  <c r="K62" i="9"/>
  <c r="L62" i="9" s="1"/>
  <c r="O62" i="9"/>
  <c r="P62" i="9" s="1"/>
  <c r="G39" i="9"/>
  <c r="M38" i="9"/>
  <c r="R38" i="9" s="1"/>
  <c r="F45" i="37"/>
  <c r="D45" i="37"/>
  <c r="D47" i="37" s="1"/>
  <c r="F46" i="37"/>
  <c r="M51" i="9"/>
  <c r="N51" i="9" s="1"/>
  <c r="O51" i="9"/>
  <c r="P51" i="9" s="1"/>
  <c r="Q51" i="9"/>
  <c r="R51" i="9" s="1"/>
  <c r="K57" i="9"/>
  <c r="L57" i="9" s="1"/>
  <c r="O57" i="9"/>
  <c r="P57" i="9" s="1"/>
  <c r="M57" i="9"/>
  <c r="N57" i="9" s="1"/>
  <c r="Q57" i="9"/>
  <c r="R57" i="9" s="1"/>
  <c r="G33" i="9"/>
  <c r="M33" i="9" s="1"/>
  <c r="R33" i="9" s="1"/>
  <c r="M32" i="9"/>
  <c r="R32" i="9" s="1"/>
  <c r="K52" i="9"/>
  <c r="L52" i="9" s="1"/>
  <c r="Q52" i="9"/>
  <c r="R52" i="9" s="1"/>
  <c r="O52" i="9"/>
  <c r="P52" i="9" s="1"/>
  <c r="M52" i="9"/>
  <c r="N52" i="9" s="1"/>
  <c r="G27" i="9"/>
  <c r="M27" i="9" s="1"/>
  <c r="R27" i="9" s="1"/>
  <c r="M26" i="9"/>
  <c r="R26" i="9" s="1"/>
  <c r="F45" i="38"/>
  <c r="H47" i="38" s="1"/>
  <c r="D45" i="38"/>
  <c r="F63" i="39"/>
  <c r="K64" i="39" s="1"/>
  <c r="D63" i="39"/>
  <c r="N61" i="15" l="1"/>
  <c r="O61" i="15" s="1"/>
  <c r="O62" i="15" s="1"/>
  <c r="E57" i="15" s="1"/>
  <c r="P61" i="15"/>
  <c r="Q61" i="15" s="1"/>
  <c r="Q62" i="15" s="1"/>
  <c r="E60" i="15" s="1"/>
  <c r="L61" i="15"/>
  <c r="M61" i="15" s="1"/>
  <c r="M62" i="15" s="1"/>
  <c r="E54" i="15" s="1"/>
  <c r="K62" i="15"/>
  <c r="E50" i="15" s="1"/>
  <c r="J53" i="14"/>
  <c r="K53" i="14" s="1"/>
  <c r="N53" i="14"/>
  <c r="O53" i="14" s="1"/>
  <c r="P53" i="14"/>
  <c r="Q53" i="14" s="1"/>
  <c r="L53" i="14"/>
  <c r="M53" i="14" s="1"/>
  <c r="P54" i="14"/>
  <c r="Q54" i="14" s="1"/>
  <c r="L54" i="14"/>
  <c r="M54" i="14" s="1"/>
  <c r="J54" i="14"/>
  <c r="K54" i="14" s="1"/>
  <c r="N54" i="14"/>
  <c r="O54" i="14" s="1"/>
  <c r="K45" i="14"/>
  <c r="M45" i="14"/>
  <c r="P60" i="14"/>
  <c r="Q60" i="14" s="1"/>
  <c r="N60" i="14"/>
  <c r="O60" i="14" s="1"/>
  <c r="J60" i="14"/>
  <c r="K60" i="14" s="1"/>
  <c r="L60" i="14"/>
  <c r="M60" i="14" s="1"/>
  <c r="J60" i="12"/>
  <c r="K60" i="12" s="1"/>
  <c r="N60" i="12"/>
  <c r="O60" i="12" s="1"/>
  <c r="P60" i="12"/>
  <c r="Q60" i="12" s="1"/>
  <c r="L60" i="12"/>
  <c r="M60" i="12" s="1"/>
  <c r="J52" i="12"/>
  <c r="K52" i="12" s="1"/>
  <c r="N52" i="12"/>
  <c r="O52" i="12" s="1"/>
  <c r="L52" i="12"/>
  <c r="M52" i="12" s="1"/>
  <c r="P52" i="12"/>
  <c r="Q52" i="12" s="1"/>
  <c r="K45" i="12"/>
  <c r="M45" i="12"/>
  <c r="F38" i="12"/>
  <c r="K38" i="12" s="1"/>
  <c r="M38" i="12" s="1"/>
  <c r="K37" i="12"/>
  <c r="M37" i="12" s="1"/>
  <c r="P73" i="11"/>
  <c r="Q73" i="11" s="1"/>
  <c r="R73" i="11"/>
  <c r="S73" i="11" s="1"/>
  <c r="N73" i="11"/>
  <c r="O73" i="11" s="1"/>
  <c r="T73" i="11"/>
  <c r="U73" i="11" s="1"/>
  <c r="N78" i="11"/>
  <c r="O78" i="11" s="1"/>
  <c r="P78" i="11"/>
  <c r="Q78" i="11" s="1"/>
  <c r="T78" i="11"/>
  <c r="U78" i="11" s="1"/>
  <c r="R78" i="11"/>
  <c r="S78" i="11" s="1"/>
  <c r="N74" i="11"/>
  <c r="O74" i="11" s="1"/>
  <c r="P74" i="11"/>
  <c r="Q74" i="11" s="1"/>
  <c r="R74" i="11"/>
  <c r="S74" i="11" s="1"/>
  <c r="T74" i="11"/>
  <c r="U74" i="11" s="1"/>
  <c r="N79" i="11"/>
  <c r="O79" i="11" s="1"/>
  <c r="R79" i="11"/>
  <c r="S79" i="11" s="1"/>
  <c r="P79" i="11"/>
  <c r="Q79" i="11" s="1"/>
  <c r="T79" i="11"/>
  <c r="U79" i="11" s="1"/>
  <c r="O41" i="10"/>
  <c r="E38" i="10" s="1"/>
  <c r="Q41" i="10"/>
  <c r="E43" i="10" s="1"/>
  <c r="S41" i="10"/>
  <c r="E47" i="10" s="1"/>
  <c r="U41" i="10"/>
  <c r="E51" i="10" s="1"/>
  <c r="K68" i="9"/>
  <c r="L68" i="9" s="1"/>
  <c r="M68" i="9"/>
  <c r="N68" i="9" s="1"/>
  <c r="O68" i="9"/>
  <c r="P68" i="9" s="1"/>
  <c r="Q68" i="9"/>
  <c r="R68" i="9" s="1"/>
  <c r="M45" i="9"/>
  <c r="R45" i="9" s="1"/>
  <c r="G46" i="9"/>
  <c r="M46" i="9" s="1"/>
  <c r="R46" i="9" s="1"/>
  <c r="Q63" i="9"/>
  <c r="R63" i="9" s="1"/>
  <c r="M63" i="9"/>
  <c r="N63" i="9" s="1"/>
  <c r="K63" i="9"/>
  <c r="L63" i="9" s="1"/>
  <c r="O63" i="9"/>
  <c r="P63" i="9" s="1"/>
  <c r="G40" i="9"/>
  <c r="M40" i="9" s="1"/>
  <c r="R40" i="9" s="1"/>
  <c r="M39" i="9"/>
  <c r="R39" i="9" s="1"/>
  <c r="F47" i="37"/>
  <c r="K48" i="37" s="1"/>
  <c r="K53" i="9"/>
  <c r="L53" i="9" s="1"/>
  <c r="Q53" i="9"/>
  <c r="R53" i="9" s="1"/>
  <c r="O53" i="9"/>
  <c r="P53" i="9" s="1"/>
  <c r="M53" i="9"/>
  <c r="N53" i="9" s="1"/>
  <c r="K54" i="9"/>
  <c r="L54" i="9" s="1"/>
  <c r="M54" i="9"/>
  <c r="N54" i="9" s="1"/>
  <c r="Q54" i="9"/>
  <c r="R54" i="9" s="1"/>
  <c r="O54" i="9"/>
  <c r="P54" i="9" s="1"/>
  <c r="K59" i="9"/>
  <c r="L59" i="9" s="1"/>
  <c r="M59" i="9"/>
  <c r="N59" i="9" s="1"/>
  <c r="Q59" i="9"/>
  <c r="R59" i="9" s="1"/>
  <c r="O59" i="9"/>
  <c r="P59" i="9" s="1"/>
  <c r="K58" i="9"/>
  <c r="L58" i="9" s="1"/>
  <c r="Q58" i="9"/>
  <c r="R58" i="9" s="1"/>
  <c r="M58" i="9"/>
  <c r="N58" i="9" s="1"/>
  <c r="O58" i="9"/>
  <c r="P58" i="9" s="1"/>
  <c r="N61" i="14" l="1"/>
  <c r="O61" i="14" s="1"/>
  <c r="O62" i="14" s="1"/>
  <c r="E57" i="14" s="1"/>
  <c r="J61" i="14"/>
  <c r="K61" i="14" s="1"/>
  <c r="K62" i="14" s="1"/>
  <c r="E50" i="14" s="1"/>
  <c r="L61" i="14"/>
  <c r="M61" i="14" s="1"/>
  <c r="M62" i="14" s="1"/>
  <c r="E54" i="14" s="1"/>
  <c r="P61" i="14"/>
  <c r="Q61" i="14" s="1"/>
  <c r="Q62" i="14" s="1"/>
  <c r="E60" i="14" s="1"/>
  <c r="J53" i="12"/>
  <c r="K53" i="12" s="1"/>
  <c r="N53" i="12"/>
  <c r="O53" i="12" s="1"/>
  <c r="L53" i="12"/>
  <c r="M53" i="12" s="1"/>
  <c r="P53" i="12"/>
  <c r="Q53" i="12" s="1"/>
  <c r="J54" i="12"/>
  <c r="K54" i="12" s="1"/>
  <c r="P54" i="12"/>
  <c r="Q54" i="12" s="1"/>
  <c r="N54" i="12"/>
  <c r="O54" i="12" s="1"/>
  <c r="L54" i="12"/>
  <c r="M54" i="12" s="1"/>
  <c r="J61" i="12"/>
  <c r="K61" i="12" s="1"/>
  <c r="L61" i="12"/>
  <c r="M61" i="12" s="1"/>
  <c r="P61" i="12"/>
  <c r="Q61" i="12" s="1"/>
  <c r="N61" i="12"/>
  <c r="O61" i="12" s="1"/>
  <c r="U91" i="11"/>
  <c r="G82" i="11" s="1"/>
  <c r="O91" i="11"/>
  <c r="G67" i="11" s="1"/>
  <c r="S91" i="11"/>
  <c r="G77" i="11" s="1"/>
  <c r="Q91" i="11"/>
  <c r="G73" i="11" s="1"/>
  <c r="Q70" i="9"/>
  <c r="R70" i="9" s="1"/>
  <c r="K70" i="9"/>
  <c r="L70" i="9" s="1"/>
  <c r="O70" i="9"/>
  <c r="P70" i="9" s="1"/>
  <c r="M70" i="9"/>
  <c r="N70" i="9" s="1"/>
  <c r="Q69" i="9"/>
  <c r="R69" i="9" s="1"/>
  <c r="K69" i="9"/>
  <c r="L69" i="9" s="1"/>
  <c r="O69" i="9"/>
  <c r="P69" i="9" s="1"/>
  <c r="M69" i="9"/>
  <c r="N69" i="9" s="1"/>
  <c r="Q64" i="9"/>
  <c r="R64" i="9" s="1"/>
  <c r="K64" i="9"/>
  <c r="L64" i="9" s="1"/>
  <c r="O64" i="9"/>
  <c r="P64" i="9" s="1"/>
  <c r="M64" i="9"/>
  <c r="N64" i="9" s="1"/>
  <c r="Q65" i="9"/>
  <c r="R65" i="9" s="1"/>
  <c r="O65" i="9"/>
  <c r="P65" i="9" s="1"/>
  <c r="K65" i="9"/>
  <c r="L65" i="9" s="1"/>
  <c r="M65" i="9"/>
  <c r="N65" i="9" s="1"/>
  <c r="K62" i="12" l="1"/>
  <c r="E50" i="12" s="1"/>
  <c r="O62" i="12"/>
  <c r="E58" i="12" s="1"/>
  <c r="Q62" i="12"/>
  <c r="E62" i="12" s="1"/>
  <c r="M62" i="12"/>
  <c r="E55" i="12" s="1"/>
  <c r="N71" i="9"/>
  <c r="D56" i="9" s="1"/>
  <c r="L71" i="9"/>
  <c r="D51" i="9" s="1"/>
  <c r="P71" i="9"/>
  <c r="D62" i="9" s="1"/>
  <c r="R71" i="9"/>
  <c r="D6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7" authorId="0" shapeId="0" xr:uid="{00000000-0006-0000-0A00-000001000000}">
      <text>
        <r>
          <rPr>
            <sz val="14"/>
            <color indexed="81"/>
            <rFont val="ＭＳ Ｐゴシック"/>
            <family val="3"/>
            <charset val="128"/>
          </rPr>
          <t>ありの場合は、休日保育の年間延べ利用子ども数を選択してください。</t>
        </r>
      </text>
    </comment>
  </commentList>
</comments>
</file>

<file path=xl/sharedStrings.xml><?xml version="1.0" encoding="utf-8"?>
<sst xmlns="http://schemas.openxmlformats.org/spreadsheetml/2006/main" count="1802" uniqueCount="550">
  <si>
    <t>計</t>
    <rPh sb="0" eb="1">
      <t>ケイ</t>
    </rPh>
    <phoneticPr fontId="4"/>
  </si>
  <si>
    <t>平均</t>
    <rPh sb="0" eb="2">
      <t>ヘイキン</t>
    </rPh>
    <phoneticPr fontId="4"/>
  </si>
  <si>
    <t>利用定員</t>
    <rPh sb="0" eb="2">
      <t>リヨウ</t>
    </rPh>
    <rPh sb="2" eb="4">
      <t>テイイン</t>
    </rPh>
    <phoneticPr fontId="4"/>
  </si>
  <si>
    <t>施設名</t>
    <rPh sb="0" eb="2">
      <t>シセツ</t>
    </rPh>
    <rPh sb="2" eb="3">
      <t>メイ</t>
    </rPh>
    <phoneticPr fontId="4"/>
  </si>
  <si>
    <t>施設類型</t>
    <rPh sb="0" eb="2">
      <t>シセツ</t>
    </rPh>
    <rPh sb="2" eb="4">
      <t>ルイケイ</t>
    </rPh>
    <phoneticPr fontId="4"/>
  </si>
  <si>
    <t>幼稚園</t>
    <rPh sb="0" eb="3">
      <t>ヨウチエン</t>
    </rPh>
    <phoneticPr fontId="4"/>
  </si>
  <si>
    <t>満３歳</t>
    <rPh sb="0" eb="1">
      <t>マン</t>
    </rPh>
    <rPh sb="2" eb="3">
      <t>サイ</t>
    </rPh>
    <phoneticPr fontId="4"/>
  </si>
  <si>
    <t>３歳</t>
    <rPh sb="1" eb="2">
      <t>サイ</t>
    </rPh>
    <phoneticPr fontId="4"/>
  </si>
  <si>
    <t>４歳以上</t>
    <rPh sb="1" eb="2">
      <t>サイ</t>
    </rPh>
    <rPh sb="2" eb="4">
      <t>イジョウ</t>
    </rPh>
    <phoneticPr fontId="4"/>
  </si>
  <si>
    <t>基本分</t>
    <rPh sb="0" eb="2">
      <t>キホン</t>
    </rPh>
    <rPh sb="2" eb="3">
      <t>ブン</t>
    </rPh>
    <phoneticPr fontId="4"/>
  </si>
  <si>
    <t>副園長・教頭設置加算</t>
    <rPh sb="0" eb="3">
      <t>フクエンチョウ</t>
    </rPh>
    <rPh sb="4" eb="6">
      <t>キョウトウ</t>
    </rPh>
    <rPh sb="6" eb="8">
      <t>セッチ</t>
    </rPh>
    <rPh sb="8" eb="10">
      <t>カサン</t>
    </rPh>
    <phoneticPr fontId="4"/>
  </si>
  <si>
    <t>３歳児配置改善加算</t>
    <rPh sb="1" eb="3">
      <t>サイジ</t>
    </rPh>
    <rPh sb="3" eb="5">
      <t>ハイチ</t>
    </rPh>
    <rPh sb="5" eb="7">
      <t>カイゼン</t>
    </rPh>
    <rPh sb="7" eb="9">
      <t>カサン</t>
    </rPh>
    <phoneticPr fontId="4"/>
  </si>
  <si>
    <t>満３歳児対応加配加算</t>
    <rPh sb="0" eb="1">
      <t>マン</t>
    </rPh>
    <rPh sb="2" eb="4">
      <t>サイジ</t>
    </rPh>
    <rPh sb="4" eb="6">
      <t>タイオウ</t>
    </rPh>
    <rPh sb="6" eb="8">
      <t>カハイ</t>
    </rPh>
    <rPh sb="8" eb="10">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</si>
  <si>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</si>
  <si>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</si>
  <si>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主幹教諭等専任加算</t>
    <rPh sb="0" eb="2">
      <t>シュカン</t>
    </rPh>
    <rPh sb="2" eb="4">
      <t>キョウユ</t>
    </rPh>
    <rPh sb="4" eb="5">
      <t>トウ</t>
    </rPh>
    <rPh sb="5" eb="7">
      <t>センニン</t>
    </rPh>
    <rPh sb="7" eb="9">
      <t>カサン</t>
    </rPh>
    <phoneticPr fontId="4"/>
  </si>
  <si>
    <t>子育て支援活動費加算</t>
    <rPh sb="0" eb="2">
      <t>コソダ</t>
    </rPh>
    <rPh sb="3" eb="5">
      <t>シエン</t>
    </rPh>
    <rPh sb="5" eb="7">
      <t>カツドウ</t>
    </rPh>
    <rPh sb="7" eb="8">
      <t>ヒ</t>
    </rPh>
    <rPh sb="8" eb="10">
      <t>カサン</t>
    </rPh>
    <phoneticPr fontId="4"/>
  </si>
  <si>
    <t>療育支援加算</t>
    <rPh sb="0" eb="2">
      <t>リョウイク</t>
    </rPh>
    <rPh sb="2" eb="4">
      <t>シエン</t>
    </rPh>
    <rPh sb="4" eb="6">
      <t>カサン</t>
    </rPh>
    <phoneticPr fontId="4"/>
  </si>
  <si>
    <t>あり</t>
    <phoneticPr fontId="4"/>
  </si>
  <si>
    <t>なし</t>
    <phoneticPr fontId="4"/>
  </si>
  <si>
    <t>合計</t>
    <rPh sb="0" eb="2">
      <t>ゴウケイ</t>
    </rPh>
    <phoneticPr fontId="4"/>
  </si>
  <si>
    <t>認定こども園</t>
    <rPh sb="0" eb="2">
      <t>ニンテイ</t>
    </rPh>
    <rPh sb="5" eb="6">
      <t>エン</t>
    </rPh>
    <phoneticPr fontId="4"/>
  </si>
  <si>
    <t>３号</t>
    <rPh sb="1" eb="2">
      <t>ゴウ</t>
    </rPh>
    <phoneticPr fontId="4"/>
  </si>
  <si>
    <t>１、２歳</t>
    <rPh sb="3" eb="4">
      <t>サイ</t>
    </rPh>
    <phoneticPr fontId="4"/>
  </si>
  <si>
    <t>０歳</t>
    <rPh sb="1" eb="2">
      <t>サイ</t>
    </rPh>
    <phoneticPr fontId="4"/>
  </si>
  <si>
    <t>３歳児配置改善加算</t>
    <rPh sb="1" eb="2">
      <t>サイ</t>
    </rPh>
    <rPh sb="2" eb="3">
      <t>ジ</t>
    </rPh>
    <rPh sb="3" eb="5">
      <t>ハイチ</t>
    </rPh>
    <rPh sb="5" eb="7">
      <t>カイゼン</t>
    </rPh>
    <rPh sb="7" eb="9">
      <t>カサン</t>
    </rPh>
    <phoneticPr fontId="4"/>
  </si>
  <si>
    <t>年齢別配置基準を下回る場合</t>
    <rPh sb="0" eb="2">
      <t>ネンレイ</t>
    </rPh>
    <rPh sb="2" eb="3">
      <t>ベツ</t>
    </rPh>
    <rPh sb="3" eb="5">
      <t>ハイチ</t>
    </rPh>
    <rPh sb="5" eb="7">
      <t>キジュン</t>
    </rPh>
    <rPh sb="8" eb="10">
      <t>シタマワ</t>
    </rPh>
    <rPh sb="11" eb="13">
      <t>バアイ</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</si>
  <si>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</si>
  <si>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</si>
  <si>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分園の場合</t>
    <rPh sb="0" eb="2">
      <t>ブンエン</t>
    </rPh>
    <rPh sb="3" eb="5">
      <t>バアイ</t>
    </rPh>
    <phoneticPr fontId="4"/>
  </si>
  <si>
    <t>常態的に土曜日に閉所する場合</t>
    <rPh sb="0" eb="2">
      <t>ジョウタイ</t>
    </rPh>
    <rPh sb="2" eb="3">
      <t>テキ</t>
    </rPh>
    <rPh sb="4" eb="7">
      <t>ドヨウビ</t>
    </rPh>
    <rPh sb="8" eb="10">
      <t>ヘイショ</t>
    </rPh>
    <rPh sb="12" eb="14">
      <t>バアイ</t>
    </rPh>
    <phoneticPr fontId="4"/>
  </si>
  <si>
    <t>保育所</t>
    <rPh sb="0" eb="2">
      <t>ホイク</t>
    </rPh>
    <rPh sb="2" eb="3">
      <t>ショ</t>
    </rPh>
    <phoneticPr fontId="4"/>
  </si>
  <si>
    <t>主任保育士専任加算</t>
    <rPh sb="0" eb="2">
      <t>シュニン</t>
    </rPh>
    <rPh sb="2" eb="5">
      <t>ホイクシ</t>
    </rPh>
    <rPh sb="5" eb="7">
      <t>センニン</t>
    </rPh>
    <rPh sb="7" eb="9">
      <t>カサン</t>
    </rPh>
    <phoneticPr fontId="4"/>
  </si>
  <si>
    <t>保育標準時間認定</t>
    <rPh sb="0" eb="2">
      <t>ホイク</t>
    </rPh>
    <rPh sb="2" eb="4">
      <t>ヒョウジュン</t>
    </rPh>
    <rPh sb="4" eb="6">
      <t>ジカン</t>
    </rPh>
    <rPh sb="6" eb="8">
      <t>ニンテイ</t>
    </rPh>
    <phoneticPr fontId="4"/>
  </si>
  <si>
    <t>保育短時間認定</t>
    <rPh sb="0" eb="2">
      <t>ホイク</t>
    </rPh>
    <rPh sb="2" eb="5">
      <t>タンジカン</t>
    </rPh>
    <rPh sb="5" eb="7">
      <t>ニンテイ</t>
    </rPh>
    <phoneticPr fontId="4"/>
  </si>
  <si>
    <t>保育標準時間</t>
    <rPh sb="0" eb="2">
      <t>ホイク</t>
    </rPh>
    <rPh sb="2" eb="4">
      <t>ヒョウジュン</t>
    </rPh>
    <rPh sb="4" eb="6">
      <t>ジカン</t>
    </rPh>
    <phoneticPr fontId="4"/>
  </si>
  <si>
    <t>保育短時間</t>
    <rPh sb="0" eb="2">
      <t>ホイク</t>
    </rPh>
    <rPh sb="2" eb="5">
      <t>タンジカン</t>
    </rPh>
    <phoneticPr fontId="4"/>
  </si>
  <si>
    <t>３号認定子ども</t>
    <rPh sb="1" eb="2">
      <t>ゴウ</t>
    </rPh>
    <rPh sb="2" eb="4">
      <t>ニンテイ</t>
    </rPh>
    <rPh sb="4" eb="5">
      <t>コ</t>
    </rPh>
    <phoneticPr fontId="4"/>
  </si>
  <si>
    <t>障害児保育加算</t>
    <rPh sb="0" eb="3">
      <t>ショウガイジ</t>
    </rPh>
    <rPh sb="3" eb="5">
      <t>ホイク</t>
    </rPh>
    <rPh sb="5" eb="7">
      <t>カサン</t>
    </rPh>
    <phoneticPr fontId="4"/>
  </si>
  <si>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</si>
  <si>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１、２歳（障がい児）</t>
    <rPh sb="3" eb="4">
      <t>サイ</t>
    </rPh>
    <rPh sb="5" eb="6">
      <t>ショウ</t>
    </rPh>
    <rPh sb="8" eb="9">
      <t>ジ</t>
    </rPh>
    <phoneticPr fontId="4"/>
  </si>
  <si>
    <t>０歳（障がい児）</t>
    <rPh sb="1" eb="2">
      <t>サイ</t>
    </rPh>
    <rPh sb="3" eb="4">
      <t>ショウ</t>
    </rPh>
    <rPh sb="6" eb="7">
      <t>ジ</t>
    </rPh>
    <phoneticPr fontId="4"/>
  </si>
  <si>
    <t>３号認定子ども（障がい児）</t>
    <rPh sb="1" eb="2">
      <t>ゴウ</t>
    </rPh>
    <rPh sb="2" eb="4">
      <t>ニンテイ</t>
    </rPh>
    <rPh sb="4" eb="5">
      <t>コ</t>
    </rPh>
    <rPh sb="8" eb="9">
      <t>ショウ</t>
    </rPh>
    <rPh sb="11" eb="12">
      <t>ジ</t>
    </rPh>
    <phoneticPr fontId="4"/>
  </si>
  <si>
    <t>資格保有者加算</t>
    <rPh sb="0" eb="2">
      <t>シカク</t>
    </rPh>
    <rPh sb="2" eb="5">
      <t>ホユウシャ</t>
    </rPh>
    <rPh sb="5" eb="7">
      <t>カサン</t>
    </rPh>
    <phoneticPr fontId="4"/>
  </si>
  <si>
    <t>家庭的保育補助者加算</t>
    <rPh sb="0" eb="3">
      <t>カテイテキ</t>
    </rPh>
    <rPh sb="3" eb="5">
      <t>ホイク</t>
    </rPh>
    <rPh sb="5" eb="7">
      <t>ホジョ</t>
    </rPh>
    <rPh sb="7" eb="8">
      <t>シャ</t>
    </rPh>
    <rPh sb="8" eb="10">
      <t>カサン</t>
    </rPh>
    <phoneticPr fontId="4"/>
  </si>
  <si>
    <t>事業所内保育事業（20人以上）</t>
    <rPh sb="0" eb="3">
      <t>ジギョウショ</t>
    </rPh>
    <rPh sb="3" eb="4">
      <t>ナイ</t>
    </rPh>
    <rPh sb="4" eb="6">
      <t>ホイク</t>
    </rPh>
    <rPh sb="6" eb="8">
      <t>ジギョウ</t>
    </rPh>
    <rPh sb="11" eb="14">
      <t>ニンイジョウ</t>
    </rPh>
    <phoneticPr fontId="4"/>
  </si>
  <si>
    <t>本園</t>
    <rPh sb="0" eb="1">
      <t>ホン</t>
    </rPh>
    <rPh sb="1" eb="2">
      <t>エン</t>
    </rPh>
    <phoneticPr fontId="4"/>
  </si>
  <si>
    <t>分園</t>
    <rPh sb="0" eb="2">
      <t>ブンエン</t>
    </rPh>
    <phoneticPr fontId="4"/>
  </si>
  <si>
    <t>賃金改善要件分</t>
    <rPh sb="0" eb="2">
      <t>チンギン</t>
    </rPh>
    <rPh sb="2" eb="4">
      <t>カイゼン</t>
    </rPh>
    <rPh sb="4" eb="6">
      <t>ヨウケン</t>
    </rPh>
    <rPh sb="6" eb="7">
      <t>ブン</t>
    </rPh>
    <phoneticPr fontId="4"/>
  </si>
  <si>
    <t>チーム保育推進加算</t>
    <rPh sb="3" eb="5">
      <t>ホイク</t>
    </rPh>
    <rPh sb="5" eb="7">
      <t>スイシン</t>
    </rPh>
    <rPh sb="7" eb="9">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</si>
  <si>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</si>
  <si>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</si>
  <si>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合計</t>
    <rPh sb="0" eb="2">
      <t>ゴウケイ</t>
    </rPh>
    <phoneticPr fontId="4"/>
  </si>
  <si>
    <t>あり</t>
  </si>
  <si>
    <t>手入力</t>
    <rPh sb="0" eb="1">
      <t>テ</t>
    </rPh>
    <rPh sb="1" eb="3">
      <t>ニュウリョク</t>
    </rPh>
    <phoneticPr fontId="4"/>
  </si>
  <si>
    <t>＜加算＞</t>
    <rPh sb="1" eb="3">
      <t>カサン</t>
    </rPh>
    <phoneticPr fontId="4"/>
  </si>
  <si>
    <t>○　入力欄</t>
    <rPh sb="2" eb="4">
      <t>ニュウリョク</t>
    </rPh>
    <rPh sb="4" eb="5">
      <t>ラン</t>
    </rPh>
    <phoneticPr fontId="4"/>
  </si>
  <si>
    <t>黄色セル</t>
    <rPh sb="0" eb="2">
      <t>キイロ</t>
    </rPh>
    <phoneticPr fontId="4"/>
  </si>
  <si>
    <t>オレンジ色セル</t>
    <rPh sb="4" eb="5">
      <t>イロ</t>
    </rPh>
    <phoneticPr fontId="4"/>
  </si>
  <si>
    <t>ドロップダウンから選択</t>
    <rPh sb="9" eb="11">
      <t>センタク</t>
    </rPh>
    <phoneticPr fontId="4"/>
  </si>
  <si>
    <t>処遇改善等加算単価合計
【A】</t>
    <rPh sb="0" eb="2">
      <t>ショグウ</t>
    </rPh>
    <rPh sb="2" eb="4">
      <t>カイゼン</t>
    </rPh>
    <rPh sb="4" eb="5">
      <t>トウ</t>
    </rPh>
    <rPh sb="5" eb="7">
      <t>カサン</t>
    </rPh>
    <rPh sb="7" eb="9">
      <t>タンカ</t>
    </rPh>
    <rPh sb="9" eb="11">
      <t>ゴウケイ</t>
    </rPh>
    <phoneticPr fontId="4"/>
  </si>
  <si>
    <t>処遇改善等加算単価合計
【B】</t>
    <rPh sb="0" eb="2">
      <t>ショグウ</t>
    </rPh>
    <rPh sb="2" eb="4">
      <t>カイゼン</t>
    </rPh>
    <rPh sb="4" eb="5">
      <t>トウ</t>
    </rPh>
    <rPh sb="5" eb="7">
      <t>カサン</t>
    </rPh>
    <rPh sb="7" eb="9">
      <t>タンカ</t>
    </rPh>
    <rPh sb="9" eb="11">
      <t>ゴウケイ</t>
    </rPh>
    <phoneticPr fontId="4"/>
  </si>
  <si>
    <t>＜各加算額＞</t>
    <rPh sb="1" eb="2">
      <t>カク</t>
    </rPh>
    <rPh sb="2" eb="5">
      <t>カサンガク</t>
    </rPh>
    <phoneticPr fontId="4"/>
  </si>
  <si>
    <t>＜算定過程＞</t>
    <rPh sb="1" eb="3">
      <t>サンテイ</t>
    </rPh>
    <rPh sb="3" eb="5">
      <t>カテイ</t>
    </rPh>
    <phoneticPr fontId="4"/>
  </si>
  <si>
    <t>1％当たりの単価</t>
    <rPh sb="2" eb="3">
      <t>ア</t>
    </rPh>
    <rPh sb="6" eb="8">
      <t>タンカ</t>
    </rPh>
    <phoneticPr fontId="4"/>
  </si>
  <si>
    <t>休日保育加算（年間延べ利用子ども数）</t>
    <rPh sb="0" eb="2">
      <t>キュウジツ</t>
    </rPh>
    <rPh sb="2" eb="4">
      <t>ホイク</t>
    </rPh>
    <rPh sb="4" eb="6">
      <t>カサン</t>
    </rPh>
    <rPh sb="7" eb="9">
      <t>ネンカン</t>
    </rPh>
    <rPh sb="9" eb="10">
      <t>ノ</t>
    </rPh>
    <rPh sb="11" eb="13">
      <t>リヨウ</t>
    </rPh>
    <rPh sb="13" eb="14">
      <t>コ</t>
    </rPh>
    <rPh sb="16" eb="17">
      <t>スウ</t>
    </rPh>
    <phoneticPr fontId="4"/>
  </si>
  <si>
    <t>開始月</t>
    <rPh sb="0" eb="2">
      <t>カイシ</t>
    </rPh>
    <rPh sb="2" eb="3">
      <t>ツキ</t>
    </rPh>
    <phoneticPr fontId="4"/>
  </si>
  <si>
    <t>計</t>
    <rPh sb="0" eb="1">
      <t>ケイ</t>
    </rPh>
    <phoneticPr fontId="4"/>
  </si>
  <si>
    <t>１％当たりの単価</t>
    <rPh sb="2" eb="3">
      <t>ア</t>
    </rPh>
    <rPh sb="6" eb="8">
      <t>タンカ</t>
    </rPh>
    <phoneticPr fontId="4"/>
  </si>
  <si>
    <t>事業所内保育事業（19人以下A）</t>
    <rPh sb="0" eb="3">
      <t>ジギョウショ</t>
    </rPh>
    <rPh sb="3" eb="4">
      <t>ナイ</t>
    </rPh>
    <rPh sb="4" eb="6">
      <t>ホイク</t>
    </rPh>
    <rPh sb="6" eb="8">
      <t>ジギョウ</t>
    </rPh>
    <rPh sb="11" eb="12">
      <t>ニン</t>
    </rPh>
    <rPh sb="12" eb="14">
      <t>イカ</t>
    </rPh>
    <phoneticPr fontId="4"/>
  </si>
  <si>
    <t>1,2歳</t>
    <rPh sb="3" eb="4">
      <t>サイ</t>
    </rPh>
    <phoneticPr fontId="4"/>
  </si>
  <si>
    <t>計</t>
    <rPh sb="0" eb="1">
      <t>ケイ</t>
    </rPh>
    <phoneticPr fontId="4"/>
  </si>
  <si>
    <t>小規模保育A型</t>
    <rPh sb="0" eb="3">
      <t>ショウキボ</t>
    </rPh>
    <rPh sb="3" eb="5">
      <t>ホイク</t>
    </rPh>
    <rPh sb="6" eb="7">
      <t>ガタ</t>
    </rPh>
    <phoneticPr fontId="4"/>
  </si>
  <si>
    <t>1号</t>
    <rPh sb="1" eb="2">
      <t>ゴウ</t>
    </rPh>
    <phoneticPr fontId="4"/>
  </si>
  <si>
    <t>1号認定子ども</t>
    <rPh sb="1" eb="2">
      <t>ゴウ</t>
    </rPh>
    <rPh sb="2" eb="4">
      <t>ニンテイ</t>
    </rPh>
    <rPh sb="4" eb="5">
      <t>コ</t>
    </rPh>
    <phoneticPr fontId="4"/>
  </si>
  <si>
    <t>事務職員配置加算</t>
    <rPh sb="0" eb="2">
      <t>ジム</t>
    </rPh>
    <rPh sb="2" eb="4">
      <t>ショクイン</t>
    </rPh>
    <rPh sb="4" eb="6">
      <t>ハイチ</t>
    </rPh>
    <rPh sb="6" eb="8">
      <t>カサン</t>
    </rPh>
    <phoneticPr fontId="4"/>
  </si>
  <si>
    <t>特児</t>
    <rPh sb="0" eb="2">
      <t>トクジ</t>
    </rPh>
    <phoneticPr fontId="4"/>
  </si>
  <si>
    <t>その他</t>
    <rPh sb="2" eb="3">
      <t>タ</t>
    </rPh>
    <phoneticPr fontId="4"/>
  </si>
  <si>
    <t>療育</t>
    <rPh sb="0" eb="2">
      <t>リョウイク</t>
    </rPh>
    <phoneticPr fontId="4"/>
  </si>
  <si>
    <t>チーム保育</t>
    <rPh sb="3" eb="5">
      <t>ホイク</t>
    </rPh>
    <phoneticPr fontId="4"/>
  </si>
  <si>
    <t>人勧</t>
    <rPh sb="0" eb="2">
      <t>ジンカン</t>
    </rPh>
    <phoneticPr fontId="4"/>
  </si>
  <si>
    <t>賃金改善</t>
    <rPh sb="0" eb="2">
      <t>チンギン</t>
    </rPh>
    <rPh sb="2" eb="4">
      <t>カイゼン</t>
    </rPh>
    <phoneticPr fontId="4"/>
  </si>
  <si>
    <t>選択</t>
    <rPh sb="0" eb="2">
      <t>センタク</t>
    </rPh>
    <phoneticPr fontId="4"/>
  </si>
  <si>
    <t>開始月</t>
    <rPh sb="0" eb="2">
      <t>カイシ</t>
    </rPh>
    <rPh sb="2" eb="3">
      <t>ツキ</t>
    </rPh>
    <phoneticPr fontId="4"/>
  </si>
  <si>
    <t>残月</t>
    <rPh sb="0" eb="2">
      <t>ザンゲツ</t>
    </rPh>
    <phoneticPr fontId="4"/>
  </si>
  <si>
    <t>給食＆年齢別</t>
    <rPh sb="0" eb="2">
      <t>キュウショク</t>
    </rPh>
    <rPh sb="3" eb="5">
      <t>ネンレイ</t>
    </rPh>
    <rPh sb="5" eb="6">
      <t>ベツ</t>
    </rPh>
    <phoneticPr fontId="4"/>
  </si>
  <si>
    <t>教育標準時間</t>
    <rPh sb="0" eb="2">
      <t>キョウイク</t>
    </rPh>
    <rPh sb="2" eb="4">
      <t>ヒョウジュン</t>
    </rPh>
    <rPh sb="4" eb="6">
      <t>ジカン</t>
    </rPh>
    <phoneticPr fontId="4"/>
  </si>
  <si>
    <t>なし</t>
    <phoneticPr fontId="4"/>
  </si>
  <si>
    <t>チーム保育上限数</t>
    <rPh sb="3" eb="5">
      <t>ホイク</t>
    </rPh>
    <rPh sb="5" eb="7">
      <t>ジョウゲン</t>
    </rPh>
    <rPh sb="7" eb="8">
      <t>スウ</t>
    </rPh>
    <phoneticPr fontId="4"/>
  </si>
  <si>
    <t>チーム保育加配上限数(参考)</t>
    <rPh sb="3" eb="5">
      <t>ホイク</t>
    </rPh>
    <rPh sb="5" eb="7">
      <t>カハイ</t>
    </rPh>
    <rPh sb="7" eb="9">
      <t>ジョウゲン</t>
    </rPh>
    <rPh sb="9" eb="10">
      <t>スウ</t>
    </rPh>
    <rPh sb="11" eb="13">
      <t>サンコウ</t>
    </rPh>
    <phoneticPr fontId="4"/>
  </si>
  <si>
    <t>2号</t>
    <rPh sb="1" eb="2">
      <t>ゴウ</t>
    </rPh>
    <phoneticPr fontId="4"/>
  </si>
  <si>
    <t>3号</t>
    <rPh sb="1" eb="2">
      <t>ゴウ</t>
    </rPh>
    <phoneticPr fontId="4"/>
  </si>
  <si>
    <t>事務職員雇上費加算</t>
    <rPh sb="0" eb="2">
      <t>ジム</t>
    </rPh>
    <rPh sb="2" eb="4">
      <t>ショクイン</t>
    </rPh>
    <rPh sb="4" eb="5">
      <t>ヤトイ</t>
    </rPh>
    <rPh sb="5" eb="6">
      <t>ア</t>
    </rPh>
    <rPh sb="6" eb="7">
      <t>ヒ</t>
    </rPh>
    <rPh sb="7" eb="9">
      <t>カサン</t>
    </rPh>
    <phoneticPr fontId="4"/>
  </si>
  <si>
    <t>0歳</t>
    <rPh sb="1" eb="2">
      <t>サイ</t>
    </rPh>
    <phoneticPr fontId="4"/>
  </si>
  <si>
    <t>1,2歳</t>
    <rPh sb="3" eb="4">
      <t>サイ</t>
    </rPh>
    <phoneticPr fontId="4"/>
  </si>
  <si>
    <t>保育短時間</t>
    <rPh sb="0" eb="2">
      <t>ホイク</t>
    </rPh>
    <rPh sb="2" eb="3">
      <t>タン</t>
    </rPh>
    <rPh sb="3" eb="5">
      <t>ジカン</t>
    </rPh>
    <phoneticPr fontId="4"/>
  </si>
  <si>
    <t>処遇改善等加算単価合計
【C】</t>
    <rPh sb="0" eb="2">
      <t>ショグウ</t>
    </rPh>
    <rPh sb="2" eb="4">
      <t>カイゼン</t>
    </rPh>
    <rPh sb="4" eb="5">
      <t>トウ</t>
    </rPh>
    <rPh sb="5" eb="7">
      <t>カサン</t>
    </rPh>
    <rPh sb="7" eb="9">
      <t>タンカ</t>
    </rPh>
    <rPh sb="9" eb="11">
      <t>ゴウケイ</t>
    </rPh>
    <phoneticPr fontId="4"/>
  </si>
  <si>
    <t>処遇改善等加算単価合計
【D】</t>
    <rPh sb="0" eb="2">
      <t>ショグウ</t>
    </rPh>
    <rPh sb="2" eb="4">
      <t>カイゼン</t>
    </rPh>
    <rPh sb="4" eb="5">
      <t>トウ</t>
    </rPh>
    <rPh sb="5" eb="7">
      <t>カサン</t>
    </rPh>
    <rPh sb="7" eb="9">
      <t>タンカ</t>
    </rPh>
    <rPh sb="9" eb="11">
      <t>ゴウケイ</t>
    </rPh>
    <phoneticPr fontId="4"/>
  </si>
  <si>
    <t>2・3号認定子ども</t>
    <rPh sb="3" eb="4">
      <t>ゴウ</t>
    </rPh>
    <rPh sb="4" eb="6">
      <t>ニンテイ</t>
    </rPh>
    <rPh sb="6" eb="7">
      <t>コ</t>
    </rPh>
    <phoneticPr fontId="4"/>
  </si>
  <si>
    <t>計</t>
    <rPh sb="0" eb="1">
      <t>ケイ</t>
    </rPh>
    <phoneticPr fontId="4"/>
  </si>
  <si>
    <t>(本園)
利用定員</t>
    <rPh sb="1" eb="2">
      <t>ホン</t>
    </rPh>
    <rPh sb="2" eb="3">
      <t>エン</t>
    </rPh>
    <rPh sb="5" eb="7">
      <t>リヨウ</t>
    </rPh>
    <rPh sb="7" eb="9">
      <t>テイイン</t>
    </rPh>
    <phoneticPr fontId="4"/>
  </si>
  <si>
    <t>(分園)
利用定員</t>
    <rPh sb="1" eb="3">
      <t>ブンエン</t>
    </rPh>
    <rPh sb="5" eb="7">
      <t>リヨウ</t>
    </rPh>
    <rPh sb="7" eb="9">
      <t>テイイン</t>
    </rPh>
    <phoneticPr fontId="4"/>
  </si>
  <si>
    <t>学級編成</t>
    <rPh sb="0" eb="2">
      <t>ガッキュウ</t>
    </rPh>
    <rPh sb="2" eb="4">
      <t>ヘンセイ</t>
    </rPh>
    <phoneticPr fontId="4"/>
  </si>
  <si>
    <t>給食</t>
    <rPh sb="0" eb="2">
      <t>キュウショク</t>
    </rPh>
    <phoneticPr fontId="4"/>
  </si>
  <si>
    <t>年齢</t>
    <rPh sb="0" eb="2">
      <t>ネンレイ</t>
    </rPh>
    <phoneticPr fontId="4"/>
  </si>
  <si>
    <t>年齢別配置基準を下回る場合（不足分÷2）</t>
    <rPh sb="0" eb="2">
      <t>ネンレイ</t>
    </rPh>
    <rPh sb="2" eb="3">
      <t>ベツ</t>
    </rPh>
    <rPh sb="3" eb="5">
      <t>ハイチ</t>
    </rPh>
    <rPh sb="5" eb="7">
      <t>キジュン</t>
    </rPh>
    <rPh sb="8" eb="10">
      <t>シタマワ</t>
    </rPh>
    <rPh sb="11" eb="13">
      <t>バアイ</t>
    </rPh>
    <phoneticPr fontId="4"/>
  </si>
  <si>
    <t>なし</t>
    <phoneticPr fontId="4"/>
  </si>
  <si>
    <t>定員を恒常的に超過する場合</t>
    <phoneticPr fontId="4"/>
  </si>
  <si>
    <t>終了月</t>
    <rPh sb="0" eb="2">
      <t>シュウリョウ</t>
    </rPh>
    <rPh sb="2" eb="3">
      <t>ツキ</t>
    </rPh>
    <phoneticPr fontId="4"/>
  </si>
  <si>
    <t>開始月・終了月</t>
    <rPh sb="0" eb="2">
      <t>カイシ</t>
    </rPh>
    <rPh sb="2" eb="3">
      <t>ツキ</t>
    </rPh>
    <rPh sb="4" eb="6">
      <t>シュウリョウ</t>
    </rPh>
    <rPh sb="6" eb="7">
      <t>ツキ</t>
    </rPh>
    <phoneticPr fontId="4"/>
  </si>
  <si>
    <t>なし</t>
    <phoneticPr fontId="4"/>
  </si>
  <si>
    <t>１号認定こどもの利用定員を設定しない場合</t>
    <rPh sb="1" eb="2">
      <t>ゴウ</t>
    </rPh>
    <rPh sb="2" eb="4">
      <t>ニンテイ</t>
    </rPh>
    <rPh sb="8" eb="10">
      <t>リヨウ</t>
    </rPh>
    <rPh sb="10" eb="12">
      <t>テイイン</t>
    </rPh>
    <rPh sb="13" eb="15">
      <t>セッテイ</t>
    </rPh>
    <rPh sb="18" eb="20">
      <t>バアイ</t>
    </rPh>
    <phoneticPr fontId="4"/>
  </si>
  <si>
    <t>加減調整</t>
    <rPh sb="0" eb="2">
      <t>カゲン</t>
    </rPh>
    <rPh sb="2" eb="4">
      <t>チョウセイ</t>
    </rPh>
    <phoneticPr fontId="4"/>
  </si>
  <si>
    <t>乗除調整</t>
    <rPh sb="0" eb="2">
      <t>ジョウジョ</t>
    </rPh>
    <rPh sb="2" eb="4">
      <t>チョウセイ</t>
    </rPh>
    <phoneticPr fontId="4"/>
  </si>
  <si>
    <t>特定加算</t>
    <rPh sb="0" eb="2">
      <t>トクテイ</t>
    </rPh>
    <rPh sb="2" eb="4">
      <t>カサン</t>
    </rPh>
    <phoneticPr fontId="4"/>
  </si>
  <si>
    <t>特定以外加算</t>
    <rPh sb="0" eb="2">
      <t>トクテイ</t>
    </rPh>
    <rPh sb="2" eb="4">
      <t>イガイ</t>
    </rPh>
    <rPh sb="4" eb="6">
      <t>カサン</t>
    </rPh>
    <phoneticPr fontId="4"/>
  </si>
  <si>
    <t>処遇改善等加算単価合計
【E】</t>
    <rPh sb="0" eb="2">
      <t>ショグウ</t>
    </rPh>
    <rPh sb="2" eb="4">
      <t>カイゼン</t>
    </rPh>
    <rPh sb="4" eb="5">
      <t>トウ</t>
    </rPh>
    <rPh sb="5" eb="7">
      <t>カサン</t>
    </rPh>
    <rPh sb="7" eb="9">
      <t>タンカ</t>
    </rPh>
    <rPh sb="9" eb="11">
      <t>ゴウケイ</t>
    </rPh>
    <phoneticPr fontId="4"/>
  </si>
  <si>
    <t>施設種別</t>
    <rPh sb="0" eb="2">
      <t>シセツ</t>
    </rPh>
    <rPh sb="2" eb="4">
      <t>シュベツ</t>
    </rPh>
    <phoneticPr fontId="4"/>
  </si>
  <si>
    <t>保育所</t>
  </si>
  <si>
    <t>小規模Ａ型</t>
    <rPh sb="0" eb="3">
      <t>ショウキボ</t>
    </rPh>
    <rPh sb="4" eb="5">
      <t>ガタ</t>
    </rPh>
    <phoneticPr fontId="4"/>
  </si>
  <si>
    <t>家庭的</t>
    <rPh sb="0" eb="3">
      <t>カテイテキ</t>
    </rPh>
    <phoneticPr fontId="4"/>
  </si>
  <si>
    <t>事業所内（19人以下Ａ）</t>
    <rPh sb="0" eb="3">
      <t>ジギョウショ</t>
    </rPh>
    <rPh sb="3" eb="4">
      <t>ナイ</t>
    </rPh>
    <rPh sb="7" eb="10">
      <t>ニンイカ</t>
    </rPh>
    <phoneticPr fontId="4"/>
  </si>
  <si>
    <t>事業所内（20人以上）</t>
    <rPh sb="0" eb="3">
      <t>ジギョウショ</t>
    </rPh>
    <rPh sb="3" eb="4">
      <t>ナイ</t>
    </rPh>
    <rPh sb="7" eb="10">
      <t>ニンイジョウ</t>
    </rPh>
    <phoneticPr fontId="4"/>
  </si>
  <si>
    <t>加減調整</t>
    <rPh sb="0" eb="2">
      <t>カゲン</t>
    </rPh>
    <rPh sb="2" eb="4">
      <t>チョウセイ</t>
    </rPh>
    <phoneticPr fontId="4"/>
  </si>
  <si>
    <t>月</t>
    <rPh sb="0" eb="1">
      <t>ツキ</t>
    </rPh>
    <phoneticPr fontId="4"/>
  </si>
  <si>
    <t>年</t>
    <rPh sb="0" eb="1">
      <t>ネン</t>
    </rPh>
    <phoneticPr fontId="4"/>
  </si>
  <si>
    <t>講師配置加算</t>
    <phoneticPr fontId="4"/>
  </si>
  <si>
    <t>講師配置加算</t>
    <rPh sb="0" eb="2">
      <t>コウシ</t>
    </rPh>
    <rPh sb="2" eb="4">
      <t>ハイチ</t>
    </rPh>
    <rPh sb="4" eb="6">
      <t>カサン</t>
    </rPh>
    <phoneticPr fontId="4"/>
  </si>
  <si>
    <t>様式２</t>
    <rPh sb="0" eb="2">
      <t>ヨウシキ</t>
    </rPh>
    <phoneticPr fontId="4"/>
  </si>
  <si>
    <t>様式３</t>
    <rPh sb="0" eb="2">
      <t>ヨウシキ</t>
    </rPh>
    <phoneticPr fontId="4"/>
  </si>
  <si>
    <t>該当</t>
    <rPh sb="0" eb="2">
      <t>ガイトウ</t>
    </rPh>
    <phoneticPr fontId="4"/>
  </si>
  <si>
    <t>土曜日に閉所する場合</t>
    <rPh sb="0" eb="3">
      <t>ドヨウビ</t>
    </rPh>
    <rPh sb="4" eb="6">
      <t>ヘイショ</t>
    </rPh>
    <rPh sb="8" eb="10">
      <t>バアイ</t>
    </rPh>
    <phoneticPr fontId="4"/>
  </si>
  <si>
    <t>施設長を配置していない場合</t>
    <phoneticPr fontId="4"/>
  </si>
  <si>
    <t>土曜閉所</t>
    <rPh sb="0" eb="2">
      <t>ドヨウ</t>
    </rPh>
    <rPh sb="2" eb="4">
      <t>ヘイショ</t>
    </rPh>
    <phoneticPr fontId="4"/>
  </si>
  <si>
    <t>なし</t>
    <phoneticPr fontId="4"/>
  </si>
  <si>
    <t>1日</t>
    <rPh sb="1" eb="2">
      <t>ニチ</t>
    </rPh>
    <phoneticPr fontId="4"/>
  </si>
  <si>
    <t>2日</t>
    <rPh sb="1" eb="2">
      <t>ニチ</t>
    </rPh>
    <phoneticPr fontId="4"/>
  </si>
  <si>
    <t>3日以上</t>
    <rPh sb="1" eb="2">
      <t>カ</t>
    </rPh>
    <rPh sb="2" eb="4">
      <t>イジョウ</t>
    </rPh>
    <phoneticPr fontId="4"/>
  </si>
  <si>
    <t>全て</t>
    <rPh sb="0" eb="1">
      <t>スベ</t>
    </rPh>
    <phoneticPr fontId="4"/>
  </si>
  <si>
    <t>栄養管理加算</t>
    <rPh sb="0" eb="2">
      <t>エイヨウ</t>
    </rPh>
    <rPh sb="2" eb="4">
      <t>カンリ</t>
    </rPh>
    <rPh sb="4" eb="6">
      <t>カサン</t>
    </rPh>
    <phoneticPr fontId="4"/>
  </si>
  <si>
    <t>定員を恒常的に超過する場合</t>
    <rPh sb="0" eb="2">
      <t>テイイン</t>
    </rPh>
    <rPh sb="3" eb="6">
      <t>コウジョウテキ</t>
    </rPh>
    <rPh sb="7" eb="9">
      <t>チョウカ</t>
    </rPh>
    <rPh sb="11" eb="13">
      <t>バアイ</t>
    </rPh>
    <phoneticPr fontId="4"/>
  </si>
  <si>
    <t>配置</t>
    <rPh sb="0" eb="2">
      <t>ハイチ</t>
    </rPh>
    <phoneticPr fontId="4"/>
  </si>
  <si>
    <t>嘱託</t>
    <rPh sb="0" eb="2">
      <t>ショクタク</t>
    </rPh>
    <phoneticPr fontId="4"/>
  </si>
  <si>
    <t>栄養</t>
    <rPh sb="0" eb="2">
      <t>エイヨウ</t>
    </rPh>
    <phoneticPr fontId="4"/>
  </si>
  <si>
    <t>兼務</t>
    <rPh sb="0" eb="2">
      <t>ケンム</t>
    </rPh>
    <phoneticPr fontId="4"/>
  </si>
  <si>
    <t>なし</t>
  </si>
  <si>
    <t>給食実施加算（調理）</t>
    <rPh sb="0" eb="2">
      <t>キュウショク</t>
    </rPh>
    <rPh sb="2" eb="4">
      <t>ジッシ</t>
    </rPh>
    <rPh sb="4" eb="6">
      <t>カサン</t>
    </rPh>
    <rPh sb="7" eb="9">
      <t>チョウリ</t>
    </rPh>
    <phoneticPr fontId="4"/>
  </si>
  <si>
    <t>給食実施加算（搬入）</t>
    <rPh sb="0" eb="2">
      <t>キュウショク</t>
    </rPh>
    <rPh sb="2" eb="4">
      <t>ジッシ</t>
    </rPh>
    <rPh sb="4" eb="6">
      <t>カサン</t>
    </rPh>
    <rPh sb="7" eb="9">
      <t>ハンニュウ</t>
    </rPh>
    <phoneticPr fontId="4"/>
  </si>
  <si>
    <t>小計</t>
    <rPh sb="0" eb="2">
      <t>ショウケイ</t>
    </rPh>
    <phoneticPr fontId="4"/>
  </si>
  <si>
    <t>乗除調整</t>
    <rPh sb="0" eb="4">
      <t>ジョウジョチョウセイ</t>
    </rPh>
    <phoneticPr fontId="4"/>
  </si>
  <si>
    <t>乗除調整</t>
    <rPh sb="0" eb="4">
      <t>ジョウジョチョウセイ</t>
    </rPh>
    <phoneticPr fontId="4"/>
  </si>
  <si>
    <t>1％あたりの単価</t>
    <rPh sb="6" eb="8">
      <t>タンカ</t>
    </rPh>
    <phoneticPr fontId="4"/>
  </si>
  <si>
    <t>障害児保育加算</t>
    <rPh sb="0" eb="1">
      <t>ショウ</t>
    </rPh>
    <rPh sb="1" eb="2">
      <t>ガイ</t>
    </rPh>
    <rPh sb="2" eb="3">
      <t>ジ</t>
    </rPh>
    <rPh sb="3" eb="5">
      <t>ホイク</t>
    </rPh>
    <rPh sb="5" eb="7">
      <t>カサン</t>
    </rPh>
    <phoneticPr fontId="4"/>
  </si>
  <si>
    <t>基本加算</t>
    <rPh sb="0" eb="2">
      <t>キホン</t>
    </rPh>
    <rPh sb="2" eb="4">
      <t>カサン</t>
    </rPh>
    <phoneticPr fontId="4"/>
  </si>
  <si>
    <t>管理者を配置していない場合</t>
    <phoneticPr fontId="4"/>
  </si>
  <si>
    <t>管理者を配置していない場合</t>
    <phoneticPr fontId="4"/>
  </si>
  <si>
    <t>施設長を配置していない場合</t>
    <phoneticPr fontId="4"/>
  </si>
  <si>
    <t>管理者を配置していない場合</t>
    <phoneticPr fontId="4"/>
  </si>
  <si>
    <t>特定加算以外</t>
    <rPh sb="0" eb="6">
      <t>トクテイカサンイガイ</t>
    </rPh>
    <phoneticPr fontId="4"/>
  </si>
  <si>
    <t>給食実施加算
（調理）</t>
    <rPh sb="0" eb="2">
      <t>キュウショク</t>
    </rPh>
    <rPh sb="2" eb="4">
      <t>ジッシ</t>
    </rPh>
    <rPh sb="4" eb="6">
      <t>カサン</t>
    </rPh>
    <rPh sb="8" eb="10">
      <t>チョウリ</t>
    </rPh>
    <phoneticPr fontId="4"/>
  </si>
  <si>
    <t>給食実施加算
（搬入）</t>
    <rPh sb="0" eb="2">
      <t>キュウショク</t>
    </rPh>
    <rPh sb="2" eb="4">
      <t>ジッシ</t>
    </rPh>
    <rPh sb="4" eb="6">
      <t>カサン</t>
    </rPh>
    <rPh sb="8" eb="10">
      <t>ハンニュウ</t>
    </rPh>
    <phoneticPr fontId="4"/>
  </si>
  <si>
    <t>学級編制調整加配加算</t>
    <phoneticPr fontId="4"/>
  </si>
  <si>
    <t>主幹教諭等の専任化により子育て支援を実施していない場合</t>
    <phoneticPr fontId="4"/>
  </si>
  <si>
    <t>配置基準上求められる職員資格を有しない場合</t>
    <phoneticPr fontId="4"/>
  </si>
  <si>
    <t>乗除調整</t>
    <rPh sb="0" eb="4">
      <t>ジョウジョチョウセイ</t>
    </rPh>
    <phoneticPr fontId="4"/>
  </si>
  <si>
    <t>主幹教諭等の専任化により子育て支援を実施していない場合</t>
    <phoneticPr fontId="4"/>
  </si>
  <si>
    <t>配置基準上求められる職員資格を有しない場合</t>
    <phoneticPr fontId="4"/>
  </si>
  <si>
    <t>主幹教諭等の専任化により子育て支援を実施していない場合</t>
    <phoneticPr fontId="4"/>
  </si>
  <si>
    <t>加減調整</t>
    <rPh sb="0" eb="4">
      <t>カゲンチョウセイ</t>
    </rPh>
    <phoneticPr fontId="4"/>
  </si>
  <si>
    <t>管理者を配置していない場合</t>
    <phoneticPr fontId="4"/>
  </si>
  <si>
    <t>管理者を配置していない場合</t>
    <phoneticPr fontId="4"/>
  </si>
  <si>
    <t>管理者を配置していない場合</t>
    <phoneticPr fontId="4"/>
  </si>
  <si>
    <t>栄養管理加算</t>
    <rPh sb="0" eb="6">
      <t>エイヨウカンリカサン</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</si>
  <si>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</si>
  <si>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　地域型事業所については、障がい児加算の対象児童を除くこと</t>
    <rPh sb="2" eb="5">
      <t>チイキガタ</t>
    </rPh>
    <rPh sb="5" eb="8">
      <t>ジギョウショ</t>
    </rPh>
    <rPh sb="14" eb="15">
      <t>ショウ</t>
    </rPh>
    <rPh sb="17" eb="18">
      <t>ジ</t>
    </rPh>
    <rPh sb="18" eb="20">
      <t>カサン</t>
    </rPh>
    <rPh sb="21" eb="23">
      <t>タイショウ</t>
    </rPh>
    <rPh sb="23" eb="25">
      <t>ジドウ</t>
    </rPh>
    <rPh sb="26" eb="27">
      <t>ノゾ</t>
    </rPh>
    <phoneticPr fontId="4"/>
  </si>
  <si>
    <t>※　児童数は、月初日利用児童数を入力すること。第４四半期精算時に配布した支払明細書等を参照に入力すること。</t>
    <rPh sb="2" eb="5">
      <t>ジドウスウ</t>
    </rPh>
    <rPh sb="7" eb="8">
      <t>ツキ</t>
    </rPh>
    <rPh sb="8" eb="10">
      <t>ショニチ</t>
    </rPh>
    <rPh sb="10" eb="12">
      <t>リヨウ</t>
    </rPh>
    <rPh sb="12" eb="15">
      <t>ジドウスウ</t>
    </rPh>
    <rPh sb="16" eb="18">
      <t>ニュウリョク</t>
    </rPh>
    <rPh sb="23" eb="24">
      <t>ダイ</t>
    </rPh>
    <rPh sb="25" eb="28">
      <t>シハンキ</t>
    </rPh>
    <rPh sb="28" eb="30">
      <t>セイサン</t>
    </rPh>
    <rPh sb="30" eb="31">
      <t>ジ</t>
    </rPh>
    <rPh sb="32" eb="34">
      <t>ハイフ</t>
    </rPh>
    <rPh sb="36" eb="38">
      <t>シハライ</t>
    </rPh>
    <rPh sb="38" eb="41">
      <t>メイサイショ</t>
    </rPh>
    <rPh sb="41" eb="42">
      <t>トウ</t>
    </rPh>
    <rPh sb="43" eb="45">
      <t>サンショウ</t>
    </rPh>
    <rPh sb="46" eb="48">
      <t>ニュウリョク</t>
    </rPh>
    <phoneticPr fontId="35"/>
  </si>
  <si>
    <t>児童数</t>
    <rPh sb="0" eb="3">
      <t>ジドウスウ</t>
    </rPh>
    <phoneticPr fontId="4"/>
  </si>
  <si>
    <t xml:space="preserve"> </t>
    <phoneticPr fontId="4"/>
  </si>
  <si>
    <t>新規園(昨年度内途中開設園も含む)のため昨年度の実績がない。</t>
    <rPh sb="0" eb="2">
      <t>シンキ</t>
    </rPh>
    <rPh sb="2" eb="3">
      <t>エン</t>
    </rPh>
    <rPh sb="4" eb="7">
      <t>サクネンド</t>
    </rPh>
    <rPh sb="7" eb="8">
      <t>ナイ</t>
    </rPh>
    <rPh sb="8" eb="10">
      <t>トチュウ</t>
    </rPh>
    <rPh sb="10" eb="12">
      <t>カイセツ</t>
    </rPh>
    <rPh sb="12" eb="13">
      <t>エン</t>
    </rPh>
    <rPh sb="14" eb="15">
      <t>フク</t>
    </rPh>
    <rPh sb="20" eb="23">
      <t>サクネンド</t>
    </rPh>
    <rPh sb="24" eb="26">
      <t>ジッセキ</t>
    </rPh>
    <phoneticPr fontId="4"/>
  </si>
  <si>
    <t>昨年度実績による児童数では、今年度の必要保育士数や面積要件を満たせない。</t>
    <rPh sb="0" eb="3">
      <t>サクネンド</t>
    </rPh>
    <rPh sb="3" eb="5">
      <t>ジッセキ</t>
    </rPh>
    <rPh sb="8" eb="10">
      <t>ジドウ</t>
    </rPh>
    <rPh sb="10" eb="11">
      <t>スウ</t>
    </rPh>
    <rPh sb="14" eb="17">
      <t>コンネンド</t>
    </rPh>
    <rPh sb="18" eb="20">
      <t>ヒツヨウ</t>
    </rPh>
    <rPh sb="20" eb="23">
      <t>ホイクシ</t>
    </rPh>
    <rPh sb="23" eb="24">
      <t>スウ</t>
    </rPh>
    <rPh sb="25" eb="27">
      <t>メンセキ</t>
    </rPh>
    <rPh sb="27" eb="29">
      <t>ヨウケン</t>
    </rPh>
    <rPh sb="30" eb="31">
      <t>ミ</t>
    </rPh>
    <phoneticPr fontId="4"/>
  </si>
  <si>
    <t>その他（以下に理由を記載）</t>
    <rPh sb="2" eb="3">
      <t>タ</t>
    </rPh>
    <rPh sb="4" eb="6">
      <t>イカ</t>
    </rPh>
    <rPh sb="7" eb="9">
      <t>リユウ</t>
    </rPh>
    <rPh sb="10" eb="12">
      <t>キサイ</t>
    </rPh>
    <phoneticPr fontId="4"/>
  </si>
  <si>
    <t>チーム保育上限数</t>
    <rPh sb="3" eb="5">
      <t>ホイク</t>
    </rPh>
    <rPh sb="5" eb="7">
      <t>ジョウゲン</t>
    </rPh>
    <rPh sb="7" eb="8">
      <t>スウ</t>
    </rPh>
    <phoneticPr fontId="36"/>
  </si>
  <si>
    <t>講師配置</t>
    <rPh sb="0" eb="2">
      <t>コウシ</t>
    </rPh>
    <rPh sb="2" eb="4">
      <t>ハイチ</t>
    </rPh>
    <phoneticPr fontId="4"/>
  </si>
  <si>
    <t>事務職員</t>
    <rPh sb="0" eb="2">
      <t>ジム</t>
    </rPh>
    <rPh sb="2" eb="4">
      <t>ショクイン</t>
    </rPh>
    <phoneticPr fontId="4"/>
  </si>
  <si>
    <t>事務負担・指導充実</t>
    <rPh sb="0" eb="2">
      <t>ジム</t>
    </rPh>
    <rPh sb="2" eb="4">
      <t>フタン</t>
    </rPh>
    <rPh sb="5" eb="7">
      <t>シドウ</t>
    </rPh>
    <rPh sb="7" eb="9">
      <t>ジュウジツ</t>
    </rPh>
    <phoneticPr fontId="4"/>
  </si>
  <si>
    <t>年齢別</t>
    <rPh sb="0" eb="2">
      <t>ネンレイ</t>
    </rPh>
    <rPh sb="2" eb="3">
      <t>ベツ</t>
    </rPh>
    <phoneticPr fontId="4"/>
  </si>
  <si>
    <t>あり</t>
    <phoneticPr fontId="4"/>
  </si>
  <si>
    <t>満たす</t>
    <rPh sb="0" eb="1">
      <t>ミ</t>
    </rPh>
    <phoneticPr fontId="4"/>
  </si>
  <si>
    <t>なし</t>
    <phoneticPr fontId="4"/>
  </si>
  <si>
    <t>満たさない</t>
    <rPh sb="0" eb="1">
      <t>ミ</t>
    </rPh>
    <phoneticPr fontId="4"/>
  </si>
  <si>
    <t>0．基礎情報</t>
    <rPh sb="2" eb="4">
      <t>キソ</t>
    </rPh>
    <rPh sb="4" eb="6">
      <t>ジョウホウ</t>
    </rPh>
    <phoneticPr fontId="49"/>
  </si>
  <si>
    <t>入力項目</t>
    <rPh sb="0" eb="2">
      <t>ニュウリョク</t>
    </rPh>
    <rPh sb="2" eb="4">
      <t>コウモク</t>
    </rPh>
    <phoneticPr fontId="49"/>
  </si>
  <si>
    <t>利用定員数</t>
    <rPh sb="0" eb="2">
      <t>リヨウ</t>
    </rPh>
    <rPh sb="2" eb="4">
      <t>テイイン</t>
    </rPh>
    <rPh sb="4" eb="5">
      <t>スウ</t>
    </rPh>
    <phoneticPr fontId="49"/>
  </si>
  <si>
    <t>在籍園児数</t>
    <rPh sb="0" eb="2">
      <t>ザイセキ</t>
    </rPh>
    <rPh sb="2" eb="4">
      <t>エンジ</t>
    </rPh>
    <rPh sb="4" eb="5">
      <t>スウ</t>
    </rPh>
    <phoneticPr fontId="49"/>
  </si>
  <si>
    <t>４歳児以上児</t>
    <rPh sb="1" eb="3">
      <t>サイジ</t>
    </rPh>
    <rPh sb="3" eb="5">
      <t>イジョウ</t>
    </rPh>
    <rPh sb="5" eb="6">
      <t>ジ</t>
    </rPh>
    <phoneticPr fontId="49"/>
  </si>
  <si>
    <t>３歳児（※満３歳児含む）</t>
    <rPh sb="1" eb="2">
      <t>サイ</t>
    </rPh>
    <rPh sb="2" eb="3">
      <t>ジ</t>
    </rPh>
    <rPh sb="5" eb="6">
      <t>マン</t>
    </rPh>
    <rPh sb="7" eb="8">
      <t>サイ</t>
    </rPh>
    <rPh sb="8" eb="9">
      <t>ジ</t>
    </rPh>
    <rPh sb="9" eb="10">
      <t>フク</t>
    </rPh>
    <phoneticPr fontId="49"/>
  </si>
  <si>
    <t>うち満３歳児</t>
    <rPh sb="2" eb="3">
      <t>マン</t>
    </rPh>
    <rPh sb="4" eb="5">
      <t>サイ</t>
    </rPh>
    <rPh sb="5" eb="6">
      <t>ジ</t>
    </rPh>
    <phoneticPr fontId="49"/>
  </si>
  <si>
    <t>※</t>
    <phoneticPr fontId="49"/>
  </si>
  <si>
    <t>１．加算対象人数の基礎となる職員数（人）</t>
    <rPh sb="2" eb="4">
      <t>カサン</t>
    </rPh>
    <rPh sb="4" eb="6">
      <t>タイショウ</t>
    </rPh>
    <rPh sb="6" eb="8">
      <t>ニンズウ</t>
    </rPh>
    <rPh sb="9" eb="11">
      <t>キソ</t>
    </rPh>
    <rPh sb="14" eb="17">
      <t>ショクインスウ</t>
    </rPh>
    <rPh sb="18" eb="19">
      <t>ニン</t>
    </rPh>
    <phoneticPr fontId="49"/>
  </si>
  <si>
    <t>選択
項目</t>
    <rPh sb="0" eb="2">
      <t>センタク</t>
    </rPh>
    <rPh sb="3" eb="5">
      <t>コウモク</t>
    </rPh>
    <phoneticPr fontId="49"/>
  </si>
  <si>
    <t>入力
項目</t>
    <rPh sb="0" eb="2">
      <t>ニュウリョク</t>
    </rPh>
    <rPh sb="3" eb="5">
      <t>コウモク</t>
    </rPh>
    <phoneticPr fontId="49"/>
  </si>
  <si>
    <t>職員数
（自動計算）</t>
    <rPh sb="0" eb="3">
      <t>ショクインスウ</t>
    </rPh>
    <rPh sb="5" eb="7">
      <t>ジドウ</t>
    </rPh>
    <rPh sb="7" eb="9">
      <t>ケイサン</t>
    </rPh>
    <phoneticPr fontId="49"/>
  </si>
  <si>
    <t>ａ</t>
    <phoneticPr fontId="49"/>
  </si>
  <si>
    <t>３歳児配置改善加算</t>
    <phoneticPr fontId="49"/>
  </si>
  <si>
    <t>満３歳児配置改善加算</t>
    <rPh sb="0" eb="1">
      <t>マン</t>
    </rPh>
    <rPh sb="2" eb="3">
      <t>サイ</t>
    </rPh>
    <rPh sb="3" eb="4">
      <t>ジ</t>
    </rPh>
    <rPh sb="4" eb="6">
      <t>ハイチ</t>
    </rPh>
    <rPh sb="6" eb="8">
      <t>カイゼン</t>
    </rPh>
    <rPh sb="8" eb="10">
      <t>カサン</t>
    </rPh>
    <phoneticPr fontId="49"/>
  </si>
  <si>
    <t>ｂ</t>
    <phoneticPr fontId="35"/>
  </si>
  <si>
    <t>講師配置加算</t>
    <rPh sb="0" eb="2">
      <t>コウシ</t>
    </rPh>
    <rPh sb="2" eb="4">
      <t>ハイチ</t>
    </rPh>
    <rPh sb="4" eb="6">
      <t>カサン</t>
    </rPh>
    <phoneticPr fontId="35"/>
  </si>
  <si>
    <t>ｃ</t>
    <phoneticPr fontId="35"/>
  </si>
  <si>
    <t>チーム保育加配加算</t>
    <rPh sb="3" eb="5">
      <t>ホイク</t>
    </rPh>
    <rPh sb="5" eb="7">
      <t>カハイ</t>
    </rPh>
    <rPh sb="7" eb="9">
      <t>カサン</t>
    </rPh>
    <phoneticPr fontId="35"/>
  </si>
  <si>
    <t>ｄ</t>
    <phoneticPr fontId="35"/>
  </si>
  <si>
    <t>通園送迎加算</t>
    <rPh sb="0" eb="2">
      <t>ツウエン</t>
    </rPh>
    <rPh sb="2" eb="4">
      <t>ソウゲイ</t>
    </rPh>
    <rPh sb="4" eb="6">
      <t>カサン</t>
    </rPh>
    <phoneticPr fontId="35"/>
  </si>
  <si>
    <t>ｅ</t>
    <phoneticPr fontId="35"/>
  </si>
  <si>
    <t>給食実施加算（自園調理）</t>
    <rPh sb="0" eb="2">
      <t>キュウショク</t>
    </rPh>
    <rPh sb="2" eb="4">
      <t>ジッシ</t>
    </rPh>
    <rPh sb="4" eb="6">
      <t>カサン</t>
    </rPh>
    <rPh sb="7" eb="8">
      <t>ジ</t>
    </rPh>
    <rPh sb="8" eb="9">
      <t>エン</t>
    </rPh>
    <rPh sb="9" eb="11">
      <t>チョウリ</t>
    </rPh>
    <phoneticPr fontId="35"/>
  </si>
  <si>
    <t>ｆ</t>
    <phoneticPr fontId="35"/>
  </si>
  <si>
    <t>主幹教諭等専任加算</t>
    <rPh sb="0" eb="2">
      <t>シュカン</t>
    </rPh>
    <rPh sb="2" eb="4">
      <t>キョウユ</t>
    </rPh>
    <rPh sb="4" eb="5">
      <t>トウ</t>
    </rPh>
    <rPh sb="5" eb="7">
      <t>センニン</t>
    </rPh>
    <rPh sb="7" eb="9">
      <t>カサン</t>
    </rPh>
    <phoneticPr fontId="35"/>
  </si>
  <si>
    <t>ｇ</t>
    <phoneticPr fontId="35"/>
  </si>
  <si>
    <t>事務職員配置加算</t>
    <rPh sb="0" eb="2">
      <t>ジム</t>
    </rPh>
    <rPh sb="2" eb="4">
      <t>ショクイン</t>
    </rPh>
    <rPh sb="4" eb="6">
      <t>ハイチ</t>
    </rPh>
    <rPh sb="6" eb="8">
      <t>カサン</t>
    </rPh>
    <phoneticPr fontId="35"/>
  </si>
  <si>
    <t>ｈ</t>
    <phoneticPr fontId="35"/>
  </si>
  <si>
    <t>指導充実加配加算</t>
    <rPh sb="0" eb="2">
      <t>シドウ</t>
    </rPh>
    <rPh sb="2" eb="4">
      <t>ジュウジツ</t>
    </rPh>
    <rPh sb="4" eb="6">
      <t>カハイ</t>
    </rPh>
    <rPh sb="6" eb="8">
      <t>カサン</t>
    </rPh>
    <phoneticPr fontId="35"/>
  </si>
  <si>
    <t>i</t>
    <phoneticPr fontId="35"/>
  </si>
  <si>
    <t>事務負担対応加配加算</t>
    <rPh sb="0" eb="2">
      <t>ジム</t>
    </rPh>
    <rPh sb="2" eb="4">
      <t>フタン</t>
    </rPh>
    <rPh sb="4" eb="6">
      <t>タイオウ</t>
    </rPh>
    <rPh sb="6" eb="8">
      <t>カハイ</t>
    </rPh>
    <rPh sb="8" eb="10">
      <t>カサン</t>
    </rPh>
    <phoneticPr fontId="35"/>
  </si>
  <si>
    <t>j</t>
    <phoneticPr fontId="4"/>
  </si>
  <si>
    <t>栄養管理加算（Ａ：配置）</t>
    <rPh sb="0" eb="2">
      <t>エイヨウ</t>
    </rPh>
    <rPh sb="2" eb="4">
      <t>カンリ</t>
    </rPh>
    <rPh sb="4" eb="6">
      <t>カサン</t>
    </rPh>
    <rPh sb="9" eb="11">
      <t>ハイチ</t>
    </rPh>
    <phoneticPr fontId="4"/>
  </si>
  <si>
    <t>ｊ</t>
    <phoneticPr fontId="35"/>
  </si>
  <si>
    <t>副園長・教頭配置加算</t>
    <rPh sb="0" eb="3">
      <t>フクエンチョウ</t>
    </rPh>
    <rPh sb="4" eb="6">
      <t>キョウトウ</t>
    </rPh>
    <rPh sb="6" eb="8">
      <t>ハイチ</t>
    </rPh>
    <rPh sb="8" eb="10">
      <t>カサン</t>
    </rPh>
    <phoneticPr fontId="35"/>
  </si>
  <si>
    <t>k</t>
    <phoneticPr fontId="35"/>
  </si>
  <si>
    <t>年齢別配置基準（減算）</t>
    <rPh sb="0" eb="2">
      <t>ネンレイ</t>
    </rPh>
    <rPh sb="2" eb="3">
      <t>ベツ</t>
    </rPh>
    <rPh sb="3" eb="5">
      <t>ハイチ</t>
    </rPh>
    <rPh sb="5" eb="7">
      <t>キジュン</t>
    </rPh>
    <rPh sb="8" eb="10">
      <t>ゲンサン</t>
    </rPh>
    <phoneticPr fontId="35"/>
  </si>
  <si>
    <t>利用定員数に基づく職員数※</t>
    <rPh sb="0" eb="2">
      <t>リヨウ</t>
    </rPh>
    <rPh sb="2" eb="5">
      <t>テイインスウ</t>
    </rPh>
    <rPh sb="6" eb="7">
      <t>モト</t>
    </rPh>
    <rPh sb="9" eb="12">
      <t>ショクインスウ</t>
    </rPh>
    <phoneticPr fontId="49"/>
  </si>
  <si>
    <t>合計</t>
    <rPh sb="0" eb="2">
      <t>ゴウケイ</t>
    </rPh>
    <phoneticPr fontId="49"/>
  </si>
  <si>
    <t>職員数（1人未満端数　四捨五入）</t>
    <rPh sb="0" eb="3">
      <t>ショクインスウ</t>
    </rPh>
    <rPh sb="5" eb="6">
      <t>ニン</t>
    </rPh>
    <rPh sb="6" eb="8">
      <t>ミマン</t>
    </rPh>
    <rPh sb="8" eb="10">
      <t>ハスウ</t>
    </rPh>
    <rPh sb="11" eb="15">
      <t>シシャゴニュウ</t>
    </rPh>
    <phoneticPr fontId="49"/>
  </si>
  <si>
    <t>※　基本分に含まれる事務職員等ー１（主幹教諭）</t>
    <phoneticPr fontId="49"/>
  </si>
  <si>
    <t>２．加算対象職員数（人）</t>
    <rPh sb="2" eb="4">
      <t>カサン</t>
    </rPh>
    <rPh sb="4" eb="6">
      <t>タイショウ</t>
    </rPh>
    <rPh sb="6" eb="8">
      <t>ショクイン</t>
    </rPh>
    <rPh sb="8" eb="9">
      <t>スウ</t>
    </rPh>
    <rPh sb="10" eb="11">
      <t>ニン</t>
    </rPh>
    <phoneticPr fontId="49"/>
  </si>
  <si>
    <t>人数A（職員数の１／３）</t>
    <phoneticPr fontId="49"/>
  </si>
  <si>
    <t>人数B（職員数の１／５）</t>
    <rPh sb="0" eb="2">
      <t>ニンズウ</t>
    </rPh>
    <rPh sb="4" eb="6">
      <t>ショクイン</t>
    </rPh>
    <rPh sb="6" eb="7">
      <t>スウ</t>
    </rPh>
    <phoneticPr fontId="49"/>
  </si>
  <si>
    <t>加算額</t>
    <rPh sb="0" eb="3">
      <t>カサンガク</t>
    </rPh>
    <phoneticPr fontId="4"/>
  </si>
  <si>
    <t>分園の有無</t>
    <rPh sb="0" eb="2">
      <t>ブンエン</t>
    </rPh>
    <rPh sb="3" eb="5">
      <t>ウム</t>
    </rPh>
    <phoneticPr fontId="4"/>
  </si>
  <si>
    <t>年齢別児童数</t>
    <rPh sb="0" eb="2">
      <t>ネンレイ</t>
    </rPh>
    <rPh sb="2" eb="3">
      <t>ベツ</t>
    </rPh>
    <rPh sb="3" eb="5">
      <t>ジドウ</t>
    </rPh>
    <rPh sb="5" eb="6">
      <t>スウ</t>
    </rPh>
    <phoneticPr fontId="4"/>
  </si>
  <si>
    <t>３歳児</t>
    <rPh sb="1" eb="2">
      <t>サイ</t>
    </rPh>
    <rPh sb="2" eb="3">
      <t>ジ</t>
    </rPh>
    <phoneticPr fontId="49"/>
  </si>
  <si>
    <t>１，２歳児</t>
    <rPh sb="3" eb="5">
      <t>サイジ</t>
    </rPh>
    <phoneticPr fontId="49"/>
  </si>
  <si>
    <t>０歳児</t>
    <rPh sb="1" eb="3">
      <t>サイジ</t>
    </rPh>
    <phoneticPr fontId="49"/>
  </si>
  <si>
    <t>各月平均の年齢別児童数を使用する場合は、別途配布している「年齢別児童数計算表」により計算した児童数を入力すること。特例給付を受けて利用する児童がいる場合は、該当する年齢区分に含めること。</t>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9"/>
  </si>
  <si>
    <t>本園分</t>
    <rPh sb="0" eb="1">
      <t>ホン</t>
    </rPh>
    <rPh sb="1" eb="2">
      <t>エン</t>
    </rPh>
    <rPh sb="2" eb="3">
      <t>ブン</t>
    </rPh>
    <phoneticPr fontId="4"/>
  </si>
  <si>
    <t>分園分</t>
    <rPh sb="0" eb="2">
      <t>ブンエン</t>
    </rPh>
    <rPh sb="2" eb="3">
      <t>ブン</t>
    </rPh>
    <phoneticPr fontId="4"/>
  </si>
  <si>
    <t>年齢別配置基準による職員数（本園）</t>
    <rPh sb="0" eb="3">
      <t>ネンレイベツ</t>
    </rPh>
    <rPh sb="3" eb="7">
      <t>ハイキ</t>
    </rPh>
    <rPh sb="10" eb="13">
      <t>ショクインスウ</t>
    </rPh>
    <rPh sb="14" eb="15">
      <t>ホン</t>
    </rPh>
    <rPh sb="15" eb="16">
      <t>エン</t>
    </rPh>
    <phoneticPr fontId="49"/>
  </si>
  <si>
    <t>4歳以上児</t>
    <rPh sb="1" eb="4">
      <t>サイイジョウ</t>
    </rPh>
    <rPh sb="2" eb="4">
      <t>イジョウ</t>
    </rPh>
    <rPh sb="4" eb="5">
      <t>ジ</t>
    </rPh>
    <phoneticPr fontId="49"/>
  </si>
  <si>
    <t>3歳児</t>
    <rPh sb="1" eb="3">
      <t>サイジ</t>
    </rPh>
    <phoneticPr fontId="49"/>
  </si>
  <si>
    <t xml:space="preserve">  3歳児配置改善加算</t>
    <rPh sb="3" eb="5">
      <t>サイジ</t>
    </rPh>
    <rPh sb="5" eb="7">
      <t>ハイチ</t>
    </rPh>
    <rPh sb="7" eb="9">
      <t>カイゼン</t>
    </rPh>
    <rPh sb="9" eb="11">
      <t>カサン</t>
    </rPh>
    <phoneticPr fontId="49"/>
  </si>
  <si>
    <t>小計（小数点第一位四捨五入）</t>
    <rPh sb="0" eb="2">
      <t>ショウケイ</t>
    </rPh>
    <rPh sb="3" eb="6">
      <t>ショウスウテン</t>
    </rPh>
    <rPh sb="6" eb="7">
      <t>ダイ</t>
    </rPh>
    <rPh sb="7" eb="9">
      <t>イチイ</t>
    </rPh>
    <rPh sb="9" eb="13">
      <t>シシャゴニュウ</t>
    </rPh>
    <phoneticPr fontId="49"/>
  </si>
  <si>
    <t>ｂ</t>
    <phoneticPr fontId="49"/>
  </si>
  <si>
    <t>保育標準時間認定の児童（本園）</t>
    <rPh sb="0" eb="2">
      <t>ホイク</t>
    </rPh>
    <rPh sb="2" eb="4">
      <t>ヒョウジュン</t>
    </rPh>
    <rPh sb="4" eb="6">
      <t>ジカン</t>
    </rPh>
    <rPh sb="6" eb="8">
      <t>ニンテイ</t>
    </rPh>
    <rPh sb="9" eb="11">
      <t>ジドウ</t>
    </rPh>
    <rPh sb="12" eb="13">
      <t>ホン</t>
    </rPh>
    <rPh sb="13" eb="14">
      <t>エン</t>
    </rPh>
    <phoneticPr fontId="49"/>
  </si>
  <si>
    <t>ｃ</t>
    <phoneticPr fontId="49"/>
  </si>
  <si>
    <t>主任保育士専任加算</t>
    <rPh sb="0" eb="2">
      <t>シュニン</t>
    </rPh>
    <rPh sb="2" eb="5">
      <t>ホイクシ</t>
    </rPh>
    <rPh sb="5" eb="7">
      <t>センニン</t>
    </rPh>
    <rPh sb="7" eb="9">
      <t>カサン</t>
    </rPh>
    <phoneticPr fontId="49"/>
  </si>
  <si>
    <t>本園で選択</t>
    <rPh sb="0" eb="1">
      <t>ホン</t>
    </rPh>
    <rPh sb="1" eb="2">
      <t>エン</t>
    </rPh>
    <rPh sb="3" eb="5">
      <t>センタク</t>
    </rPh>
    <phoneticPr fontId="4"/>
  </si>
  <si>
    <t>ｄ</t>
    <phoneticPr fontId="49"/>
  </si>
  <si>
    <t>事務職員雇上加算</t>
    <rPh sb="0" eb="2">
      <t>ジム</t>
    </rPh>
    <rPh sb="2" eb="4">
      <t>ショクイン</t>
    </rPh>
    <rPh sb="4" eb="5">
      <t>ヤト</t>
    </rPh>
    <rPh sb="5" eb="6">
      <t>ア</t>
    </rPh>
    <rPh sb="6" eb="8">
      <t>カサン</t>
    </rPh>
    <phoneticPr fontId="49"/>
  </si>
  <si>
    <t>ｅ</t>
    <phoneticPr fontId="49"/>
  </si>
  <si>
    <t>休日保育加算</t>
    <rPh sb="0" eb="2">
      <t>キュウジツ</t>
    </rPh>
    <rPh sb="2" eb="4">
      <t>ホイク</t>
    </rPh>
    <rPh sb="4" eb="6">
      <t>カサン</t>
    </rPh>
    <phoneticPr fontId="49"/>
  </si>
  <si>
    <t>ｆ</t>
    <phoneticPr fontId="49"/>
  </si>
  <si>
    <t>チーム保育推進加算</t>
    <rPh sb="3" eb="5">
      <t>ホイク</t>
    </rPh>
    <rPh sb="5" eb="7">
      <t>スイシン</t>
    </rPh>
    <rPh sb="7" eb="9">
      <t>カサン</t>
    </rPh>
    <phoneticPr fontId="49"/>
  </si>
  <si>
    <t>g</t>
    <phoneticPr fontId="4"/>
  </si>
  <si>
    <t>利用定員数に基づく職員数</t>
    <rPh sb="0" eb="2">
      <t>リヨウ</t>
    </rPh>
    <rPh sb="2" eb="4">
      <t>テイイン</t>
    </rPh>
    <rPh sb="4" eb="5">
      <t>スウ</t>
    </rPh>
    <rPh sb="6" eb="7">
      <t>モト</t>
    </rPh>
    <rPh sb="9" eb="12">
      <t>ショクインスウ</t>
    </rPh>
    <phoneticPr fontId="49"/>
  </si>
  <si>
    <t>選択①</t>
    <rPh sb="0" eb="2">
      <t>センタク</t>
    </rPh>
    <phoneticPr fontId="4"/>
  </si>
  <si>
    <t>選択②</t>
    <rPh sb="0" eb="2">
      <t>センタク</t>
    </rPh>
    <phoneticPr fontId="4"/>
  </si>
  <si>
    <t>事務職</t>
    <rPh sb="0" eb="2">
      <t>ジム</t>
    </rPh>
    <rPh sb="2" eb="3">
      <t>ショク</t>
    </rPh>
    <phoneticPr fontId="4"/>
  </si>
  <si>
    <t>指導充実</t>
    <rPh sb="0" eb="2">
      <t>シドウ</t>
    </rPh>
    <rPh sb="2" eb="4">
      <t>ジュウジツ</t>
    </rPh>
    <phoneticPr fontId="4"/>
  </si>
  <si>
    <t>事務負担</t>
    <rPh sb="0" eb="2">
      <t>ジム</t>
    </rPh>
    <rPh sb="2" eb="4">
      <t>フタン</t>
    </rPh>
    <phoneticPr fontId="4"/>
  </si>
  <si>
    <t>主幹教諭</t>
    <rPh sb="0" eb="2">
      <t>シュカン</t>
    </rPh>
    <rPh sb="2" eb="4">
      <t>キョウユ</t>
    </rPh>
    <phoneticPr fontId="4"/>
  </si>
  <si>
    <t>あり</t>
    <phoneticPr fontId="4"/>
  </si>
  <si>
    <t>なし</t>
    <phoneticPr fontId="4"/>
  </si>
  <si>
    <t>非該当</t>
    <rPh sb="0" eb="3">
      <t>ヒガイトウ</t>
    </rPh>
    <phoneticPr fontId="4"/>
  </si>
  <si>
    <t>なし</t>
    <phoneticPr fontId="4"/>
  </si>
  <si>
    <t>なし</t>
    <phoneticPr fontId="4"/>
  </si>
  <si>
    <t>なし</t>
    <phoneticPr fontId="4"/>
  </si>
  <si>
    <t>本園</t>
    <rPh sb="0" eb="1">
      <t>ホン</t>
    </rPh>
    <rPh sb="1" eb="2">
      <t>エン</t>
    </rPh>
    <phoneticPr fontId="49"/>
  </si>
  <si>
    <t>分園</t>
    <rPh sb="0" eb="2">
      <t>ブンエン</t>
    </rPh>
    <phoneticPr fontId="49"/>
  </si>
  <si>
    <t>１号</t>
    <rPh sb="1" eb="2">
      <t>ゴウ</t>
    </rPh>
    <phoneticPr fontId="49"/>
  </si>
  <si>
    <t>２号</t>
    <rPh sb="1" eb="2">
      <t>ゴウ</t>
    </rPh>
    <phoneticPr fontId="49"/>
  </si>
  <si>
    <t>３号</t>
    <rPh sb="1" eb="2">
      <t>ゴウ</t>
    </rPh>
    <phoneticPr fontId="49"/>
  </si>
  <si>
    <t>年齢別児童数</t>
    <rPh sb="0" eb="3">
      <t>ネンレイベツ</t>
    </rPh>
    <rPh sb="3" eb="6">
      <t>ジドウスウ</t>
    </rPh>
    <phoneticPr fontId="49"/>
  </si>
  <si>
    <t>　うち満３歳児</t>
    <rPh sb="3" eb="4">
      <t>マン</t>
    </rPh>
    <rPh sb="5" eb="7">
      <t>サイジ</t>
    </rPh>
    <phoneticPr fontId="49"/>
  </si>
  <si>
    <t>※</t>
    <phoneticPr fontId="49"/>
  </si>
  <si>
    <t>１．加算対象人数の基礎となる職員数</t>
    <rPh sb="2" eb="4">
      <t>カサン</t>
    </rPh>
    <rPh sb="4" eb="6">
      <t>タイショウ</t>
    </rPh>
    <rPh sb="6" eb="8">
      <t>ニンズウ</t>
    </rPh>
    <rPh sb="9" eb="11">
      <t>キソ</t>
    </rPh>
    <rPh sb="14" eb="17">
      <t>ショクインスウ</t>
    </rPh>
    <phoneticPr fontId="49"/>
  </si>
  <si>
    <t>ａ</t>
    <phoneticPr fontId="49"/>
  </si>
  <si>
    <t>年齢別配置基準による職員数</t>
    <rPh sb="0" eb="3">
      <t>ネンレイベツ</t>
    </rPh>
    <rPh sb="3" eb="7">
      <t>ハイキ</t>
    </rPh>
    <rPh sb="10" eb="13">
      <t>ショクインスウ</t>
    </rPh>
    <phoneticPr fontId="49"/>
  </si>
  <si>
    <t>3歳児（満３歳児含む）</t>
    <rPh sb="1" eb="3">
      <t>サイジ</t>
    </rPh>
    <rPh sb="4" eb="5">
      <t>マン</t>
    </rPh>
    <rPh sb="6" eb="8">
      <t>サイジ</t>
    </rPh>
    <rPh sb="8" eb="9">
      <t>フク</t>
    </rPh>
    <phoneticPr fontId="49"/>
  </si>
  <si>
    <t>　３歳児配置改善加算</t>
    <phoneticPr fontId="49"/>
  </si>
  <si>
    <t>　満３歳児対応加配加算</t>
    <rPh sb="1" eb="2">
      <t>マン</t>
    </rPh>
    <rPh sb="3" eb="4">
      <t>サイ</t>
    </rPh>
    <rPh sb="4" eb="5">
      <t>ジ</t>
    </rPh>
    <rPh sb="5" eb="7">
      <t>タイオウ</t>
    </rPh>
    <rPh sb="7" eb="9">
      <t>カハイ</t>
    </rPh>
    <rPh sb="9" eb="11">
      <t>カサン</t>
    </rPh>
    <phoneticPr fontId="49"/>
  </si>
  <si>
    <t>b</t>
    <phoneticPr fontId="49"/>
  </si>
  <si>
    <t>休けい保育士</t>
    <rPh sb="0" eb="1">
      <t>キュウ</t>
    </rPh>
    <rPh sb="3" eb="6">
      <t>ホイクシ</t>
    </rPh>
    <phoneticPr fontId="49"/>
  </si>
  <si>
    <t>c</t>
    <phoneticPr fontId="49"/>
  </si>
  <si>
    <t>調理員</t>
    <rPh sb="0" eb="3">
      <t>チョウリイン</t>
    </rPh>
    <phoneticPr fontId="49"/>
  </si>
  <si>
    <t>d</t>
    <phoneticPr fontId="49"/>
  </si>
  <si>
    <t>保育標準時間認定の児童</t>
    <rPh sb="0" eb="2">
      <t>ホイク</t>
    </rPh>
    <rPh sb="2" eb="4">
      <t>ヒョウジュン</t>
    </rPh>
    <rPh sb="4" eb="6">
      <t>ジカン</t>
    </rPh>
    <rPh sb="6" eb="8">
      <t>ニンテイ</t>
    </rPh>
    <rPh sb="9" eb="11">
      <t>ジドウ</t>
    </rPh>
    <phoneticPr fontId="49"/>
  </si>
  <si>
    <t>e</t>
    <phoneticPr fontId="49"/>
  </si>
  <si>
    <t>学級編制調整加配加算</t>
    <rPh sb="0" eb="2">
      <t>ガッキュウ</t>
    </rPh>
    <rPh sb="2" eb="4">
      <t>ヘンセイ</t>
    </rPh>
    <rPh sb="4" eb="6">
      <t>チョウセイ</t>
    </rPh>
    <rPh sb="6" eb="8">
      <t>カハイ</t>
    </rPh>
    <rPh sb="8" eb="10">
      <t>カサン</t>
    </rPh>
    <phoneticPr fontId="49"/>
  </si>
  <si>
    <t>本園分で選択</t>
    <rPh sb="0" eb="1">
      <t>ホン</t>
    </rPh>
    <rPh sb="1" eb="2">
      <t>エン</t>
    </rPh>
    <rPh sb="2" eb="3">
      <t>ブン</t>
    </rPh>
    <rPh sb="4" eb="6">
      <t>センタク</t>
    </rPh>
    <phoneticPr fontId="4"/>
  </si>
  <si>
    <t>f</t>
    <phoneticPr fontId="49"/>
  </si>
  <si>
    <t>講師配置加算</t>
    <rPh sb="0" eb="2">
      <t>コウシ</t>
    </rPh>
    <rPh sb="2" eb="4">
      <t>ハイチ</t>
    </rPh>
    <rPh sb="4" eb="6">
      <t>カサン</t>
    </rPh>
    <phoneticPr fontId="49"/>
  </si>
  <si>
    <t>g</t>
    <phoneticPr fontId="49"/>
  </si>
  <si>
    <t>チーム保育加配加算</t>
    <rPh sb="3" eb="5">
      <t>ホイク</t>
    </rPh>
    <rPh sb="5" eb="7">
      <t>カハイ</t>
    </rPh>
    <rPh sb="7" eb="9">
      <t>カサン</t>
    </rPh>
    <phoneticPr fontId="49"/>
  </si>
  <si>
    <t>h</t>
    <phoneticPr fontId="49"/>
  </si>
  <si>
    <t>通園送迎加算</t>
    <rPh sb="0" eb="2">
      <t>ツウエン</t>
    </rPh>
    <rPh sb="2" eb="4">
      <t>ソウゲイ</t>
    </rPh>
    <rPh sb="4" eb="6">
      <t>カサン</t>
    </rPh>
    <phoneticPr fontId="49"/>
  </si>
  <si>
    <t>i</t>
    <phoneticPr fontId="49"/>
  </si>
  <si>
    <t>給食実施加算（自園調理）</t>
    <rPh sb="0" eb="2">
      <t>キュウショク</t>
    </rPh>
    <rPh sb="2" eb="4">
      <t>ジッシ</t>
    </rPh>
    <rPh sb="4" eb="6">
      <t>カサン</t>
    </rPh>
    <rPh sb="7" eb="8">
      <t>ジ</t>
    </rPh>
    <rPh sb="8" eb="9">
      <t>エン</t>
    </rPh>
    <rPh sb="9" eb="11">
      <t>チョウリ</t>
    </rPh>
    <phoneticPr fontId="49"/>
  </si>
  <si>
    <t>j</t>
    <phoneticPr fontId="49"/>
  </si>
  <si>
    <t>k</t>
    <phoneticPr fontId="49"/>
  </si>
  <si>
    <t>事務職員配置加算</t>
    <rPh sb="0" eb="2">
      <t>ジム</t>
    </rPh>
    <rPh sb="2" eb="4">
      <t>ショクイン</t>
    </rPh>
    <rPh sb="4" eb="6">
      <t>ハイチ</t>
    </rPh>
    <rPh sb="6" eb="8">
      <t>カサン</t>
    </rPh>
    <phoneticPr fontId="49"/>
  </si>
  <si>
    <t>l</t>
    <phoneticPr fontId="49"/>
  </si>
  <si>
    <t>指導充実加配加算</t>
    <rPh sb="0" eb="2">
      <t>シドウ</t>
    </rPh>
    <rPh sb="2" eb="4">
      <t>ジュウジツ</t>
    </rPh>
    <rPh sb="4" eb="6">
      <t>カハイ</t>
    </rPh>
    <rPh sb="6" eb="8">
      <t>カサン</t>
    </rPh>
    <phoneticPr fontId="49"/>
  </si>
  <si>
    <t>m</t>
    <phoneticPr fontId="49"/>
  </si>
  <si>
    <t>事務負担対応加配加算</t>
    <rPh sb="0" eb="2">
      <t>ジム</t>
    </rPh>
    <rPh sb="2" eb="4">
      <t>フタン</t>
    </rPh>
    <rPh sb="4" eb="6">
      <t>タイオウ</t>
    </rPh>
    <rPh sb="6" eb="8">
      <t>カハイ</t>
    </rPh>
    <rPh sb="8" eb="10">
      <t>カサン</t>
    </rPh>
    <phoneticPr fontId="49"/>
  </si>
  <si>
    <t>n</t>
    <phoneticPr fontId="4"/>
  </si>
  <si>
    <t>o</t>
    <phoneticPr fontId="49"/>
  </si>
  <si>
    <t>副園長・教頭加配加算</t>
    <rPh sb="0" eb="3">
      <t>フクエンチョウ</t>
    </rPh>
    <rPh sb="4" eb="6">
      <t>キョウトウ</t>
    </rPh>
    <rPh sb="6" eb="8">
      <t>カハイ</t>
    </rPh>
    <rPh sb="8" eb="10">
      <t>カサン</t>
    </rPh>
    <phoneticPr fontId="49"/>
  </si>
  <si>
    <t>p</t>
    <phoneticPr fontId="49"/>
  </si>
  <si>
    <t>主任保育教諭等の専任化により子育て支援の取組を実施していない場合であって、代替保育教諭等を配置していない場合(減算)</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rPh sb="55" eb="57">
      <t>ゲンサン</t>
    </rPh>
    <phoneticPr fontId="49"/>
  </si>
  <si>
    <t>q</t>
    <phoneticPr fontId="49"/>
  </si>
  <si>
    <t>年齢別配置基準を下回る場合(減算)</t>
    <rPh sb="0" eb="3">
      <t>ネンレイベツ</t>
    </rPh>
    <rPh sb="3" eb="7">
      <t>ハイキ</t>
    </rPh>
    <rPh sb="8" eb="10">
      <t>シタマワ</t>
    </rPh>
    <rPh sb="11" eb="13">
      <t>バアイ</t>
    </rPh>
    <rPh sb="14" eb="16">
      <t>ゲンサン</t>
    </rPh>
    <phoneticPr fontId="49"/>
  </si>
  <si>
    <t>人数A（職員数の１／３）</t>
    <phoneticPr fontId="49"/>
  </si>
  <si>
    <t>障がい児</t>
    <rPh sb="0" eb="1">
      <t>ショウ</t>
    </rPh>
    <rPh sb="3" eb="4">
      <t>ジ</t>
    </rPh>
    <phoneticPr fontId="4"/>
  </si>
  <si>
    <t>利用定員数</t>
    <rPh sb="0" eb="2">
      <t>リヨウ</t>
    </rPh>
    <rPh sb="2" eb="4">
      <t>テイイン</t>
    </rPh>
    <rPh sb="4" eb="5">
      <t>スウ</t>
    </rPh>
    <phoneticPr fontId="4"/>
  </si>
  <si>
    <t>障害児（障害児保育加算ありの場合）</t>
    <rPh sb="0" eb="3">
      <t>ショウガイジ</t>
    </rPh>
    <rPh sb="4" eb="7">
      <t>ショウガイジ</t>
    </rPh>
    <rPh sb="7" eb="9">
      <t>ホイク</t>
    </rPh>
    <rPh sb="9" eb="11">
      <t>カサン</t>
    </rPh>
    <rPh sb="14" eb="16">
      <t>バアイ</t>
    </rPh>
    <phoneticPr fontId="49"/>
  </si>
  <si>
    <t>調整</t>
    <rPh sb="0" eb="2">
      <t>チョウセイ</t>
    </rPh>
    <phoneticPr fontId="49"/>
  </si>
  <si>
    <t>d</t>
  </si>
  <si>
    <t>e</t>
    <phoneticPr fontId="49"/>
  </si>
  <si>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9"/>
  </si>
  <si>
    <t>ａ</t>
    <phoneticPr fontId="49"/>
  </si>
  <si>
    <t>ｂ</t>
    <phoneticPr fontId="49"/>
  </si>
  <si>
    <t>ｃ</t>
    <phoneticPr fontId="49"/>
  </si>
  <si>
    <t>e</t>
    <phoneticPr fontId="49"/>
  </si>
  <si>
    <t>利用定員数に基づく職員数</t>
  </si>
  <si>
    <t>人数A（職員数の１／３）</t>
    <phoneticPr fontId="49"/>
  </si>
  <si>
    <t>１．加算対象者の経験年数</t>
    <rPh sb="2" eb="4">
      <t>カサン</t>
    </rPh>
    <rPh sb="4" eb="6">
      <t>タイショウ</t>
    </rPh>
    <rPh sb="6" eb="7">
      <t>シャ</t>
    </rPh>
    <rPh sb="8" eb="10">
      <t>ケイケン</t>
    </rPh>
    <rPh sb="10" eb="12">
      <t>ネンスウ</t>
    </rPh>
    <phoneticPr fontId="49"/>
  </si>
  <si>
    <t>２．取得する加算</t>
    <rPh sb="2" eb="4">
      <t>シュトク</t>
    </rPh>
    <rPh sb="6" eb="8">
      <t>カサン</t>
    </rPh>
    <phoneticPr fontId="49"/>
  </si>
  <si>
    <t>4歳以上</t>
    <rPh sb="1" eb="4">
      <t>サイイジョウ</t>
    </rPh>
    <phoneticPr fontId="4"/>
  </si>
  <si>
    <t>様式６</t>
    <rPh sb="0" eb="2">
      <t>ヨウシキ</t>
    </rPh>
    <phoneticPr fontId="4"/>
  </si>
  <si>
    <t>平均年齢別児童数計算表（本園）</t>
    <rPh sb="0" eb="2">
      <t>ヘイキン</t>
    </rPh>
    <rPh sb="2" eb="5">
      <t>ネンレイベツ</t>
    </rPh>
    <rPh sb="5" eb="8">
      <t>ジドウスウ</t>
    </rPh>
    <rPh sb="8" eb="11">
      <t>ケイサンヒョウ</t>
    </rPh>
    <rPh sb="12" eb="13">
      <t>ホン</t>
    </rPh>
    <rPh sb="13" eb="14">
      <t>エン</t>
    </rPh>
    <phoneticPr fontId="4"/>
  </si>
  <si>
    <t>3歳</t>
    <rPh sb="1" eb="2">
      <t>サイ</t>
    </rPh>
    <phoneticPr fontId="4"/>
  </si>
  <si>
    <t>満3歳</t>
    <rPh sb="0" eb="1">
      <t>マン</t>
    </rPh>
    <rPh sb="2" eb="3">
      <t>サイ</t>
    </rPh>
    <phoneticPr fontId="4"/>
  </si>
  <si>
    <t>（伸び率）</t>
    <rPh sb="1" eb="2">
      <t>ノ</t>
    </rPh>
    <rPh sb="3" eb="4">
      <t>リツ</t>
    </rPh>
    <phoneticPr fontId="36"/>
  </si>
  <si>
    <t>（１）　前年度実績</t>
    <rPh sb="4" eb="7">
      <t>ゼンネンド</t>
    </rPh>
    <rPh sb="7" eb="9">
      <t>ジッセキ</t>
    </rPh>
    <phoneticPr fontId="4"/>
  </si>
  <si>
    <t>（２）　前年実績による当該年度見込み年齢別平均児童数（４月実績×（１）伸び率）</t>
    <rPh sb="4" eb="6">
      <t>ゼンネン</t>
    </rPh>
    <rPh sb="6" eb="8">
      <t>ジッセキ</t>
    </rPh>
    <rPh sb="11" eb="13">
      <t>トウガイ</t>
    </rPh>
    <rPh sb="13" eb="15">
      <t>ネンド</t>
    </rPh>
    <rPh sb="15" eb="17">
      <t>ミコ</t>
    </rPh>
    <rPh sb="18" eb="20">
      <t>ネンレイ</t>
    </rPh>
    <rPh sb="20" eb="21">
      <t>ベツ</t>
    </rPh>
    <rPh sb="21" eb="23">
      <t>ヘイキン</t>
    </rPh>
    <rPh sb="23" eb="26">
      <t>ジドウスウ</t>
    </rPh>
    <phoneticPr fontId="4"/>
  </si>
  <si>
    <t>はい</t>
    <phoneticPr fontId="4"/>
  </si>
  <si>
    <t>いいえ</t>
    <phoneticPr fontId="36"/>
  </si>
  <si>
    <t>○</t>
    <phoneticPr fontId="4"/>
  </si>
  <si>
    <t>②　年齢別平均児童数(以下に当該年度の見込み人数を入力すること)</t>
    <rPh sb="2" eb="5">
      <t>ネンレイベツ</t>
    </rPh>
    <rPh sb="5" eb="7">
      <t>ヘイキン</t>
    </rPh>
    <rPh sb="7" eb="9">
      <t>ジドウ</t>
    </rPh>
    <rPh sb="9" eb="10">
      <t>スウ</t>
    </rPh>
    <rPh sb="11" eb="13">
      <t>イカ</t>
    </rPh>
    <rPh sb="14" eb="16">
      <t>トウガイ</t>
    </rPh>
    <rPh sb="16" eb="18">
      <t>ネンド</t>
    </rPh>
    <rPh sb="19" eb="21">
      <t>ミコ</t>
    </rPh>
    <rPh sb="22" eb="24">
      <t>ニンズウ</t>
    </rPh>
    <rPh sb="25" eb="27">
      <t>ニュウリョク</t>
    </rPh>
    <phoneticPr fontId="4"/>
  </si>
  <si>
    <t>採用</t>
    <rPh sb="0" eb="2">
      <t>サイヨウ</t>
    </rPh>
    <phoneticPr fontId="4"/>
  </si>
  <si>
    <t>教育</t>
    <rPh sb="0" eb="2">
      <t>キョウイク</t>
    </rPh>
    <phoneticPr fontId="36"/>
  </si>
  <si>
    <t>標準</t>
    <rPh sb="0" eb="2">
      <t>ヒョウジュン</t>
    </rPh>
    <phoneticPr fontId="36"/>
  </si>
  <si>
    <t>短</t>
    <rPh sb="0" eb="1">
      <t>タン</t>
    </rPh>
    <phoneticPr fontId="36"/>
  </si>
  <si>
    <t>開所月：</t>
    <rPh sb="0" eb="2">
      <t>カイショ</t>
    </rPh>
    <rPh sb="2" eb="3">
      <t>ツキ</t>
    </rPh>
    <phoneticPr fontId="36"/>
  </si>
  <si>
    <t>施設長を配置していない場合</t>
    <phoneticPr fontId="4"/>
  </si>
  <si>
    <t>講師配置加算</t>
    <phoneticPr fontId="4"/>
  </si>
  <si>
    <t>学級編制調整加配加算</t>
    <phoneticPr fontId="4"/>
  </si>
  <si>
    <t>配置基準上求められる職員資格を有しない場合（不足分÷2）</t>
    <phoneticPr fontId="4"/>
  </si>
  <si>
    <t>主幹教諭等専任化未実施</t>
    <rPh sb="8" eb="11">
      <t>ミジッシ</t>
    </rPh>
    <phoneticPr fontId="4"/>
  </si>
  <si>
    <t>１号利用定員を設定しない場合</t>
    <rPh sb="1" eb="2">
      <t>ゴウ</t>
    </rPh>
    <rPh sb="2" eb="4">
      <t>リヨウ</t>
    </rPh>
    <rPh sb="4" eb="6">
      <t>テイイン</t>
    </rPh>
    <rPh sb="7" eb="9">
      <t>セッテイ</t>
    </rPh>
    <rPh sb="12" eb="14">
      <t>バアイ</t>
    </rPh>
    <phoneticPr fontId="4"/>
  </si>
  <si>
    <t>＜平均初日利用障がい児童数（広域利用含む）＞</t>
    <rPh sb="1" eb="3">
      <t>ヘイキン</t>
    </rPh>
    <rPh sb="3" eb="5">
      <t>ショニチ</t>
    </rPh>
    <rPh sb="5" eb="7">
      <t>リヨウ</t>
    </rPh>
    <rPh sb="7" eb="8">
      <t>ショウ</t>
    </rPh>
    <rPh sb="10" eb="11">
      <t>ジ</t>
    </rPh>
    <rPh sb="12" eb="13">
      <t>スウ</t>
    </rPh>
    <phoneticPr fontId="4"/>
  </si>
  <si>
    <t>4歳以上</t>
    <rPh sb="1" eb="4">
      <t>サイイジョウ</t>
    </rPh>
    <phoneticPr fontId="36"/>
  </si>
  <si>
    <t>3歳</t>
    <rPh sb="1" eb="2">
      <t>サイ</t>
    </rPh>
    <phoneticPr fontId="36"/>
  </si>
  <si>
    <t>うち満3歳</t>
    <rPh sb="2" eb="3">
      <t>マン</t>
    </rPh>
    <rPh sb="4" eb="5">
      <t>サイ</t>
    </rPh>
    <phoneticPr fontId="36"/>
  </si>
  <si>
    <t>1，2歳</t>
    <rPh sb="3" eb="4">
      <t>サイ</t>
    </rPh>
    <phoneticPr fontId="36"/>
  </si>
  <si>
    <t>0歳児</t>
    <rPh sb="1" eb="2">
      <t>サイ</t>
    </rPh>
    <rPh sb="2" eb="3">
      <t>ジ</t>
    </rPh>
    <phoneticPr fontId="36"/>
  </si>
  <si>
    <t>計</t>
    <rPh sb="0" eb="1">
      <t>ケイ</t>
    </rPh>
    <phoneticPr fontId="36"/>
  </si>
  <si>
    <t>平均年齢別児童数計算表（分園）</t>
    <rPh sb="0" eb="2">
      <t>ヘイキン</t>
    </rPh>
    <rPh sb="2" eb="5">
      <t>ネンレイベツ</t>
    </rPh>
    <rPh sb="5" eb="8">
      <t>ジドウスウ</t>
    </rPh>
    <rPh sb="8" eb="11">
      <t>ケイサンヒョウ</t>
    </rPh>
    <rPh sb="12" eb="13">
      <t>ブン</t>
    </rPh>
    <rPh sb="13" eb="14">
      <t>エン</t>
    </rPh>
    <phoneticPr fontId="4"/>
  </si>
  <si>
    <t>休日</t>
    <rPh sb="0" eb="2">
      <t>キュウジツ</t>
    </rPh>
    <phoneticPr fontId="36"/>
  </si>
  <si>
    <t>栄養管理</t>
    <rPh sb="0" eb="2">
      <t>エイヨウ</t>
    </rPh>
    <rPh sb="2" eb="4">
      <t>カンリ</t>
    </rPh>
    <phoneticPr fontId="36"/>
  </si>
  <si>
    <t>食事の提供</t>
    <rPh sb="0" eb="2">
      <t>ショクジ</t>
    </rPh>
    <rPh sb="3" eb="5">
      <t>テイキョウ</t>
    </rPh>
    <phoneticPr fontId="36"/>
  </si>
  <si>
    <t>障がい児加算</t>
    <rPh sb="0" eb="1">
      <t>ショウ</t>
    </rPh>
    <rPh sb="3" eb="4">
      <t>ジ</t>
    </rPh>
    <rPh sb="4" eb="6">
      <t>カサン</t>
    </rPh>
    <phoneticPr fontId="36"/>
  </si>
  <si>
    <t>障がい児数</t>
    <rPh sb="0" eb="1">
      <t>ショウ</t>
    </rPh>
    <rPh sb="3" eb="4">
      <t>ジ</t>
    </rPh>
    <rPh sb="4" eb="5">
      <t>スウ</t>
    </rPh>
    <phoneticPr fontId="36"/>
  </si>
  <si>
    <t>施設・事業所名</t>
    <rPh sb="0" eb="2">
      <t>シセツ</t>
    </rPh>
    <rPh sb="3" eb="6">
      <t>ジギョウショ</t>
    </rPh>
    <rPh sb="6" eb="7">
      <t>メイ</t>
    </rPh>
    <phoneticPr fontId="36"/>
  </si>
  <si>
    <t>年齢別配置基準による職員数
（小数点第一位四捨五入）</t>
    <rPh sb="0" eb="3">
      <t>ネンレイベツ</t>
    </rPh>
    <rPh sb="3" eb="7">
      <t>ハイキ</t>
    </rPh>
    <rPh sb="10" eb="13">
      <t>ショクインスウ</t>
    </rPh>
    <phoneticPr fontId="49"/>
  </si>
  <si>
    <t>※各月平均の年齢別児童数を使用する場合は、別途配布している「年齢別児童数計算表」により計算した児童数を入力すること。特例給付を受けて利用する児童がいる場合は、該当する年齢区分に含めること。</t>
    <phoneticPr fontId="36"/>
  </si>
  <si>
    <t>利用定員数</t>
    <rPh sb="0" eb="2">
      <t>リヨウ</t>
    </rPh>
    <rPh sb="2" eb="4">
      <t>テイイン</t>
    </rPh>
    <rPh sb="4" eb="5">
      <t>スウ</t>
    </rPh>
    <phoneticPr fontId="36"/>
  </si>
  <si>
    <t>加算月数</t>
    <rPh sb="0" eb="2">
      <t>カサン</t>
    </rPh>
    <rPh sb="2" eb="4">
      <t>ツキスウ</t>
    </rPh>
    <phoneticPr fontId="36"/>
  </si>
  <si>
    <t>A</t>
    <phoneticPr fontId="36"/>
  </si>
  <si>
    <t>B</t>
    <phoneticPr fontId="36"/>
  </si>
  <si>
    <t>合計</t>
    <rPh sb="0" eb="2">
      <t>ゴウケイ</t>
    </rPh>
    <phoneticPr fontId="36"/>
  </si>
  <si>
    <t>施設・事業所名</t>
    <rPh sb="0" eb="2">
      <t>シセツ</t>
    </rPh>
    <rPh sb="3" eb="6">
      <t>ジギョウショ</t>
    </rPh>
    <rPh sb="6" eb="7">
      <t>メイ</t>
    </rPh>
    <phoneticPr fontId="36"/>
  </si>
  <si>
    <t>様式3</t>
    <rPh sb="0" eb="2">
      <t>ヨウシキ</t>
    </rPh>
    <phoneticPr fontId="49"/>
  </si>
  <si>
    <t>様式3</t>
    <rPh sb="0" eb="2">
      <t>ヨウシキ</t>
    </rPh>
    <phoneticPr fontId="36"/>
  </si>
  <si>
    <t>公定価格引上げ分(人勧分)：</t>
    <phoneticPr fontId="4"/>
  </si>
  <si>
    <t>特定加算見込額：</t>
    <rPh sb="0" eb="2">
      <t>トクテイ</t>
    </rPh>
    <rPh sb="2" eb="7">
      <t>カサンミコミガク</t>
    </rPh>
    <phoneticPr fontId="4"/>
  </si>
  <si>
    <t>○　施設情報</t>
    <rPh sb="2" eb="4">
      <t>シセツ</t>
    </rPh>
    <rPh sb="4" eb="6">
      <t>ジョウホウ</t>
    </rPh>
    <phoneticPr fontId="4"/>
  </si>
  <si>
    <t>加算見込額</t>
    <rPh sb="0" eb="2">
      <t>カサン</t>
    </rPh>
    <rPh sb="2" eb="4">
      <t>ミコミ</t>
    </rPh>
    <rPh sb="4" eb="5">
      <t>ガク</t>
    </rPh>
    <phoneticPr fontId="4"/>
  </si>
  <si>
    <t>特定加算見込額</t>
    <rPh sb="0" eb="7">
      <t>トクテイカサンミコミガク</t>
    </rPh>
    <phoneticPr fontId="4"/>
  </si>
  <si>
    <t>＜各加算額算出＞</t>
    <rPh sb="1" eb="2">
      <t>カク</t>
    </rPh>
    <rPh sb="2" eb="5">
      <t>カサンガク</t>
    </rPh>
    <rPh sb="5" eb="7">
      <t>サンシュツ</t>
    </rPh>
    <phoneticPr fontId="4"/>
  </si>
  <si>
    <t>＜加算選択＞</t>
    <rPh sb="1" eb="3">
      <t>カサン</t>
    </rPh>
    <rPh sb="3" eb="5">
      <t>センタク</t>
    </rPh>
    <phoneticPr fontId="4"/>
  </si>
  <si>
    <t>＜単価算出＞</t>
    <rPh sb="1" eb="3">
      <t>タンカ</t>
    </rPh>
    <rPh sb="3" eb="5">
      <t>サンシュツ</t>
    </rPh>
    <phoneticPr fontId="4"/>
  </si>
  <si>
    <t>・　児童数は、月初日利用児童数を入力すること。第４四半期精算時に配布した支払明細書等を参照して入力すること。</t>
    <rPh sb="2" eb="5">
      <t>ジドウスウ</t>
    </rPh>
    <rPh sb="7" eb="8">
      <t>ツキ</t>
    </rPh>
    <rPh sb="8" eb="10">
      <t>ショニチ</t>
    </rPh>
    <rPh sb="10" eb="12">
      <t>リヨウ</t>
    </rPh>
    <rPh sb="12" eb="15">
      <t>ジドウスウ</t>
    </rPh>
    <rPh sb="16" eb="18">
      <t>ニュウリョク</t>
    </rPh>
    <rPh sb="23" eb="24">
      <t>ダイ</t>
    </rPh>
    <rPh sb="25" eb="28">
      <t>シハンキ</t>
    </rPh>
    <rPh sb="28" eb="30">
      <t>セイサン</t>
    </rPh>
    <rPh sb="30" eb="31">
      <t>ジ</t>
    </rPh>
    <rPh sb="32" eb="34">
      <t>ハイフ</t>
    </rPh>
    <rPh sb="36" eb="38">
      <t>シハライ</t>
    </rPh>
    <rPh sb="38" eb="41">
      <t>メイサイショ</t>
    </rPh>
    <rPh sb="41" eb="42">
      <t>トウ</t>
    </rPh>
    <rPh sb="43" eb="45">
      <t>サンショウ</t>
    </rPh>
    <rPh sb="47" eb="49">
      <t>ニュウリョク</t>
    </rPh>
    <phoneticPr fontId="35"/>
  </si>
  <si>
    <t>（３）　前年度実績による見込みによりがたい場合は、「はい」を選択</t>
    <rPh sb="4" eb="7">
      <t>ゼンネンド</t>
    </rPh>
    <rPh sb="7" eb="9">
      <t>ジッセキ</t>
    </rPh>
    <rPh sb="12" eb="14">
      <t>ミコ</t>
    </rPh>
    <rPh sb="21" eb="23">
      <t>バアイ</t>
    </rPh>
    <rPh sb="30" eb="32">
      <t>センタク</t>
    </rPh>
    <phoneticPr fontId="4"/>
  </si>
  <si>
    <t>例１：上記計算では実態と大きく乖離してしまう施設</t>
    <rPh sb="0" eb="1">
      <t>レイ</t>
    </rPh>
    <rPh sb="3" eb="4">
      <t>ウエ</t>
    </rPh>
    <rPh sb="22" eb="24">
      <t>シセツ</t>
    </rPh>
    <phoneticPr fontId="4"/>
  </si>
  <si>
    <t>（４）　（３）で、「はい」の場合は以下を記載</t>
    <rPh sb="14" eb="16">
      <t>バアイ</t>
    </rPh>
    <rPh sb="17" eb="19">
      <t>イカ</t>
    </rPh>
    <rPh sb="20" eb="22">
      <t>キサイ</t>
    </rPh>
    <phoneticPr fontId="4"/>
  </si>
  <si>
    <t>①　以下の該当する箇所に「○」を入力すること（その他に該当する場合は、理由欄も記載すること)。</t>
    <rPh sb="2" eb="4">
      <t>イカ</t>
    </rPh>
    <rPh sb="5" eb="7">
      <t>ガイトウ</t>
    </rPh>
    <rPh sb="9" eb="11">
      <t>カショ</t>
    </rPh>
    <rPh sb="16" eb="18">
      <t>ニュウリョク</t>
    </rPh>
    <rPh sb="25" eb="26">
      <t>タ</t>
    </rPh>
    <rPh sb="27" eb="29">
      <t>ガイトウ</t>
    </rPh>
    <rPh sb="31" eb="33">
      <t>バアイ</t>
    </rPh>
    <rPh sb="35" eb="37">
      <t>リユウ</t>
    </rPh>
    <rPh sb="37" eb="38">
      <t>ラン</t>
    </rPh>
    <rPh sb="39" eb="41">
      <t>キサイ</t>
    </rPh>
    <phoneticPr fontId="4"/>
  </si>
  <si>
    <t>（２）　前年実績による当年度見込み年齢別平均児童数（４月実績×（１）伸び率）</t>
    <rPh sb="4" eb="6">
      <t>ゼンネン</t>
    </rPh>
    <rPh sb="6" eb="8">
      <t>ジッセキ</t>
    </rPh>
    <rPh sb="11" eb="13">
      <t>トウネン</t>
    </rPh>
    <rPh sb="12" eb="14">
      <t>ネンド</t>
    </rPh>
    <rPh sb="14" eb="16">
      <t>ミコ</t>
    </rPh>
    <rPh sb="17" eb="19">
      <t>ネンレイ</t>
    </rPh>
    <rPh sb="19" eb="20">
      <t>ベツ</t>
    </rPh>
    <rPh sb="20" eb="22">
      <t>ヘイキン</t>
    </rPh>
    <rPh sb="22" eb="25">
      <t>ジドウスウ</t>
    </rPh>
    <phoneticPr fontId="4"/>
  </si>
  <si>
    <t>②　下表に、当年度の見込み児童数を入力すること</t>
    <rPh sb="2" eb="3">
      <t>シタ</t>
    </rPh>
    <rPh sb="3" eb="4">
      <t>ヒョウ</t>
    </rPh>
    <rPh sb="6" eb="9">
      <t>トウネンド</t>
    </rPh>
    <rPh sb="7" eb="9">
      <t>ネンド</t>
    </rPh>
    <rPh sb="10" eb="12">
      <t>ミコ</t>
    </rPh>
    <rPh sb="13" eb="15">
      <t>ジドウ</t>
    </rPh>
    <rPh sb="15" eb="16">
      <t>スウ</t>
    </rPh>
    <rPh sb="17" eb="19">
      <t>ニュウリョク</t>
    </rPh>
    <phoneticPr fontId="4"/>
  </si>
  <si>
    <t>例２：当年度新規開設施設、前年度の年度途中開設施設</t>
    <rPh sb="0" eb="1">
      <t>レイ</t>
    </rPh>
    <rPh sb="3" eb="6">
      <t>トウネンド</t>
    </rPh>
    <rPh sb="6" eb="8">
      <t>シンキ</t>
    </rPh>
    <rPh sb="8" eb="10">
      <t>カイセツ</t>
    </rPh>
    <rPh sb="10" eb="12">
      <t>シセツ</t>
    </rPh>
    <rPh sb="13" eb="16">
      <t>ゼンネンド</t>
    </rPh>
    <rPh sb="17" eb="19">
      <t>ネンド</t>
    </rPh>
    <rPh sb="19" eb="21">
      <t>トチュウ</t>
    </rPh>
    <rPh sb="21" eb="23">
      <t>カイセツ</t>
    </rPh>
    <rPh sb="23" eb="25">
      <t>シセツ</t>
    </rPh>
    <phoneticPr fontId="4"/>
  </si>
  <si>
    <t>○　施設情報</t>
    <phoneticPr fontId="4"/>
  </si>
  <si>
    <t>○　施設情報</t>
    <phoneticPr fontId="4"/>
  </si>
  <si>
    <t>○　施設情報</t>
    <phoneticPr fontId="4"/>
  </si>
  <si>
    <t>＜各加算額算出＞</t>
    <rPh sb="1" eb="2">
      <t>カク</t>
    </rPh>
    <rPh sb="2" eb="4">
      <t>カサン</t>
    </rPh>
    <rPh sb="4" eb="5">
      <t>ガク</t>
    </rPh>
    <rPh sb="5" eb="7">
      <t>サンシュツ</t>
    </rPh>
    <phoneticPr fontId="4"/>
  </si>
  <si>
    <t>チェック</t>
    <phoneticPr fontId="4"/>
  </si>
  <si>
    <t>□</t>
    <phoneticPr fontId="4"/>
  </si>
  <si>
    <t>【提出書類チェック表】</t>
    <rPh sb="1" eb="3">
      <t>テイシュツ</t>
    </rPh>
    <rPh sb="3" eb="5">
      <t>ショルイ</t>
    </rPh>
    <rPh sb="9" eb="10">
      <t>ヒョウ</t>
    </rPh>
    <phoneticPr fontId="4"/>
  </si>
  <si>
    <t>項　目</t>
    <rPh sb="0" eb="1">
      <t>コウ</t>
    </rPh>
    <rPh sb="2" eb="3">
      <t>メ</t>
    </rPh>
    <phoneticPr fontId="4"/>
  </si>
  <si>
    <t>備　考　</t>
    <rPh sb="0" eb="1">
      <t>ソナエ</t>
    </rPh>
    <rPh sb="2" eb="3">
      <t>コウ</t>
    </rPh>
    <phoneticPr fontId="4"/>
  </si>
  <si>
    <t>担当者名</t>
    <rPh sb="0" eb="3">
      <t>タントウシャ</t>
    </rPh>
    <rPh sb="3" eb="4">
      <t>メイ</t>
    </rPh>
    <phoneticPr fontId="4"/>
  </si>
  <si>
    <t>連絡先</t>
    <rPh sb="0" eb="3">
      <t>レンラクサキ</t>
    </rPh>
    <phoneticPr fontId="4"/>
  </si>
  <si>
    <t>※上記の書類が全て揃っていることを確認したうえで、ご提出願います。</t>
    <rPh sb="1" eb="3">
      <t>ジョウキ</t>
    </rPh>
    <rPh sb="4" eb="6">
      <t>ショルイ</t>
    </rPh>
    <rPh sb="7" eb="8">
      <t>スベ</t>
    </rPh>
    <rPh sb="9" eb="10">
      <t>ソロ</t>
    </rPh>
    <rPh sb="17" eb="19">
      <t>カクニン</t>
    </rPh>
    <rPh sb="26" eb="28">
      <t>テイシュツ</t>
    </rPh>
    <rPh sb="28" eb="29">
      <t>ネガ</t>
    </rPh>
    <phoneticPr fontId="4"/>
  </si>
  <si>
    <t>様式４</t>
    <rPh sb="0" eb="2">
      <t>ヨウシキ</t>
    </rPh>
    <phoneticPr fontId="4"/>
  </si>
  <si>
    <t>シート名</t>
    <rPh sb="3" eb="4">
      <t>メイ</t>
    </rPh>
    <phoneticPr fontId="36"/>
  </si>
  <si>
    <t>様式６別紙</t>
    <rPh sb="0" eb="2">
      <t>ヨウシキ</t>
    </rPh>
    <rPh sb="3" eb="5">
      <t>ベッシ</t>
    </rPh>
    <phoneticPr fontId="4"/>
  </si>
  <si>
    <t>処遇Ⅰ申請施設</t>
    <rPh sb="0" eb="2">
      <t>ショグウ</t>
    </rPh>
    <rPh sb="3" eb="5">
      <t>シンセイ</t>
    </rPh>
    <rPh sb="5" eb="7">
      <t>シセツ</t>
    </rPh>
    <phoneticPr fontId="36"/>
  </si>
  <si>
    <t>処遇Ⅱ申請施設</t>
    <rPh sb="0" eb="2">
      <t>ショグウ</t>
    </rPh>
    <rPh sb="3" eb="5">
      <t>シンセイ</t>
    </rPh>
    <rPh sb="5" eb="7">
      <t>シセツ</t>
    </rPh>
    <phoneticPr fontId="36"/>
  </si>
  <si>
    <t>提出締切日：2020年9月24日（木）</t>
    <rPh sb="10" eb="11">
      <t>ネン</t>
    </rPh>
    <rPh sb="12" eb="13">
      <t>ガツ</t>
    </rPh>
    <rPh sb="15" eb="16">
      <t>ニチ</t>
    </rPh>
    <rPh sb="17" eb="18">
      <t>モク</t>
    </rPh>
    <phoneticPr fontId="36"/>
  </si>
  <si>
    <t>キャリアパス要件届出書</t>
    <phoneticPr fontId="4"/>
  </si>
  <si>
    <t>賃金改善計画職員別明細書</t>
    <rPh sb="0" eb="2">
      <t>チンギン</t>
    </rPh>
    <rPh sb="2" eb="4">
      <t>カイゼン</t>
    </rPh>
    <rPh sb="4" eb="6">
      <t>ケイカク</t>
    </rPh>
    <rPh sb="6" eb="8">
      <t>ショクイン</t>
    </rPh>
    <rPh sb="8" eb="9">
      <t>ベツ</t>
    </rPh>
    <rPh sb="9" eb="12">
      <t>メイサイショ</t>
    </rPh>
    <phoneticPr fontId="4"/>
  </si>
  <si>
    <t>同一事業者内における拠出実績額・受け入れ実績額一覧表</t>
    <rPh sb="0" eb="2">
      <t>ドウイツ</t>
    </rPh>
    <rPh sb="2" eb="5">
      <t>ジギョウシャ</t>
    </rPh>
    <rPh sb="5" eb="6">
      <t>ナイ</t>
    </rPh>
    <rPh sb="10" eb="12">
      <t>キョシュツ</t>
    </rPh>
    <rPh sb="12" eb="14">
      <t>ジッセキ</t>
    </rPh>
    <rPh sb="14" eb="15">
      <t>ガク</t>
    </rPh>
    <rPh sb="16" eb="17">
      <t>ウ</t>
    </rPh>
    <rPh sb="18" eb="19">
      <t>イ</t>
    </rPh>
    <rPh sb="20" eb="22">
      <t>ジッセキ</t>
    </rPh>
    <rPh sb="22" eb="23">
      <t>ガク</t>
    </rPh>
    <rPh sb="23" eb="25">
      <t>イチラン</t>
    </rPh>
    <rPh sb="25" eb="26">
      <t>ヒョウ</t>
    </rPh>
    <phoneticPr fontId="4"/>
  </si>
  <si>
    <t>加算算定対象人数等認定申請書</t>
    <rPh sb="0" eb="2">
      <t>カサン</t>
    </rPh>
    <rPh sb="2" eb="4">
      <t>サンテイ</t>
    </rPh>
    <rPh sb="4" eb="6">
      <t>タイショウ</t>
    </rPh>
    <rPh sb="6" eb="8">
      <t>ニンズウ</t>
    </rPh>
    <rPh sb="8" eb="9">
      <t>トウ</t>
    </rPh>
    <rPh sb="9" eb="11">
      <t>ニンテイ</t>
    </rPh>
    <rPh sb="11" eb="13">
      <t>シンセイ</t>
    </rPh>
    <rPh sb="13" eb="14">
      <t>ショ</t>
    </rPh>
    <phoneticPr fontId="4"/>
  </si>
  <si>
    <t>賃金改善計画書（処遇改善等加算Ⅱ）</t>
    <rPh sb="8" eb="15">
      <t>ショグウカイゼントウカサン</t>
    </rPh>
    <phoneticPr fontId="36"/>
  </si>
  <si>
    <t>処遇Ⅰ・Ⅱ共通</t>
    <rPh sb="0" eb="2">
      <t>ショグウ</t>
    </rPh>
    <rPh sb="5" eb="7">
      <t>キョウツウ</t>
    </rPh>
    <phoneticPr fontId="36"/>
  </si>
  <si>
    <t>入力（加算）</t>
    <rPh sb="0" eb="2">
      <t>ニュウリョク</t>
    </rPh>
    <rPh sb="3" eb="5">
      <t>カサン</t>
    </rPh>
    <phoneticPr fontId="4"/>
  </si>
  <si>
    <t>判定
（基準年度＆人勧分）</t>
    <rPh sb="0" eb="2">
      <t>ハンテイ</t>
    </rPh>
    <rPh sb="4" eb="6">
      <t>キジュン</t>
    </rPh>
    <rPh sb="6" eb="8">
      <t>ネンド</t>
    </rPh>
    <rPh sb="9" eb="11">
      <t>ジンカン</t>
    </rPh>
    <rPh sb="11" eb="12">
      <t>ブン</t>
    </rPh>
    <phoneticPr fontId="4"/>
  </si>
  <si>
    <t>処遇Ⅰ⇔処遇Ⅱで基準年度が異なる場合のみ必要</t>
    <rPh sb="4" eb="6">
      <t>ショグウ</t>
    </rPh>
    <rPh sb="20" eb="22">
      <t>ヒツヨウ</t>
    </rPh>
    <phoneticPr fontId="36"/>
  </si>
  <si>
    <t>処遇Ⅱを受けない施設が、キャリアパス要件を適用する場合のみ必要</t>
    <rPh sb="0" eb="2">
      <t>ショグウ</t>
    </rPh>
    <rPh sb="4" eb="5">
      <t>ウ</t>
    </rPh>
    <rPh sb="8" eb="10">
      <t>シセツ</t>
    </rPh>
    <rPh sb="18" eb="20">
      <t>ヨウケン</t>
    </rPh>
    <rPh sb="21" eb="23">
      <t>テキヨウ</t>
    </rPh>
    <rPh sb="25" eb="27">
      <t>バアイ</t>
    </rPh>
    <rPh sb="29" eb="31">
      <t>ヒツヨウ</t>
    </rPh>
    <phoneticPr fontId="36"/>
  </si>
  <si>
    <t>様式６－１</t>
    <rPh sb="0" eb="2">
      <t>ヨウシキ</t>
    </rPh>
    <phoneticPr fontId="4"/>
  </si>
  <si>
    <t>様式６－２</t>
    <rPh sb="0" eb="2">
      <t>ヨウシキ</t>
    </rPh>
    <phoneticPr fontId="4"/>
  </si>
  <si>
    <t>様式６－３</t>
    <rPh sb="0" eb="2">
      <t>ヨウシキ</t>
    </rPh>
    <phoneticPr fontId="4"/>
  </si>
  <si>
    <t>様式４－１</t>
    <rPh sb="0" eb="2">
      <t>ヨウシキ</t>
    </rPh>
    <phoneticPr fontId="4"/>
  </si>
  <si>
    <t>様式４－２</t>
    <rPh sb="0" eb="2">
      <t>ヨウシキ</t>
    </rPh>
    <phoneticPr fontId="4"/>
  </si>
  <si>
    <t>賃金改善計画職員別明細書②</t>
    <rPh sb="0" eb="2">
      <t>チンギン</t>
    </rPh>
    <rPh sb="2" eb="4">
      <t>カイゼン</t>
    </rPh>
    <rPh sb="4" eb="6">
      <t>ケイカク</t>
    </rPh>
    <rPh sb="6" eb="8">
      <t>ショクイン</t>
    </rPh>
    <rPh sb="8" eb="9">
      <t>ベツ</t>
    </rPh>
    <rPh sb="9" eb="12">
      <t>メイサイショ</t>
    </rPh>
    <phoneticPr fontId="4"/>
  </si>
  <si>
    <t>副主任等配分内訳書</t>
    <phoneticPr fontId="36"/>
  </si>
  <si>
    <t>職務分野別リーダー等内訳書</t>
    <phoneticPr fontId="36"/>
  </si>
  <si>
    <t>↑入力シートの記載内容に応じて、不要な項目には×印が入ります。</t>
    <rPh sb="1" eb="3">
      <t>ニュウリョク</t>
    </rPh>
    <rPh sb="7" eb="9">
      <t>キサイ</t>
    </rPh>
    <rPh sb="9" eb="11">
      <t>ナイヨウ</t>
    </rPh>
    <rPh sb="12" eb="13">
      <t>オウ</t>
    </rPh>
    <rPh sb="16" eb="18">
      <t>フヨウ</t>
    </rPh>
    <rPh sb="19" eb="21">
      <t>コウモク</t>
    </rPh>
    <rPh sb="24" eb="25">
      <t>シルシ</t>
    </rPh>
    <rPh sb="26" eb="27">
      <t>ハイ</t>
    </rPh>
    <phoneticPr fontId="36"/>
  </si>
  <si>
    <t>公定価格引上げ分
(人勧分)：</t>
    <phoneticPr fontId="4"/>
  </si>
  <si>
    <t>人勧分（処遇Ⅰ）</t>
    <rPh sb="0" eb="2">
      <t>ジンカン</t>
    </rPh>
    <rPh sb="2" eb="3">
      <t>ブン</t>
    </rPh>
    <rPh sb="4" eb="6">
      <t>ショグウ</t>
    </rPh>
    <phoneticPr fontId="4"/>
  </si>
  <si>
    <t>人勧分（処遇Ⅱ）</t>
    <rPh sb="0" eb="2">
      <t>ジンカン</t>
    </rPh>
    <rPh sb="2" eb="3">
      <t>ブン</t>
    </rPh>
    <rPh sb="4" eb="6">
      <t>ショグウ</t>
    </rPh>
    <phoneticPr fontId="4"/>
  </si>
  <si>
    <t>加算見込額等計算シート</t>
    <rPh sb="0" eb="2">
      <t>カサン</t>
    </rPh>
    <rPh sb="2" eb="4">
      <t>ミコミ</t>
    </rPh>
    <rPh sb="4" eb="5">
      <t>ガク</t>
    </rPh>
    <rPh sb="5" eb="6">
      <t>トウ</t>
    </rPh>
    <rPh sb="6" eb="8">
      <t>ケイサン</t>
    </rPh>
    <phoneticPr fontId="4"/>
  </si>
  <si>
    <r>
      <t>４歳以上児</t>
    </r>
    <r>
      <rPr>
        <sz val="11"/>
        <color indexed="10"/>
        <rFont val="ＭＳ Ｐゴシック"/>
        <family val="3"/>
        <charset val="128"/>
        <scheme val="minor"/>
      </rPr>
      <t>（特例給付対象児童）</t>
    </r>
    <r>
      <rPr>
        <sz val="11"/>
        <color indexed="8"/>
        <rFont val="ＭＳ Ｐゴシック"/>
        <family val="3"/>
        <charset val="128"/>
        <scheme val="minor"/>
      </rPr>
      <t xml:space="preserve">
</t>
    </r>
    <r>
      <rPr>
        <sz val="10"/>
        <color indexed="8"/>
        <rFont val="ＭＳ Ｐゴシック"/>
        <family val="3"/>
        <charset val="128"/>
        <scheme val="minor"/>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49"/>
  </si>
  <si>
    <r>
      <t>３歳児</t>
    </r>
    <r>
      <rPr>
        <sz val="11"/>
        <color indexed="10"/>
        <rFont val="ＭＳ Ｐゴシック"/>
        <family val="3"/>
        <charset val="128"/>
        <scheme val="minor"/>
      </rPr>
      <t>（特例給付対象児童）</t>
    </r>
    <r>
      <rPr>
        <sz val="11"/>
        <color indexed="8"/>
        <rFont val="ＭＳ Ｐゴシック"/>
        <family val="3"/>
        <charset val="128"/>
        <scheme val="minor"/>
      </rPr>
      <t xml:space="preserve">
</t>
    </r>
    <r>
      <rPr>
        <sz val="10"/>
        <color indexed="8"/>
        <rFont val="ＭＳ Ｐゴシック"/>
        <family val="3"/>
        <charset val="128"/>
        <scheme val="minor"/>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49"/>
  </si>
  <si>
    <r>
      <t xml:space="preserve">１，２歳児
</t>
    </r>
    <r>
      <rPr>
        <sz val="10"/>
        <color indexed="8"/>
        <rFont val="ＭＳ Ｐゴシック"/>
        <family val="3"/>
        <charset val="128"/>
        <scheme val="minor"/>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9"/>
  </si>
  <si>
    <r>
      <t xml:space="preserve">０歳児
</t>
    </r>
    <r>
      <rPr>
        <sz val="10"/>
        <color indexed="8"/>
        <rFont val="ＭＳ Ｐゴシック"/>
        <family val="3"/>
        <charset val="128"/>
        <scheme val="minor"/>
      </rPr>
      <t>※障害児保育加算ありの場合障害児を除いた数</t>
    </r>
    <rPh sb="1" eb="3">
      <t>サイジ</t>
    </rPh>
    <phoneticPr fontId="49"/>
  </si>
  <si>
    <t>提出書類チェック表</t>
    <rPh sb="0" eb="2">
      <t>テイシュツ</t>
    </rPh>
    <rPh sb="2" eb="4">
      <t>ショルイ</t>
    </rPh>
    <rPh sb="8" eb="9">
      <t>ヒョウ</t>
    </rPh>
    <phoneticPr fontId="4"/>
  </si>
  <si>
    <t>□</t>
  </si>
  <si>
    <t>配分一覧表</t>
  </si>
  <si>
    <t>対象の職位に発令されたことがわかる書類</t>
    <rPh sb="0" eb="2">
      <t>タイショウ</t>
    </rPh>
    <rPh sb="3" eb="5">
      <t>ショクイ</t>
    </rPh>
    <rPh sb="6" eb="8">
      <t>ハツレイ</t>
    </rPh>
    <rPh sb="17" eb="19">
      <t>ショルイ</t>
    </rPh>
    <phoneticPr fontId="36"/>
  </si>
  <si>
    <t>人数Ａ・人数Ｂの対象者全員分</t>
    <rPh sb="0" eb="2">
      <t>ニンズウ</t>
    </rPh>
    <rPh sb="4" eb="6">
      <t>ニンズウ</t>
    </rPh>
    <rPh sb="8" eb="10">
      <t>タイショウ</t>
    </rPh>
    <rPh sb="10" eb="11">
      <t>シャ</t>
    </rPh>
    <rPh sb="11" eb="13">
      <t>ゼンイン</t>
    </rPh>
    <rPh sb="13" eb="14">
      <t>ブン</t>
    </rPh>
    <phoneticPr fontId="36"/>
  </si>
  <si>
    <t>2020年度の給与規定</t>
    <rPh sb="4" eb="6">
      <t>ネンド</t>
    </rPh>
    <rPh sb="7" eb="9">
      <t>キュウヨ</t>
    </rPh>
    <rPh sb="9" eb="11">
      <t>キテイ</t>
    </rPh>
    <phoneticPr fontId="36"/>
  </si>
  <si>
    <t>様式６－１、６－２
添付書類①</t>
    <rPh sb="10" eb="14">
      <t>テンプショルイ</t>
    </rPh>
    <phoneticPr fontId="36"/>
  </si>
  <si>
    <t>様式６－１、６－２
添付書類②</t>
    <rPh sb="10" eb="14">
      <t>テンプショルイ</t>
    </rPh>
    <phoneticPr fontId="36"/>
  </si>
  <si>
    <t>様式２添付書類②</t>
    <rPh sb="0" eb="2">
      <t>ヨウシキ</t>
    </rPh>
    <rPh sb="3" eb="7">
      <t>テンプショルイ</t>
    </rPh>
    <phoneticPr fontId="36"/>
  </si>
  <si>
    <t>研修計画等</t>
    <rPh sb="0" eb="2">
      <t>ケンシュウ</t>
    </rPh>
    <rPh sb="2" eb="4">
      <t>ケイカク</t>
    </rPh>
    <rPh sb="4" eb="5">
      <t>トウ</t>
    </rPh>
    <phoneticPr fontId="36"/>
  </si>
  <si>
    <t>シート名は、保育所であれば「入力（加算）保」など施設種別ごとに異なります。</t>
    <rPh sb="3" eb="4">
      <t>メイ</t>
    </rPh>
    <rPh sb="6" eb="8">
      <t>ホイク</t>
    </rPh>
    <rPh sb="8" eb="9">
      <t>ショ</t>
    </rPh>
    <rPh sb="14" eb="16">
      <t>ニュウリョク</t>
    </rPh>
    <rPh sb="17" eb="19">
      <t>カサン</t>
    </rPh>
    <rPh sb="20" eb="21">
      <t>ホ</t>
    </rPh>
    <rPh sb="24" eb="26">
      <t>シセツ</t>
    </rPh>
    <rPh sb="26" eb="28">
      <t>シュベツ</t>
    </rPh>
    <rPh sb="31" eb="32">
      <t>コト</t>
    </rPh>
    <phoneticPr fontId="36"/>
  </si>
  <si>
    <t>入力（児童数-本園）</t>
    <rPh sb="0" eb="2">
      <t>ニュウリョク</t>
    </rPh>
    <rPh sb="3" eb="5">
      <t>ジドウ</t>
    </rPh>
    <rPh sb="5" eb="6">
      <t>スウ</t>
    </rPh>
    <rPh sb="7" eb="8">
      <t>ホン</t>
    </rPh>
    <rPh sb="8" eb="9">
      <t>エン</t>
    </rPh>
    <phoneticPr fontId="4"/>
  </si>
  <si>
    <t>入力（児童数-分園）</t>
    <rPh sb="0" eb="2">
      <t>ニュウリョク</t>
    </rPh>
    <rPh sb="3" eb="5">
      <t>ジドウ</t>
    </rPh>
    <rPh sb="5" eb="6">
      <t>スウ</t>
    </rPh>
    <rPh sb="7" eb="9">
      <t>ブンエン</t>
    </rPh>
    <phoneticPr fontId="4"/>
  </si>
  <si>
    <t>分園がある施設のみ必要</t>
    <rPh sb="0" eb="2">
      <t>ブンエン</t>
    </rPh>
    <rPh sb="5" eb="7">
      <t>シセツ</t>
    </rPh>
    <rPh sb="9" eb="11">
      <t>ヒツヨウ</t>
    </rPh>
    <phoneticPr fontId="36"/>
  </si>
  <si>
    <t>処遇Ⅱに関する規定が明示されていること</t>
    <rPh sb="0" eb="2">
      <t>ショグウ</t>
    </rPh>
    <rPh sb="4" eb="5">
      <t>カン</t>
    </rPh>
    <rPh sb="7" eb="9">
      <t>キテイ</t>
    </rPh>
    <rPh sb="10" eb="12">
      <t>メイジ</t>
    </rPh>
    <phoneticPr fontId="36"/>
  </si>
  <si>
    <t>公定価格引上げ分(人勧分)：</t>
    <phoneticPr fontId="4"/>
  </si>
  <si>
    <t>平均児童数</t>
    <rPh sb="0" eb="2">
      <t>ヘイキン</t>
    </rPh>
    <rPh sb="2" eb="4">
      <t>ジドウ</t>
    </rPh>
    <rPh sb="4" eb="5">
      <t>スウ</t>
    </rPh>
    <phoneticPr fontId="4"/>
  </si>
  <si>
    <t>2.3号計</t>
    <rPh sb="3" eb="4">
      <t>ゴウ</t>
    </rPh>
    <rPh sb="4" eb="5">
      <t>ケイ</t>
    </rPh>
    <phoneticPr fontId="4"/>
  </si>
  <si>
    <t>1号計</t>
    <rPh sb="1" eb="2">
      <t>ゴウ</t>
    </rPh>
    <rPh sb="2" eb="3">
      <t>ケイ</t>
    </rPh>
    <phoneticPr fontId="4"/>
  </si>
  <si>
    <t>・　地域型事業所については、障がい児加算の対象児童を含めること</t>
    <rPh sb="2" eb="5">
      <t>チイキガタ</t>
    </rPh>
    <rPh sb="5" eb="8">
      <t>ジギョウショ</t>
    </rPh>
    <rPh sb="14" eb="15">
      <t>ショウ</t>
    </rPh>
    <rPh sb="17" eb="18">
      <t>ジ</t>
    </rPh>
    <rPh sb="18" eb="20">
      <t>カサン</t>
    </rPh>
    <rPh sb="21" eb="23">
      <t>タイショウ</t>
    </rPh>
    <rPh sb="23" eb="25">
      <t>ジドウ</t>
    </rPh>
    <rPh sb="26" eb="27">
      <t>フク</t>
    </rPh>
    <phoneticPr fontId="4"/>
  </si>
  <si>
    <t>平均児童数</t>
    <rPh sb="0" eb="5">
      <t>ヘイキンジドウスウ</t>
    </rPh>
    <phoneticPr fontId="4"/>
  </si>
  <si>
    <t>障がい０歳</t>
    <rPh sb="0" eb="1">
      <t>ショウ</t>
    </rPh>
    <rPh sb="4" eb="5">
      <t>サイ</t>
    </rPh>
    <phoneticPr fontId="36"/>
  </si>
  <si>
    <t>障がい１・２歳</t>
    <rPh sb="0" eb="1">
      <t>ショウ</t>
    </rPh>
    <rPh sb="6" eb="7">
      <t>サイ</t>
    </rPh>
    <phoneticPr fontId="36"/>
  </si>
  <si>
    <t>≪試算ファイルについて≫</t>
    <rPh sb="1" eb="3">
      <t>シサン</t>
    </rPh>
    <phoneticPr fontId="4"/>
  </si>
  <si>
    <t>入力（基本）：</t>
    <rPh sb="0" eb="2">
      <t>ニュウリョク</t>
    </rPh>
    <rPh sb="3" eb="5">
      <t>キホン</t>
    </rPh>
    <phoneticPr fontId="4"/>
  </si>
  <si>
    <t>入力（児童数-本園）、入力（児童数-分園）：</t>
    <phoneticPr fontId="4"/>
  </si>
  <si>
    <t>入力・判定（基準年度）：</t>
    <phoneticPr fontId="4"/>
  </si>
  <si>
    <t>入力（加算）：</t>
    <phoneticPr fontId="4"/>
  </si>
  <si>
    <t>加算見込額の算定では使用しません。自施設の基準年度を確認したい場合のみ入力してください。</t>
    <rPh sb="0" eb="5">
      <t>カサンミコミガク</t>
    </rPh>
    <rPh sb="6" eb="8">
      <t>サンテイ</t>
    </rPh>
    <rPh sb="10" eb="12">
      <t>シヨウ</t>
    </rPh>
    <rPh sb="17" eb="20">
      <t>ジシセツ</t>
    </rPh>
    <rPh sb="21" eb="25">
      <t>キジュンネンド</t>
    </rPh>
    <rPh sb="26" eb="28">
      <t>カクニン</t>
    </rPh>
    <rPh sb="31" eb="33">
      <t>バアイ</t>
    </rPh>
    <rPh sb="35" eb="37">
      <t>ニュウリョク</t>
    </rPh>
    <phoneticPr fontId="4"/>
  </si>
  <si>
    <t>各項目に必要事項を入力してください。</t>
    <rPh sb="0" eb="3">
      <t>カクコウモク</t>
    </rPh>
    <phoneticPr fontId="4"/>
  </si>
  <si>
    <t>◎各シートの説明</t>
    <rPh sb="1" eb="2">
      <t>カク</t>
    </rPh>
    <rPh sb="6" eb="8">
      <t>セツメイ</t>
    </rPh>
    <phoneticPr fontId="4"/>
  </si>
  <si>
    <t>様式３：</t>
    <rPh sb="0" eb="2">
      <t>ヨウシキ</t>
    </rPh>
    <phoneticPr fontId="4"/>
  </si>
  <si>
    <t>処遇Ⅰ加算見込額：</t>
    <rPh sb="0" eb="2">
      <t>ショグウ</t>
    </rPh>
    <rPh sb="3" eb="8">
      <t>カサンミコミガク</t>
    </rPh>
    <phoneticPr fontId="4"/>
  </si>
  <si>
    <t>※月額</t>
    <rPh sb="1" eb="3">
      <t>ゲツガク</t>
    </rPh>
    <phoneticPr fontId="36"/>
  </si>
  <si>
    <t>２．加算対象職員数（人）</t>
    <rPh sb="2" eb="4">
      <t>カサン</t>
    </rPh>
    <rPh sb="4" eb="6">
      <t>タイショウ</t>
    </rPh>
    <rPh sb="6" eb="8">
      <t>ショクイン</t>
    </rPh>
    <rPh sb="8" eb="9">
      <t>スウ</t>
    </rPh>
    <rPh sb="10" eb="11">
      <t>ヒト</t>
    </rPh>
    <phoneticPr fontId="49"/>
  </si>
  <si>
    <t>人数A</t>
    <rPh sb="0" eb="2">
      <t>ニンズウ</t>
    </rPh>
    <phoneticPr fontId="36"/>
  </si>
  <si>
    <t>人数B</t>
    <rPh sb="0" eb="2">
      <t>ニンズウ</t>
    </rPh>
    <phoneticPr fontId="36"/>
  </si>
  <si>
    <t>児童数</t>
    <rPh sb="0" eb="3">
      <t>ジドウスウ</t>
    </rPh>
    <phoneticPr fontId="36"/>
  </si>
  <si>
    <t>※月額</t>
    <rPh sb="1" eb="2">
      <t>ゲツ</t>
    </rPh>
    <rPh sb="2" eb="3">
      <t>ガク</t>
    </rPh>
    <phoneticPr fontId="36"/>
  </si>
  <si>
    <t>　＜参考＞　加算見込額等</t>
    <rPh sb="2" eb="4">
      <t>サンコウ</t>
    </rPh>
    <rPh sb="6" eb="8">
      <t>カサン</t>
    </rPh>
    <rPh sb="8" eb="10">
      <t>ミコミ</t>
    </rPh>
    <rPh sb="10" eb="11">
      <t>ガク</t>
    </rPh>
    <rPh sb="11" eb="12">
      <t>トウ</t>
    </rPh>
    <phoneticPr fontId="49"/>
  </si>
  <si>
    <t>加算見込額（法定福利費分含む）</t>
    <rPh sb="0" eb="2">
      <t>カサン</t>
    </rPh>
    <rPh sb="2" eb="4">
      <t>ミコミ</t>
    </rPh>
    <rPh sb="4" eb="5">
      <t>ガク</t>
    </rPh>
    <rPh sb="6" eb="8">
      <t>ホウテイ</t>
    </rPh>
    <rPh sb="8" eb="10">
      <t>フクリ</t>
    </rPh>
    <rPh sb="10" eb="11">
      <t>ヒ</t>
    </rPh>
    <rPh sb="11" eb="12">
      <t>ブン</t>
    </rPh>
    <rPh sb="12" eb="13">
      <t>フク</t>
    </rPh>
    <phoneticPr fontId="36"/>
  </si>
  <si>
    <t>加算見込額</t>
    <rPh sb="0" eb="5">
      <t>カサンミコミガク</t>
    </rPh>
    <phoneticPr fontId="36"/>
  </si>
  <si>
    <t>加算見込額（法定福利費分含む）の20%</t>
    <phoneticPr fontId="36"/>
  </si>
  <si>
    <t>児童数等</t>
    <rPh sb="0" eb="3">
      <t>ジドウスウ</t>
    </rPh>
    <rPh sb="3" eb="4">
      <t>トウ</t>
    </rPh>
    <phoneticPr fontId="49"/>
  </si>
  <si>
    <t>A含</t>
    <rPh sb="1" eb="2">
      <t>フク</t>
    </rPh>
    <phoneticPr fontId="36"/>
  </si>
  <si>
    <t>B含</t>
    <rPh sb="1" eb="2">
      <t>フク</t>
    </rPh>
    <phoneticPr fontId="36"/>
  </si>
  <si>
    <t>※法人内配分（拠出）上限額…</t>
    <rPh sb="7" eb="9">
      <t>キョシュツ</t>
    </rPh>
    <phoneticPr fontId="36"/>
  </si>
  <si>
    <t>以下は『入力（基準年度判定）』シートで基準年度を確定させてからご確認ください。</t>
    <rPh sb="0" eb="2">
      <t>イカ</t>
    </rPh>
    <phoneticPr fontId="4"/>
  </si>
  <si>
    <t>（障がい児）</t>
    <rPh sb="1" eb="2">
      <t>ショウ</t>
    </rPh>
    <rPh sb="4" eb="5">
      <t>ジ</t>
    </rPh>
    <phoneticPr fontId="4"/>
  </si>
  <si>
    <t>※　ａ～ｅに1.3を加える</t>
    <rPh sb="10" eb="11">
      <t>クワ</t>
    </rPh>
    <phoneticPr fontId="49"/>
  </si>
  <si>
    <t>前年実績から年間の見込児童数が算出されます。前年実績から出した見込が実態と乖離する場合などは、年間の見込児童数を直接入力してください。</t>
    <rPh sb="0" eb="2">
      <t>ゼンネン</t>
    </rPh>
    <rPh sb="2" eb="4">
      <t>ジッセキ</t>
    </rPh>
    <rPh sb="6" eb="8">
      <t>ネンカン</t>
    </rPh>
    <rPh sb="9" eb="11">
      <t>ミコミ</t>
    </rPh>
    <rPh sb="11" eb="14">
      <t>ジドウスウ</t>
    </rPh>
    <rPh sb="15" eb="17">
      <t>サンシュツ</t>
    </rPh>
    <rPh sb="22" eb="26">
      <t>ゼンネンジッセキ</t>
    </rPh>
    <rPh sb="28" eb="29">
      <t>ダ</t>
    </rPh>
    <rPh sb="31" eb="33">
      <t>ミコミ</t>
    </rPh>
    <rPh sb="34" eb="36">
      <t>ジッタイ</t>
    </rPh>
    <rPh sb="37" eb="39">
      <t>カイリ</t>
    </rPh>
    <rPh sb="41" eb="43">
      <t>バアイ</t>
    </rPh>
    <rPh sb="47" eb="49">
      <t>ネンカン</t>
    </rPh>
    <rPh sb="50" eb="55">
      <t>ミコミジドウスウ</t>
    </rPh>
    <rPh sb="56" eb="60">
      <t>チョクセツニュウリョク</t>
    </rPh>
    <phoneticPr fontId="4"/>
  </si>
  <si>
    <r>
      <t>取得予定の加算を入力していただくと、</t>
    </r>
    <r>
      <rPr>
        <u/>
        <sz val="12"/>
        <color theme="1"/>
        <rFont val="ＭＳ Ｐゴシック"/>
        <family val="3"/>
        <charset val="128"/>
        <scheme val="minor"/>
      </rPr>
      <t>処遇改善等加算Ⅰ（賃金改善要件分）の</t>
    </r>
    <r>
      <rPr>
        <b/>
        <u/>
        <sz val="12"/>
        <color theme="1"/>
        <rFont val="ＭＳ Ｐゴシック"/>
        <family val="3"/>
        <charset val="128"/>
        <scheme val="minor"/>
      </rPr>
      <t>加算見込額</t>
    </r>
    <r>
      <rPr>
        <sz val="11"/>
        <color theme="1"/>
        <rFont val="ＭＳ Ｐゴシック"/>
        <family val="3"/>
        <charset val="128"/>
        <scheme val="minor"/>
      </rPr>
      <t>が計算されます。施設種別ごとに別シートとなっておりますので、該当のシートを参照してください。</t>
    </r>
    <rPh sb="0" eb="2">
      <t>シュトク</t>
    </rPh>
    <rPh sb="2" eb="4">
      <t>ヨテイ</t>
    </rPh>
    <rPh sb="5" eb="7">
      <t>カサン</t>
    </rPh>
    <rPh sb="8" eb="10">
      <t>ニュウリョク</t>
    </rPh>
    <rPh sb="18" eb="26">
      <t>ショグウカイゼントウカサンイチ</t>
    </rPh>
    <rPh sb="27" eb="34">
      <t>チンギンカイゼンヨウケンブン</t>
    </rPh>
    <rPh sb="36" eb="41">
      <t>カサンミコミガク</t>
    </rPh>
    <rPh sb="42" eb="44">
      <t>ケイサン</t>
    </rPh>
    <phoneticPr fontId="4"/>
  </si>
  <si>
    <t>様式２：</t>
    <rPh sb="0" eb="2">
      <t>ヨウシキ</t>
    </rPh>
    <phoneticPr fontId="4"/>
  </si>
  <si>
    <t>処遇改善等加算Ⅱを受けず、キャリアパス要件を受ける場合、様式２の作成が必要になりますので、参考に内容をご確認ください。（提出は申請書依頼時）</t>
    <rPh sb="45" eb="47">
      <t>サンコウ</t>
    </rPh>
    <rPh sb="48" eb="50">
      <t>ナイヨウ</t>
    </rPh>
    <rPh sb="52" eb="54">
      <t>カクニン</t>
    </rPh>
    <rPh sb="60" eb="62">
      <t>テイシュツ</t>
    </rPh>
    <rPh sb="63" eb="66">
      <t>シンセイショ</t>
    </rPh>
    <rPh sb="66" eb="68">
      <t>イライ</t>
    </rPh>
    <rPh sb="68" eb="69">
      <t>ジ</t>
    </rPh>
    <phoneticPr fontId="4"/>
  </si>
  <si>
    <r>
      <t>入力シートを全て入力していただくと、</t>
    </r>
    <r>
      <rPr>
        <u/>
        <sz val="12"/>
        <color theme="1"/>
        <rFont val="ＭＳ Ｐゴシック"/>
        <family val="3"/>
        <charset val="128"/>
        <scheme val="minor"/>
      </rPr>
      <t>処遇改善等加算Ⅱの</t>
    </r>
    <r>
      <rPr>
        <b/>
        <u/>
        <sz val="12"/>
        <color theme="1"/>
        <rFont val="ＭＳ Ｐゴシック"/>
        <family val="3"/>
        <charset val="128"/>
        <scheme val="minor"/>
      </rPr>
      <t>人数</t>
    </r>
    <r>
      <rPr>
        <u/>
        <sz val="12"/>
        <color theme="1"/>
        <rFont val="ＭＳ Ｐゴシック"/>
        <family val="3"/>
        <charset val="128"/>
        <scheme val="minor"/>
      </rPr>
      <t>及び</t>
    </r>
    <r>
      <rPr>
        <b/>
        <u/>
        <sz val="12"/>
        <color theme="1"/>
        <rFont val="ＭＳ Ｐゴシック"/>
        <family val="3"/>
        <charset val="128"/>
        <scheme val="minor"/>
      </rPr>
      <t>加算見込額</t>
    </r>
    <r>
      <rPr>
        <sz val="11"/>
        <color theme="1"/>
        <rFont val="ＭＳ Ｐゴシック"/>
        <family val="3"/>
        <charset val="128"/>
        <scheme val="minor"/>
      </rPr>
      <t>が計算されます。施設種別ごとに別シートとなっておりますので、該当のシートを参照してください。</t>
    </r>
    <rPh sb="0" eb="2">
      <t>ニュウリョク</t>
    </rPh>
    <rPh sb="6" eb="7">
      <t>スベ</t>
    </rPh>
    <rPh sb="8" eb="10">
      <t>ニュウリョク</t>
    </rPh>
    <rPh sb="18" eb="20">
      <t>ショグウ</t>
    </rPh>
    <rPh sb="20" eb="22">
      <t>カイゼン</t>
    </rPh>
    <rPh sb="22" eb="23">
      <t>トウ</t>
    </rPh>
    <rPh sb="23" eb="25">
      <t>カサン</t>
    </rPh>
    <rPh sb="27" eb="29">
      <t>ニンズウ</t>
    </rPh>
    <rPh sb="29" eb="30">
      <t>オヨ</t>
    </rPh>
    <rPh sb="31" eb="33">
      <t>カサン</t>
    </rPh>
    <rPh sb="33" eb="35">
      <t>ミコミ</t>
    </rPh>
    <rPh sb="35" eb="36">
      <t>ガク</t>
    </rPh>
    <rPh sb="37" eb="39">
      <t>ケイサン</t>
    </rPh>
    <phoneticPr fontId="4"/>
  </si>
  <si>
    <t>要配分額（月額）</t>
    <rPh sb="0" eb="1">
      <t>ヨウ</t>
    </rPh>
    <rPh sb="1" eb="3">
      <t>ハイブン</t>
    </rPh>
    <rPh sb="3" eb="4">
      <t>ガク</t>
    </rPh>
    <rPh sb="5" eb="7">
      <t>ゲツガク</t>
    </rPh>
    <phoneticPr fontId="36"/>
  </si>
  <si>
    <t>※処遇Ⅰの申請を一回やめて、今年度新たに処遇１を受ける場合は、３９行目に直近の処遇Ⅰを受けた時の賃金要件分の加算率をて入力してもらう必要がある。</t>
    <rPh sb="1" eb="3">
      <t>ショグウ</t>
    </rPh>
    <rPh sb="5" eb="7">
      <t>シンセイ</t>
    </rPh>
    <rPh sb="8" eb="10">
      <t>イッカイ</t>
    </rPh>
    <rPh sb="14" eb="17">
      <t>コンネンド</t>
    </rPh>
    <rPh sb="17" eb="18">
      <t>アラ</t>
    </rPh>
    <rPh sb="20" eb="22">
      <t>ショグウ</t>
    </rPh>
    <rPh sb="24" eb="25">
      <t>ウ</t>
    </rPh>
    <rPh sb="27" eb="29">
      <t>バアイ</t>
    </rPh>
    <rPh sb="33" eb="35">
      <t>ギョウメ</t>
    </rPh>
    <rPh sb="36" eb="38">
      <t>チョッキン</t>
    </rPh>
    <rPh sb="39" eb="41">
      <t>ショグウ</t>
    </rPh>
    <rPh sb="43" eb="44">
      <t>ウ</t>
    </rPh>
    <rPh sb="46" eb="47">
      <t>トキ</t>
    </rPh>
    <rPh sb="48" eb="50">
      <t>チンギン</t>
    </rPh>
    <rPh sb="50" eb="52">
      <t>ヨウケン</t>
    </rPh>
    <rPh sb="52" eb="53">
      <t>ブン</t>
    </rPh>
    <rPh sb="54" eb="56">
      <t>カサン</t>
    </rPh>
    <rPh sb="56" eb="57">
      <t>リツ</t>
    </rPh>
    <rPh sb="59" eb="61">
      <t>ニュウリョク</t>
    </rPh>
    <rPh sb="66" eb="68">
      <t>ヒツヨウ</t>
    </rPh>
    <phoneticPr fontId="36"/>
  </si>
  <si>
    <t>○入力（基本）４０行目の修正（選択年度の更新）</t>
    <rPh sb="1" eb="3">
      <t>ニュウリョク</t>
    </rPh>
    <rPh sb="4" eb="6">
      <t>キホン</t>
    </rPh>
    <rPh sb="9" eb="11">
      <t>ギョウメ</t>
    </rPh>
    <rPh sb="12" eb="14">
      <t>シュウセイ</t>
    </rPh>
    <rPh sb="15" eb="17">
      <t>センタク</t>
    </rPh>
    <rPh sb="17" eb="19">
      <t>ネンド</t>
    </rPh>
    <rPh sb="20" eb="22">
      <t>コウシン</t>
    </rPh>
    <phoneticPr fontId="36"/>
  </si>
  <si>
    <t>○基準年度（基本）シートの人勧分の年度更新（処遇Ⅰと処遇Ⅱで二か所）</t>
    <rPh sb="1" eb="3">
      <t>キジュン</t>
    </rPh>
    <rPh sb="3" eb="5">
      <t>ネンド</t>
    </rPh>
    <rPh sb="6" eb="8">
      <t>キホン</t>
    </rPh>
    <rPh sb="13" eb="15">
      <t>ジンカン</t>
    </rPh>
    <rPh sb="15" eb="16">
      <t>ブン</t>
    </rPh>
    <rPh sb="17" eb="19">
      <t>ネンド</t>
    </rPh>
    <rPh sb="19" eb="21">
      <t>コウシン</t>
    </rPh>
    <rPh sb="22" eb="24">
      <t>ショグウ</t>
    </rPh>
    <rPh sb="26" eb="28">
      <t>ショグウ</t>
    </rPh>
    <rPh sb="30" eb="31">
      <t>ニ</t>
    </rPh>
    <rPh sb="32" eb="33">
      <t>ショ</t>
    </rPh>
    <phoneticPr fontId="36"/>
  </si>
  <si>
    <t>○入力（基本）のM列（年度更新）</t>
    <rPh sb="1" eb="3">
      <t>ニュウリョク</t>
    </rPh>
    <rPh sb="4" eb="6">
      <t>キホン</t>
    </rPh>
    <rPh sb="9" eb="10">
      <t>レツ</t>
    </rPh>
    <rPh sb="11" eb="13">
      <t>ネンド</t>
    </rPh>
    <rPh sb="13" eb="15">
      <t>コウシン</t>
    </rPh>
    <phoneticPr fontId="36"/>
  </si>
  <si>
    <t>○入力（基準年度判定）７２行目の文言修正</t>
    <rPh sb="13" eb="15">
      <t>ギョウメ</t>
    </rPh>
    <rPh sb="16" eb="18">
      <t>モンゴン</t>
    </rPh>
    <rPh sb="18" eb="20">
      <t>シュウセイ</t>
    </rPh>
    <phoneticPr fontId="36"/>
  </si>
  <si>
    <t>○単価張り替え　単価を張り替えたら文字を色付きにする→　そうすることで、次回張り替えた時の色が黒なので、張り替えミス等に気が付く。</t>
    <rPh sb="1" eb="3">
      <t>タンカ</t>
    </rPh>
    <rPh sb="3" eb="4">
      <t>ハ</t>
    </rPh>
    <rPh sb="5" eb="6">
      <t>カ</t>
    </rPh>
    <rPh sb="8" eb="10">
      <t>タンカ</t>
    </rPh>
    <rPh sb="11" eb="12">
      <t>ハ</t>
    </rPh>
    <rPh sb="13" eb="14">
      <t>カ</t>
    </rPh>
    <rPh sb="17" eb="19">
      <t>モジ</t>
    </rPh>
    <rPh sb="20" eb="22">
      <t>イロツ</t>
    </rPh>
    <rPh sb="36" eb="38">
      <t>ジカイ</t>
    </rPh>
    <rPh sb="38" eb="39">
      <t>ハ</t>
    </rPh>
    <rPh sb="40" eb="41">
      <t>カ</t>
    </rPh>
    <rPh sb="43" eb="44">
      <t>トキ</t>
    </rPh>
    <rPh sb="45" eb="46">
      <t>イロ</t>
    </rPh>
    <rPh sb="47" eb="48">
      <t>クロ</t>
    </rPh>
    <rPh sb="52" eb="53">
      <t>ハ</t>
    </rPh>
    <rPh sb="54" eb="55">
      <t>カ</t>
    </rPh>
    <rPh sb="58" eb="59">
      <t>トウ</t>
    </rPh>
    <rPh sb="60" eb="61">
      <t>キ</t>
    </rPh>
    <rPh sb="62" eb="63">
      <t>ツ</t>
    </rPh>
    <phoneticPr fontId="36"/>
  </si>
  <si>
    <t>○入力（基本）のＫ列の提出日を修正</t>
    <rPh sb="4" eb="6">
      <t>キホン</t>
    </rPh>
    <rPh sb="9" eb="10">
      <t>レツ</t>
    </rPh>
    <rPh sb="11" eb="13">
      <t>テイシュツ</t>
    </rPh>
    <rPh sb="13" eb="14">
      <t>ビ</t>
    </rPh>
    <rPh sb="15" eb="17">
      <t>シュウセイ</t>
    </rPh>
    <phoneticPr fontId="36"/>
  </si>
  <si>
    <t>注意点</t>
    <rPh sb="0" eb="2">
      <t>チュウイ</t>
    </rPh>
    <rPh sb="2" eb="3">
      <t>テン</t>
    </rPh>
    <phoneticPr fontId="36"/>
  </si>
  <si>
    <t>入力（基本）ＢＤを作る際には、施設種別は、右の一覧のとおりとする。そうしないと様式が上手く反応しない</t>
    <rPh sb="0" eb="2">
      <t>ニュウリョク</t>
    </rPh>
    <rPh sb="3" eb="5">
      <t>キホン</t>
    </rPh>
    <rPh sb="9" eb="10">
      <t>ツク</t>
    </rPh>
    <rPh sb="11" eb="12">
      <t>サイ</t>
    </rPh>
    <rPh sb="15" eb="17">
      <t>シセツ</t>
    </rPh>
    <rPh sb="17" eb="19">
      <t>シュベツ</t>
    </rPh>
    <rPh sb="21" eb="22">
      <t>ミギ</t>
    </rPh>
    <rPh sb="23" eb="25">
      <t>イチラン</t>
    </rPh>
    <rPh sb="39" eb="41">
      <t>ヨウシキ</t>
    </rPh>
    <rPh sb="42" eb="44">
      <t>ウマ</t>
    </rPh>
    <rPh sb="45" eb="47">
      <t>ハンノウ</t>
    </rPh>
    <phoneticPr fontId="36"/>
  </si>
  <si>
    <t>提出方法</t>
    <rPh sb="0" eb="2">
      <t>テイシュツ</t>
    </rPh>
    <rPh sb="2" eb="4">
      <t>ホウホウ</t>
    </rPh>
    <phoneticPr fontId="4"/>
  </si>
  <si>
    <t>賃金改善計画書（処遇改善等加算Ⅰ）</t>
    <rPh sb="8" eb="15">
      <t>ショグウカイゼントウカサン</t>
    </rPh>
    <phoneticPr fontId="4"/>
  </si>
  <si>
    <t>2022年度の給与規定</t>
    <phoneticPr fontId="4"/>
  </si>
  <si>
    <t>データ</t>
    <phoneticPr fontId="4"/>
  </si>
  <si>
    <t>データ（郵送も可）</t>
    <rPh sb="4" eb="6">
      <t>ユウソウ</t>
    </rPh>
    <rPh sb="7" eb="8">
      <t>カ</t>
    </rPh>
    <phoneticPr fontId="4"/>
  </si>
  <si>
    <t>郵送する場合は、【提出書類チェックシート】も添付すること。</t>
    <rPh sb="0" eb="2">
      <t>ユウソウ</t>
    </rPh>
    <rPh sb="4" eb="6">
      <t>バアイ</t>
    </rPh>
    <rPh sb="9" eb="11">
      <t>テイシュツ</t>
    </rPh>
    <rPh sb="11" eb="13">
      <t>ショルイ</t>
    </rPh>
    <rPh sb="22" eb="24">
      <t>テンプ</t>
    </rPh>
    <phoneticPr fontId="4"/>
  </si>
  <si>
    <t>○基準年度判定シートの印刷範囲外の年次更新</t>
    <rPh sb="1" eb="3">
      <t>キジュン</t>
    </rPh>
    <rPh sb="3" eb="5">
      <t>ネンド</t>
    </rPh>
    <rPh sb="5" eb="7">
      <t>ハンテイ</t>
    </rPh>
    <rPh sb="11" eb="13">
      <t>インサツ</t>
    </rPh>
    <rPh sb="13" eb="15">
      <t>ハンイ</t>
    </rPh>
    <rPh sb="15" eb="16">
      <t>ガイ</t>
    </rPh>
    <rPh sb="17" eb="19">
      <t>ネンジ</t>
    </rPh>
    <rPh sb="19" eb="21">
      <t>コウシン</t>
    </rPh>
    <phoneticPr fontId="36"/>
  </si>
  <si>
    <t>①特例処遇の分を含めないように修正　→　OK</t>
    <rPh sb="1" eb="3">
      <t>トクレイ</t>
    </rPh>
    <rPh sb="3" eb="5">
      <t>ショグウ</t>
    </rPh>
    <rPh sb="6" eb="7">
      <t>ブン</t>
    </rPh>
    <rPh sb="8" eb="9">
      <t>フク</t>
    </rPh>
    <rPh sb="15" eb="17">
      <t>シュウセイ</t>
    </rPh>
    <phoneticPr fontId="36"/>
  </si>
  <si>
    <t>②給与規定の改定の選択肢を修正　特例処遇だけ、特例処遇以外も、何もしていない。　→　OK</t>
    <rPh sb="1" eb="3">
      <t>キュウヨ</t>
    </rPh>
    <rPh sb="3" eb="5">
      <t>キテイ</t>
    </rPh>
    <rPh sb="6" eb="8">
      <t>カイテイ</t>
    </rPh>
    <rPh sb="9" eb="12">
      <t>センタクシ</t>
    </rPh>
    <rPh sb="13" eb="15">
      <t>シュウセイ</t>
    </rPh>
    <rPh sb="16" eb="18">
      <t>トクレイ</t>
    </rPh>
    <rPh sb="18" eb="20">
      <t>ショグウ</t>
    </rPh>
    <rPh sb="23" eb="25">
      <t>トクレイ</t>
    </rPh>
    <rPh sb="25" eb="27">
      <t>ショグウ</t>
    </rPh>
    <rPh sb="27" eb="29">
      <t>イガイ</t>
    </rPh>
    <rPh sb="31" eb="32">
      <t>ナニ</t>
    </rPh>
    <phoneticPr fontId="36"/>
  </si>
  <si>
    <t>➂簡便な方法を使るように修正　→　次年度</t>
    <rPh sb="1" eb="3">
      <t>カンベン</t>
    </rPh>
    <rPh sb="4" eb="6">
      <t>ホウホウ</t>
    </rPh>
    <rPh sb="7" eb="8">
      <t>ツカ</t>
    </rPh>
    <rPh sb="12" eb="14">
      <t>シュウセイ</t>
    </rPh>
    <rPh sb="17" eb="20">
      <t>ジネンド</t>
    </rPh>
    <phoneticPr fontId="36"/>
  </si>
  <si>
    <t>定例更新</t>
    <rPh sb="0" eb="2">
      <t>テイレイ</t>
    </rPh>
    <rPh sb="2" eb="4">
      <t>コウシン</t>
    </rPh>
    <phoneticPr fontId="36"/>
  </si>
  <si>
    <t>④３年前を基準年度にした場合の基礎分の加算率をBDに持たせる様式修正。　→　次年度</t>
    <rPh sb="2" eb="4">
      <t>ネンマエ</t>
    </rPh>
    <rPh sb="5" eb="7">
      <t>キジュン</t>
    </rPh>
    <rPh sb="7" eb="9">
      <t>ネンド</t>
    </rPh>
    <rPh sb="12" eb="14">
      <t>バアイ</t>
    </rPh>
    <rPh sb="15" eb="17">
      <t>キソ</t>
    </rPh>
    <rPh sb="17" eb="18">
      <t>ブン</t>
    </rPh>
    <rPh sb="19" eb="21">
      <t>カサン</t>
    </rPh>
    <rPh sb="21" eb="22">
      <t>リツ</t>
    </rPh>
    <rPh sb="26" eb="27">
      <t>モ</t>
    </rPh>
    <rPh sb="30" eb="32">
      <t>ヨウシキ</t>
    </rPh>
    <rPh sb="32" eb="34">
      <t>シュウセイ</t>
    </rPh>
    <rPh sb="38" eb="41">
      <t>ジネンド</t>
    </rPh>
    <phoneticPr fontId="36"/>
  </si>
  <si>
    <t>⑤実績報告書も同じ様式にできないか検討。　→　次年度</t>
    <rPh sb="1" eb="3">
      <t>ジッセキ</t>
    </rPh>
    <rPh sb="3" eb="6">
      <t>ホウコクショ</t>
    </rPh>
    <rPh sb="7" eb="8">
      <t>オナ</t>
    </rPh>
    <rPh sb="9" eb="11">
      <t>ヨウシキ</t>
    </rPh>
    <rPh sb="17" eb="19">
      <t>ケントウ</t>
    </rPh>
    <rPh sb="23" eb="26">
      <t>ジネンド</t>
    </rPh>
    <phoneticPr fontId="36"/>
  </si>
  <si>
    <t>⑥セルの参照先を整理する　→　次年度</t>
    <rPh sb="4" eb="6">
      <t>サンショウ</t>
    </rPh>
    <rPh sb="6" eb="7">
      <t>サキ</t>
    </rPh>
    <rPh sb="8" eb="10">
      <t>セイリ</t>
    </rPh>
    <rPh sb="15" eb="18">
      <t>ジネンド</t>
    </rPh>
    <phoneticPr fontId="36"/>
  </si>
  <si>
    <t>【試算用】加算算定対象人数等認定申請書（処遇改善等加算Ⅱ）(幼稚園)</t>
    <phoneticPr fontId="35"/>
  </si>
  <si>
    <t>【試算用】加算算定対象人数等認定申請書(処遇改善等加算Ⅱ)(認定こども園)</t>
    <phoneticPr fontId="49"/>
  </si>
  <si>
    <t>【試算用】加算算定対象人数等認定申請書（処遇改善等加算Ⅱ）(小規模Ａ・事業所内19)</t>
    <phoneticPr fontId="36"/>
  </si>
  <si>
    <t>【試算用】加算算定対象人数等認定申請書（処遇改善等加算Ⅱ）(家庭的)</t>
    <phoneticPr fontId="36"/>
  </si>
  <si>
    <t>入力（児童数-本園)シートを入力</t>
    <rPh sb="14" eb="16">
      <t>ニュウリョク</t>
    </rPh>
    <phoneticPr fontId="36"/>
  </si>
  <si>
    <t>※分園がある場合は、入力（児童数-分園)シートも入力</t>
    <rPh sb="1" eb="3">
      <t>ブンエン</t>
    </rPh>
    <rPh sb="6" eb="8">
      <t>バアイ</t>
    </rPh>
    <rPh sb="24" eb="26">
      <t>ニュウリョク</t>
    </rPh>
    <phoneticPr fontId="36"/>
  </si>
  <si>
    <t>処遇改善等加算Ⅱの対象職員数は、年間の見込児童数と取得する加算によって決まります。</t>
    <rPh sb="0" eb="2">
      <t>ショグウ</t>
    </rPh>
    <rPh sb="2" eb="4">
      <t>カイゼン</t>
    </rPh>
    <rPh sb="4" eb="5">
      <t>トウ</t>
    </rPh>
    <rPh sb="5" eb="7">
      <t>カサン</t>
    </rPh>
    <rPh sb="9" eb="11">
      <t>タイショウ</t>
    </rPh>
    <rPh sb="11" eb="13">
      <t>ショクイン</t>
    </rPh>
    <rPh sb="13" eb="14">
      <t>スウ</t>
    </rPh>
    <rPh sb="16" eb="18">
      <t>ネンカン</t>
    </rPh>
    <rPh sb="19" eb="21">
      <t>ミコミ</t>
    </rPh>
    <rPh sb="21" eb="23">
      <t>ジドウ</t>
    </rPh>
    <rPh sb="23" eb="24">
      <t>スウ</t>
    </rPh>
    <rPh sb="25" eb="27">
      <t>シュトク</t>
    </rPh>
    <rPh sb="29" eb="31">
      <t>カサン</t>
    </rPh>
    <rPh sb="35" eb="36">
      <t>キ</t>
    </rPh>
    <phoneticPr fontId="36"/>
  </si>
  <si>
    <t>そのため、ステップ１で「年間の見込児童数」を算出し、ステップ２で「加算」を決めることで</t>
    <rPh sb="12" eb="14">
      <t>ネンカン</t>
    </rPh>
    <rPh sb="15" eb="17">
      <t>ミコミ</t>
    </rPh>
    <rPh sb="17" eb="19">
      <t>ジドウ</t>
    </rPh>
    <rPh sb="19" eb="20">
      <t>スウ</t>
    </rPh>
    <rPh sb="22" eb="24">
      <t>サンシュツ</t>
    </rPh>
    <rPh sb="33" eb="35">
      <t>カサン</t>
    </rPh>
    <rPh sb="37" eb="38">
      <t>キ</t>
    </rPh>
    <phoneticPr fontId="36"/>
  </si>
  <si>
    <t>ステップ３で処遇改善等加算Ⅱの対象職員数を確認することができます。</t>
    <rPh sb="6" eb="8">
      <t>ショグウ</t>
    </rPh>
    <rPh sb="8" eb="10">
      <t>カイゼン</t>
    </rPh>
    <rPh sb="10" eb="11">
      <t>トウ</t>
    </rPh>
    <rPh sb="11" eb="13">
      <t>カサン</t>
    </rPh>
    <rPh sb="15" eb="17">
      <t>タイショウ</t>
    </rPh>
    <rPh sb="17" eb="19">
      <t>ショクイン</t>
    </rPh>
    <rPh sb="19" eb="20">
      <t>スウ</t>
    </rPh>
    <rPh sb="21" eb="23">
      <t>カクニン</t>
    </rPh>
    <phoneticPr fontId="36"/>
  </si>
  <si>
    <t>前年度の実績を使用しない場合は（３）～（４）を使用してください。</t>
    <phoneticPr fontId="36"/>
  </si>
  <si>
    <t>児童数の見込み人数について、前年度の実績を使用する場合は（１）～（２）を入力し、</t>
    <rPh sb="0" eb="2">
      <t>ジドウ</t>
    </rPh>
    <rPh sb="2" eb="3">
      <t>スウ</t>
    </rPh>
    <rPh sb="4" eb="6">
      <t>ミコ</t>
    </rPh>
    <rPh sb="7" eb="9">
      <t>ニンズウ</t>
    </rPh>
    <rPh sb="14" eb="17">
      <t>ゼンネンド</t>
    </rPh>
    <rPh sb="18" eb="20">
      <t>ジッセキ</t>
    </rPh>
    <rPh sb="21" eb="23">
      <t>シヨウ</t>
    </rPh>
    <rPh sb="25" eb="27">
      <t>バアイ</t>
    </rPh>
    <rPh sb="36" eb="38">
      <t>ニュウリョク</t>
    </rPh>
    <phoneticPr fontId="36"/>
  </si>
  <si>
    <t>各シートの左上の「定員」を入力した後、取得する加算をプルダウンで選択してください。</t>
    <rPh sb="0" eb="1">
      <t>カク</t>
    </rPh>
    <rPh sb="5" eb="7">
      <t>ヒダリウエ</t>
    </rPh>
    <rPh sb="9" eb="11">
      <t>テイイン</t>
    </rPh>
    <rPh sb="13" eb="15">
      <t>ニュウリョク</t>
    </rPh>
    <rPh sb="17" eb="18">
      <t>ノチ</t>
    </rPh>
    <rPh sb="19" eb="21">
      <t>シュトク</t>
    </rPh>
    <rPh sb="23" eb="25">
      <t>カサン</t>
    </rPh>
    <rPh sb="32" eb="34">
      <t>センタク</t>
    </rPh>
    <phoneticPr fontId="36"/>
  </si>
  <si>
    <t>入力するシートは、施設種別毎で異なりますので適切なシートを使用してください。</t>
    <rPh sb="0" eb="2">
      <t>ニュウリョク</t>
    </rPh>
    <rPh sb="9" eb="11">
      <t>シセツ</t>
    </rPh>
    <rPh sb="11" eb="13">
      <t>シュベツ</t>
    </rPh>
    <rPh sb="13" eb="14">
      <t>ゴト</t>
    </rPh>
    <rPh sb="15" eb="16">
      <t>コト</t>
    </rPh>
    <rPh sb="22" eb="24">
      <t>テキセツ</t>
    </rPh>
    <rPh sb="29" eb="31">
      <t>シヨウ</t>
    </rPh>
    <phoneticPr fontId="36"/>
  </si>
  <si>
    <t>確認するシートは、施設種別毎で異なりますので適切なシートを参照してください。</t>
    <rPh sb="0" eb="2">
      <t>カクニン</t>
    </rPh>
    <rPh sb="9" eb="11">
      <t>シセツ</t>
    </rPh>
    <rPh sb="11" eb="13">
      <t>シュベツ</t>
    </rPh>
    <rPh sb="13" eb="14">
      <t>ゴト</t>
    </rPh>
    <rPh sb="15" eb="16">
      <t>コト</t>
    </rPh>
    <rPh sb="22" eb="24">
      <t>テキセツ</t>
    </rPh>
    <rPh sb="29" eb="31">
      <t>サンショウ</t>
    </rPh>
    <phoneticPr fontId="36"/>
  </si>
  <si>
    <t>保育所であれば「入力（加算）保」シート、認定こども園であれば「入力（加算）認」シートなど。</t>
    <rPh sb="0" eb="2">
      <t>ホイク</t>
    </rPh>
    <rPh sb="2" eb="3">
      <t>ショ</t>
    </rPh>
    <rPh sb="8" eb="10">
      <t>ニュウリョク</t>
    </rPh>
    <rPh sb="11" eb="13">
      <t>カサン</t>
    </rPh>
    <rPh sb="14" eb="15">
      <t>ホ</t>
    </rPh>
    <rPh sb="20" eb="22">
      <t>ニンテイ</t>
    </rPh>
    <rPh sb="25" eb="26">
      <t>エン</t>
    </rPh>
    <rPh sb="31" eb="33">
      <t>ニュウリョク</t>
    </rPh>
    <rPh sb="34" eb="36">
      <t>カサン</t>
    </rPh>
    <rPh sb="37" eb="38">
      <t>ニン</t>
    </rPh>
    <phoneticPr fontId="36"/>
  </si>
  <si>
    <t>保育所であれば「【試算用】様式3(保)」シート、認定こども園であれば「【試算用】様式3(認)」シートなど。</t>
    <rPh sb="0" eb="2">
      <t>ホイク</t>
    </rPh>
    <rPh sb="2" eb="3">
      <t>ショ</t>
    </rPh>
    <rPh sb="9" eb="11">
      <t>シサン</t>
    </rPh>
    <rPh sb="11" eb="12">
      <t>ヨウ</t>
    </rPh>
    <rPh sb="13" eb="15">
      <t>ヨウシキ</t>
    </rPh>
    <rPh sb="17" eb="18">
      <t>ホ</t>
    </rPh>
    <rPh sb="24" eb="26">
      <t>ニンテイ</t>
    </rPh>
    <rPh sb="29" eb="30">
      <t>エン</t>
    </rPh>
    <rPh sb="36" eb="38">
      <t>シサン</t>
    </rPh>
    <rPh sb="38" eb="39">
      <t>ヨウ</t>
    </rPh>
    <rPh sb="40" eb="42">
      <t>ヨウシキ</t>
    </rPh>
    <rPh sb="44" eb="45">
      <t>ニン</t>
    </rPh>
    <phoneticPr fontId="36"/>
  </si>
  <si>
    <t>各シートの下部に　「２、加算対象職員数（人）」という項目がありますので、人数Aと人数Bの職員数を確認してください。</t>
    <rPh sb="0" eb="1">
      <t>カク</t>
    </rPh>
    <rPh sb="5" eb="7">
      <t>カブ</t>
    </rPh>
    <rPh sb="12" eb="14">
      <t>カサン</t>
    </rPh>
    <rPh sb="14" eb="16">
      <t>タイショウ</t>
    </rPh>
    <rPh sb="16" eb="18">
      <t>ショクイン</t>
    </rPh>
    <rPh sb="18" eb="19">
      <t>スウ</t>
    </rPh>
    <rPh sb="20" eb="21">
      <t>ニン</t>
    </rPh>
    <rPh sb="26" eb="28">
      <t>コウモク</t>
    </rPh>
    <rPh sb="36" eb="38">
      <t>ニンズウ</t>
    </rPh>
    <rPh sb="40" eb="42">
      <t>ニンズウ</t>
    </rPh>
    <rPh sb="44" eb="46">
      <t>ショクイン</t>
    </rPh>
    <rPh sb="46" eb="47">
      <t>スウ</t>
    </rPh>
    <rPh sb="48" eb="50">
      <t>カクニン</t>
    </rPh>
    <phoneticPr fontId="36"/>
  </si>
  <si>
    <t>下図の場合、人数Aは５人、人数Bは３人となります。</t>
    <rPh sb="0" eb="2">
      <t>シタズ</t>
    </rPh>
    <rPh sb="3" eb="5">
      <t>バアイ</t>
    </rPh>
    <rPh sb="6" eb="8">
      <t>ニンズウ</t>
    </rPh>
    <rPh sb="11" eb="12">
      <t>ニン</t>
    </rPh>
    <rPh sb="13" eb="15">
      <t>ニンズウ</t>
    </rPh>
    <rPh sb="18" eb="19">
      <t>ニン</t>
    </rPh>
    <phoneticPr fontId="36"/>
  </si>
  <si>
    <t>また、加算額（法定福利費を除く）は2,580,000円（年額）の見込みで、法定福利費を含んだ加算額は3,153,960円（年間）の見込みとなります。</t>
    <rPh sb="3" eb="5">
      <t>カサン</t>
    </rPh>
    <rPh sb="5" eb="6">
      <t>ガク</t>
    </rPh>
    <rPh sb="7" eb="9">
      <t>ホウテイ</t>
    </rPh>
    <rPh sb="9" eb="11">
      <t>フクリ</t>
    </rPh>
    <rPh sb="11" eb="12">
      <t>ヒ</t>
    </rPh>
    <rPh sb="13" eb="14">
      <t>ノゾ</t>
    </rPh>
    <rPh sb="26" eb="27">
      <t>エン</t>
    </rPh>
    <rPh sb="28" eb="30">
      <t>ネンガク</t>
    </rPh>
    <rPh sb="32" eb="34">
      <t>ミコ</t>
    </rPh>
    <rPh sb="65" eb="67">
      <t>ミコ</t>
    </rPh>
    <phoneticPr fontId="36"/>
  </si>
  <si>
    <t>４歳以上児配置改善加算</t>
    <rPh sb="2" eb="4">
      <t>イジョウ</t>
    </rPh>
    <phoneticPr fontId="4"/>
  </si>
  <si>
    <t xml:space="preserve">  4歳以上児配置改善加算</t>
    <phoneticPr fontId="36"/>
  </si>
  <si>
    <t>4歳以上児配置改善加算</t>
    <phoneticPr fontId="49"/>
  </si>
  <si>
    <t>配置基準上求められる職員資格を有しない場合</t>
  </si>
  <si>
    <t>定員を恒常的に超過する場合</t>
  </si>
  <si>
    <t>特定加算</t>
    <phoneticPr fontId="4"/>
  </si>
  <si>
    <t>加減調整</t>
    <phoneticPr fontId="4"/>
  </si>
  <si>
    <t>乗除調整</t>
    <phoneticPr fontId="4"/>
  </si>
  <si>
    <t>　４歳以上児配置改善加算</t>
    <phoneticPr fontId="49"/>
  </si>
  <si>
    <t>※黄色とオレンジ色のセルを全て入力していただければ問題ありません。</t>
    <rPh sb="1" eb="3">
      <t>キイロ</t>
    </rPh>
    <rPh sb="8" eb="9">
      <t>イロ</t>
    </rPh>
    <rPh sb="13" eb="14">
      <t>スベ</t>
    </rPh>
    <rPh sb="15" eb="17">
      <t>ニュウリョク</t>
    </rPh>
    <rPh sb="25" eb="27">
      <t>モンダイ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</si>
</sst>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quot;¥&quot;#,##0_);[Red]\(&quot;¥&quot;#,##0\)"/>
    <numFmt numFmtId="177" formatCode="#,##0_ "/>
    <numFmt numFmtId="178" formatCode="#,##0&quot;人まで&quot;"/>
    <numFmt numFmtId="179" formatCode="#,##0&quot;人～279人&quot;"/>
    <numFmt numFmtId="180" formatCode="#,##0&quot;人～699人&quot;"/>
    <numFmt numFmtId="181" formatCode="#,##0&quot;％&quot;"/>
    <numFmt numFmtId="182" formatCode="#,##0&quot;人&quot;"/>
    <numFmt numFmtId="183" formatCode="#,##0.0&quot;％&quot;"/>
    <numFmt numFmtId="184" formatCode="0&quot;月&quot;"/>
    <numFmt numFmtId="185" formatCode="#&quot;月&quot;"/>
    <numFmt numFmtId="186" formatCode="#,##0_);[Red]\(#,##0\)"/>
    <numFmt numFmtId="187" formatCode="0.0"/>
    <numFmt numFmtId="188" formatCode="#,##0;\-#,##0;&quot;-&quot;"/>
    <numFmt numFmtId="189" formatCode="#\ ?/100"/>
    <numFmt numFmtId="190" formatCode="General&quot;月&quot;"/>
    <numFmt numFmtId="191" formatCode="#,##0&quot;月&quot;\ "/>
    <numFmt numFmtId="192" formatCode="#,##0&quot;人&quot;\ "/>
    <numFmt numFmtId="193" formatCode="0.00_ "/>
    <numFmt numFmtId="194" formatCode="#,##0.0&quot;人&quot;\ "/>
    <numFmt numFmtId="195" formatCode="0_);[Red]\(0\)"/>
    <numFmt numFmtId="196" formatCode="0.0_);[Red]\(0.0\)"/>
    <numFmt numFmtId="197" formatCode="0.0_ ;[Red]\-0.0\ "/>
    <numFmt numFmtId="198" formatCode="0.00_);[Red]\(0.00\)"/>
    <numFmt numFmtId="199" formatCode="0.000_);[Red]\(0.000\)"/>
    <numFmt numFmtId="200" formatCode="#,##0&quot;月&quot;"/>
    <numFmt numFmtId="201" formatCode="&quot;ver.&quot;0.0"/>
  </numFmts>
  <fonts count="10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6"/>
      <name val="ＭＳ Ｐゴシック"/>
      <family val="3"/>
      <charset val="128"/>
    </font>
    <font>
      <sz val="11"/>
      <name val="ＭＳ Ｐゴシック"/>
      <family val="3"/>
      <charset val="128"/>
    </font>
    <font>
      <sz val="11"/>
      <name val="明朝"/>
      <family val="3"/>
      <charset val="128"/>
    </font>
    <font>
      <sz val="12"/>
      <name val="明朝"/>
      <family val="3"/>
      <charset val="128"/>
    </font>
    <font>
      <sz val="11"/>
      <name val="明朝"/>
      <family val="3"/>
      <charset val="128"/>
    </font>
    <font>
      <b/>
      <sz val="11"/>
      <name val="ＭＳ Ｐゴシック"/>
      <family val="3"/>
      <charset val="128"/>
    </font>
    <font>
      <sz val="12"/>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4"/>
      <color rgb="FFFF0000"/>
      <name val="ＭＳ Ｐゴシック"/>
      <family val="3"/>
      <charset val="128"/>
      <scheme val="minor"/>
    </font>
    <font>
      <sz val="12"/>
      <color theme="1"/>
      <name val="ＭＳ Ｐゴシック"/>
      <family val="3"/>
      <charset val="128"/>
      <scheme val="minor"/>
    </font>
    <font>
      <b/>
      <i/>
      <sz val="14"/>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sz val="14"/>
      <color theme="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24"/>
      <color theme="1"/>
      <name val="ＭＳ Ｐゴシック"/>
      <family val="3"/>
      <charset val="128"/>
      <scheme val="minor"/>
    </font>
    <font>
      <b/>
      <sz val="16"/>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2"/>
      <charset val="128"/>
      <scheme val="minor"/>
    </font>
    <font>
      <sz val="11"/>
      <color indexed="8"/>
      <name val="ＭＳ Ｐゴシック"/>
      <family val="3"/>
      <charset val="128"/>
      <scheme val="minor"/>
    </font>
    <font>
      <b/>
      <sz val="24"/>
      <color indexed="8"/>
      <name val="ＭＳ Ｐゴシック"/>
      <family val="3"/>
      <charset val="128"/>
      <scheme val="minor"/>
    </font>
    <font>
      <b/>
      <sz val="14"/>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4"/>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6"/>
      <name val="游ゴシック"/>
      <family val="3"/>
      <charset val="128"/>
    </font>
    <font>
      <sz val="14"/>
      <color indexed="8"/>
      <name val="ＭＳ Ｐゴシック"/>
      <family val="3"/>
      <charset val="128"/>
      <scheme val="minor"/>
    </font>
    <font>
      <sz val="8"/>
      <color indexed="8"/>
      <name val="ＭＳ Ｐゴシック"/>
      <family val="3"/>
      <charset val="128"/>
      <scheme val="minor"/>
    </font>
    <font>
      <sz val="10"/>
      <name val="ＭＳ ゴシック"/>
      <family val="3"/>
      <charset val="128"/>
    </font>
    <font>
      <sz val="10"/>
      <name val="ＭＳ Ｐゴシック"/>
      <family val="3"/>
      <charset val="128"/>
    </font>
    <font>
      <b/>
      <sz val="18"/>
      <color indexed="8"/>
      <name val="ＭＳ Ｐゴシック"/>
      <family val="3"/>
      <charset val="128"/>
      <scheme val="minor"/>
    </font>
    <font>
      <b/>
      <sz val="12"/>
      <name val="ＭＳ Ｐゴシック"/>
      <family val="3"/>
      <charset val="128"/>
    </font>
    <font>
      <sz val="14"/>
      <name val="ＭＳ Ｐゴシック"/>
      <family val="3"/>
      <charset val="128"/>
    </font>
    <font>
      <sz val="12"/>
      <color indexed="8"/>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font>
    <font>
      <b/>
      <sz val="16"/>
      <name val="ＭＳ Ｐゴシック"/>
      <family val="3"/>
      <charset val="128"/>
    </font>
    <font>
      <sz val="11"/>
      <color rgb="FFFF0000"/>
      <name val="ＭＳ Ｐゴシック"/>
      <family val="3"/>
      <charset val="128"/>
    </font>
    <font>
      <b/>
      <u/>
      <sz val="11"/>
      <name val="ＭＳ Ｐゴシック"/>
      <family val="3"/>
      <charset val="128"/>
    </font>
    <font>
      <b/>
      <u/>
      <sz val="18"/>
      <color rgb="FFFF0000"/>
      <name val="ＭＳ Ｐゴシック"/>
      <family val="3"/>
      <charset val="128"/>
    </font>
    <font>
      <sz val="20"/>
      <color theme="1"/>
      <name val="ＭＳ Ｐゴシック"/>
      <family val="3"/>
      <charset val="128"/>
    </font>
    <font>
      <sz val="14"/>
      <color theme="0"/>
      <name val="ＭＳ Ｐゴシック"/>
      <family val="3"/>
      <charset val="128"/>
    </font>
    <font>
      <b/>
      <sz val="18"/>
      <color theme="1"/>
      <name val="ＭＳ Ｐゴシック"/>
      <family val="3"/>
      <charset val="128"/>
    </font>
    <font>
      <sz val="14"/>
      <color rgb="FFFF0000"/>
      <name val="ＭＳ Ｐゴシック"/>
      <family val="3"/>
      <charset val="128"/>
    </font>
    <font>
      <b/>
      <sz val="14"/>
      <color theme="1"/>
      <name val="ＭＳ Ｐゴシック"/>
      <family val="3"/>
      <charset val="128"/>
    </font>
    <font>
      <b/>
      <sz val="20"/>
      <color theme="1"/>
      <name val="ＭＳ Ｐゴシック"/>
      <family val="3"/>
      <charset val="128"/>
    </font>
    <font>
      <b/>
      <sz val="18"/>
      <name val="ＭＳ Ｐゴシック"/>
      <family val="3"/>
      <charset val="128"/>
      <scheme val="minor"/>
    </font>
    <font>
      <sz val="16"/>
      <color indexed="8"/>
      <name val="ＭＳ Ｐゴシック"/>
      <family val="3"/>
      <charset val="128"/>
      <scheme val="minor"/>
    </font>
    <font>
      <sz val="10"/>
      <name val="ＭＳ Ｐゴシック"/>
      <family val="3"/>
      <charset val="128"/>
      <scheme val="minor"/>
    </font>
    <font>
      <b/>
      <sz val="12"/>
      <color indexed="8"/>
      <name val="ＭＳ Ｐゴシック"/>
      <family val="3"/>
      <charset val="128"/>
      <scheme val="minor"/>
    </font>
    <font>
      <sz val="11"/>
      <color indexed="9"/>
      <name val="ＭＳ Ｐゴシック"/>
      <family val="3"/>
      <charset val="128"/>
      <scheme val="minor"/>
    </font>
    <font>
      <sz val="11"/>
      <color theme="2" tint="-0.49980162968840602"/>
      <name val="ＭＳ Ｐゴシック"/>
      <family val="3"/>
      <charset val="128"/>
      <scheme val="minor"/>
    </font>
    <font>
      <sz val="11"/>
      <color theme="2" tint="-0.24979400006103702"/>
      <name val="ＭＳ Ｐゴシック"/>
      <family val="3"/>
      <charset val="128"/>
      <scheme val="minor"/>
    </font>
    <font>
      <b/>
      <sz val="12"/>
      <name val="ＭＳ Ｐゴシック"/>
      <family val="3"/>
      <charset val="128"/>
      <scheme val="minor"/>
    </font>
    <font>
      <sz val="12"/>
      <color theme="2" tint="-0.24979400006103702"/>
      <name val="ＭＳ Ｐゴシック"/>
      <family val="3"/>
      <charset val="128"/>
      <scheme val="minor"/>
    </font>
    <font>
      <sz val="11"/>
      <color theme="0" tint="-0.24979400006103702"/>
      <name val="ＭＳ Ｐゴシック"/>
      <family val="3"/>
      <charset val="128"/>
      <scheme val="minor"/>
    </font>
    <font>
      <b/>
      <sz val="10"/>
      <name val="ＭＳ Ｐゴシック"/>
      <family val="3"/>
      <charset val="128"/>
      <scheme val="minor"/>
    </font>
    <font>
      <b/>
      <sz val="10"/>
      <color indexed="8"/>
      <name val="ＭＳ Ｐゴシック"/>
      <family val="3"/>
      <charset val="128"/>
      <scheme val="minor"/>
    </font>
    <font>
      <b/>
      <sz val="11"/>
      <name val="ＭＳ Ｐゴシック"/>
      <family val="3"/>
      <charset val="128"/>
      <scheme val="minor"/>
    </font>
    <font>
      <sz val="11"/>
      <color indexed="10"/>
      <name val="ＭＳ Ｐゴシック"/>
      <family val="3"/>
      <charset val="128"/>
      <scheme val="minor"/>
    </font>
    <font>
      <sz val="12"/>
      <color rgb="FFFF0000"/>
      <name val="ＭＳ ゴシック"/>
      <family val="3"/>
      <charset val="128"/>
    </font>
    <font>
      <sz val="12"/>
      <color rgb="FFFF0000"/>
      <name val="ＭＳ Ｐゴシック"/>
      <family val="3"/>
      <charset val="128"/>
      <scheme val="minor"/>
    </font>
    <font>
      <sz val="14"/>
      <color rgb="FF0070C0"/>
      <name val="ＭＳ Ｐゴシック"/>
      <family val="3"/>
      <charset val="128"/>
      <scheme val="minor"/>
    </font>
    <font>
      <sz val="11"/>
      <color theme="4"/>
      <name val="ＭＳ Ｐゴシック"/>
      <family val="3"/>
      <charset val="128"/>
      <scheme val="minor"/>
    </font>
    <font>
      <sz val="14"/>
      <color rgb="FF7030A0"/>
      <name val="ＭＳ Ｐゴシック"/>
      <family val="3"/>
      <charset val="128"/>
      <scheme val="minor"/>
    </font>
    <font>
      <sz val="14"/>
      <color rgb="FF7030A0"/>
      <name val="ＭＳ Ｐゴシック"/>
      <family val="3"/>
      <charset val="128"/>
    </font>
    <font>
      <u/>
      <sz val="12"/>
      <color theme="1"/>
      <name val="ＭＳ Ｐゴシック"/>
      <family val="3"/>
      <charset val="128"/>
      <scheme val="minor"/>
    </font>
    <font>
      <b/>
      <u/>
      <sz val="12"/>
      <color theme="1"/>
      <name val="ＭＳ Ｐゴシック"/>
      <family val="3"/>
      <charset val="128"/>
      <scheme val="minor"/>
    </font>
    <font>
      <sz val="11"/>
      <color theme="2" tint="-0.249977111117893"/>
      <name val="ＭＳ Ｐゴシック"/>
      <family val="3"/>
      <charset val="128"/>
      <scheme val="minor"/>
    </font>
    <font>
      <sz val="14"/>
      <color indexed="81"/>
      <name val="ＭＳ Ｐゴシック"/>
      <family val="3"/>
      <charset val="128"/>
    </font>
    <font>
      <sz val="11"/>
      <color theme="1"/>
      <name val="ＭＳ Ｐゴシック"/>
      <family val="2"/>
      <scheme val="minor"/>
    </font>
    <font>
      <u/>
      <sz val="11"/>
      <color theme="10"/>
      <name val="ＭＳ Ｐゴシック"/>
      <family val="2"/>
      <scheme val="minor"/>
    </font>
    <font>
      <sz val="18"/>
      <color theme="1"/>
      <name val="ＭＳ Ｐゴシック"/>
      <family val="3"/>
      <charset val="128"/>
      <scheme val="minor"/>
    </font>
    <font>
      <sz val="18"/>
      <color theme="1"/>
      <name val="BIZ UDゴシック"/>
      <family val="3"/>
      <charset val="128"/>
    </font>
    <font>
      <sz val="16"/>
      <color theme="1"/>
      <name val="BIZ UDゴシック"/>
      <family val="3"/>
      <charset val="128"/>
    </font>
    <font>
      <sz val="12"/>
      <color theme="1"/>
      <name val="BIZ UDゴシック"/>
      <family val="3"/>
      <charset val="128"/>
    </font>
    <font>
      <sz val="18"/>
      <color rgb="FFFF0000"/>
      <name val="BIZ UDゴシック"/>
      <family val="3"/>
      <charset val="128"/>
    </font>
    <font>
      <sz val="12"/>
      <color theme="0"/>
      <name val="ＭＳ ゴシック"/>
      <family val="3"/>
      <charset val="128"/>
    </font>
    <font>
      <sz val="12"/>
      <color theme="0"/>
      <name val="ＭＳ Ｐゴシック"/>
      <family val="3"/>
      <charset val="128"/>
      <scheme val="minor"/>
    </font>
    <font>
      <sz val="16"/>
      <color theme="0"/>
      <name val="ＭＳ Ｐゴシック"/>
      <family val="3"/>
      <charset val="128"/>
      <scheme val="minor"/>
    </font>
    <font>
      <sz val="10"/>
      <color theme="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79998168889431442"/>
        <bgColor indexed="64"/>
      </patternFill>
    </fill>
  </fills>
  <borders count="19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double">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style="dotted">
        <color indexed="64"/>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double">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left style="medium">
        <color indexed="64"/>
      </left>
      <right style="medium">
        <color indexed="64"/>
      </right>
      <top style="thin">
        <color indexed="64"/>
      </top>
      <bottom style="hair">
        <color indexed="64"/>
      </bottom>
      <diagonal/>
    </border>
    <border diagonalUp="1">
      <left style="thin">
        <color indexed="64"/>
      </left>
      <right/>
      <top/>
      <bottom/>
      <diagonal style="thin">
        <color indexed="64"/>
      </diagonal>
    </border>
    <border>
      <left style="medium">
        <color indexed="64"/>
      </left>
      <right style="medium">
        <color indexed="64"/>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style="medium">
        <color indexed="64"/>
      </left>
      <right style="medium">
        <color indexed="64"/>
      </right>
      <top style="hair">
        <color indexed="64"/>
      </top>
      <bottom style="hair">
        <color indexed="64"/>
      </bottom>
      <diagonal style="thin">
        <color indexed="64"/>
      </diagonal>
    </border>
    <border>
      <left style="thin">
        <color indexed="64"/>
      </left>
      <right style="medium">
        <color indexed="64"/>
      </right>
      <top/>
      <bottom style="medium">
        <color indexed="64"/>
      </bottom>
      <diagonal/>
    </border>
    <border>
      <left style="double">
        <color indexed="64"/>
      </left>
      <right style="medium">
        <color indexed="64"/>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medium">
        <color indexed="64"/>
      </top>
      <bottom style="double">
        <color indexed="64"/>
      </bottom>
      <diagonal/>
    </border>
  </borders>
  <cellStyleXfs count="92">
    <xf numFmtId="0" fontId="0" fillId="0" borderId="0"/>
    <xf numFmtId="188"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9" fontId="6" fillId="0" borderId="0" applyFont="0" applyFill="0" applyBorder="0" applyAlignment="0" applyProtection="0"/>
    <xf numFmtId="9" fontId="6"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1" fillId="0" borderId="0" applyNumberFormat="0" applyFont="0" applyFill="0" applyBorder="0" applyAlignment="0"/>
    <xf numFmtId="176" fontId="5" fillId="0" borderId="0" applyFont="0" applyFill="0" applyBorder="0" applyAlignment="0" applyProtection="0">
      <alignment vertical="center"/>
    </xf>
    <xf numFmtId="176" fontId="5" fillId="0" borderId="0" applyFont="0" applyFill="0" applyBorder="0" applyAlignment="0" applyProtection="0">
      <alignment vertical="center"/>
    </xf>
    <xf numFmtId="176" fontId="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 fillId="0" borderId="0"/>
    <xf numFmtId="0" fontId="8" fillId="0" borderId="0"/>
    <xf numFmtId="0" fontId="6" fillId="0" borderId="0"/>
    <xf numFmtId="0" fontId="6" fillId="0" borderId="0"/>
    <xf numFmtId="0" fontId="15" fillId="0" borderId="0">
      <alignment vertical="center"/>
    </xf>
    <xf numFmtId="0" fontId="6" fillId="0" borderId="0"/>
    <xf numFmtId="0" fontId="16" fillId="0" borderId="0">
      <alignment vertical="center"/>
    </xf>
    <xf numFmtId="0" fontId="6" fillId="0" borderId="0"/>
    <xf numFmtId="0" fontId="6" fillId="0" borderId="0"/>
    <xf numFmtId="0" fontId="6" fillId="0" borderId="0"/>
    <xf numFmtId="0" fontId="15" fillId="0" borderId="0">
      <alignment vertical="center"/>
    </xf>
    <xf numFmtId="0" fontId="6" fillId="0" borderId="0"/>
    <xf numFmtId="0" fontId="6" fillId="0" borderId="0"/>
    <xf numFmtId="0" fontId="7" fillId="0" borderId="0"/>
    <xf numFmtId="0" fontId="6" fillId="0" borderId="0"/>
    <xf numFmtId="0" fontId="15" fillId="0" borderId="0">
      <alignment vertical="center"/>
    </xf>
    <xf numFmtId="0" fontId="5" fillId="0" borderId="0"/>
    <xf numFmtId="0" fontId="15" fillId="0" borderId="0"/>
    <xf numFmtId="0" fontId="5" fillId="0" borderId="0"/>
    <xf numFmtId="0" fontId="15" fillId="0" borderId="0">
      <alignment vertical="center"/>
    </xf>
    <xf numFmtId="0" fontId="7" fillId="0" borderId="0"/>
    <xf numFmtId="0" fontId="5" fillId="0" borderId="0">
      <alignment vertical="center"/>
    </xf>
    <xf numFmtId="0" fontId="5" fillId="0" borderId="0">
      <alignment vertical="center"/>
    </xf>
    <xf numFmtId="0" fontId="15" fillId="0" borderId="0">
      <alignment vertical="center"/>
    </xf>
    <xf numFmtId="0" fontId="6" fillId="0" borderId="0"/>
    <xf numFmtId="0" fontId="6"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9" fontId="15" fillId="0" borderId="0" applyFont="0" applyFill="0" applyBorder="0" applyAlignment="0" applyProtection="0">
      <alignment vertical="center"/>
    </xf>
    <xf numFmtId="0" fontId="3" fillId="0" borderId="0">
      <alignment vertical="center"/>
    </xf>
    <xf numFmtId="0" fontId="15" fillId="0" borderId="0">
      <alignment vertical="center"/>
    </xf>
    <xf numFmtId="0" fontId="37" fillId="0" borderId="0">
      <alignment vertical="center"/>
    </xf>
    <xf numFmtId="9" fontId="37" fillId="0" borderId="0" applyFont="0" applyFill="0" applyBorder="0" applyAlignment="0" applyProtection="0">
      <alignment vertical="center"/>
    </xf>
    <xf numFmtId="38" fontId="37" fillId="0" borderId="0" applyFont="0" applyFill="0" applyBorder="0" applyAlignment="0" applyProtection="0">
      <alignment vertical="center"/>
    </xf>
    <xf numFmtId="0" fontId="38" fillId="0" borderId="0">
      <alignment vertical="center"/>
    </xf>
    <xf numFmtId="38" fontId="38" fillId="0" borderId="0" applyFill="0" applyBorder="0" applyAlignment="0" applyProtection="0">
      <alignment vertical="center"/>
    </xf>
    <xf numFmtId="0" fontId="37" fillId="0" borderId="0">
      <alignment vertical="center"/>
    </xf>
    <xf numFmtId="0" fontId="53" fillId="0" borderId="0"/>
    <xf numFmtId="0" fontId="5" fillId="0" borderId="0"/>
    <xf numFmtId="0" fontId="2" fillId="0" borderId="0">
      <alignment vertical="center"/>
    </xf>
    <xf numFmtId="0" fontId="1" fillId="0" borderId="0">
      <alignment vertical="center"/>
    </xf>
    <xf numFmtId="0" fontId="95" fillId="0" borderId="0"/>
    <xf numFmtId="0" fontId="52" fillId="0" borderId="0">
      <alignment vertical="center"/>
    </xf>
    <xf numFmtId="0" fontId="96" fillId="0" borderId="0" applyNumberFormat="0" applyFill="0" applyBorder="0" applyAlignment="0" applyProtection="0"/>
  </cellStyleXfs>
  <cellXfs count="1307">
    <xf numFmtId="0" fontId="0" fillId="0" borderId="0" xfId="0"/>
    <xf numFmtId="181" fontId="17" fillId="2" borderId="16" xfId="0" applyNumberFormat="1" applyFont="1" applyFill="1" applyBorder="1" applyAlignment="1" applyProtection="1">
      <alignment horizontal="center" vertical="center" shrinkToFit="1"/>
    </xf>
    <xf numFmtId="183" fontId="17" fillId="2" borderId="16" xfId="0" applyNumberFormat="1" applyFont="1" applyFill="1" applyBorder="1" applyAlignment="1" applyProtection="1">
      <alignment horizontal="center" vertical="center" shrinkToFit="1"/>
    </xf>
    <xf numFmtId="181" fontId="18" fillId="2" borderId="16" xfId="0" applyNumberFormat="1" applyFont="1" applyFill="1" applyBorder="1" applyAlignment="1" applyProtection="1">
      <alignment horizontal="center" vertical="center" shrinkToFit="1"/>
    </xf>
    <xf numFmtId="183" fontId="18" fillId="2" borderId="16" xfId="0" applyNumberFormat="1" applyFont="1" applyFill="1" applyBorder="1" applyAlignment="1" applyProtection="1">
      <alignment horizontal="center" vertical="center" shrinkToFit="1"/>
    </xf>
    <xf numFmtId="0" fontId="0" fillId="0" borderId="0" xfId="0" applyProtection="1"/>
    <xf numFmtId="0" fontId="0" fillId="2" borderId="0" xfId="0" applyFill="1" applyProtection="1"/>
    <xf numFmtId="0" fontId="17" fillId="2" borderId="0" xfId="0" applyFont="1" applyFill="1" applyBorder="1" applyAlignment="1" applyProtection="1">
      <alignment vertical="center" wrapText="1" shrinkToFit="1"/>
    </xf>
    <xf numFmtId="0" fontId="17" fillId="2" borderId="36" xfId="0" applyFont="1" applyFill="1" applyBorder="1" applyAlignment="1" applyProtection="1">
      <alignment vertical="center" wrapText="1" shrinkToFit="1"/>
    </xf>
    <xf numFmtId="0" fontId="17" fillId="2" borderId="15" xfId="0" applyFont="1" applyFill="1" applyBorder="1" applyAlignment="1" applyProtection="1">
      <alignment vertical="center" wrapText="1" shrinkToFit="1"/>
    </xf>
    <xf numFmtId="0" fontId="17" fillId="2" borderId="37" xfId="0" applyFont="1" applyFill="1" applyBorder="1" applyAlignment="1" applyProtection="1">
      <alignment vertical="center" wrapText="1" shrinkToFit="1"/>
    </xf>
    <xf numFmtId="0" fontId="25"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shrinkToFit="1"/>
    </xf>
    <xf numFmtId="0" fontId="17" fillId="0" borderId="0" xfId="0" applyFont="1" applyBorder="1" applyAlignment="1" applyProtection="1">
      <alignment vertical="center" wrapText="1" shrinkToFit="1"/>
    </xf>
    <xf numFmtId="0" fontId="17" fillId="3" borderId="16"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xf>
    <xf numFmtId="0" fontId="17" fillId="2" borderId="36"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16" xfId="0" applyFont="1" applyFill="1" applyBorder="1" applyAlignment="1" applyProtection="1">
      <alignment vertical="center" wrapText="1" shrinkToFit="1"/>
    </xf>
    <xf numFmtId="38" fontId="17" fillId="2" borderId="15" xfId="9" applyFont="1" applyFill="1" applyBorder="1" applyAlignment="1" applyProtection="1">
      <alignment vertical="center" wrapText="1" shrinkToFit="1"/>
    </xf>
    <xf numFmtId="183" fontId="17" fillId="2" borderId="7" xfId="0" applyNumberFormat="1" applyFont="1" applyFill="1" applyBorder="1" applyAlignment="1" applyProtection="1">
      <alignment horizontal="center" vertical="center" shrinkToFit="1"/>
    </xf>
    <xf numFmtId="183" fontId="17" fillId="2" borderId="9" xfId="0" applyNumberFormat="1" applyFont="1" applyFill="1" applyBorder="1" applyAlignment="1" applyProtection="1">
      <alignment horizontal="center" vertical="center" shrinkToFit="1"/>
    </xf>
    <xf numFmtId="183" fontId="18" fillId="2" borderId="9" xfId="0" applyNumberFormat="1" applyFont="1" applyFill="1" applyBorder="1" applyAlignment="1" applyProtection="1">
      <alignment horizontal="center" vertical="center" shrinkToFit="1"/>
    </xf>
    <xf numFmtId="0" fontId="17" fillId="0" borderId="16"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0" fillId="0" borderId="0" xfId="0" applyAlignment="1" applyProtection="1">
      <alignment vertical="center"/>
    </xf>
    <xf numFmtId="0" fontId="17" fillId="2" borderId="0" xfId="0" applyFont="1" applyFill="1" applyBorder="1" applyAlignment="1" applyProtection="1">
      <alignment vertical="center" wrapText="1"/>
    </xf>
    <xf numFmtId="0" fontId="17" fillId="2" borderId="9" xfId="0" applyFont="1" applyFill="1" applyBorder="1" applyAlignment="1" applyProtection="1">
      <alignment vertical="center" wrapText="1"/>
    </xf>
    <xf numFmtId="0" fontId="17" fillId="2" borderId="91" xfId="0" applyFont="1" applyFill="1" applyBorder="1" applyAlignment="1" applyProtection="1">
      <alignment horizontal="center" vertical="center" wrapText="1"/>
    </xf>
    <xf numFmtId="0" fontId="17" fillId="2" borderId="86" xfId="0" applyFont="1" applyFill="1" applyBorder="1" applyAlignment="1" applyProtection="1">
      <alignment horizontal="center" vertical="center" shrinkToFit="1"/>
    </xf>
    <xf numFmtId="0" fontId="17" fillId="2" borderId="84" xfId="0" applyFont="1" applyFill="1" applyBorder="1" applyAlignment="1" applyProtection="1">
      <alignment horizontal="center" vertical="center" wrapText="1"/>
    </xf>
    <xf numFmtId="0" fontId="17" fillId="2" borderId="83" xfId="0" applyFont="1" applyFill="1" applyBorder="1" applyAlignment="1" applyProtection="1">
      <alignment horizontal="center" vertical="center" wrapText="1"/>
    </xf>
    <xf numFmtId="0" fontId="17" fillId="2" borderId="104" xfId="0" applyFont="1" applyFill="1" applyBorder="1" applyAlignment="1" applyProtection="1">
      <alignment horizontal="center" vertical="center" wrapText="1"/>
    </xf>
    <xf numFmtId="0" fontId="17" fillId="2" borderId="87" xfId="0" applyFont="1" applyFill="1" applyBorder="1" applyAlignment="1" applyProtection="1">
      <alignment horizontal="center" vertical="center" wrapText="1" shrinkToFit="1"/>
    </xf>
    <xf numFmtId="0" fontId="38" fillId="0" borderId="0" xfId="82" applyFont="1" applyAlignment="1" applyProtection="1">
      <alignment vertical="center"/>
    </xf>
    <xf numFmtId="0" fontId="38" fillId="0" borderId="16" xfId="82" applyFont="1" applyBorder="1" applyAlignment="1" applyProtection="1">
      <alignment vertical="center"/>
    </xf>
    <xf numFmtId="0" fontId="38" fillId="2" borderId="0" xfId="82" applyFont="1" applyFill="1" applyAlignment="1" applyProtection="1">
      <alignment vertical="center"/>
    </xf>
    <xf numFmtId="0" fontId="39" fillId="2" borderId="0" xfId="82" applyFont="1" applyFill="1" applyAlignment="1" applyProtection="1">
      <alignment vertical="center"/>
    </xf>
    <xf numFmtId="0" fontId="38" fillId="2" borderId="0" xfId="82" applyFont="1" applyFill="1" applyBorder="1" applyAlignment="1" applyProtection="1">
      <alignment horizontal="left" vertical="center"/>
    </xf>
    <xf numFmtId="0" fontId="38" fillId="2" borderId="0" xfId="82" applyFont="1" applyFill="1" applyBorder="1" applyAlignment="1" applyProtection="1">
      <alignment horizontal="center" vertical="center"/>
    </xf>
    <xf numFmtId="0" fontId="40" fillId="2" borderId="0" xfId="82" applyFont="1" applyFill="1" applyAlignment="1" applyProtection="1">
      <alignment vertical="center"/>
    </xf>
    <xf numFmtId="191" fontId="38" fillId="2" borderId="65" xfId="82" applyNumberFormat="1" applyFont="1" applyFill="1" applyBorder="1" applyAlignment="1" applyProtection="1">
      <alignment horizontal="center" vertical="center"/>
    </xf>
    <xf numFmtId="191" fontId="38" fillId="2" borderId="62" xfId="82" applyNumberFormat="1" applyFont="1" applyFill="1" applyBorder="1" applyAlignment="1" applyProtection="1">
      <alignment horizontal="center" vertical="center"/>
    </xf>
    <xf numFmtId="0" fontId="38" fillId="2" borderId="76" xfId="82" applyFont="1" applyFill="1" applyBorder="1" applyAlignment="1" applyProtection="1">
      <alignment horizontal="center" vertical="center"/>
    </xf>
    <xf numFmtId="192" fontId="38" fillId="4" borderId="18" xfId="82" applyNumberFormat="1" applyFont="1" applyFill="1" applyBorder="1" applyAlignment="1" applyProtection="1">
      <alignment vertical="center" shrinkToFit="1"/>
      <protection locked="0"/>
    </xf>
    <xf numFmtId="192" fontId="41" fillId="2" borderId="109" xfId="82" applyNumberFormat="1" applyFont="1" applyFill="1" applyBorder="1" applyAlignment="1" applyProtection="1">
      <alignment vertical="center" shrinkToFit="1"/>
    </xf>
    <xf numFmtId="0" fontId="38" fillId="2" borderId="17" xfId="82" applyFont="1" applyFill="1" applyBorder="1" applyAlignment="1" applyProtection="1">
      <alignment horizontal="center" vertical="center"/>
    </xf>
    <xf numFmtId="0" fontId="38" fillId="2" borderId="0" xfId="82" applyFont="1" applyFill="1" applyBorder="1" applyAlignment="1" applyProtection="1">
      <alignment vertical="center"/>
    </xf>
    <xf numFmtId="193" fontId="38" fillId="2" borderId="0" xfId="82" applyNumberFormat="1" applyFont="1" applyFill="1" applyBorder="1" applyAlignment="1" applyProtection="1">
      <alignment vertical="center"/>
    </xf>
    <xf numFmtId="194" fontId="38" fillId="2" borderId="0" xfId="82" applyNumberFormat="1" applyFont="1" applyFill="1" applyAlignment="1" applyProtection="1">
      <alignment vertical="center"/>
    </xf>
    <xf numFmtId="0" fontId="38" fillId="2" borderId="92" xfId="82" applyFont="1" applyFill="1" applyBorder="1" applyAlignment="1" applyProtection="1">
      <alignment horizontal="center" vertical="center"/>
    </xf>
    <xf numFmtId="192" fontId="38" fillId="2" borderId="14" xfId="82" applyNumberFormat="1" applyFont="1" applyFill="1" applyBorder="1" applyAlignment="1" applyProtection="1">
      <alignment vertical="center" shrinkToFit="1"/>
    </xf>
    <xf numFmtId="0" fontId="44" fillId="2" borderId="0" xfId="82" applyFont="1" applyFill="1" applyAlignment="1" applyProtection="1">
      <alignment vertical="center"/>
    </xf>
    <xf numFmtId="0" fontId="44" fillId="2" borderId="0" xfId="82" applyFont="1" applyFill="1" applyBorder="1" applyAlignment="1" applyProtection="1">
      <alignment vertical="center"/>
    </xf>
    <xf numFmtId="0" fontId="46" fillId="2" borderId="0" xfId="82" applyFont="1" applyFill="1" applyAlignment="1" applyProtection="1">
      <alignment vertical="center"/>
    </xf>
    <xf numFmtId="0" fontId="47" fillId="2" borderId="0" xfId="82" applyFont="1" applyFill="1" applyAlignment="1" applyProtection="1">
      <alignment vertical="center"/>
    </xf>
    <xf numFmtId="191" fontId="44" fillId="2" borderId="62" xfId="82" applyNumberFormat="1" applyFont="1" applyFill="1" applyBorder="1" applyAlignment="1" applyProtection="1">
      <alignment horizontal="center" vertical="center"/>
    </xf>
    <xf numFmtId="192" fontId="44" fillId="2" borderId="0" xfId="82" applyNumberFormat="1" applyFont="1" applyFill="1" applyBorder="1" applyAlignment="1" applyProtection="1">
      <alignment vertical="center"/>
    </xf>
    <xf numFmtId="0" fontId="46" fillId="2" borderId="8" xfId="82" applyFont="1" applyFill="1" applyBorder="1" applyAlignment="1" applyProtection="1">
      <alignment vertical="center"/>
    </xf>
    <xf numFmtId="0" fontId="18" fillId="2" borderId="0" xfId="82" applyFont="1" applyFill="1" applyAlignment="1" applyProtection="1">
      <alignment vertical="center"/>
    </xf>
    <xf numFmtId="0" fontId="46" fillId="2" borderId="0" xfId="82" applyFont="1" applyFill="1" applyBorder="1" applyAlignment="1" applyProtection="1">
      <alignment vertical="center"/>
    </xf>
    <xf numFmtId="0" fontId="18" fillId="2" borderId="54" xfId="82" applyFont="1" applyFill="1" applyBorder="1" applyAlignment="1" applyProtection="1">
      <alignment vertical="center"/>
    </xf>
    <xf numFmtId="0" fontId="18" fillId="2" borderId="0" xfId="82" applyFont="1" applyFill="1" applyBorder="1" applyAlignment="1" applyProtection="1">
      <alignment vertical="center"/>
    </xf>
    <xf numFmtId="0" fontId="44" fillId="0" borderId="0" xfId="82" applyFont="1" applyAlignment="1" applyProtection="1">
      <alignment vertical="center"/>
    </xf>
    <xf numFmtId="0" fontId="42" fillId="0" borderId="16" xfId="82" applyFont="1" applyBorder="1" applyAlignment="1" applyProtection="1">
      <alignment vertical="center"/>
    </xf>
    <xf numFmtId="0" fontId="42" fillId="0" borderId="14" xfId="82" applyFont="1" applyBorder="1" applyAlignment="1" applyProtection="1">
      <alignment vertical="center"/>
    </xf>
    <xf numFmtId="0" fontId="50" fillId="0" borderId="15" xfId="82" applyFont="1" applyBorder="1" applyAlignment="1" applyProtection="1">
      <alignment vertical="center"/>
    </xf>
    <xf numFmtId="0" fontId="50" fillId="0" borderId="16" xfId="82" applyFont="1" applyBorder="1" applyAlignment="1" applyProtection="1">
      <alignment vertical="center"/>
    </xf>
    <xf numFmtId="0" fontId="50" fillId="0" borderId="0" xfId="82" applyFont="1" applyAlignment="1" applyProtection="1">
      <alignment vertical="center"/>
    </xf>
    <xf numFmtId="0" fontId="17" fillId="0" borderId="16" xfId="58" applyFont="1" applyBorder="1" applyAlignment="1" applyProtection="1">
      <alignment shrinkToFit="1"/>
    </xf>
    <xf numFmtId="0" fontId="38" fillId="0" borderId="14" xfId="82" applyFont="1" applyBorder="1" applyAlignment="1" applyProtection="1">
      <alignment vertical="center"/>
    </xf>
    <xf numFmtId="0" fontId="38" fillId="0" borderId="15" xfId="82" applyFont="1" applyBorder="1" applyAlignment="1" applyProtection="1">
      <alignment vertical="center"/>
    </xf>
    <xf numFmtId="0" fontId="17" fillId="0" borderId="16" xfId="58" applyFont="1" applyFill="1" applyBorder="1" applyAlignment="1" applyProtection="1">
      <alignment shrinkToFit="1"/>
    </xf>
    <xf numFmtId="0" fontId="48" fillId="0" borderId="0" xfId="82" applyFont="1" applyAlignment="1" applyProtection="1">
      <alignment vertical="center"/>
    </xf>
    <xf numFmtId="0" fontId="51" fillId="2" borderId="0" xfId="82" applyFont="1" applyFill="1" applyAlignment="1" applyProtection="1">
      <alignment vertical="center"/>
    </xf>
    <xf numFmtId="0" fontId="51" fillId="0" borderId="0" xfId="82" applyFont="1" applyAlignment="1" applyProtection="1">
      <alignment vertical="center"/>
    </xf>
    <xf numFmtId="0" fontId="38" fillId="0" borderId="0" xfId="82" applyFont="1" applyBorder="1" applyAlignment="1" applyProtection="1">
      <alignment horizontal="center" vertical="center"/>
    </xf>
    <xf numFmtId="0" fontId="38" fillId="2" borderId="97" xfId="82" applyFont="1" applyFill="1" applyBorder="1" applyAlignment="1" applyProtection="1">
      <alignment horizontal="center" vertical="center" wrapText="1"/>
    </xf>
    <xf numFmtId="0" fontId="38" fillId="2" borderId="7" xfId="82" applyFont="1" applyFill="1" applyBorder="1" applyAlignment="1" applyProtection="1">
      <alignment horizontal="center" vertical="center"/>
    </xf>
    <xf numFmtId="192" fontId="38" fillId="4" borderId="12" xfId="82" applyNumberFormat="1" applyFont="1" applyFill="1" applyBorder="1" applyAlignment="1" applyProtection="1">
      <alignment vertical="center" shrinkToFit="1"/>
      <protection locked="0"/>
    </xf>
    <xf numFmtId="192" fontId="41" fillId="2" borderId="57" xfId="82" applyNumberFormat="1" applyFont="1" applyFill="1" applyBorder="1" applyAlignment="1" applyProtection="1">
      <alignment vertical="center" shrinkToFit="1"/>
    </xf>
    <xf numFmtId="0" fontId="38" fillId="0" borderId="27" xfId="82" applyFont="1" applyBorder="1" applyAlignment="1" applyProtection="1">
      <alignment horizontal="center" vertical="center"/>
    </xf>
    <xf numFmtId="192" fontId="38" fillId="0" borderId="27" xfId="82" applyNumberFormat="1" applyFont="1" applyBorder="1" applyAlignment="1" applyProtection="1">
      <alignment vertical="center" shrinkToFit="1"/>
    </xf>
    <xf numFmtId="192" fontId="41" fillId="0" borderId="40" xfId="82" applyNumberFormat="1" applyFont="1" applyBorder="1" applyAlignment="1" applyProtection="1">
      <alignment vertical="center" shrinkToFit="1"/>
    </xf>
    <xf numFmtId="0" fontId="38" fillId="0" borderId="0" xfId="82" applyFont="1" applyBorder="1" applyAlignment="1" applyProtection="1">
      <alignment vertical="center" shrinkToFit="1"/>
    </xf>
    <xf numFmtId="191" fontId="38" fillId="2" borderId="0" xfId="82" applyNumberFormat="1" applyFont="1" applyFill="1" applyBorder="1" applyAlignment="1" applyProtection="1">
      <alignment horizontal="center" vertical="center"/>
    </xf>
    <xf numFmtId="0" fontId="38" fillId="0" borderId="0" xfId="82" applyFont="1" applyBorder="1" applyAlignment="1" applyProtection="1">
      <alignment vertical="center"/>
    </xf>
    <xf numFmtId="0" fontId="38" fillId="2" borderId="0" xfId="82" applyFont="1" applyFill="1" applyBorder="1" applyAlignment="1" applyProtection="1">
      <alignment vertical="center" shrinkToFit="1"/>
    </xf>
    <xf numFmtId="193" fontId="38" fillId="2" borderId="0" xfId="82" applyNumberFormat="1" applyFont="1" applyFill="1" applyBorder="1" applyAlignment="1" applyProtection="1">
      <alignment vertical="center" shrinkToFit="1"/>
    </xf>
    <xf numFmtId="194" fontId="41" fillId="2" borderId="0" xfId="82" applyNumberFormat="1" applyFont="1" applyFill="1" applyBorder="1" applyAlignment="1" applyProtection="1">
      <alignment vertical="center" shrinkToFit="1"/>
    </xf>
    <xf numFmtId="0" fontId="38" fillId="2" borderId="22" xfId="82" applyFont="1" applyFill="1" applyBorder="1" applyAlignment="1" applyProtection="1">
      <alignment horizontal="center" vertical="center"/>
    </xf>
    <xf numFmtId="192" fontId="38" fillId="4" borderId="73" xfId="82" applyNumberFormat="1" applyFont="1" applyFill="1" applyBorder="1" applyAlignment="1" applyProtection="1">
      <alignment vertical="center" shrinkToFit="1"/>
      <protection locked="0"/>
    </xf>
    <xf numFmtId="192" fontId="38" fillId="4" borderId="22" xfId="82" applyNumberFormat="1" applyFont="1" applyFill="1" applyBorder="1" applyAlignment="1" applyProtection="1">
      <alignment vertical="center" shrinkToFit="1"/>
      <protection locked="0"/>
    </xf>
    <xf numFmtId="0" fontId="38" fillId="2" borderId="0" xfId="82" applyFont="1" applyFill="1" applyBorder="1" applyAlignment="1" applyProtection="1">
      <alignment horizontal="center" vertical="center" shrinkToFit="1"/>
    </xf>
    <xf numFmtId="193" fontId="38" fillId="2" borderId="0" xfId="82" applyNumberFormat="1" applyFont="1" applyFill="1" applyBorder="1" applyAlignment="1" applyProtection="1">
      <alignment horizontal="center" vertical="center" shrinkToFit="1"/>
    </xf>
    <xf numFmtId="0" fontId="38" fillId="2" borderId="0" xfId="82" applyFont="1" applyFill="1" applyAlignment="1" applyProtection="1">
      <alignment vertical="center" shrinkToFit="1"/>
    </xf>
    <xf numFmtId="0" fontId="38" fillId="0" borderId="0" xfId="82" applyFont="1" applyAlignment="1" applyProtection="1">
      <alignment vertical="center" shrinkToFit="1"/>
    </xf>
    <xf numFmtId="0" fontId="43" fillId="2" borderId="23" xfId="82" applyFont="1" applyFill="1" applyBorder="1" applyAlignment="1" applyProtection="1">
      <alignment horizontal="center" vertical="center" shrinkToFit="1"/>
    </xf>
    <xf numFmtId="0" fontId="43" fillId="2" borderId="23" xfId="82" applyFont="1" applyFill="1" applyBorder="1" applyAlignment="1" applyProtection="1">
      <alignment vertical="center" shrinkToFit="1"/>
    </xf>
    <xf numFmtId="193" fontId="43" fillId="2" borderId="23" xfId="82" applyNumberFormat="1" applyFont="1" applyFill="1" applyBorder="1" applyAlignment="1" applyProtection="1">
      <alignment vertical="center" shrinkToFit="1"/>
    </xf>
    <xf numFmtId="0" fontId="44" fillId="2" borderId="62" xfId="82" applyFont="1" applyFill="1" applyBorder="1" applyAlignment="1" applyProtection="1">
      <alignment horizontal="center" vertical="center" wrapText="1"/>
    </xf>
    <xf numFmtId="0" fontId="45" fillId="2" borderId="0" xfId="82" applyFont="1" applyFill="1" applyBorder="1" applyAlignment="1" applyProtection="1">
      <alignment vertical="center"/>
    </xf>
    <xf numFmtId="0" fontId="44" fillId="2" borderId="0" xfId="82" applyFont="1" applyFill="1" applyBorder="1" applyAlignment="1" applyProtection="1">
      <alignment horizontal="center" vertical="center"/>
    </xf>
    <xf numFmtId="0" fontId="44" fillId="2" borderId="46" xfId="82" applyFont="1" applyFill="1" applyBorder="1" applyAlignment="1" applyProtection="1">
      <alignment horizontal="center" vertical="center"/>
    </xf>
    <xf numFmtId="190" fontId="18" fillId="2" borderId="66" xfId="82" applyNumberFormat="1" applyFont="1" applyFill="1" applyBorder="1" applyAlignment="1" applyProtection="1">
      <alignment horizontal="center" vertical="center"/>
    </xf>
    <xf numFmtId="0" fontId="44" fillId="2" borderId="61" xfId="82" applyFont="1" applyFill="1" applyBorder="1" applyAlignment="1" applyProtection="1">
      <alignment horizontal="center" vertical="center"/>
    </xf>
    <xf numFmtId="0" fontId="38" fillId="0" borderId="4" xfId="82" applyFont="1" applyBorder="1" applyAlignment="1" applyProtection="1">
      <alignment horizontal="center" vertical="center"/>
    </xf>
    <xf numFmtId="0" fontId="38" fillId="0" borderId="4" xfId="82" applyFont="1" applyBorder="1" applyAlignment="1" applyProtection="1">
      <alignment vertical="center"/>
    </xf>
    <xf numFmtId="0" fontId="38" fillId="0" borderId="10" xfId="82" applyFont="1" applyBorder="1" applyAlignment="1" applyProtection="1">
      <alignment vertical="center"/>
    </xf>
    <xf numFmtId="0" fontId="17" fillId="2" borderId="0" xfId="0" applyFont="1" applyFill="1" applyBorder="1" applyAlignment="1" applyProtection="1">
      <alignment vertical="center" shrinkToFit="1"/>
    </xf>
    <xf numFmtId="0" fontId="0" fillId="0" borderId="0" xfId="0" applyBorder="1" applyAlignment="1" applyProtection="1">
      <alignment vertical="center"/>
    </xf>
    <xf numFmtId="0" fontId="0" fillId="0" borderId="16"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4" xfId="0" applyBorder="1" applyAlignment="1" applyProtection="1">
      <alignment horizontal="center" vertical="center"/>
    </xf>
    <xf numFmtId="38" fontId="38" fillId="0" borderId="16" xfId="82" applyNumberFormat="1" applyFont="1" applyBorder="1" applyAlignment="1" applyProtection="1">
      <alignment vertical="center"/>
    </xf>
    <xf numFmtId="38" fontId="38" fillId="0" borderId="7" xfId="82" applyNumberFormat="1" applyFont="1" applyBorder="1" applyAlignment="1" applyProtection="1">
      <alignment vertical="center"/>
    </xf>
    <xf numFmtId="0" fontId="38" fillId="0" borderId="7" xfId="82" applyFont="1" applyBorder="1" applyAlignment="1" applyProtection="1">
      <alignment vertical="center"/>
    </xf>
    <xf numFmtId="0" fontId="38" fillId="0" borderId="60" xfId="82" applyFont="1" applyBorder="1" applyAlignment="1" applyProtection="1">
      <alignment vertical="center"/>
    </xf>
    <xf numFmtId="0" fontId="38" fillId="0" borderId="46" xfId="82" applyFont="1" applyBorder="1" applyAlignment="1" applyProtection="1">
      <alignment vertical="center"/>
    </xf>
    <xf numFmtId="0" fontId="38" fillId="0" borderId="61" xfId="82" applyFont="1" applyBorder="1" applyAlignment="1" applyProtection="1">
      <alignment vertical="center"/>
    </xf>
    <xf numFmtId="195" fontId="38" fillId="2" borderId="16" xfId="82" applyNumberFormat="1" applyFont="1" applyFill="1" applyBorder="1" applyAlignment="1" applyProtection="1">
      <alignment horizontal="center" vertical="center"/>
    </xf>
    <xf numFmtId="195" fontId="38" fillId="2" borderId="0" xfId="82" applyNumberFormat="1" applyFont="1" applyFill="1" applyBorder="1" applyAlignment="1" applyProtection="1">
      <alignment horizontal="center" vertical="center"/>
    </xf>
    <xf numFmtId="38" fontId="38" fillId="0" borderId="16" xfId="9" applyFont="1" applyBorder="1" applyAlignment="1" applyProtection="1">
      <alignment vertical="center"/>
    </xf>
    <xf numFmtId="0" fontId="57" fillId="2" borderId="0" xfId="82" applyFont="1" applyFill="1" applyAlignment="1" applyProtection="1">
      <alignment vertical="center"/>
    </xf>
    <xf numFmtId="0" fontId="38" fillId="0" borderId="0" xfId="82" applyFont="1" applyFill="1" applyBorder="1" applyAlignment="1" applyProtection="1">
      <alignment vertical="center"/>
    </xf>
    <xf numFmtId="0" fontId="34" fillId="2" borderId="0" xfId="0" applyFont="1" applyFill="1" applyBorder="1" applyAlignment="1" applyProtection="1">
      <alignment vertical="center" shrinkToFit="1"/>
    </xf>
    <xf numFmtId="0" fontId="34" fillId="2" borderId="5" xfId="0" applyFont="1" applyFill="1" applyBorder="1" applyAlignment="1" applyProtection="1">
      <alignment vertical="center" shrinkToFit="1"/>
    </xf>
    <xf numFmtId="0" fontId="17" fillId="2" borderId="16" xfId="0" applyFont="1" applyFill="1" applyBorder="1" applyAlignment="1" applyProtection="1">
      <alignment horizontal="center" vertical="center" wrapText="1" shrinkToFit="1"/>
    </xf>
    <xf numFmtId="0" fontId="17" fillId="2" borderId="0" xfId="0" applyFont="1" applyFill="1" applyBorder="1" applyAlignment="1" applyProtection="1">
      <alignment horizontal="center" vertical="center" shrinkToFit="1"/>
    </xf>
    <xf numFmtId="0" fontId="17" fillId="6" borderId="15" xfId="0" applyFont="1" applyFill="1" applyBorder="1" applyAlignment="1" applyProtection="1">
      <alignment horizontal="centerContinuous" vertical="center" shrinkToFit="1"/>
    </xf>
    <xf numFmtId="0" fontId="17" fillId="6" borderId="2" xfId="0" applyFont="1" applyFill="1" applyBorder="1" applyAlignment="1" applyProtection="1">
      <alignment horizontal="centerContinuous" vertical="center" shrinkToFit="1"/>
    </xf>
    <xf numFmtId="0" fontId="17" fillId="6" borderId="14" xfId="0" applyFont="1" applyFill="1" applyBorder="1" applyAlignment="1" applyProtection="1">
      <alignment horizontal="centerContinuous" vertical="center" shrinkToFit="1"/>
    </xf>
    <xf numFmtId="0" fontId="17" fillId="6" borderId="16" xfId="0" applyFont="1" applyFill="1" applyBorder="1" applyAlignment="1" applyProtection="1">
      <alignment horizontal="centerContinuous" vertical="center" shrinkToFit="1"/>
    </xf>
    <xf numFmtId="181" fontId="20" fillId="2" borderId="16" xfId="0" applyNumberFormat="1" applyFont="1" applyFill="1" applyBorder="1" applyAlignment="1" applyProtection="1">
      <alignment horizontal="center" vertical="center" shrinkToFit="1"/>
    </xf>
    <xf numFmtId="183" fontId="20" fillId="2" borderId="16" xfId="0" applyNumberFormat="1" applyFont="1" applyFill="1" applyBorder="1" applyAlignment="1" applyProtection="1">
      <alignment horizontal="center" vertical="center" shrinkToFit="1"/>
    </xf>
    <xf numFmtId="181" fontId="56" fillId="2" borderId="16" xfId="0" applyNumberFormat="1" applyFont="1" applyFill="1" applyBorder="1" applyAlignment="1" applyProtection="1">
      <alignment horizontal="center" vertical="center" shrinkToFit="1"/>
    </xf>
    <xf numFmtId="183" fontId="56" fillId="2" borderId="16" xfId="0" applyNumberFormat="1" applyFont="1" applyFill="1" applyBorder="1" applyAlignment="1" applyProtection="1">
      <alignment horizontal="center" vertical="center" shrinkToFit="1"/>
    </xf>
    <xf numFmtId="0" fontId="56" fillId="2" borderId="0" xfId="0" applyFont="1" applyFill="1" applyBorder="1" applyAlignment="1" applyProtection="1">
      <alignment horizontal="center" vertical="center" shrinkToFit="1"/>
    </xf>
    <xf numFmtId="183" fontId="20" fillId="2" borderId="0" xfId="0" applyNumberFormat="1" applyFont="1" applyFill="1" applyBorder="1" applyAlignment="1" applyProtection="1">
      <alignment horizontal="center" vertical="center" shrinkToFit="1"/>
    </xf>
    <xf numFmtId="0" fontId="20" fillId="6" borderId="15" xfId="0" applyFont="1" applyFill="1" applyBorder="1" applyAlignment="1" applyProtection="1">
      <alignment horizontal="centerContinuous" vertical="center" shrinkToFit="1"/>
    </xf>
    <xf numFmtId="0" fontId="20" fillId="6" borderId="2" xfId="0" applyFont="1" applyFill="1" applyBorder="1" applyAlignment="1" applyProtection="1">
      <alignment horizontal="centerContinuous" vertical="center" shrinkToFit="1"/>
    </xf>
    <xf numFmtId="0" fontId="20" fillId="6" borderId="14" xfId="0" applyFont="1" applyFill="1" applyBorder="1" applyAlignment="1" applyProtection="1">
      <alignment horizontal="centerContinuous" vertical="center" shrinkToFit="1"/>
    </xf>
    <xf numFmtId="0" fontId="20" fillId="6" borderId="16" xfId="0" applyFont="1" applyFill="1" applyBorder="1" applyAlignment="1" applyProtection="1">
      <alignment horizontal="centerContinuous" vertical="center" shrinkToFit="1"/>
    </xf>
    <xf numFmtId="0" fontId="20" fillId="3" borderId="16" xfId="0" applyFont="1" applyFill="1" applyBorder="1" applyAlignment="1" applyProtection="1">
      <alignment horizontal="center" vertical="center" shrinkToFit="1"/>
      <protection locked="0"/>
    </xf>
    <xf numFmtId="0" fontId="20" fillId="2" borderId="91"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shrinkToFit="1"/>
    </xf>
    <xf numFmtId="0" fontId="20" fillId="2" borderId="84" xfId="0" applyFont="1" applyFill="1" applyBorder="1" applyAlignment="1" applyProtection="1">
      <alignment horizontal="center" vertical="center" wrapText="1"/>
    </xf>
    <xf numFmtId="0" fontId="20" fillId="2" borderId="37" xfId="0" applyFont="1" applyFill="1" applyBorder="1" applyAlignment="1" applyProtection="1">
      <alignment vertical="center" wrapText="1" shrinkToFit="1"/>
    </xf>
    <xf numFmtId="0" fontId="20" fillId="2" borderId="16" xfId="0" applyFont="1" applyFill="1" applyBorder="1" applyAlignment="1" applyProtection="1">
      <alignment vertical="center" wrapText="1" shrinkToFit="1"/>
    </xf>
    <xf numFmtId="0" fontId="20" fillId="2" borderId="36" xfId="0" applyFont="1" applyFill="1" applyBorder="1" applyAlignment="1" applyProtection="1">
      <alignment vertical="center" wrapText="1" shrinkToFit="1"/>
    </xf>
    <xf numFmtId="0" fontId="25" fillId="6" borderId="16" xfId="0" applyFont="1" applyFill="1" applyBorder="1" applyAlignment="1" applyProtection="1">
      <alignment horizontal="center" vertical="center" shrinkToFit="1"/>
    </xf>
    <xf numFmtId="0" fontId="17" fillId="6" borderId="16" xfId="0" applyFont="1" applyFill="1" applyBorder="1" applyAlignment="1" applyProtection="1">
      <alignment horizontal="center" vertical="center"/>
    </xf>
    <xf numFmtId="0" fontId="17" fillId="2" borderId="0" xfId="0" applyFont="1" applyFill="1" applyBorder="1" applyAlignment="1" applyProtection="1">
      <alignment horizontal="right" vertical="center" wrapText="1" shrinkToFit="1"/>
    </xf>
    <xf numFmtId="0" fontId="50" fillId="2" borderId="0" xfId="82" applyFont="1" applyFill="1" applyAlignment="1" applyProtection="1">
      <alignment horizontal="center" vertical="center" shrinkToFit="1"/>
    </xf>
    <xf numFmtId="0" fontId="38" fillId="0" borderId="16" xfId="82" applyFont="1" applyBorder="1" applyAlignment="1" applyProtection="1">
      <alignment horizontal="center" vertical="center"/>
    </xf>
    <xf numFmtId="0" fontId="38" fillId="2" borderId="16" xfId="82" applyFont="1" applyFill="1" applyBorder="1" applyAlignment="1" applyProtection="1">
      <alignment horizontal="center" vertical="center"/>
    </xf>
    <xf numFmtId="0" fontId="17" fillId="0" borderId="13" xfId="58" applyFont="1" applyBorder="1" applyAlignment="1" applyProtection="1">
      <alignment horizontal="center" vertical="center" shrinkToFit="1"/>
    </xf>
    <xf numFmtId="0" fontId="17" fillId="0" borderId="12" xfId="58" applyFont="1" applyBorder="1" applyAlignment="1" applyProtection="1">
      <alignment horizontal="center" vertical="center" shrinkToFit="1"/>
    </xf>
    <xf numFmtId="0" fontId="0" fillId="2" borderId="0" xfId="58" applyFont="1" applyFill="1" applyAlignment="1" applyProtection="1">
      <alignment vertical="center"/>
    </xf>
    <xf numFmtId="0" fontId="9" fillId="2" borderId="52" xfId="58" applyFont="1" applyFill="1" applyBorder="1" applyAlignment="1" applyProtection="1">
      <alignment vertical="center"/>
    </xf>
    <xf numFmtId="0" fontId="10" fillId="2" borderId="0" xfId="58" applyFont="1" applyFill="1" applyBorder="1" applyAlignment="1" applyProtection="1">
      <alignment horizontal="left" vertical="center"/>
    </xf>
    <xf numFmtId="0" fontId="55" fillId="2" borderId="0" xfId="58" applyFont="1" applyFill="1" applyBorder="1" applyAlignment="1" applyProtection="1">
      <alignment horizontal="left" vertical="center"/>
    </xf>
    <xf numFmtId="0" fontId="5" fillId="2" borderId="0" xfId="58" applyFill="1" applyAlignment="1" applyProtection="1">
      <alignment vertical="center"/>
    </xf>
    <xf numFmtId="0" fontId="5" fillId="2" borderId="0" xfId="58" applyFill="1" applyAlignment="1" applyProtection="1">
      <alignment horizontal="center" vertical="center"/>
    </xf>
    <xf numFmtId="0" fontId="18" fillId="3" borderId="32" xfId="82" applyFont="1" applyFill="1" applyBorder="1" applyAlignment="1" applyProtection="1">
      <alignment horizontal="center" vertical="center"/>
      <protection locked="0"/>
    </xf>
    <xf numFmtId="192" fontId="38" fillId="4" borderId="14" xfId="82" applyNumberFormat="1" applyFont="1" applyFill="1" applyBorder="1" applyAlignment="1" applyProtection="1">
      <alignment vertical="center" shrinkToFit="1"/>
      <protection locked="0"/>
    </xf>
    <xf numFmtId="0" fontId="15" fillId="2" borderId="0" xfId="58" applyFont="1" applyFill="1" applyAlignment="1" applyProtection="1">
      <alignment vertical="center"/>
    </xf>
    <xf numFmtId="0" fontId="18" fillId="2" borderId="33" xfId="0" applyFont="1" applyFill="1" applyBorder="1" applyAlignment="1" applyProtection="1">
      <alignment horizontal="center" vertical="center" shrinkToFit="1"/>
    </xf>
    <xf numFmtId="195" fontId="38" fillId="2" borderId="0" xfId="82" applyNumberFormat="1" applyFont="1" applyFill="1" applyAlignment="1" applyProtection="1">
      <alignment vertical="center"/>
    </xf>
    <xf numFmtId="0" fontId="74" fillId="2" borderId="0" xfId="82" applyFont="1" applyFill="1" applyAlignment="1" applyProtection="1">
      <alignment vertical="center"/>
    </xf>
    <xf numFmtId="0" fontId="74" fillId="2" borderId="0" xfId="82" applyFont="1" applyFill="1" applyBorder="1" applyAlignment="1" applyProtection="1">
      <alignment vertical="center"/>
    </xf>
    <xf numFmtId="195" fontId="38" fillId="0" borderId="26" xfId="82" applyNumberFormat="1" applyFont="1" applyFill="1" applyBorder="1" applyAlignment="1" applyProtection="1">
      <alignment horizontal="center" vertical="center"/>
    </xf>
    <xf numFmtId="0" fontId="38" fillId="0" borderId="61" xfId="82" applyFont="1" applyFill="1" applyBorder="1" applyAlignment="1" applyProtection="1">
      <alignment horizontal="center" vertical="center"/>
    </xf>
    <xf numFmtId="0" fontId="38" fillId="2" borderId="26" xfId="82" applyFont="1" applyFill="1" applyBorder="1" applyAlignment="1" applyProtection="1">
      <alignment horizontal="right" vertical="center"/>
    </xf>
    <xf numFmtId="0" fontId="38" fillId="2" borderId="61" xfId="82" applyFont="1" applyFill="1" applyBorder="1" applyAlignment="1" applyProtection="1">
      <alignment horizontal="right" vertical="center"/>
    </xf>
    <xf numFmtId="0" fontId="38" fillId="2" borderId="3" xfId="82" applyFont="1" applyFill="1" applyBorder="1" applyAlignment="1" applyProtection="1">
      <alignment horizontal="left" vertical="center"/>
    </xf>
    <xf numFmtId="0" fontId="38" fillId="2" borderId="75" xfId="82" applyFont="1" applyFill="1" applyBorder="1" applyAlignment="1" applyProtection="1">
      <alignment vertical="center"/>
    </xf>
    <xf numFmtId="0" fontId="38" fillId="2" borderId="138" xfId="82" applyFont="1" applyFill="1" applyBorder="1" applyAlignment="1" applyProtection="1">
      <alignment horizontal="right" vertical="center"/>
    </xf>
    <xf numFmtId="0" fontId="38" fillId="2" borderId="139" xfId="82" applyFont="1" applyFill="1" applyBorder="1" applyAlignment="1" applyProtection="1">
      <alignment horizontal="right" vertical="center"/>
    </xf>
    <xf numFmtId="0" fontId="38" fillId="2" borderId="127" xfId="82" applyFont="1" applyFill="1" applyBorder="1" applyAlignment="1" applyProtection="1">
      <alignment horizontal="right" vertical="center"/>
    </xf>
    <xf numFmtId="0" fontId="38" fillId="2" borderId="140" xfId="82" applyFont="1" applyFill="1" applyBorder="1" applyAlignment="1" applyProtection="1">
      <alignment horizontal="right" vertical="center"/>
    </xf>
    <xf numFmtId="0" fontId="38" fillId="2" borderId="10" xfId="82" applyFont="1" applyFill="1" applyBorder="1" applyAlignment="1" applyProtection="1">
      <alignment vertical="center"/>
    </xf>
    <xf numFmtId="0" fontId="38" fillId="2" borderId="31" xfId="82" applyFont="1" applyFill="1" applyBorder="1" applyAlignment="1" applyProtection="1">
      <alignment vertical="center"/>
    </xf>
    <xf numFmtId="0" fontId="38" fillId="2" borderId="141" xfId="82" applyFont="1" applyFill="1" applyBorder="1" applyAlignment="1" applyProtection="1">
      <alignment horizontal="right" vertical="center"/>
    </xf>
    <xf numFmtId="0" fontId="38" fillId="2" borderId="142" xfId="82" applyFont="1" applyFill="1" applyBorder="1" applyAlignment="1" applyProtection="1">
      <alignment horizontal="right" vertical="center"/>
    </xf>
    <xf numFmtId="0" fontId="38" fillId="2" borderId="0" xfId="82" applyFont="1" applyFill="1" applyBorder="1" applyAlignment="1" applyProtection="1">
      <alignment vertical="center" wrapText="1"/>
    </xf>
    <xf numFmtId="0" fontId="38" fillId="2" borderId="0" xfId="82" applyFont="1" applyFill="1" applyBorder="1" applyAlignment="1" applyProtection="1">
      <alignment horizontal="left" vertical="top" wrapText="1"/>
    </xf>
    <xf numFmtId="0" fontId="38" fillId="2" borderId="16" xfId="82" applyFont="1" applyFill="1" applyBorder="1" applyAlignment="1" applyProtection="1">
      <alignment horizontal="left" vertical="center" wrapText="1"/>
    </xf>
    <xf numFmtId="0" fontId="38" fillId="2" borderId="16" xfId="82" applyFont="1" applyFill="1" applyBorder="1" applyAlignment="1" applyProtection="1">
      <alignment horizontal="center" vertical="center" wrapText="1"/>
    </xf>
    <xf numFmtId="0" fontId="38" fillId="2" borderId="15" xfId="82" applyFont="1" applyFill="1" applyBorder="1" applyAlignment="1" applyProtection="1">
      <alignment vertical="center"/>
    </xf>
    <xf numFmtId="0" fontId="38" fillId="2" borderId="2" xfId="82" applyFont="1" applyFill="1" applyBorder="1" applyAlignment="1" applyProtection="1">
      <alignment vertical="center"/>
    </xf>
    <xf numFmtId="0" fontId="42" fillId="2" borderId="79" xfId="82" applyFont="1" applyFill="1" applyBorder="1" applyAlignment="1" applyProtection="1">
      <alignment horizontal="center" vertical="center" wrapText="1"/>
    </xf>
    <xf numFmtId="0" fontId="42" fillId="2" borderId="10" xfId="82" applyFont="1" applyFill="1" applyBorder="1" applyAlignment="1" applyProtection="1">
      <alignment horizontal="center" vertical="center" wrapText="1"/>
    </xf>
    <xf numFmtId="0" fontId="38" fillId="2" borderId="47" xfId="82" applyFont="1" applyFill="1" applyBorder="1" applyAlignment="1" applyProtection="1">
      <alignment vertical="center"/>
    </xf>
    <xf numFmtId="196" fontId="75" fillId="2" borderId="48" xfId="82" applyNumberFormat="1" applyFont="1" applyFill="1" applyBorder="1" applyAlignment="1" applyProtection="1">
      <alignment vertical="center"/>
    </xf>
    <xf numFmtId="0" fontId="38" fillId="2" borderId="9" xfId="82" applyFont="1" applyFill="1" applyBorder="1" applyAlignment="1" applyProtection="1">
      <alignment horizontal="right" vertical="center"/>
    </xf>
    <xf numFmtId="0" fontId="38" fillId="2" borderId="81" xfId="82" applyFont="1" applyFill="1" applyBorder="1" applyAlignment="1" applyProtection="1">
      <alignment vertical="center"/>
    </xf>
    <xf numFmtId="0" fontId="38" fillId="2" borderId="128" xfId="82" applyFont="1" applyFill="1" applyBorder="1" applyAlignment="1" applyProtection="1">
      <alignment horizontal="right" vertical="center"/>
    </xf>
    <xf numFmtId="0" fontId="38" fillId="2" borderId="131" xfId="82" applyFont="1" applyFill="1" applyBorder="1" applyAlignment="1" applyProtection="1">
      <alignment vertical="center"/>
    </xf>
    <xf numFmtId="196" fontId="73" fillId="2" borderId="143" xfId="82" applyNumberFormat="1" applyFont="1" applyFill="1" applyBorder="1" applyAlignment="1" applyProtection="1">
      <alignment vertical="center"/>
    </xf>
    <xf numFmtId="0" fontId="38" fillId="2" borderId="44" xfId="82" applyFont="1" applyFill="1" applyBorder="1" applyAlignment="1" applyProtection="1">
      <alignment vertical="center"/>
    </xf>
    <xf numFmtId="0" fontId="38" fillId="2" borderId="75" xfId="82" applyFont="1" applyFill="1" applyBorder="1" applyAlignment="1" applyProtection="1">
      <alignment horizontal="right" vertical="center"/>
    </xf>
    <xf numFmtId="0" fontId="38" fillId="2" borderId="54" xfId="82" applyFont="1" applyFill="1" applyBorder="1" applyAlignment="1" applyProtection="1">
      <alignment vertical="center"/>
    </xf>
    <xf numFmtId="198" fontId="77" fillId="2" borderId="127" xfId="82" applyNumberFormat="1" applyFont="1" applyFill="1" applyBorder="1" applyAlignment="1" applyProtection="1">
      <alignment vertical="center"/>
    </xf>
    <xf numFmtId="196" fontId="73" fillId="2" borderId="144" xfId="82" applyNumberFormat="1" applyFont="1" applyFill="1" applyBorder="1" applyAlignment="1" applyProtection="1">
      <alignment vertical="center"/>
    </xf>
    <xf numFmtId="0" fontId="38" fillId="2" borderId="145" xfId="82" applyFont="1" applyFill="1" applyBorder="1" applyAlignment="1" applyProtection="1">
      <alignment vertical="center"/>
    </xf>
    <xf numFmtId="0" fontId="38" fillId="2" borderId="146" xfId="82" applyFont="1" applyFill="1" applyBorder="1" applyAlignment="1" applyProtection="1">
      <alignment horizontal="right" vertical="center"/>
    </xf>
    <xf numFmtId="198" fontId="77" fillId="2" borderId="147" xfId="82" applyNumberFormat="1" applyFont="1" applyFill="1" applyBorder="1" applyAlignment="1" applyProtection="1">
      <alignment vertical="center"/>
    </xf>
    <xf numFmtId="196" fontId="73" fillId="2" borderId="148" xfId="82" applyNumberFormat="1" applyFont="1" applyFill="1" applyBorder="1" applyAlignment="1" applyProtection="1">
      <alignment vertical="center"/>
    </xf>
    <xf numFmtId="0" fontId="38" fillId="2" borderId="3" xfId="82" applyFont="1" applyFill="1" applyBorder="1" applyAlignment="1" applyProtection="1">
      <alignment horizontal="right" vertical="center"/>
    </xf>
    <xf numFmtId="199" fontId="77" fillId="2" borderId="55" xfId="82" applyNumberFormat="1" applyFont="1" applyFill="1" applyBorder="1" applyAlignment="1" applyProtection="1">
      <alignment vertical="center"/>
    </xf>
    <xf numFmtId="196" fontId="44" fillId="2" borderId="56" xfId="82" applyNumberFormat="1" applyFont="1" applyFill="1" applyBorder="1" applyAlignment="1" applyProtection="1">
      <alignment vertical="center"/>
    </xf>
    <xf numFmtId="195" fontId="77" fillId="2" borderId="47" xfId="82" applyNumberFormat="1" applyFont="1" applyFill="1" applyBorder="1" applyAlignment="1" applyProtection="1">
      <alignment vertical="center"/>
    </xf>
    <xf numFmtId="196" fontId="38" fillId="2" borderId="48" xfId="82" applyNumberFormat="1" applyFont="1" applyFill="1" applyBorder="1" applyAlignment="1" applyProtection="1">
      <alignment vertical="center"/>
    </xf>
    <xf numFmtId="0" fontId="38" fillId="2" borderId="2" xfId="82" applyFont="1" applyFill="1" applyBorder="1" applyAlignment="1" applyProtection="1">
      <alignment horizontal="left" vertical="center"/>
    </xf>
    <xf numFmtId="0" fontId="38" fillId="2" borderId="2" xfId="82" applyFont="1" applyFill="1" applyBorder="1" applyAlignment="1" applyProtection="1">
      <alignment horizontal="right" vertical="center"/>
    </xf>
    <xf numFmtId="0" fontId="38" fillId="2" borderId="149" xfId="82" applyFont="1" applyFill="1" applyBorder="1" applyAlignment="1" applyProtection="1">
      <alignment horizontal="left" vertical="center"/>
    </xf>
    <xf numFmtId="0" fontId="38" fillId="2" borderId="135" xfId="82" applyFont="1" applyFill="1" applyBorder="1" applyAlignment="1" applyProtection="1">
      <alignment horizontal="left" vertical="center"/>
    </xf>
    <xf numFmtId="0" fontId="38" fillId="0" borderId="111" xfId="82" applyFont="1" applyFill="1" applyBorder="1" applyAlignment="1" applyProtection="1">
      <alignment vertical="center"/>
    </xf>
    <xf numFmtId="196" fontId="38" fillId="2" borderId="150" xfId="82" applyNumberFormat="1" applyFont="1" applyFill="1" applyBorder="1" applyAlignment="1" applyProtection="1">
      <alignment vertical="center"/>
    </xf>
    <xf numFmtId="0" fontId="44" fillId="2" borderId="3" xfId="82" applyFont="1" applyFill="1" applyBorder="1" applyAlignment="1" applyProtection="1">
      <alignment vertical="center"/>
    </xf>
    <xf numFmtId="195" fontId="77" fillId="2" borderId="54" xfId="82" applyNumberFormat="1" applyFont="1" applyFill="1" applyBorder="1" applyAlignment="1" applyProtection="1">
      <alignment vertical="center"/>
    </xf>
    <xf numFmtId="196" fontId="44" fillId="2" borderId="52" xfId="82" applyNumberFormat="1" applyFont="1" applyFill="1" applyBorder="1" applyAlignment="1" applyProtection="1">
      <alignment vertical="center"/>
    </xf>
    <xf numFmtId="195" fontId="79" fillId="2" borderId="26" xfId="82" applyNumberFormat="1" applyFont="1" applyFill="1" applyBorder="1" applyAlignment="1" applyProtection="1">
      <alignment vertical="center"/>
    </xf>
    <xf numFmtId="0" fontId="57" fillId="2" borderId="1" xfId="82" applyFont="1" applyFill="1" applyBorder="1" applyAlignment="1" applyProtection="1">
      <alignment vertical="center"/>
    </xf>
    <xf numFmtId="195" fontId="38" fillId="2" borderId="0" xfId="82" applyNumberFormat="1" applyFont="1" applyFill="1" applyBorder="1" applyAlignment="1" applyProtection="1">
      <alignment vertical="center"/>
    </xf>
    <xf numFmtId="195" fontId="77" fillId="2" borderId="0" xfId="82" applyNumberFormat="1" applyFont="1" applyFill="1" applyBorder="1" applyAlignment="1" applyProtection="1">
      <alignment vertical="center"/>
    </xf>
    <xf numFmtId="196" fontId="38" fillId="2" borderId="0" xfId="82" applyNumberFormat="1" applyFont="1" applyFill="1" applyBorder="1" applyAlignment="1" applyProtection="1">
      <alignment vertical="center"/>
    </xf>
    <xf numFmtId="195" fontId="43" fillId="2" borderId="0" xfId="82" applyNumberFormat="1" applyFont="1" applyFill="1" applyBorder="1" applyAlignment="1" applyProtection="1">
      <alignment vertical="center"/>
    </xf>
    <xf numFmtId="0" fontId="74" fillId="2" borderId="70" xfId="82" applyFont="1" applyFill="1" applyBorder="1" applyAlignment="1" applyProtection="1">
      <alignment vertical="center"/>
    </xf>
    <xf numFmtId="0" fontId="74" fillId="2" borderId="1" xfId="82" applyFont="1" applyFill="1" applyBorder="1" applyAlignment="1" applyProtection="1">
      <alignment vertical="center"/>
    </xf>
    <xf numFmtId="0" fontId="74" fillId="2" borderId="26" xfId="82" applyFont="1" applyFill="1" applyBorder="1" applyAlignment="1" applyProtection="1">
      <alignment vertical="center"/>
    </xf>
    <xf numFmtId="195" fontId="38" fillId="2" borderId="0" xfId="82" applyNumberFormat="1" applyFont="1" applyFill="1" applyBorder="1" applyAlignment="1" applyProtection="1">
      <alignment vertical="center" wrapText="1" shrinkToFit="1"/>
    </xf>
    <xf numFmtId="195" fontId="38" fillId="0" borderId="0" xfId="82" applyNumberFormat="1" applyFont="1" applyBorder="1" applyAlignment="1" applyProtection="1">
      <alignment vertical="center"/>
    </xf>
    <xf numFmtId="195" fontId="38" fillId="0" borderId="0" xfId="82" applyNumberFormat="1" applyFont="1" applyAlignment="1" applyProtection="1">
      <alignment vertical="center"/>
    </xf>
    <xf numFmtId="0" fontId="44" fillId="0" borderId="0" xfId="58" applyFont="1" applyProtection="1">
      <alignment vertical="center"/>
    </xf>
    <xf numFmtId="195" fontId="50" fillId="0" borderId="0" xfId="82" applyNumberFormat="1" applyFont="1" applyAlignment="1" applyProtection="1">
      <alignment vertical="center"/>
    </xf>
    <xf numFmtId="0" fontId="38" fillId="2" borderId="0" xfId="82" applyFont="1" applyFill="1" applyAlignment="1" applyProtection="1">
      <alignment horizontal="center" vertical="center"/>
    </xf>
    <xf numFmtId="0" fontId="38" fillId="2" borderId="114" xfId="82" applyFont="1" applyFill="1" applyBorder="1" applyAlignment="1" applyProtection="1">
      <alignment horizontal="center" vertical="center"/>
    </xf>
    <xf numFmtId="0" fontId="18" fillId="0" borderId="16" xfId="58" applyFont="1" applyBorder="1" applyAlignment="1" applyProtection="1"/>
    <xf numFmtId="0" fontId="38" fillId="2" borderId="88" xfId="82" applyFont="1" applyFill="1" applyBorder="1" applyAlignment="1" applyProtection="1">
      <alignment horizontal="right" vertical="center"/>
    </xf>
    <xf numFmtId="0" fontId="38" fillId="2" borderId="96" xfId="82" applyFont="1" applyFill="1" applyBorder="1" applyAlignment="1" applyProtection="1">
      <alignment horizontal="right" vertical="center"/>
    </xf>
    <xf numFmtId="0" fontId="38" fillId="2" borderId="115" xfId="82" applyFont="1" applyFill="1" applyBorder="1" applyAlignment="1" applyProtection="1">
      <alignment horizontal="right" vertical="center"/>
    </xf>
    <xf numFmtId="0" fontId="38" fillId="2" borderId="10" xfId="82" applyFont="1" applyFill="1" applyBorder="1" applyAlignment="1" applyProtection="1">
      <alignment horizontal="left" vertical="center"/>
    </xf>
    <xf numFmtId="0" fontId="38" fillId="2" borderId="118" xfId="82" applyFont="1" applyFill="1" applyBorder="1" applyAlignment="1" applyProtection="1">
      <alignment horizontal="right" vertical="center"/>
    </xf>
    <xf numFmtId="0" fontId="15" fillId="2" borderId="0" xfId="58" applyFont="1" applyFill="1" applyBorder="1" applyAlignment="1" applyProtection="1">
      <alignment horizontal="left" vertical="top" wrapText="1"/>
    </xf>
    <xf numFmtId="0" fontId="38" fillId="2" borderId="79" xfId="82" applyFont="1" applyFill="1" applyBorder="1" applyAlignment="1" applyProtection="1">
      <alignment vertical="center"/>
    </xf>
    <xf numFmtId="0" fontId="38" fillId="2" borderId="65" xfId="82" applyFont="1" applyFill="1" applyBorder="1" applyAlignment="1" applyProtection="1">
      <alignment vertical="center"/>
    </xf>
    <xf numFmtId="0" fontId="38" fillId="2" borderId="62" xfId="82" applyFont="1" applyFill="1" applyBorder="1" applyAlignment="1" applyProtection="1">
      <alignment horizontal="center" vertical="center" wrapText="1"/>
    </xf>
    <xf numFmtId="195" fontId="38" fillId="2" borderId="64" xfId="82" applyNumberFormat="1" applyFont="1" applyFill="1" applyBorder="1" applyAlignment="1" applyProtection="1">
      <alignment horizontal="center" vertical="center" wrapText="1"/>
    </xf>
    <xf numFmtId="195" fontId="38" fillId="2" borderId="114" xfId="82" applyNumberFormat="1" applyFont="1" applyFill="1" applyBorder="1" applyAlignment="1" applyProtection="1">
      <alignment horizontal="center" vertical="center" wrapText="1"/>
    </xf>
    <xf numFmtId="195" fontId="38" fillId="2" borderId="0" xfId="82" applyNumberFormat="1" applyFont="1" applyFill="1" applyBorder="1" applyAlignment="1" applyProtection="1">
      <alignment horizontal="center" vertical="center" wrapText="1"/>
    </xf>
    <xf numFmtId="0" fontId="38" fillId="2" borderId="6" xfId="82" applyFont="1" applyFill="1" applyBorder="1" applyAlignment="1" applyProtection="1">
      <alignment vertical="center" wrapText="1"/>
    </xf>
    <xf numFmtId="0" fontId="38" fillId="2" borderId="119" xfId="82" applyNumberFormat="1" applyFont="1" applyFill="1" applyBorder="1" applyAlignment="1" applyProtection="1">
      <alignment vertical="center"/>
    </xf>
    <xf numFmtId="0" fontId="38" fillId="2" borderId="120" xfId="82" applyNumberFormat="1" applyFont="1" applyFill="1" applyBorder="1" applyAlignment="1" applyProtection="1">
      <alignment vertical="center"/>
    </xf>
    <xf numFmtId="196" fontId="44" fillId="2" borderId="87" xfId="82" applyNumberFormat="1" applyFont="1" applyFill="1" applyBorder="1" applyAlignment="1" applyProtection="1">
      <alignment vertical="center"/>
    </xf>
    <xf numFmtId="196" fontId="44" fillId="2" borderId="0" xfId="82" applyNumberFormat="1" applyFont="1" applyFill="1" applyBorder="1" applyAlignment="1" applyProtection="1">
      <alignment vertical="center"/>
    </xf>
    <xf numFmtId="0" fontId="38" fillId="2" borderId="54" xfId="82" applyFont="1" applyFill="1" applyBorder="1" applyAlignment="1" applyProtection="1">
      <alignment horizontal="right" vertical="center"/>
    </xf>
    <xf numFmtId="0" fontId="38" fillId="2" borderId="17" xfId="82" applyFont="1" applyFill="1" applyBorder="1" applyAlignment="1" applyProtection="1">
      <alignment vertical="center"/>
    </xf>
    <xf numFmtId="0" fontId="38" fillId="2" borderId="121" xfId="82" applyNumberFormat="1" applyFont="1" applyFill="1" applyBorder="1" applyAlignment="1" applyProtection="1">
      <alignment vertical="center"/>
    </xf>
    <xf numFmtId="196" fontId="80" fillId="2" borderId="122" xfId="82" applyNumberFormat="1" applyFont="1" applyFill="1" applyBorder="1" applyAlignment="1" applyProtection="1">
      <alignment vertical="center"/>
    </xf>
    <xf numFmtId="196" fontId="80" fillId="2" borderId="0" xfId="82" applyNumberFormat="1" applyFont="1" applyFill="1" applyBorder="1" applyAlignment="1" applyProtection="1">
      <alignment vertical="center"/>
    </xf>
    <xf numFmtId="0" fontId="38" fillId="2" borderId="20" xfId="82" applyFont="1" applyFill="1" applyBorder="1" applyAlignment="1" applyProtection="1">
      <alignment vertical="center"/>
    </xf>
    <xf numFmtId="0" fontId="38" fillId="5" borderId="76" xfId="82" applyFont="1" applyFill="1" applyBorder="1" applyAlignment="1" applyProtection="1">
      <alignment horizontal="center" vertical="center"/>
    </xf>
    <xf numFmtId="0" fontId="38" fillId="2" borderId="123" xfId="82" applyNumberFormat="1" applyFont="1" applyFill="1" applyBorder="1" applyAlignment="1" applyProtection="1">
      <alignment vertical="center"/>
    </xf>
    <xf numFmtId="196" fontId="80" fillId="2" borderId="0" xfId="82" applyNumberFormat="1" applyFont="1" applyFill="1" applyBorder="1" applyAlignment="1" applyProtection="1">
      <alignment horizontal="right" vertical="center"/>
    </xf>
    <xf numFmtId="0" fontId="43" fillId="2" borderId="0" xfId="82" applyFont="1" applyFill="1" applyBorder="1" applyAlignment="1" applyProtection="1">
      <alignment horizontal="left" vertical="center"/>
    </xf>
    <xf numFmtId="0" fontId="38" fillId="2" borderId="19" xfId="82" applyFont="1" applyFill="1" applyBorder="1" applyAlignment="1" applyProtection="1">
      <alignment vertical="center"/>
    </xf>
    <xf numFmtId="0" fontId="38" fillId="5" borderId="50" xfId="82" applyFont="1" applyFill="1" applyBorder="1" applyAlignment="1" applyProtection="1">
      <alignment horizontal="center" vertical="center"/>
    </xf>
    <xf numFmtId="0" fontId="38" fillId="2" borderId="125" xfId="82" applyNumberFormat="1" applyFont="1" applyFill="1" applyBorder="1" applyAlignment="1" applyProtection="1">
      <alignment vertical="center"/>
    </xf>
    <xf numFmtId="0" fontId="15" fillId="2" borderId="24" xfId="58" applyFont="1" applyFill="1" applyBorder="1" applyAlignment="1" applyProtection="1">
      <alignment horizontal="left" vertical="center"/>
    </xf>
    <xf numFmtId="0" fontId="38" fillId="5" borderId="17" xfId="82" applyFont="1" applyFill="1" applyBorder="1" applyAlignment="1" applyProtection="1">
      <alignment horizontal="center" vertical="center"/>
    </xf>
    <xf numFmtId="0" fontId="38" fillId="2" borderId="77" xfId="82" applyNumberFormat="1" applyFont="1" applyFill="1" applyBorder="1" applyAlignment="1" applyProtection="1">
      <alignment vertical="center"/>
    </xf>
    <xf numFmtId="196" fontId="38" fillId="2" borderId="115" xfId="82" applyNumberFormat="1" applyFont="1" applyFill="1" applyBorder="1" applyAlignment="1" applyProtection="1">
      <alignment vertical="center"/>
    </xf>
    <xf numFmtId="0" fontId="15" fillId="2" borderId="128" xfId="58" applyFont="1" applyFill="1" applyBorder="1" applyAlignment="1" applyProtection="1">
      <alignment horizontal="left" vertical="center"/>
    </xf>
    <xf numFmtId="195" fontId="38" fillId="5" borderId="75" xfId="82" applyNumberFormat="1" applyFont="1" applyFill="1" applyBorder="1" applyAlignment="1" applyProtection="1">
      <alignment horizontal="right" vertical="center"/>
    </xf>
    <xf numFmtId="0" fontId="15" fillId="2" borderId="75" xfId="58" applyFont="1" applyFill="1" applyBorder="1" applyAlignment="1" applyProtection="1">
      <alignment horizontal="left" vertical="center"/>
    </xf>
    <xf numFmtId="0" fontId="38" fillId="5" borderId="20" xfId="82" applyFont="1" applyFill="1" applyBorder="1" applyAlignment="1" applyProtection="1">
      <alignment horizontal="center" vertical="center"/>
    </xf>
    <xf numFmtId="0" fontId="38" fillId="2" borderId="129" xfId="82" applyNumberFormat="1" applyFont="1" applyFill="1" applyBorder="1" applyAlignment="1" applyProtection="1">
      <alignment vertical="center"/>
    </xf>
    <xf numFmtId="0" fontId="15" fillId="2" borderId="77" xfId="58" applyFont="1" applyFill="1" applyBorder="1" applyAlignment="1" applyProtection="1">
      <alignment horizontal="left" vertical="center"/>
    </xf>
    <xf numFmtId="0" fontId="15" fillId="2" borderId="130" xfId="58" applyFont="1" applyFill="1" applyBorder="1" applyAlignment="1" applyProtection="1">
      <alignment horizontal="center" vertical="center"/>
    </xf>
    <xf numFmtId="0" fontId="15" fillId="2" borderId="132" xfId="58" applyFont="1" applyFill="1" applyBorder="1" applyAlignment="1" applyProtection="1">
      <alignment horizontal="center" vertical="center"/>
    </xf>
    <xf numFmtId="197" fontId="38" fillId="2" borderId="115" xfId="82" applyNumberFormat="1" applyFont="1" applyFill="1" applyBorder="1" applyAlignment="1" applyProtection="1">
      <alignment vertical="center"/>
    </xf>
    <xf numFmtId="197" fontId="38" fillId="2" borderId="0" xfId="82" applyNumberFormat="1" applyFont="1" applyFill="1" applyBorder="1" applyAlignment="1" applyProtection="1">
      <alignment vertical="center"/>
    </xf>
    <xf numFmtId="0" fontId="15" fillId="2" borderId="133" xfId="58" applyFont="1" applyFill="1" applyBorder="1" applyAlignment="1" applyProtection="1">
      <alignment horizontal="center" vertical="center"/>
    </xf>
    <xf numFmtId="0" fontId="15" fillId="2" borderId="31" xfId="58" applyFont="1" applyFill="1" applyBorder="1" applyAlignment="1" applyProtection="1">
      <alignment horizontal="left" vertical="center"/>
    </xf>
    <xf numFmtId="0" fontId="38" fillId="5" borderId="19" xfId="82" applyFont="1" applyFill="1" applyBorder="1" applyAlignment="1" applyProtection="1">
      <alignment horizontal="center" vertical="center"/>
    </xf>
    <xf numFmtId="186" fontId="38" fillId="5" borderId="30" xfId="82" applyNumberFormat="1" applyFont="1" applyFill="1" applyBorder="1" applyAlignment="1" applyProtection="1">
      <alignment horizontal="right" vertical="center"/>
    </xf>
    <xf numFmtId="197" fontId="38" fillId="2" borderId="134" xfId="82" applyNumberFormat="1" applyFont="1" applyFill="1" applyBorder="1" applyAlignment="1" applyProtection="1">
      <alignment vertical="center"/>
    </xf>
    <xf numFmtId="0" fontId="44" fillId="2" borderId="111" xfId="82" applyFont="1" applyFill="1" applyBorder="1" applyAlignment="1" applyProtection="1">
      <alignment horizontal="left" vertical="center"/>
    </xf>
    <xf numFmtId="0" fontId="44" fillId="2" borderId="135" xfId="82" applyFont="1" applyFill="1" applyBorder="1" applyAlignment="1" applyProtection="1">
      <alignment horizontal="left" vertical="center"/>
    </xf>
    <xf numFmtId="0" fontId="38" fillId="2" borderId="136" xfId="82" applyNumberFormat="1" applyFont="1" applyFill="1" applyBorder="1" applyAlignment="1" applyProtection="1">
      <alignment vertical="center"/>
    </xf>
    <xf numFmtId="196" fontId="38" fillId="2" borderId="137" xfId="82" applyNumberFormat="1" applyFont="1" applyFill="1" applyBorder="1" applyAlignment="1" applyProtection="1">
      <alignment vertical="center"/>
    </xf>
    <xf numFmtId="0" fontId="44" fillId="2" borderId="42" xfId="82" applyFont="1" applyFill="1" applyBorder="1" applyAlignment="1" applyProtection="1">
      <alignment vertical="center"/>
    </xf>
    <xf numFmtId="0" fontId="38" fillId="2" borderId="28" xfId="82" applyFont="1" applyFill="1" applyBorder="1" applyAlignment="1" applyProtection="1">
      <alignment vertical="center"/>
    </xf>
    <xf numFmtId="195" fontId="38" fillId="2" borderId="28" xfId="82" applyNumberFormat="1" applyFont="1" applyFill="1" applyBorder="1" applyAlignment="1" applyProtection="1">
      <alignment vertical="center"/>
    </xf>
    <xf numFmtId="196" fontId="44" fillId="2" borderId="113" xfId="82" applyNumberFormat="1" applyFont="1" applyFill="1" applyBorder="1" applyAlignment="1" applyProtection="1">
      <alignment vertical="center"/>
    </xf>
    <xf numFmtId="0" fontId="78" fillId="2" borderId="26" xfId="82" applyFont="1" applyFill="1" applyBorder="1" applyAlignment="1" applyProtection="1">
      <alignment vertical="center"/>
    </xf>
    <xf numFmtId="195" fontId="57" fillId="2" borderId="1" xfId="82" applyNumberFormat="1" applyFont="1" applyFill="1" applyBorder="1" applyAlignment="1" applyProtection="1">
      <alignment vertical="center"/>
    </xf>
    <xf numFmtId="196" fontId="74" fillId="2" borderId="32" xfId="82" applyNumberFormat="1" applyFont="1" applyFill="1" applyBorder="1" applyAlignment="1" applyProtection="1">
      <alignment vertical="center"/>
    </xf>
    <xf numFmtId="196" fontId="74" fillId="2" borderId="0" xfId="82" applyNumberFormat="1" applyFont="1" applyFill="1" applyBorder="1" applyAlignment="1" applyProtection="1">
      <alignment vertical="center"/>
    </xf>
    <xf numFmtId="0" fontId="81" fillId="2" borderId="0" xfId="82" applyFont="1" applyFill="1" applyBorder="1" applyAlignment="1" applyProtection="1">
      <alignment vertical="center"/>
    </xf>
    <xf numFmtId="0" fontId="73" fillId="2" borderId="0" xfId="82" applyFont="1" applyFill="1" applyBorder="1" applyAlignment="1" applyProtection="1">
      <alignment vertical="center"/>
    </xf>
    <xf numFmtId="0" fontId="42" fillId="2" borderId="0" xfId="82" applyFont="1" applyFill="1" applyBorder="1" applyAlignment="1" applyProtection="1">
      <alignment vertical="center"/>
    </xf>
    <xf numFmtId="195" fontId="42" fillId="2" borderId="0" xfId="82" applyNumberFormat="1" applyFont="1" applyFill="1" applyBorder="1" applyAlignment="1" applyProtection="1">
      <alignment vertical="center"/>
    </xf>
    <xf numFmtId="196" fontId="82" fillId="2" borderId="0" xfId="82" applyNumberFormat="1" applyFont="1" applyFill="1" applyBorder="1" applyAlignment="1" applyProtection="1">
      <alignment vertical="center"/>
    </xf>
    <xf numFmtId="195" fontId="57" fillId="2" borderId="25" xfId="82" applyNumberFormat="1" applyFont="1" applyFill="1" applyBorder="1" applyAlignment="1" applyProtection="1">
      <alignment vertical="center"/>
    </xf>
    <xf numFmtId="0" fontId="15" fillId="2" borderId="126" xfId="58" applyFont="1" applyFill="1" applyBorder="1" applyAlignment="1" applyProtection="1">
      <alignment horizontal="center" vertical="center"/>
    </xf>
    <xf numFmtId="0" fontId="15" fillId="2" borderId="127" xfId="58" applyFont="1" applyFill="1" applyBorder="1" applyAlignment="1" applyProtection="1">
      <alignment horizontal="center" vertical="center"/>
    </xf>
    <xf numFmtId="0" fontId="38" fillId="2" borderId="110" xfId="82" applyFont="1" applyFill="1" applyBorder="1" applyAlignment="1" applyProtection="1">
      <alignment horizontal="center" vertical="center"/>
    </xf>
    <xf numFmtId="0" fontId="38" fillId="2" borderId="13" xfId="82" applyFont="1" applyFill="1" applyBorder="1" applyAlignment="1" applyProtection="1">
      <alignment horizontal="center" vertical="center"/>
    </xf>
    <xf numFmtId="0" fontId="38" fillId="2" borderId="9" xfId="82" applyFont="1" applyFill="1" applyBorder="1" applyAlignment="1" applyProtection="1">
      <alignment horizontal="center" vertical="center"/>
    </xf>
    <xf numFmtId="0" fontId="38" fillId="2" borderId="3" xfId="82" applyFont="1" applyFill="1" applyBorder="1" applyAlignment="1" applyProtection="1">
      <alignment horizontal="center" vertical="center"/>
    </xf>
    <xf numFmtId="0" fontId="38" fillId="2" borderId="15" xfId="82" applyFont="1" applyFill="1" applyBorder="1" applyAlignment="1" applyProtection="1">
      <alignment horizontal="center" vertical="center"/>
    </xf>
    <xf numFmtId="0" fontId="57" fillId="2" borderId="0" xfId="82" applyFont="1" applyFill="1" applyAlignment="1" applyProtection="1">
      <alignment horizontal="center" vertical="center" shrinkToFit="1"/>
    </xf>
    <xf numFmtId="0" fontId="38" fillId="0" borderId="32" xfId="82" applyFont="1" applyBorder="1" applyAlignment="1" applyProtection="1">
      <alignment horizontal="center" vertical="center" wrapText="1"/>
    </xf>
    <xf numFmtId="0" fontId="44" fillId="0" borderId="16" xfId="58" applyFont="1" applyBorder="1" applyAlignment="1" applyProtection="1"/>
    <xf numFmtId="195" fontId="38" fillId="2" borderId="80" xfId="82" applyNumberFormat="1" applyFont="1" applyFill="1" applyBorder="1" applyAlignment="1" applyProtection="1">
      <alignment horizontal="right" vertical="center"/>
    </xf>
    <xf numFmtId="0" fontId="38" fillId="2" borderId="13" xfId="82" applyFont="1" applyFill="1" applyBorder="1" applyAlignment="1" applyProtection="1">
      <alignment horizontal="left" vertical="center"/>
    </xf>
    <xf numFmtId="0" fontId="38" fillId="2" borderId="154" xfId="82" applyFont="1" applyFill="1" applyBorder="1" applyAlignment="1" applyProtection="1">
      <alignment horizontal="right" vertical="center"/>
    </xf>
    <xf numFmtId="0" fontId="38" fillId="2" borderId="155" xfId="82" applyFont="1" applyFill="1" applyBorder="1" applyAlignment="1" applyProtection="1">
      <alignment horizontal="right" vertical="center"/>
    </xf>
    <xf numFmtId="0" fontId="38" fillId="2" borderId="74" xfId="82" applyFont="1" applyFill="1" applyBorder="1" applyAlignment="1" applyProtection="1">
      <alignment horizontal="left" vertical="center"/>
    </xf>
    <xf numFmtId="0" fontId="38" fillId="2" borderId="75" xfId="82" applyFont="1" applyFill="1" applyBorder="1" applyAlignment="1" applyProtection="1">
      <alignment horizontal="left" vertical="center"/>
    </xf>
    <xf numFmtId="0" fontId="38" fillId="2" borderId="168" xfId="82" applyFont="1" applyFill="1" applyBorder="1" applyAlignment="1" applyProtection="1">
      <alignment horizontal="right" vertical="center"/>
    </xf>
    <xf numFmtId="0" fontId="38" fillId="2" borderId="0" xfId="82" applyFont="1" applyFill="1" applyBorder="1" applyAlignment="1" applyProtection="1">
      <alignment horizontal="center" vertical="top" wrapText="1"/>
    </xf>
    <xf numFmtId="195" fontId="38" fillId="2" borderId="48" xfId="82" applyNumberFormat="1" applyFont="1" applyFill="1" applyBorder="1" applyAlignment="1" applyProtection="1">
      <alignment horizontal="center" vertical="center" wrapText="1"/>
    </xf>
    <xf numFmtId="0" fontId="38" fillId="2" borderId="6" xfId="82" applyFont="1" applyFill="1" applyBorder="1" applyAlignment="1" applyProtection="1">
      <alignment vertical="center"/>
    </xf>
    <xf numFmtId="0" fontId="38" fillId="2" borderId="7" xfId="82" applyFont="1" applyFill="1" applyBorder="1" applyAlignment="1" applyProtection="1">
      <alignment vertical="center"/>
    </xf>
    <xf numFmtId="195" fontId="38" fillId="2" borderId="41" xfId="82" applyNumberFormat="1" applyFont="1" applyFill="1" applyBorder="1" applyAlignment="1" applyProtection="1">
      <alignment vertical="center"/>
    </xf>
    <xf numFmtId="195" fontId="38" fillId="2" borderId="110" xfId="82" applyNumberFormat="1" applyFont="1" applyFill="1" applyBorder="1" applyAlignment="1" applyProtection="1">
      <alignment vertical="center"/>
    </xf>
    <xf numFmtId="196" fontId="75" fillId="2" borderId="41" xfId="82" applyNumberFormat="1" applyFont="1" applyFill="1" applyBorder="1" applyAlignment="1" applyProtection="1">
      <alignment vertical="center"/>
    </xf>
    <xf numFmtId="0" fontId="38" fillId="2" borderId="29" xfId="82" applyFont="1" applyFill="1" applyBorder="1" applyAlignment="1" applyProtection="1">
      <alignment vertical="center"/>
    </xf>
    <xf numFmtId="196" fontId="73" fillId="2" borderId="156" xfId="82" applyNumberFormat="1" applyFont="1" applyFill="1" applyBorder="1" applyAlignment="1" applyProtection="1">
      <alignment vertical="center"/>
    </xf>
    <xf numFmtId="0" fontId="38" fillId="5" borderId="44" xfId="82" applyFont="1" applyFill="1" applyBorder="1" applyAlignment="1" applyProtection="1">
      <alignment horizontal="center" vertical="center"/>
    </xf>
    <xf numFmtId="0" fontId="38" fillId="2" borderId="5" xfId="82" applyFont="1" applyFill="1" applyBorder="1" applyAlignment="1" applyProtection="1">
      <alignment vertical="center"/>
    </xf>
    <xf numFmtId="195" fontId="38" fillId="2" borderId="56" xfId="82" applyNumberFormat="1" applyFont="1" applyFill="1" applyBorder="1" applyAlignment="1" applyProtection="1">
      <alignment horizontal="right" vertical="center"/>
    </xf>
    <xf numFmtId="195" fontId="43" fillId="2" borderId="48" xfId="82" applyNumberFormat="1" applyFont="1" applyFill="1" applyBorder="1" applyAlignment="1" applyProtection="1">
      <alignment vertical="center"/>
    </xf>
    <xf numFmtId="0" fontId="38" fillId="5" borderId="16" xfId="82" applyFont="1" applyFill="1" applyBorder="1" applyAlignment="1" applyProtection="1">
      <alignment horizontal="center" vertical="center"/>
    </xf>
    <xf numFmtId="195" fontId="38" fillId="5" borderId="32" xfId="82" applyNumberFormat="1" applyFont="1" applyFill="1" applyBorder="1" applyAlignment="1" applyProtection="1">
      <alignment horizontal="right" vertical="center"/>
    </xf>
    <xf numFmtId="197" fontId="38" fillId="2" borderId="48" xfId="82" applyNumberFormat="1" applyFont="1" applyFill="1" applyBorder="1" applyAlignment="1" applyProtection="1">
      <alignment vertical="center"/>
    </xf>
    <xf numFmtId="0" fontId="38" fillId="2" borderId="158" xfId="82" applyFont="1" applyFill="1" applyBorder="1" applyAlignment="1" applyProtection="1">
      <alignment horizontal="left" vertical="center"/>
    </xf>
    <xf numFmtId="0" fontId="38" fillId="2" borderId="159" xfId="82" applyFont="1" applyFill="1" applyBorder="1" applyAlignment="1" applyProtection="1">
      <alignment horizontal="left" vertical="center"/>
    </xf>
    <xf numFmtId="196" fontId="38" fillId="2" borderId="160" xfId="82" applyNumberFormat="1" applyFont="1" applyFill="1" applyBorder="1" applyAlignment="1" applyProtection="1">
      <alignment vertical="center"/>
    </xf>
    <xf numFmtId="195" fontId="38" fillId="2" borderId="52" xfId="82" applyNumberFormat="1" applyFont="1" applyFill="1" applyBorder="1" applyAlignment="1" applyProtection="1">
      <alignment vertical="center"/>
    </xf>
    <xf numFmtId="196" fontId="74" fillId="2" borderId="25" xfId="82" applyNumberFormat="1" applyFont="1" applyFill="1" applyBorder="1" applyAlignment="1" applyProtection="1">
      <alignment vertical="center"/>
    </xf>
    <xf numFmtId="0" fontId="74" fillId="2" borderId="72" xfId="82" applyFont="1" applyFill="1" applyBorder="1" applyAlignment="1" applyProtection="1">
      <alignment vertical="center"/>
    </xf>
    <xf numFmtId="0" fontId="57" fillId="2" borderId="0" xfId="82" applyFont="1" applyFill="1" applyBorder="1" applyAlignment="1" applyProtection="1">
      <alignment horizontal="center" vertical="center" shrinkToFit="1"/>
    </xf>
    <xf numFmtId="0" fontId="38" fillId="2" borderId="0" xfId="82" applyFont="1" applyFill="1" applyBorder="1" applyAlignment="1" applyProtection="1">
      <alignment horizontal="right" vertical="center"/>
    </xf>
    <xf numFmtId="195" fontId="38" fillId="2" borderId="0" xfId="82" applyNumberFormat="1" applyFont="1" applyFill="1" applyBorder="1" applyAlignment="1" applyProtection="1">
      <alignment horizontal="right" vertical="center" shrinkToFit="1"/>
    </xf>
    <xf numFmtId="0" fontId="38" fillId="4" borderId="32" xfId="82" applyFont="1" applyFill="1" applyBorder="1" applyAlignment="1" applyProtection="1">
      <alignment horizontal="center" vertical="center"/>
      <protection locked="0"/>
    </xf>
    <xf numFmtId="0" fontId="38" fillId="3" borderId="32" xfId="82" applyFont="1" applyFill="1" applyBorder="1" applyAlignment="1" applyProtection="1">
      <alignment horizontal="center" vertical="center"/>
      <protection locked="0"/>
    </xf>
    <xf numFmtId="195" fontId="42" fillId="2" borderId="0" xfId="82" applyNumberFormat="1" applyFont="1" applyFill="1" applyBorder="1" applyAlignment="1" applyProtection="1">
      <alignment vertical="center" wrapText="1" shrinkToFit="1"/>
    </xf>
    <xf numFmtId="0" fontId="72" fillId="2" borderId="0" xfId="82" applyFont="1" applyFill="1" applyAlignment="1" applyProtection="1">
      <alignment vertical="center"/>
    </xf>
    <xf numFmtId="0" fontId="38" fillId="2" borderId="0" xfId="82" applyFont="1" applyFill="1" applyBorder="1" applyAlignment="1" applyProtection="1">
      <alignment horizontal="center" vertical="center" wrapText="1"/>
    </xf>
    <xf numFmtId="0" fontId="15" fillId="2" borderId="29" xfId="58" applyFont="1" applyFill="1" applyBorder="1" applyProtection="1">
      <alignment vertical="center"/>
    </xf>
    <xf numFmtId="195" fontId="38" fillId="2" borderId="32" xfId="82" applyNumberFormat="1" applyFont="1" applyFill="1" applyBorder="1" applyAlignment="1" applyProtection="1">
      <alignment horizontal="right" vertical="center"/>
    </xf>
    <xf numFmtId="0" fontId="15" fillId="2" borderId="44" xfId="58" applyFont="1" applyFill="1" applyBorder="1" applyProtection="1">
      <alignment vertical="center"/>
    </xf>
    <xf numFmtId="0" fontId="43" fillId="0" borderId="0" xfId="82" applyFont="1" applyBorder="1" applyAlignment="1" applyProtection="1">
      <alignment horizontal="left" vertical="center"/>
    </xf>
    <xf numFmtId="0" fontId="38" fillId="5" borderId="145" xfId="82" applyFont="1" applyFill="1" applyBorder="1" applyAlignment="1" applyProtection="1">
      <alignment horizontal="center" vertical="center"/>
    </xf>
    <xf numFmtId="195" fontId="38" fillId="5" borderId="151" xfId="82" applyNumberFormat="1" applyFont="1" applyFill="1" applyBorder="1" applyAlignment="1" applyProtection="1">
      <alignment horizontal="right" vertical="center"/>
    </xf>
    <xf numFmtId="0" fontId="38" fillId="2" borderId="4" xfId="82" applyFont="1" applyFill="1" applyBorder="1" applyAlignment="1" applyProtection="1">
      <alignment vertical="center"/>
    </xf>
    <xf numFmtId="0" fontId="38" fillId="2" borderId="158" xfId="82" applyFont="1" applyFill="1" applyBorder="1" applyAlignment="1" applyProtection="1">
      <alignment vertical="center"/>
    </xf>
    <xf numFmtId="0" fontId="38" fillId="2" borderId="159" xfId="82" applyFont="1" applyFill="1" applyBorder="1" applyAlignment="1" applyProtection="1">
      <alignment vertical="center"/>
    </xf>
    <xf numFmtId="0" fontId="38" fillId="2" borderId="164" xfId="82" applyFont="1" applyFill="1" applyBorder="1" applyAlignment="1" applyProtection="1">
      <alignment vertical="center"/>
    </xf>
    <xf numFmtId="195" fontId="38" fillId="2" borderId="160" xfId="82" applyNumberFormat="1" applyFont="1" applyFill="1" applyBorder="1" applyAlignment="1" applyProtection="1">
      <alignment horizontal="right" vertical="center"/>
    </xf>
    <xf numFmtId="195" fontId="38" fillId="2" borderId="112" xfId="82" applyNumberFormat="1" applyFont="1" applyFill="1" applyBorder="1" applyAlignment="1" applyProtection="1">
      <alignment vertical="center"/>
    </xf>
    <xf numFmtId="0" fontId="30" fillId="2" borderId="1" xfId="82" applyFont="1" applyFill="1" applyBorder="1" applyAlignment="1" applyProtection="1">
      <alignment vertical="center"/>
    </xf>
    <xf numFmtId="0" fontId="15" fillId="0" borderId="16"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38" fillId="2" borderId="161" xfId="82" applyFont="1" applyFill="1" applyBorder="1" applyAlignment="1" applyProtection="1">
      <alignment vertical="center"/>
    </xf>
    <xf numFmtId="195" fontId="38" fillId="2" borderId="150" xfId="82" applyNumberFormat="1" applyFont="1" applyFill="1" applyBorder="1" applyAlignment="1" applyProtection="1">
      <alignment horizontal="right" vertical="center"/>
    </xf>
    <xf numFmtId="199" fontId="77" fillId="2" borderId="111" xfId="82" applyNumberFormat="1" applyFont="1" applyFill="1" applyBorder="1" applyAlignment="1" applyProtection="1">
      <alignment vertical="center"/>
    </xf>
    <xf numFmtId="196" fontId="73" fillId="2" borderId="150" xfId="82" applyNumberFormat="1" applyFont="1" applyFill="1" applyBorder="1" applyAlignment="1" applyProtection="1">
      <alignment vertical="center"/>
    </xf>
    <xf numFmtId="0" fontId="57" fillId="2" borderId="1" xfId="82" applyFont="1" applyFill="1" applyBorder="1" applyAlignment="1" applyProtection="1">
      <alignment horizontal="left" vertical="center"/>
    </xf>
    <xf numFmtId="195" fontId="57" fillId="2" borderId="25" xfId="82" applyNumberFormat="1" applyFont="1" applyFill="1" applyBorder="1" applyAlignment="1" applyProtection="1">
      <alignment horizontal="left" vertical="center"/>
    </xf>
    <xf numFmtId="195" fontId="78" fillId="2" borderId="32" xfId="82" applyNumberFormat="1" applyFont="1" applyFill="1" applyBorder="1" applyAlignment="1" applyProtection="1">
      <alignment vertical="center"/>
    </xf>
    <xf numFmtId="0" fontId="74" fillId="2" borderId="0" xfId="82" applyFont="1" applyFill="1" applyBorder="1" applyAlignment="1" applyProtection="1">
      <alignment horizontal="left" vertical="center"/>
    </xf>
    <xf numFmtId="198" fontId="77" fillId="2" borderId="0" xfId="82" applyNumberFormat="1" applyFont="1" applyFill="1" applyBorder="1" applyAlignment="1" applyProtection="1">
      <alignment vertical="center"/>
    </xf>
    <xf numFmtId="195" fontId="78" fillId="2" borderId="0" xfId="82" applyNumberFormat="1" applyFont="1" applyFill="1" applyBorder="1" applyAlignment="1" applyProtection="1">
      <alignment vertical="center"/>
    </xf>
    <xf numFmtId="0" fontId="38" fillId="5" borderId="127" xfId="82" applyFont="1" applyFill="1" applyBorder="1" applyAlignment="1" applyProtection="1">
      <alignment horizontal="center" vertical="center"/>
    </xf>
    <xf numFmtId="0" fontId="38" fillId="5" borderId="36" xfId="82" applyFont="1" applyFill="1" applyBorder="1" applyAlignment="1" applyProtection="1">
      <alignment horizontal="center" vertical="center"/>
    </xf>
    <xf numFmtId="0" fontId="5" fillId="2" borderId="0" xfId="86" applyFill="1" applyBorder="1" applyAlignment="1" applyProtection="1">
      <alignment horizontal="right" vertical="center"/>
    </xf>
    <xf numFmtId="0" fontId="10" fillId="2" borderId="0" xfId="58" applyFont="1" applyFill="1" applyBorder="1" applyAlignment="1" applyProtection="1">
      <alignment horizontal="left" vertical="center"/>
    </xf>
    <xf numFmtId="0" fontId="55" fillId="2" borderId="0" xfId="58" applyFont="1" applyFill="1" applyBorder="1" applyAlignment="1" applyProtection="1">
      <alignment horizontal="left" vertical="center"/>
    </xf>
    <xf numFmtId="0" fontId="38" fillId="2" borderId="0" xfId="82" applyFont="1" applyFill="1" applyBorder="1" applyAlignment="1" applyProtection="1">
      <alignment vertical="center"/>
    </xf>
    <xf numFmtId="0" fontId="17" fillId="3" borderId="93" xfId="0" applyFont="1" applyFill="1" applyBorder="1" applyAlignment="1" applyProtection="1">
      <alignment horizontal="center" vertical="center" shrinkToFit="1"/>
      <protection locked="0"/>
    </xf>
    <xf numFmtId="0" fontId="17" fillId="4" borderId="16" xfId="0" applyFont="1" applyFill="1" applyBorder="1" applyAlignment="1" applyProtection="1">
      <alignment horizontal="center" vertical="center" shrinkToFit="1"/>
      <protection locked="0"/>
    </xf>
    <xf numFmtId="0" fontId="17" fillId="2" borderId="38" xfId="0" applyFont="1" applyFill="1" applyBorder="1" applyAlignment="1" applyProtection="1">
      <alignment horizontal="center" vertical="center" shrinkToFit="1"/>
    </xf>
    <xf numFmtId="0" fontId="20" fillId="2" borderId="38" xfId="0" applyFont="1" applyFill="1" applyBorder="1" applyAlignment="1" applyProtection="1">
      <alignment horizontal="center" vertical="center" shrinkToFit="1"/>
    </xf>
    <xf numFmtId="0" fontId="17" fillId="2" borderId="0" xfId="0" applyFont="1" applyFill="1" applyAlignment="1" applyProtection="1">
      <alignment vertical="center" shrinkToFit="1"/>
    </xf>
    <xf numFmtId="0" fontId="17" fillId="0" borderId="0" xfId="0" applyFont="1" applyAlignment="1" applyProtection="1">
      <alignment vertical="center" shrinkToFit="1"/>
    </xf>
    <xf numFmtId="185" fontId="17" fillId="0" borderId="16" xfId="0" applyNumberFormat="1" applyFont="1" applyBorder="1" applyAlignment="1" applyProtection="1">
      <alignment vertical="center" shrinkToFit="1"/>
    </xf>
    <xf numFmtId="0" fontId="17" fillId="0" borderId="4" xfId="0" applyFont="1" applyBorder="1" applyAlignment="1" applyProtection="1">
      <alignment vertical="center" shrinkToFit="1"/>
    </xf>
    <xf numFmtId="0" fontId="17" fillId="0" borderId="14" xfId="0" applyFont="1" applyBorder="1" applyAlignment="1" applyProtection="1">
      <alignment vertical="center" shrinkToFit="1"/>
    </xf>
    <xf numFmtId="0" fontId="17" fillId="0" borderId="16" xfId="0" applyFont="1" applyBorder="1" applyAlignment="1" applyProtection="1">
      <alignment vertical="center" shrinkToFit="1"/>
    </xf>
    <xf numFmtId="0" fontId="0" fillId="0" borderId="16" xfId="0" applyBorder="1" applyAlignment="1" applyProtection="1">
      <alignment vertical="center"/>
    </xf>
    <xf numFmtId="177" fontId="19" fillId="2" borderId="32" xfId="0" applyNumberFormat="1" applyFont="1" applyFill="1" applyBorder="1" applyAlignment="1" applyProtection="1">
      <alignment horizontal="center" vertical="center" wrapText="1" shrinkToFit="1"/>
    </xf>
    <xf numFmtId="0" fontId="17" fillId="2" borderId="15" xfId="0" applyFont="1" applyFill="1" applyBorder="1" applyAlignment="1" applyProtection="1">
      <alignment horizontal="center" vertical="center" wrapText="1" shrinkToFit="1"/>
    </xf>
    <xf numFmtId="0" fontId="17" fillId="2" borderId="114" xfId="0" applyFont="1" applyFill="1" applyBorder="1" applyAlignment="1" applyProtection="1">
      <alignment horizontal="center" vertical="center" wrapText="1" shrinkToFit="1"/>
    </xf>
    <xf numFmtId="0" fontId="17" fillId="2" borderId="88" xfId="0" applyFont="1" applyFill="1" applyBorder="1" applyAlignment="1" applyProtection="1">
      <alignment horizontal="center" vertical="center" wrapText="1" shrinkToFit="1"/>
    </xf>
    <xf numFmtId="0" fontId="5" fillId="2" borderId="0" xfId="86" applyFill="1" applyProtection="1"/>
    <xf numFmtId="0" fontId="85" fillId="0" borderId="0" xfId="87" applyFont="1" applyAlignment="1" applyProtection="1">
      <alignment horizontal="center" vertical="center"/>
    </xf>
    <xf numFmtId="0" fontId="5" fillId="0" borderId="0" xfId="86" applyProtection="1"/>
    <xf numFmtId="38" fontId="5" fillId="2" borderId="0" xfId="86" applyNumberFormat="1" applyFill="1" applyAlignment="1" applyProtection="1">
      <alignment horizontal="right"/>
    </xf>
    <xf numFmtId="0" fontId="61" fillId="2" borderId="0" xfId="86" applyFont="1" applyFill="1" applyProtection="1"/>
    <xf numFmtId="14" fontId="5" fillId="2" borderId="0" xfId="86" applyNumberFormat="1" applyFill="1" applyAlignment="1" applyProtection="1">
      <alignment horizontal="right"/>
    </xf>
    <xf numFmtId="201" fontId="5" fillId="2" borderId="0" xfId="86" applyNumberFormat="1" applyFill="1" applyAlignment="1" applyProtection="1">
      <alignment horizontal="right"/>
    </xf>
    <xf numFmtId="0" fontId="9" fillId="2" borderId="172" xfId="86" applyFont="1" applyFill="1" applyBorder="1" applyAlignment="1" applyProtection="1">
      <alignment horizontal="center" vertical="center"/>
    </xf>
    <xf numFmtId="0" fontId="9" fillId="2" borderId="173" xfId="86" applyFont="1" applyFill="1" applyBorder="1" applyAlignment="1" applyProtection="1">
      <alignment horizontal="center" vertical="center"/>
    </xf>
    <xf numFmtId="0" fontId="9" fillId="2" borderId="174" xfId="86" applyFont="1" applyFill="1" applyBorder="1" applyAlignment="1" applyProtection="1">
      <alignment horizontal="center" vertical="center" wrapText="1"/>
    </xf>
    <xf numFmtId="0" fontId="5" fillId="11" borderId="177" xfId="86" applyFill="1" applyBorder="1" applyAlignment="1" applyProtection="1">
      <alignment vertical="center"/>
    </xf>
    <xf numFmtId="0" fontId="5" fillId="2" borderId="176" xfId="86" applyFill="1" applyBorder="1" applyAlignment="1" applyProtection="1">
      <alignment horizontal="center" vertical="center"/>
    </xf>
    <xf numFmtId="0" fontId="5" fillId="2" borderId="175" xfId="86" applyFill="1" applyBorder="1" applyAlignment="1" applyProtection="1">
      <alignment horizontal="center" vertical="center"/>
    </xf>
    <xf numFmtId="0" fontId="5" fillId="2" borderId="22" xfId="86" applyFill="1" applyBorder="1" applyAlignment="1" applyProtection="1">
      <alignment vertical="center"/>
    </xf>
    <xf numFmtId="0" fontId="62" fillId="2" borderId="35" xfId="86" applyFont="1" applyFill="1" applyBorder="1" applyAlignment="1" applyProtection="1">
      <alignment vertical="center" shrinkToFit="1"/>
    </xf>
    <xf numFmtId="0" fontId="62" fillId="2" borderId="35" xfId="86" applyFont="1" applyFill="1" applyBorder="1" applyAlignment="1" applyProtection="1">
      <alignment vertical="center" wrapText="1" shrinkToFit="1"/>
    </xf>
    <xf numFmtId="0" fontId="5" fillId="2" borderId="175" xfId="86" applyFont="1" applyFill="1" applyBorder="1" applyAlignment="1" applyProtection="1">
      <alignment horizontal="center" vertical="center" wrapText="1"/>
    </xf>
    <xf numFmtId="0" fontId="5" fillId="11" borderId="56" xfId="86" applyFill="1" applyBorder="1" applyAlignment="1" applyProtection="1">
      <alignment vertical="center"/>
    </xf>
    <xf numFmtId="0" fontId="5" fillId="2" borderId="34" xfId="86" applyFill="1" applyBorder="1" applyAlignment="1" applyProtection="1">
      <alignment horizontal="center" vertical="center"/>
    </xf>
    <xf numFmtId="0" fontId="5" fillId="2" borderId="11" xfId="86" applyFill="1" applyBorder="1" applyAlignment="1" applyProtection="1">
      <alignment vertical="center"/>
    </xf>
    <xf numFmtId="0" fontId="5" fillId="2" borderId="4" xfId="86" applyFill="1" applyBorder="1" applyAlignment="1" applyProtection="1">
      <alignment vertical="center"/>
    </xf>
    <xf numFmtId="0" fontId="62" fillId="2" borderId="35" xfId="86" applyFont="1" applyFill="1" applyBorder="1" applyAlignment="1" applyProtection="1">
      <alignment vertical="center"/>
    </xf>
    <xf numFmtId="0" fontId="5" fillId="2" borderId="36" xfId="86" applyFill="1" applyBorder="1" applyAlignment="1" applyProtection="1">
      <alignment horizontal="center" vertical="center"/>
    </xf>
    <xf numFmtId="0" fontId="5" fillId="2" borderId="36" xfId="86" applyFill="1" applyBorder="1" applyAlignment="1" applyProtection="1">
      <alignment horizontal="center" vertical="center" shrinkToFit="1"/>
    </xf>
    <xf numFmtId="38" fontId="5" fillId="2" borderId="16" xfId="86" applyNumberFormat="1" applyFill="1" applyBorder="1" applyAlignment="1" applyProtection="1">
      <alignment vertical="center" wrapText="1"/>
    </xf>
    <xf numFmtId="0" fontId="5" fillId="2" borderId="16" xfId="86" applyFill="1" applyBorder="1" applyAlignment="1" applyProtection="1">
      <alignment vertical="center" wrapText="1"/>
    </xf>
    <xf numFmtId="0" fontId="62" fillId="2" borderId="37" xfId="86" applyFont="1" applyFill="1" applyBorder="1" applyAlignment="1" applyProtection="1">
      <alignment vertical="center"/>
    </xf>
    <xf numFmtId="0" fontId="5" fillId="2" borderId="36" xfId="86" applyFill="1" applyBorder="1" applyAlignment="1" applyProtection="1">
      <alignment horizontal="center" vertical="center" wrapText="1"/>
    </xf>
    <xf numFmtId="0" fontId="62" fillId="2" borderId="16" xfId="86" applyFont="1" applyFill="1" applyBorder="1" applyAlignment="1" applyProtection="1">
      <alignment vertical="center"/>
    </xf>
    <xf numFmtId="0" fontId="5" fillId="2" borderId="87" xfId="86" applyFill="1" applyBorder="1" applyAlignment="1" applyProtection="1">
      <alignment horizontal="center" vertical="center"/>
    </xf>
    <xf numFmtId="0" fontId="5" fillId="2" borderId="4" xfId="86" applyFill="1" applyBorder="1" applyAlignment="1" applyProtection="1">
      <alignment vertical="center" wrapText="1"/>
    </xf>
    <xf numFmtId="0" fontId="62" fillId="2" borderId="4" xfId="86" applyFont="1" applyFill="1" applyBorder="1" applyAlignment="1" applyProtection="1">
      <alignment vertical="center"/>
    </xf>
    <xf numFmtId="0" fontId="5" fillId="2" borderId="106" xfId="86" applyFill="1" applyBorder="1" applyAlignment="1" applyProtection="1">
      <alignment horizontal="center" vertical="center"/>
    </xf>
    <xf numFmtId="0" fontId="5" fillId="2" borderId="107" xfId="86" applyFill="1" applyBorder="1" applyAlignment="1" applyProtection="1">
      <alignment horizontal="center" vertical="center"/>
    </xf>
    <xf numFmtId="0" fontId="5" fillId="2" borderId="154" xfId="86" applyFill="1" applyBorder="1" applyAlignment="1" applyProtection="1">
      <alignment vertical="center" wrapText="1"/>
    </xf>
    <xf numFmtId="0" fontId="62" fillId="2" borderId="169" xfId="86" applyFont="1" applyFill="1" applyBorder="1" applyAlignment="1" applyProtection="1">
      <alignment vertical="center"/>
    </xf>
    <xf numFmtId="0" fontId="5" fillId="2" borderId="72" xfId="86" applyFont="1" applyFill="1" applyBorder="1" applyAlignment="1" applyProtection="1">
      <alignment vertical="center"/>
    </xf>
    <xf numFmtId="0" fontId="5" fillId="2" borderId="72" xfId="86" applyFont="1" applyFill="1" applyBorder="1" applyAlignment="1" applyProtection="1">
      <alignment vertical="center" wrapText="1"/>
    </xf>
    <xf numFmtId="0" fontId="63" fillId="2" borderId="0" xfId="86" applyFont="1" applyFill="1" applyBorder="1" applyAlignment="1" applyProtection="1">
      <alignment horizontal="left" vertical="center"/>
    </xf>
    <xf numFmtId="0" fontId="5" fillId="2" borderId="0" xfId="86" applyFont="1" applyFill="1" applyBorder="1" applyAlignment="1" applyProtection="1">
      <alignment vertical="center" wrapText="1"/>
    </xf>
    <xf numFmtId="0" fontId="5" fillId="2" borderId="0" xfId="86" applyFill="1" applyBorder="1" applyAlignment="1" applyProtection="1">
      <alignment horizontal="right" vertical="center" wrapText="1"/>
    </xf>
    <xf numFmtId="0" fontId="64" fillId="2" borderId="0" xfId="86" applyFont="1" applyFill="1" applyBorder="1" applyAlignment="1" applyProtection="1">
      <alignment horizontal="left"/>
    </xf>
    <xf numFmtId="0" fontId="5" fillId="4" borderId="16" xfId="86" applyFill="1" applyBorder="1" applyAlignment="1" applyProtection="1">
      <alignment horizontal="left" vertical="center" indent="2"/>
      <protection locked="0"/>
    </xf>
    <xf numFmtId="0" fontId="5" fillId="4" borderId="16" xfId="86" applyFont="1" applyFill="1" applyBorder="1" applyAlignment="1" applyProtection="1">
      <alignment horizontal="left" vertical="center" wrapText="1" indent="2"/>
      <protection locked="0"/>
    </xf>
    <xf numFmtId="0" fontId="48" fillId="0" borderId="16" xfId="82" applyFont="1" applyBorder="1" applyAlignment="1" applyProtection="1">
      <alignment vertical="center"/>
    </xf>
    <xf numFmtId="0" fontId="17" fillId="2" borderId="16" xfId="0" applyFont="1" applyFill="1" applyBorder="1" applyAlignment="1" applyProtection="1">
      <alignment horizontal="center" vertical="center" shrinkToFit="1"/>
    </xf>
    <xf numFmtId="0" fontId="17" fillId="2" borderId="55" xfId="0" applyFont="1" applyFill="1" applyBorder="1" applyAlignment="1" applyProtection="1">
      <alignment horizontal="center" vertical="center" shrinkToFit="1"/>
    </xf>
    <xf numFmtId="0" fontId="20" fillId="2" borderId="0" xfId="0" applyFont="1" applyFill="1" applyBorder="1" applyAlignment="1" applyProtection="1">
      <alignment horizontal="center" vertical="center" shrinkToFit="1"/>
    </xf>
    <xf numFmtId="0" fontId="20" fillId="2" borderId="16" xfId="0" applyFont="1" applyFill="1" applyBorder="1" applyAlignment="1" applyProtection="1">
      <alignment horizontal="center" vertical="center" shrinkToFit="1"/>
    </xf>
    <xf numFmtId="0" fontId="17" fillId="6" borderId="16"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wrapText="1" shrinkToFit="1"/>
    </xf>
    <xf numFmtId="0" fontId="25" fillId="2" borderId="4" xfId="0" applyFont="1" applyFill="1" applyBorder="1" applyAlignment="1" applyProtection="1">
      <alignment horizontal="center" vertical="center" wrapText="1" shrinkToFit="1"/>
    </xf>
    <xf numFmtId="0" fontId="17" fillId="2" borderId="34"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6" borderId="15" xfId="0" applyFont="1" applyFill="1" applyBorder="1" applyAlignment="1" applyProtection="1">
      <alignment horizontal="center" vertical="center" shrinkToFit="1"/>
    </xf>
    <xf numFmtId="0" fontId="17" fillId="6" borderId="14" xfId="0" applyFont="1" applyFill="1" applyBorder="1" applyAlignment="1" applyProtection="1">
      <alignment horizontal="center" vertical="center" shrinkToFit="1"/>
    </xf>
    <xf numFmtId="0" fontId="17" fillId="3" borderId="15"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23" fillId="2" borderId="0" xfId="0" applyFont="1" applyFill="1" applyAlignment="1" applyProtection="1">
      <alignment vertical="center"/>
    </xf>
    <xf numFmtId="0" fontId="20" fillId="2" borderId="0" xfId="0" applyFont="1" applyFill="1" applyAlignment="1" applyProtection="1">
      <alignment vertical="center" shrinkToFit="1"/>
    </xf>
    <xf numFmtId="0" fontId="22" fillId="0" borderId="0" xfId="0" applyFont="1" applyAlignment="1" applyProtection="1">
      <alignment vertical="center"/>
    </xf>
    <xf numFmtId="0" fontId="20" fillId="0" borderId="16" xfId="0" applyFont="1" applyBorder="1" applyAlignment="1" applyProtection="1">
      <alignment vertical="center" shrinkToFit="1"/>
    </xf>
    <xf numFmtId="0" fontId="20" fillId="0" borderId="7" xfId="0" applyFont="1" applyBorder="1" applyAlignment="1" applyProtection="1">
      <alignment vertical="center" shrinkToFit="1"/>
    </xf>
    <xf numFmtId="0" fontId="20" fillId="0" borderId="14" xfId="0" applyFont="1" applyBorder="1" applyAlignment="1" applyProtection="1">
      <alignment vertical="center" shrinkToFit="1"/>
    </xf>
    <xf numFmtId="0" fontId="20" fillId="0" borderId="0" xfId="0" applyFont="1" applyAlignment="1" applyProtection="1">
      <alignment vertical="center" shrinkToFit="1"/>
    </xf>
    <xf numFmtId="0" fontId="20" fillId="0" borderId="15" xfId="0" applyFont="1" applyBorder="1" applyAlignment="1" applyProtection="1">
      <alignment vertical="center" shrinkToFit="1"/>
    </xf>
    <xf numFmtId="184" fontId="20" fillId="0" borderId="32" xfId="0" applyNumberFormat="1" applyFont="1" applyBorder="1" applyAlignment="1" applyProtection="1">
      <alignment vertical="center" shrinkToFit="1"/>
    </xf>
    <xf numFmtId="189" fontId="66" fillId="2" borderId="16" xfId="0" applyNumberFormat="1" applyFont="1" applyFill="1" applyBorder="1" applyAlignment="1" applyProtection="1">
      <alignment horizontal="center" vertical="center" shrinkToFit="1"/>
    </xf>
    <xf numFmtId="185" fontId="20" fillId="0" borderId="16" xfId="0" applyNumberFormat="1" applyFont="1" applyBorder="1" applyAlignment="1" applyProtection="1">
      <alignment vertical="center" shrinkToFit="1"/>
    </xf>
    <xf numFmtId="0" fontId="20" fillId="0" borderId="4" xfId="0" applyFont="1" applyBorder="1" applyAlignment="1" applyProtection="1">
      <alignment vertical="center" shrinkToFit="1"/>
    </xf>
    <xf numFmtId="0" fontId="22" fillId="0" borderId="16" xfId="0" applyFont="1" applyBorder="1" applyAlignment="1" applyProtection="1">
      <alignment vertical="center"/>
    </xf>
    <xf numFmtId="0" fontId="68" fillId="2" borderId="0" xfId="0" applyFont="1" applyFill="1" applyBorder="1" applyAlignment="1" applyProtection="1">
      <alignment vertical="center" shrinkToFit="1"/>
    </xf>
    <xf numFmtId="0" fontId="69" fillId="2" borderId="0" xfId="0" applyFont="1" applyFill="1" applyAlignment="1" applyProtection="1">
      <alignment vertical="center" shrinkToFit="1"/>
    </xf>
    <xf numFmtId="0" fontId="20" fillId="0" borderId="16" xfId="0" applyFont="1" applyFill="1" applyBorder="1" applyAlignment="1" applyProtection="1">
      <alignment vertical="center" shrinkToFit="1"/>
    </xf>
    <xf numFmtId="0" fontId="20" fillId="4" borderId="16" xfId="0" applyFont="1" applyFill="1" applyBorder="1" applyAlignment="1" applyProtection="1">
      <alignment vertical="center" shrinkToFit="1"/>
    </xf>
    <xf numFmtId="0" fontId="20" fillId="3" borderId="16" xfId="0" applyFont="1" applyFill="1" applyBorder="1" applyAlignment="1" applyProtection="1">
      <alignment vertical="center" shrinkToFit="1"/>
    </xf>
    <xf numFmtId="0" fontId="20" fillId="2" borderId="0" xfId="0" applyFont="1" applyFill="1" applyAlignment="1" applyProtection="1">
      <alignment vertical="center"/>
    </xf>
    <xf numFmtId="0" fontId="20" fillId="2" borderId="0" xfId="0" applyFont="1" applyFill="1" applyBorder="1" applyAlignment="1" applyProtection="1">
      <alignment vertical="center" shrinkToFit="1"/>
    </xf>
    <xf numFmtId="0" fontId="22" fillId="0" borderId="0" xfId="0" applyFont="1" applyBorder="1" applyAlignment="1" applyProtection="1">
      <alignment vertical="center"/>
    </xf>
    <xf numFmtId="0" fontId="56" fillId="2" borderId="0" xfId="0" applyFont="1" applyFill="1" applyAlignment="1" applyProtection="1">
      <alignment vertical="center" shrinkToFit="1"/>
    </xf>
    <xf numFmtId="0" fontId="20" fillId="0" borderId="0" xfId="0" applyFont="1" applyBorder="1" applyAlignment="1" applyProtection="1">
      <alignment vertical="center" shrinkToFit="1"/>
    </xf>
    <xf numFmtId="38" fontId="20" fillId="2" borderId="16" xfId="9" applyFont="1" applyFill="1" applyBorder="1" applyAlignment="1" applyProtection="1">
      <alignment vertical="center" shrinkToFit="1"/>
    </xf>
    <xf numFmtId="38" fontId="20" fillId="2" borderId="38" xfId="9" applyFont="1" applyFill="1" applyBorder="1" applyAlignment="1" applyProtection="1">
      <alignment vertical="center" shrinkToFit="1"/>
    </xf>
    <xf numFmtId="38" fontId="20" fillId="2" borderId="15" xfId="9" applyFont="1" applyFill="1" applyBorder="1" applyAlignment="1" applyProtection="1">
      <alignment vertical="center" shrinkToFit="1"/>
    </xf>
    <xf numFmtId="38" fontId="20" fillId="2" borderId="82" xfId="9" applyFont="1" applyFill="1" applyBorder="1" applyAlignment="1" applyProtection="1">
      <alignment vertical="center" shrinkToFit="1"/>
    </xf>
    <xf numFmtId="38" fontId="20" fillId="2" borderId="14" xfId="9" applyFont="1" applyFill="1" applyBorder="1" applyAlignment="1" applyProtection="1">
      <alignment vertical="center" shrinkToFit="1"/>
    </xf>
    <xf numFmtId="38" fontId="20" fillId="2" borderId="88" xfId="9" applyFont="1" applyFill="1" applyBorder="1" applyAlignment="1" applyProtection="1">
      <alignment vertical="center" shrinkToFit="1"/>
    </xf>
    <xf numFmtId="177" fontId="20" fillId="2" borderId="0" xfId="0" applyNumberFormat="1" applyFont="1" applyFill="1" applyBorder="1" applyAlignment="1" applyProtection="1">
      <alignment vertical="center" shrinkToFit="1"/>
    </xf>
    <xf numFmtId="38" fontId="20" fillId="2" borderId="7" xfId="9" applyFont="1" applyFill="1" applyBorder="1" applyAlignment="1" applyProtection="1">
      <alignment vertical="center" shrinkToFit="1"/>
    </xf>
    <xf numFmtId="38" fontId="20" fillId="2" borderId="98" xfId="9" applyFont="1" applyFill="1" applyBorder="1" applyAlignment="1" applyProtection="1">
      <alignment vertical="center" shrinkToFit="1"/>
    </xf>
    <xf numFmtId="38" fontId="20" fillId="2" borderId="13" xfId="9" applyFont="1" applyFill="1" applyBorder="1" applyAlignment="1" applyProtection="1">
      <alignment vertical="center" shrinkToFit="1"/>
    </xf>
    <xf numFmtId="0" fontId="20" fillId="2" borderId="6" xfId="0" applyFont="1" applyFill="1" applyBorder="1" applyAlignment="1" applyProtection="1">
      <alignment horizontal="center" vertical="center" shrinkToFit="1"/>
    </xf>
    <xf numFmtId="177" fontId="20" fillId="2" borderId="13" xfId="0" applyNumberFormat="1" applyFont="1" applyFill="1" applyBorder="1" applyAlignment="1" applyProtection="1">
      <alignment vertical="center" shrinkToFit="1"/>
    </xf>
    <xf numFmtId="177" fontId="20" fillId="2" borderId="6" xfId="0" applyNumberFormat="1" applyFont="1" applyFill="1" applyBorder="1" applyAlignment="1" applyProtection="1">
      <alignment vertical="center" shrinkToFit="1"/>
    </xf>
    <xf numFmtId="177" fontId="20" fillId="2" borderId="2" xfId="0" applyNumberFormat="1" applyFont="1" applyFill="1" applyBorder="1" applyAlignment="1" applyProtection="1">
      <alignment vertical="center" shrinkToFit="1"/>
    </xf>
    <xf numFmtId="0" fontId="20" fillId="2" borderId="88" xfId="0" applyFont="1" applyFill="1" applyBorder="1" applyAlignment="1" applyProtection="1">
      <alignment vertical="center" shrinkToFit="1"/>
    </xf>
    <xf numFmtId="38" fontId="20" fillId="2" borderId="90" xfId="9" applyFont="1" applyFill="1" applyBorder="1" applyAlignment="1" applyProtection="1">
      <alignment vertical="center" shrinkToFit="1"/>
    </xf>
    <xf numFmtId="38" fontId="20" fillId="2" borderId="16" xfId="9" applyFont="1" applyFill="1" applyBorder="1" applyAlignment="1" applyProtection="1">
      <alignment horizontal="right" vertical="center" shrinkToFit="1"/>
    </xf>
    <xf numFmtId="38" fontId="20" fillId="2" borderId="89" xfId="9" applyFont="1" applyFill="1" applyBorder="1" applyAlignment="1" applyProtection="1">
      <alignment vertical="center" shrinkToFit="1"/>
    </xf>
    <xf numFmtId="0" fontId="69" fillId="2" borderId="0" xfId="0" applyFont="1" applyFill="1" applyBorder="1" applyAlignment="1" applyProtection="1">
      <alignment vertical="center" shrinkToFit="1"/>
    </xf>
    <xf numFmtId="0" fontId="20" fillId="2" borderId="0" xfId="0" applyFont="1" applyFill="1" applyBorder="1" applyAlignment="1" applyProtection="1">
      <alignment horizontal="right" vertical="center" shrinkToFit="1"/>
    </xf>
    <xf numFmtId="0" fontId="67" fillId="2" borderId="0" xfId="0" applyFont="1" applyFill="1" applyAlignment="1" applyProtection="1">
      <alignment horizontal="left" vertical="center"/>
    </xf>
    <xf numFmtId="38" fontId="20" fillId="2" borderId="36" xfId="9" applyFont="1" applyFill="1" applyBorder="1" applyAlignment="1" applyProtection="1">
      <alignment vertical="center" shrinkToFit="1"/>
    </xf>
    <xf numFmtId="38" fontId="20" fillId="2" borderId="37" xfId="9" applyFont="1" applyFill="1" applyBorder="1" applyAlignment="1" applyProtection="1">
      <alignment horizontal="right" vertical="center" shrinkToFit="1"/>
    </xf>
    <xf numFmtId="0" fontId="33" fillId="2" borderId="0" xfId="0" applyFont="1" applyFill="1" applyBorder="1" applyAlignment="1" applyProtection="1">
      <alignment vertical="center" wrapText="1" shrinkToFit="1"/>
    </xf>
    <xf numFmtId="0" fontId="33" fillId="2" borderId="0" xfId="0" applyFont="1" applyFill="1" applyBorder="1" applyAlignment="1" applyProtection="1">
      <alignment horizontal="right" vertical="center" wrapText="1" shrinkToFit="1"/>
    </xf>
    <xf numFmtId="0" fontId="20" fillId="2" borderId="47" xfId="0" applyFont="1" applyFill="1" applyBorder="1" applyAlignment="1" applyProtection="1">
      <alignment vertical="center" shrinkToFit="1"/>
    </xf>
    <xf numFmtId="0" fontId="20" fillId="2" borderId="2"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38" fontId="20" fillId="2" borderId="37" xfId="9" applyFont="1" applyFill="1" applyBorder="1" applyAlignment="1" applyProtection="1">
      <alignment vertical="center" shrinkToFit="1"/>
    </xf>
    <xf numFmtId="38" fontId="20" fillId="2" borderId="49" xfId="9" applyFont="1" applyFill="1" applyBorder="1" applyAlignment="1" applyProtection="1">
      <alignment vertical="center" shrinkToFit="1"/>
    </xf>
    <xf numFmtId="38" fontId="20" fillId="2" borderId="49" xfId="9" applyFont="1" applyFill="1" applyBorder="1" applyAlignment="1" applyProtection="1">
      <alignment horizontal="right" vertical="center" shrinkToFit="1"/>
    </xf>
    <xf numFmtId="0" fontId="20" fillId="2" borderId="42" xfId="0" applyFont="1" applyFill="1" applyBorder="1" applyAlignment="1" applyProtection="1">
      <alignment horizontal="center" vertical="center" shrinkToFit="1"/>
    </xf>
    <xf numFmtId="38" fontId="20" fillId="2" borderId="43" xfId="9" applyFont="1" applyFill="1" applyBorder="1" applyAlignment="1" applyProtection="1">
      <alignment vertical="center" shrinkToFit="1"/>
    </xf>
    <xf numFmtId="0" fontId="20" fillId="2" borderId="28" xfId="0" applyFont="1" applyFill="1" applyBorder="1" applyAlignment="1" applyProtection="1">
      <alignment horizontal="center" vertical="center" shrinkToFit="1"/>
    </xf>
    <xf numFmtId="38" fontId="20" fillId="2" borderId="0" xfId="0" applyNumberFormat="1" applyFont="1" applyFill="1" applyBorder="1" applyAlignment="1" applyProtection="1">
      <alignment vertical="center" shrinkToFit="1"/>
    </xf>
    <xf numFmtId="180" fontId="20" fillId="2" borderId="0" xfId="0" applyNumberFormat="1" applyFont="1" applyFill="1" applyAlignment="1" applyProtection="1">
      <alignment vertical="center" shrinkToFit="1"/>
    </xf>
    <xf numFmtId="0" fontId="20" fillId="0" borderId="0" xfId="0" applyFont="1" applyBorder="1" applyAlignment="1" applyProtection="1">
      <alignment horizontal="center" vertical="center" shrinkToFit="1"/>
    </xf>
    <xf numFmtId="38" fontId="20" fillId="0" borderId="0" xfId="0" applyNumberFormat="1" applyFont="1" applyBorder="1" applyAlignment="1" applyProtection="1">
      <alignment vertical="center" shrinkToFit="1"/>
    </xf>
    <xf numFmtId="38" fontId="20" fillId="0" borderId="0" xfId="9" applyFont="1" applyBorder="1" applyAlignment="1" applyProtection="1">
      <alignment vertical="center" shrinkToFit="1"/>
    </xf>
    <xf numFmtId="187" fontId="20" fillId="0" borderId="0" xfId="0" applyNumberFormat="1" applyFont="1" applyBorder="1" applyAlignment="1" applyProtection="1">
      <alignment vertical="center" shrinkToFit="1"/>
    </xf>
    <xf numFmtId="0" fontId="28" fillId="2" borderId="0" xfId="0" applyFont="1" applyFill="1" applyAlignment="1" applyProtection="1">
      <alignment vertical="center"/>
    </xf>
    <xf numFmtId="0" fontId="17" fillId="2" borderId="0" xfId="0" applyFont="1" applyFill="1" applyAlignment="1" applyProtection="1">
      <alignment horizontal="center" vertical="center" shrinkToFit="1"/>
    </xf>
    <xf numFmtId="0" fontId="17" fillId="0" borderId="7" xfId="0" applyFont="1" applyBorder="1" applyAlignment="1" applyProtection="1">
      <alignment vertical="center" shrinkToFit="1"/>
    </xf>
    <xf numFmtId="0" fontId="17" fillId="2" borderId="0" xfId="0" applyFont="1" applyFill="1" applyAlignment="1" applyProtection="1">
      <alignment vertical="center"/>
    </xf>
    <xf numFmtId="0" fontId="17" fillId="0" borderId="15" xfId="0" applyFont="1" applyBorder="1" applyAlignment="1" applyProtection="1">
      <alignment vertical="center" shrinkToFit="1"/>
    </xf>
    <xf numFmtId="184" fontId="17" fillId="0" borderId="32" xfId="0" applyNumberFormat="1"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8" xfId="0" applyFont="1" applyBorder="1" applyAlignment="1" applyProtection="1">
      <alignment vertical="center" shrinkToFit="1"/>
    </xf>
    <xf numFmtId="189" fontId="29" fillId="0" borderId="14" xfId="0" applyNumberFormat="1" applyFont="1" applyBorder="1" applyAlignment="1" applyProtection="1">
      <alignment vertical="center" shrinkToFit="1"/>
    </xf>
    <xf numFmtId="0" fontId="17" fillId="0" borderId="3" xfId="0" applyFont="1" applyFill="1" applyBorder="1" applyAlignment="1" applyProtection="1">
      <alignment vertical="center" shrinkToFit="1"/>
    </xf>
    <xf numFmtId="0" fontId="0" fillId="0" borderId="8" xfId="0" applyBorder="1" applyAlignment="1" applyProtection="1">
      <alignment vertical="center"/>
    </xf>
    <xf numFmtId="0" fontId="19" fillId="2" borderId="0" xfId="0" applyFont="1" applyFill="1" applyAlignment="1" applyProtection="1">
      <alignment vertical="center" shrinkToFit="1"/>
    </xf>
    <xf numFmtId="0" fontId="17" fillId="0" borderId="8" xfId="0" applyFont="1" applyFill="1" applyBorder="1" applyAlignment="1" applyProtection="1">
      <alignment vertical="center" shrinkToFit="1"/>
    </xf>
    <xf numFmtId="0" fontId="17" fillId="4" borderId="16" xfId="0" applyFont="1" applyFill="1" applyBorder="1" applyAlignment="1" applyProtection="1">
      <alignment vertical="center" shrinkToFit="1"/>
    </xf>
    <xf numFmtId="0" fontId="17" fillId="3" borderId="16" xfId="0" applyFont="1" applyFill="1" applyBorder="1" applyAlignment="1" applyProtection="1">
      <alignment vertical="center" shrinkToFit="1"/>
    </xf>
    <xf numFmtId="0" fontId="17" fillId="0" borderId="10" xfId="0" applyFont="1" applyBorder="1" applyAlignment="1" applyProtection="1">
      <alignment vertical="center" shrinkToFit="1"/>
    </xf>
    <xf numFmtId="0" fontId="17" fillId="0" borderId="11" xfId="0" applyFont="1" applyBorder="1" applyAlignment="1" applyProtection="1">
      <alignment vertical="center" shrinkToFit="1"/>
    </xf>
    <xf numFmtId="0" fontId="24" fillId="2" borderId="0" xfId="0" applyFont="1" applyFill="1" applyBorder="1" applyAlignment="1" applyProtection="1">
      <alignment vertical="center" shrinkToFit="1"/>
    </xf>
    <xf numFmtId="0" fontId="29" fillId="2" borderId="0" xfId="0" applyFont="1" applyFill="1" applyBorder="1" applyAlignment="1" applyProtection="1">
      <alignment vertical="center" shrinkToFit="1"/>
    </xf>
    <xf numFmtId="0" fontId="24" fillId="2" borderId="0" xfId="0" applyFont="1" applyFill="1" applyAlignment="1" applyProtection="1">
      <alignment horizontal="left" vertical="center"/>
    </xf>
    <xf numFmtId="0" fontId="18" fillId="2" borderId="0" xfId="0" applyFont="1" applyFill="1" applyAlignment="1" applyProtection="1">
      <alignment vertical="center" shrinkToFit="1"/>
    </xf>
    <xf numFmtId="0" fontId="0" fillId="2" borderId="0" xfId="0" applyFill="1" applyAlignment="1" applyProtection="1">
      <alignment vertical="center"/>
    </xf>
    <xf numFmtId="0" fontId="19" fillId="2" borderId="0" xfId="0" applyFont="1" applyFill="1" applyBorder="1" applyAlignment="1" applyProtection="1">
      <alignment vertical="center" shrinkToFit="1"/>
    </xf>
    <xf numFmtId="0" fontId="19" fillId="2" borderId="0" xfId="0" applyFont="1" applyFill="1" applyBorder="1" applyAlignment="1" applyProtection="1">
      <alignment horizontal="center" vertical="center" shrinkToFit="1"/>
    </xf>
    <xf numFmtId="38" fontId="17" fillId="2" borderId="16" xfId="9" applyFont="1" applyFill="1" applyBorder="1" applyAlignment="1" applyProtection="1">
      <alignment vertical="center" shrinkToFit="1"/>
    </xf>
    <xf numFmtId="38" fontId="17" fillId="2" borderId="15" xfId="9" applyFont="1" applyFill="1" applyBorder="1" applyAlignment="1" applyProtection="1">
      <alignment vertical="center" shrinkToFit="1"/>
    </xf>
    <xf numFmtId="38" fontId="87" fillId="2" borderId="82" xfId="9" applyFont="1" applyFill="1" applyBorder="1" applyAlignment="1" applyProtection="1">
      <alignment vertical="center" shrinkToFit="1"/>
    </xf>
    <xf numFmtId="38" fontId="17" fillId="2" borderId="14" xfId="9" applyFont="1" applyFill="1" applyBorder="1" applyAlignment="1" applyProtection="1">
      <alignment vertical="center" shrinkToFit="1"/>
    </xf>
    <xf numFmtId="38" fontId="17" fillId="2" borderId="38" xfId="9" applyFont="1" applyFill="1" applyBorder="1" applyAlignment="1" applyProtection="1">
      <alignment vertical="center" shrinkToFit="1"/>
    </xf>
    <xf numFmtId="177" fontId="17" fillId="2" borderId="0" xfId="0" applyNumberFormat="1" applyFont="1" applyFill="1" applyBorder="1" applyAlignment="1" applyProtection="1">
      <alignment vertical="center" shrinkToFit="1"/>
    </xf>
    <xf numFmtId="38" fontId="17" fillId="0" borderId="0" xfId="9" applyFont="1" applyAlignment="1" applyProtection="1">
      <alignment vertical="center" shrinkToFit="1"/>
    </xf>
    <xf numFmtId="0" fontId="58" fillId="2" borderId="0" xfId="0" applyFont="1" applyFill="1" applyAlignment="1" applyProtection="1">
      <alignment horizontal="left" vertical="center"/>
    </xf>
    <xf numFmtId="38" fontId="17" fillId="0" borderId="0" xfId="0" applyNumberFormat="1" applyFont="1" applyAlignment="1" applyProtection="1">
      <alignment vertical="center" shrinkToFit="1"/>
    </xf>
    <xf numFmtId="38" fontId="17" fillId="2" borderId="88" xfId="9" applyFont="1" applyFill="1" applyBorder="1" applyAlignment="1" applyProtection="1">
      <alignment vertical="center" shrinkToFit="1"/>
    </xf>
    <xf numFmtId="38" fontId="17" fillId="2" borderId="36" xfId="9" applyFont="1" applyFill="1" applyBorder="1" applyAlignment="1" applyProtection="1">
      <alignment vertical="center" shrinkToFit="1"/>
    </xf>
    <xf numFmtId="38" fontId="17" fillId="2" borderId="37" xfId="9" applyFont="1" applyFill="1" applyBorder="1" applyAlignment="1" applyProtection="1">
      <alignment vertical="center" shrinkToFit="1"/>
    </xf>
    <xf numFmtId="0" fontId="59" fillId="2" borderId="0" xfId="0" applyFont="1" applyFill="1" applyBorder="1" applyAlignment="1" applyProtection="1">
      <alignment vertical="center" wrapText="1" shrinkToFit="1"/>
    </xf>
    <xf numFmtId="38" fontId="17" fillId="2" borderId="89" xfId="9" applyFont="1" applyFill="1" applyBorder="1" applyAlignment="1" applyProtection="1">
      <alignment vertical="center" shrinkToFit="1"/>
    </xf>
    <xf numFmtId="0" fontId="17" fillId="2" borderId="52" xfId="0" applyFont="1" applyFill="1" applyBorder="1" applyAlignment="1" applyProtection="1">
      <alignment vertical="center" shrinkToFit="1"/>
    </xf>
    <xf numFmtId="0" fontId="17" fillId="2" borderId="42" xfId="0" applyFont="1" applyFill="1" applyBorder="1" applyAlignment="1" applyProtection="1">
      <alignment horizontal="center" vertical="center" shrinkToFit="1"/>
    </xf>
    <xf numFmtId="38" fontId="17" fillId="2" borderId="43" xfId="0" applyNumberFormat="1" applyFont="1" applyFill="1" applyBorder="1" applyAlignment="1" applyProtection="1">
      <alignment vertical="center" shrinkToFit="1"/>
    </xf>
    <xf numFmtId="0" fontId="17" fillId="2" borderId="28" xfId="0" applyFont="1" applyFill="1" applyBorder="1" applyAlignment="1" applyProtection="1">
      <alignment horizontal="center" vertical="center" shrinkToFit="1"/>
    </xf>
    <xf numFmtId="0" fontId="59" fillId="2" borderId="0" xfId="0" applyFont="1" applyFill="1" applyBorder="1" applyAlignment="1" applyProtection="1">
      <alignment horizontal="right" vertical="center" wrapText="1" shrinkToFit="1"/>
    </xf>
    <xf numFmtId="38" fontId="17" fillId="2" borderId="0" xfId="9" applyFont="1" applyFill="1" applyBorder="1" applyAlignment="1" applyProtection="1">
      <alignment vertical="center" shrinkToFit="1"/>
    </xf>
    <xf numFmtId="38" fontId="17" fillId="2" borderId="0" xfId="9" applyFont="1" applyFill="1" applyAlignment="1" applyProtection="1">
      <alignment vertical="center" shrinkToFit="1"/>
    </xf>
    <xf numFmtId="38" fontId="26" fillId="2" borderId="0" xfId="0" applyNumberFormat="1" applyFont="1" applyFill="1" applyBorder="1" applyAlignment="1" applyProtection="1">
      <alignment vertical="center" shrinkToFit="1"/>
    </xf>
    <xf numFmtId="38" fontId="17" fillId="2" borderId="0" xfId="0" applyNumberFormat="1" applyFont="1" applyFill="1" applyBorder="1" applyAlignment="1" applyProtection="1">
      <alignment vertical="center" shrinkToFit="1"/>
    </xf>
    <xf numFmtId="187" fontId="17" fillId="0" borderId="0" xfId="0" applyNumberFormat="1" applyFont="1" applyAlignment="1" applyProtection="1">
      <alignment vertical="center" shrinkToFit="1"/>
    </xf>
    <xf numFmtId="178" fontId="17" fillId="2" borderId="0" xfId="0" applyNumberFormat="1" applyFont="1" applyFill="1" applyAlignment="1" applyProtection="1">
      <alignment vertical="center" shrinkToFit="1"/>
    </xf>
    <xf numFmtId="179" fontId="17" fillId="2" borderId="0" xfId="0" applyNumberFormat="1" applyFont="1" applyFill="1" applyAlignment="1" applyProtection="1">
      <alignment vertical="center" shrinkToFit="1"/>
    </xf>
    <xf numFmtId="0" fontId="17" fillId="0" borderId="0" xfId="0" applyFont="1" applyBorder="1" applyAlignment="1" applyProtection="1">
      <alignment vertical="center" shrinkToFit="1"/>
    </xf>
    <xf numFmtId="177" fontId="17" fillId="0" borderId="0" xfId="0" applyNumberFormat="1" applyFont="1" applyBorder="1" applyAlignment="1" applyProtection="1">
      <alignment vertical="center" shrinkToFit="1"/>
    </xf>
    <xf numFmtId="38" fontId="17" fillId="0" borderId="0" xfId="0" applyNumberFormat="1" applyFont="1" applyBorder="1" applyAlignment="1" applyProtection="1">
      <alignment vertical="center" shrinkToFit="1"/>
    </xf>
    <xf numFmtId="180" fontId="17" fillId="0" borderId="0" xfId="0" applyNumberFormat="1" applyFont="1" applyAlignment="1" applyProtection="1">
      <alignment vertical="center" shrinkToFit="1"/>
    </xf>
    <xf numFmtId="38" fontId="17" fillId="2" borderId="36" xfId="9" applyFont="1" applyFill="1" applyBorder="1" applyAlignment="1" applyProtection="1">
      <alignment horizontal="right" vertical="center" shrinkToFit="1"/>
    </xf>
    <xf numFmtId="38" fontId="17" fillId="2" borderId="37" xfId="9" applyFont="1" applyFill="1" applyBorder="1" applyAlignment="1" applyProtection="1">
      <alignment horizontal="right" vertical="center" shrinkToFit="1"/>
    </xf>
    <xf numFmtId="38" fontId="17" fillId="2" borderId="43" xfId="0" applyNumberFormat="1" applyFont="1" applyFill="1" applyBorder="1" applyAlignment="1" applyProtection="1">
      <alignment horizontal="right" vertical="center" shrinkToFit="1"/>
    </xf>
    <xf numFmtId="38" fontId="20" fillId="2" borderId="43" xfId="9" applyFont="1" applyFill="1" applyBorder="1" applyAlignment="1" applyProtection="1">
      <alignment horizontal="right" vertical="center" shrinkToFit="1"/>
    </xf>
    <xf numFmtId="0" fontId="17" fillId="0" borderId="32" xfId="0" applyFont="1" applyBorder="1" applyAlignment="1" applyProtection="1">
      <alignment vertical="center" shrinkToFit="1"/>
    </xf>
    <xf numFmtId="182" fontId="17" fillId="0" borderId="14" xfId="0" applyNumberFormat="1" applyFont="1" applyBorder="1" applyAlignment="1" applyProtection="1">
      <alignment vertical="center" shrinkToFit="1"/>
    </xf>
    <xf numFmtId="0" fontId="58" fillId="2" borderId="0" xfId="0" applyFont="1" applyFill="1" applyAlignment="1" applyProtection="1">
      <alignment vertical="center" shrinkToFit="1"/>
    </xf>
    <xf numFmtId="0" fontId="17" fillId="0" borderId="16" xfId="0" applyFont="1" applyFill="1" applyBorder="1" applyAlignment="1" applyProtection="1">
      <alignment vertical="center" shrinkToFit="1"/>
    </xf>
    <xf numFmtId="185" fontId="17" fillId="0" borderId="6" xfId="0" applyNumberFormat="1" applyFont="1" applyBorder="1" applyAlignment="1" applyProtection="1">
      <alignment vertical="center" shrinkToFit="1"/>
    </xf>
    <xf numFmtId="0" fontId="17" fillId="0" borderId="6" xfId="0" applyFont="1" applyBorder="1" applyAlignment="1" applyProtection="1">
      <alignment vertical="center" shrinkToFit="1"/>
    </xf>
    <xf numFmtId="38" fontId="17" fillId="2" borderId="82" xfId="9" applyFont="1" applyFill="1" applyBorder="1" applyAlignment="1" applyProtection="1">
      <alignment vertical="center" shrinkToFit="1"/>
    </xf>
    <xf numFmtId="0" fontId="17" fillId="2" borderId="6" xfId="0" applyFont="1" applyFill="1" applyBorder="1" applyAlignment="1" applyProtection="1">
      <alignment horizontal="center" vertical="center" shrinkToFit="1"/>
    </xf>
    <xf numFmtId="177" fontId="17" fillId="2" borderId="15" xfId="0" applyNumberFormat="1" applyFont="1" applyFill="1" applyBorder="1" applyAlignment="1" applyProtection="1">
      <alignment vertical="center" shrinkToFit="1"/>
    </xf>
    <xf numFmtId="177" fontId="17" fillId="2" borderId="2" xfId="0" applyNumberFormat="1" applyFont="1" applyFill="1" applyBorder="1" applyAlignment="1" applyProtection="1">
      <alignment vertical="center" shrinkToFit="1"/>
    </xf>
    <xf numFmtId="0" fontId="17" fillId="2" borderId="2" xfId="0" applyFont="1" applyFill="1" applyBorder="1" applyAlignment="1" applyProtection="1">
      <alignment vertical="center" shrinkToFit="1"/>
    </xf>
    <xf numFmtId="0" fontId="17" fillId="2" borderId="8" xfId="0" applyFont="1" applyFill="1" applyBorder="1" applyAlignment="1" applyProtection="1">
      <alignment vertical="center" shrinkToFit="1"/>
    </xf>
    <xf numFmtId="0" fontId="17" fillId="0" borderId="92" xfId="0" applyFont="1" applyBorder="1" applyAlignment="1" applyProtection="1">
      <alignment vertical="center" shrinkToFit="1"/>
    </xf>
    <xf numFmtId="38" fontId="17" fillId="2" borderId="15" xfId="9" applyFont="1" applyFill="1" applyBorder="1" applyAlignment="1" applyProtection="1">
      <alignment horizontal="right" vertical="center" shrinkToFit="1"/>
    </xf>
    <xf numFmtId="0" fontId="17" fillId="2" borderId="47" xfId="0" applyFont="1" applyFill="1" applyBorder="1" applyAlignment="1" applyProtection="1">
      <alignment vertical="center" shrinkToFit="1"/>
    </xf>
    <xf numFmtId="0" fontId="17" fillId="2" borderId="48" xfId="0" applyFont="1" applyFill="1" applyBorder="1" applyAlignment="1" applyProtection="1">
      <alignment vertical="center" shrinkToFit="1"/>
    </xf>
    <xf numFmtId="38" fontId="17" fillId="2" borderId="49" xfId="9" applyFont="1" applyFill="1" applyBorder="1" applyAlignment="1" applyProtection="1">
      <alignment vertical="center" shrinkToFit="1"/>
    </xf>
    <xf numFmtId="38" fontId="17" fillId="2" borderId="43" xfId="9" applyFont="1" applyFill="1" applyBorder="1" applyAlignment="1" applyProtection="1">
      <alignment vertical="center" shrinkToFit="1"/>
    </xf>
    <xf numFmtId="38" fontId="17" fillId="0" borderId="0" xfId="9" applyFont="1" applyBorder="1" applyAlignment="1" applyProtection="1">
      <alignment vertical="center" shrinkToFit="1"/>
    </xf>
    <xf numFmtId="38" fontId="17" fillId="2" borderId="16" xfId="9" applyFont="1" applyFill="1" applyBorder="1" applyAlignment="1" applyProtection="1">
      <alignment horizontal="right" vertical="center" shrinkToFit="1"/>
    </xf>
    <xf numFmtId="38" fontId="17" fillId="2" borderId="49" xfId="9" applyFont="1" applyFill="1" applyBorder="1" applyAlignment="1" applyProtection="1">
      <alignment horizontal="right" vertical="center" shrinkToFit="1"/>
    </xf>
    <xf numFmtId="38" fontId="17" fillId="2" borderId="43" xfId="9" applyFont="1" applyFill="1" applyBorder="1" applyAlignment="1" applyProtection="1">
      <alignment horizontal="right" vertical="center" shrinkToFit="1"/>
    </xf>
    <xf numFmtId="38" fontId="87" fillId="2" borderId="16" xfId="9" applyFont="1" applyFill="1" applyBorder="1" applyAlignment="1" applyProtection="1">
      <alignment vertical="center" shrinkToFit="1"/>
    </xf>
    <xf numFmtId="0" fontId="17" fillId="0" borderId="2" xfId="0" applyFont="1" applyBorder="1" applyAlignment="1" applyProtection="1">
      <alignment vertical="center" shrinkToFit="1"/>
    </xf>
    <xf numFmtId="189" fontId="17" fillId="0" borderId="16" xfId="0" applyNumberFormat="1" applyFont="1" applyBorder="1" applyAlignment="1" applyProtection="1">
      <alignment vertical="center" shrinkToFit="1"/>
    </xf>
    <xf numFmtId="184" fontId="17" fillId="2" borderId="0" xfId="0" applyNumberFormat="1" applyFont="1" applyFill="1" applyBorder="1" applyAlignment="1" applyProtection="1">
      <alignment horizontal="center" vertical="center" shrinkToFit="1"/>
    </xf>
    <xf numFmtId="0" fontId="58" fillId="2" borderId="5" xfId="0" applyFont="1" applyFill="1" applyBorder="1" applyAlignment="1" applyProtection="1">
      <alignment horizontal="left" vertical="center"/>
    </xf>
    <xf numFmtId="0" fontId="17" fillId="2" borderId="5" xfId="0" applyFont="1" applyFill="1" applyBorder="1" applyAlignment="1" applyProtection="1">
      <alignment horizontal="left" vertical="center"/>
    </xf>
    <xf numFmtId="38" fontId="17" fillId="4" borderId="16" xfId="9" applyFont="1" applyFill="1" applyBorder="1" applyAlignment="1" applyProtection="1">
      <alignment vertical="center" shrinkToFit="1"/>
      <protection locked="0"/>
    </xf>
    <xf numFmtId="0" fontId="17" fillId="2" borderId="6" xfId="0" applyFont="1" applyFill="1" applyBorder="1" applyAlignment="1" applyProtection="1">
      <alignment vertical="center" shrinkToFit="1"/>
    </xf>
    <xf numFmtId="0" fontId="17" fillId="2" borderId="0" xfId="0" applyFont="1" applyFill="1" applyBorder="1" applyAlignment="1" applyProtection="1">
      <alignment horizontal="right" vertical="center" shrinkToFit="1"/>
    </xf>
    <xf numFmtId="38" fontId="18" fillId="2" borderId="0" xfId="0" applyNumberFormat="1" applyFont="1" applyFill="1" applyBorder="1" applyAlignment="1" applyProtection="1">
      <alignment vertical="center" shrinkToFit="1"/>
    </xf>
    <xf numFmtId="38" fontId="87" fillId="2" borderId="2" xfId="9" applyFont="1" applyFill="1" applyBorder="1" applyAlignment="1" applyProtection="1">
      <alignment vertical="center" shrinkToFit="1"/>
    </xf>
    <xf numFmtId="178" fontId="17" fillId="0" borderId="0" xfId="0" applyNumberFormat="1" applyFont="1" applyAlignment="1" applyProtection="1">
      <alignment vertical="center" shrinkToFit="1"/>
    </xf>
    <xf numFmtId="38" fontId="17" fillId="2" borderId="88" xfId="9" applyFont="1" applyFill="1" applyBorder="1" applyAlignment="1" applyProtection="1">
      <alignment horizontal="right" vertical="center" shrinkToFit="1"/>
    </xf>
    <xf numFmtId="0" fontId="17" fillId="2" borderId="3" xfId="0" applyFont="1" applyFill="1" applyBorder="1" applyAlignment="1" applyProtection="1">
      <alignment vertical="center" shrinkToFit="1"/>
    </xf>
    <xf numFmtId="38" fontId="17" fillId="2" borderId="92" xfId="9" applyFont="1" applyFill="1" applyBorder="1" applyAlignment="1" applyProtection="1">
      <alignment horizontal="center" vertical="center" shrinkToFit="1"/>
    </xf>
    <xf numFmtId="38" fontId="87" fillId="2" borderId="32" xfId="0" applyNumberFormat="1" applyFont="1" applyFill="1" applyBorder="1" applyAlignment="1" applyProtection="1">
      <alignment vertical="center" shrinkToFit="1"/>
    </xf>
    <xf numFmtId="38" fontId="87" fillId="2" borderId="15" xfId="9" applyFont="1" applyFill="1" applyBorder="1" applyAlignment="1" applyProtection="1">
      <alignment vertical="center" shrinkToFit="1"/>
    </xf>
    <xf numFmtId="0" fontId="17" fillId="2" borderId="54" xfId="0" applyFont="1" applyFill="1" applyBorder="1" applyAlignment="1" applyProtection="1">
      <alignment horizontal="center" vertical="center" shrinkToFit="1"/>
    </xf>
    <xf numFmtId="38" fontId="17" fillId="2" borderId="52" xfId="0" applyNumberFormat="1" applyFont="1" applyFill="1" applyBorder="1" applyAlignment="1" applyProtection="1">
      <alignment vertical="center" shrinkToFit="1"/>
    </xf>
    <xf numFmtId="0" fontId="17" fillId="2" borderId="54" xfId="0" applyFont="1" applyFill="1" applyBorder="1" applyAlignment="1" applyProtection="1">
      <alignment vertical="center" shrinkToFit="1"/>
    </xf>
    <xf numFmtId="0" fontId="59" fillId="2" borderId="0" xfId="0" applyFont="1" applyFill="1" applyBorder="1" applyAlignment="1" applyProtection="1">
      <alignment horizontal="center" vertical="center" wrapText="1" shrinkToFit="1"/>
    </xf>
    <xf numFmtId="38" fontId="17" fillId="2" borderId="57" xfId="9" applyFont="1" applyFill="1" applyBorder="1" applyAlignment="1" applyProtection="1">
      <alignment vertical="center" shrinkToFit="1"/>
    </xf>
    <xf numFmtId="0" fontId="17" fillId="2" borderId="0" xfId="0" applyFont="1" applyFill="1" applyAlignment="1" applyProtection="1">
      <alignment horizontal="right" vertical="center" shrinkToFit="1"/>
    </xf>
    <xf numFmtId="38" fontId="17" fillId="2" borderId="57" xfId="9" applyFont="1" applyFill="1" applyBorder="1" applyAlignment="1" applyProtection="1">
      <alignment horizontal="right" vertical="center" shrinkToFit="1"/>
    </xf>
    <xf numFmtId="38" fontId="87" fillId="2" borderId="88" xfId="9" applyFont="1" applyFill="1" applyBorder="1" applyAlignment="1" applyProtection="1">
      <alignment vertical="center" shrinkToFit="1"/>
    </xf>
    <xf numFmtId="38" fontId="87" fillId="2" borderId="89" xfId="9" applyFont="1" applyFill="1" applyBorder="1" applyAlignment="1" applyProtection="1">
      <alignment vertical="center" shrinkToFit="1"/>
    </xf>
    <xf numFmtId="38" fontId="87" fillId="2" borderId="14" xfId="9" applyFont="1" applyFill="1" applyBorder="1" applyAlignment="1" applyProtection="1">
      <alignment vertical="center" shrinkToFit="1"/>
    </xf>
    <xf numFmtId="180" fontId="17" fillId="2" borderId="0" xfId="0" applyNumberFormat="1" applyFont="1" applyFill="1" applyAlignment="1" applyProtection="1">
      <alignment vertical="center" shrinkToFit="1"/>
    </xf>
    <xf numFmtId="38" fontId="17" fillId="2" borderId="39" xfId="9" applyFont="1" applyFill="1" applyBorder="1" applyAlignment="1" applyProtection="1">
      <alignment vertical="center" shrinkToFit="1"/>
    </xf>
    <xf numFmtId="38" fontId="17" fillId="2" borderId="27" xfId="9" applyFont="1" applyFill="1" applyBorder="1" applyAlignment="1" applyProtection="1">
      <alignment vertical="center" shrinkToFit="1"/>
    </xf>
    <xf numFmtId="38" fontId="87" fillId="2" borderId="108" xfId="9" applyFont="1" applyFill="1" applyBorder="1" applyAlignment="1" applyProtection="1">
      <alignment vertical="center" shrinkToFit="1"/>
    </xf>
    <xf numFmtId="177" fontId="17" fillId="2" borderId="0" xfId="0" applyNumberFormat="1" applyFont="1" applyFill="1" applyBorder="1" applyAlignment="1" applyProtection="1">
      <alignment horizontal="center" vertical="center" shrinkToFit="1"/>
    </xf>
    <xf numFmtId="38" fontId="19" fillId="2" borderId="0" xfId="9" applyFont="1" applyFill="1" applyBorder="1" applyAlignment="1" applyProtection="1">
      <alignment vertical="center" shrinkToFit="1"/>
    </xf>
    <xf numFmtId="0" fontId="19" fillId="2" borderId="0" xfId="0" applyFont="1" applyFill="1" applyBorder="1" applyAlignment="1" applyProtection="1">
      <alignment horizontal="right" vertical="center" wrapText="1" shrinkToFit="1"/>
    </xf>
    <xf numFmtId="38" fontId="17" fillId="2" borderId="54" xfId="9" applyFont="1" applyFill="1" applyBorder="1" applyAlignment="1" applyProtection="1">
      <alignment vertical="center" shrinkToFit="1"/>
    </xf>
    <xf numFmtId="38" fontId="17" fillId="2" borderId="52" xfId="9" applyFont="1" applyFill="1" applyBorder="1" applyAlignment="1" applyProtection="1">
      <alignment vertical="center" shrinkToFit="1"/>
    </xf>
    <xf numFmtId="0" fontId="17" fillId="2" borderId="52" xfId="0" applyFont="1" applyFill="1" applyBorder="1" applyAlignment="1" applyProtection="1">
      <alignment horizontal="center" vertical="center" shrinkToFit="1"/>
    </xf>
    <xf numFmtId="38" fontId="17" fillId="2" borderId="13" xfId="9" applyFont="1" applyFill="1" applyBorder="1" applyAlignment="1" applyProtection="1">
      <alignment vertical="center" shrinkToFit="1"/>
    </xf>
    <xf numFmtId="0" fontId="19" fillId="2" borderId="0" xfId="0" applyFont="1" applyFill="1" applyBorder="1" applyAlignment="1" applyProtection="1">
      <alignment vertical="center" wrapText="1" shrinkToFit="1"/>
    </xf>
    <xf numFmtId="177" fontId="17" fillId="2" borderId="42" xfId="0" applyNumberFormat="1" applyFont="1" applyFill="1" applyBorder="1" applyAlignment="1" applyProtection="1">
      <alignment horizontal="center" vertical="center" shrinkToFit="1"/>
    </xf>
    <xf numFmtId="38" fontId="19" fillId="2" borderId="171" xfId="9" applyFont="1" applyFill="1" applyBorder="1" applyAlignment="1" applyProtection="1">
      <alignment vertical="center" shrinkToFit="1"/>
    </xf>
    <xf numFmtId="38" fontId="19" fillId="2" borderId="170" xfId="9" applyFont="1" applyFill="1" applyBorder="1" applyAlignment="1" applyProtection="1">
      <alignment vertical="center" shrinkToFit="1"/>
    </xf>
    <xf numFmtId="177" fontId="17" fillId="2" borderId="28" xfId="0" applyNumberFormat="1" applyFont="1" applyFill="1" applyBorder="1" applyAlignment="1" applyProtection="1">
      <alignment horizontal="center" vertical="center" shrinkToFit="1"/>
    </xf>
    <xf numFmtId="0" fontId="17" fillId="2" borderId="5" xfId="0" applyFont="1" applyFill="1" applyBorder="1" applyAlignment="1" applyProtection="1">
      <alignment horizontal="left" vertical="center" shrinkToFit="1"/>
    </xf>
    <xf numFmtId="0" fontId="17" fillId="2" borderId="26" xfId="0" applyFont="1" applyFill="1" applyBorder="1" applyAlignment="1" applyProtection="1">
      <alignment horizontal="centerContinuous" vertical="center" shrinkToFit="1"/>
    </xf>
    <xf numFmtId="0" fontId="17" fillId="2" borderId="1" xfId="0" applyFont="1" applyFill="1" applyBorder="1" applyAlignment="1" applyProtection="1">
      <alignment horizontal="centerContinuous" vertical="center" shrinkToFit="1"/>
    </xf>
    <xf numFmtId="0" fontId="17" fillId="2" borderId="25" xfId="0" applyFont="1" applyFill="1" applyBorder="1" applyAlignment="1" applyProtection="1">
      <alignment horizontal="centerContinuous" vertical="center" shrinkToFit="1"/>
    </xf>
    <xf numFmtId="196" fontId="88" fillId="2" borderId="48" xfId="82" applyNumberFormat="1" applyFont="1" applyFill="1" applyBorder="1" applyAlignment="1" applyProtection="1">
      <alignment vertical="center"/>
    </xf>
    <xf numFmtId="0" fontId="17" fillId="2" borderId="110" xfId="0" applyFont="1" applyFill="1" applyBorder="1" applyAlignment="1" applyProtection="1">
      <alignment horizontal="center" vertical="center" shrinkToFit="1"/>
    </xf>
    <xf numFmtId="0" fontId="20" fillId="2" borderId="0" xfId="0" applyFont="1" applyFill="1" applyBorder="1" applyAlignment="1" applyProtection="1">
      <alignment horizontal="center" vertical="center" shrinkToFit="1"/>
    </xf>
    <xf numFmtId="0" fontId="17" fillId="2" borderId="0" xfId="0" applyFont="1" applyFill="1" applyBorder="1" applyAlignment="1" applyProtection="1">
      <alignment horizontal="center" vertical="center" shrinkToFit="1"/>
    </xf>
    <xf numFmtId="0" fontId="20" fillId="2" borderId="57" xfId="0" applyFont="1" applyFill="1" applyBorder="1" applyAlignment="1" applyProtection="1">
      <alignment horizontal="center" vertical="center" shrinkToFit="1"/>
    </xf>
    <xf numFmtId="0" fontId="22" fillId="2" borderId="14" xfId="0" applyFont="1" applyFill="1" applyBorder="1" applyAlignment="1" applyProtection="1">
      <alignment vertical="center" wrapText="1" shrinkToFit="1"/>
    </xf>
    <xf numFmtId="0" fontId="20" fillId="2" borderId="67" xfId="0" applyFont="1" applyFill="1" applyBorder="1" applyAlignment="1" applyProtection="1">
      <alignment vertical="center" wrapText="1" shrinkToFit="1"/>
    </xf>
    <xf numFmtId="0" fontId="20" fillId="2" borderId="68" xfId="0" applyFont="1" applyFill="1" applyBorder="1" applyAlignment="1" applyProtection="1">
      <alignment vertical="center" wrapText="1" shrinkToFit="1"/>
    </xf>
    <xf numFmtId="38" fontId="20" fillId="2" borderId="37" xfId="9" applyFont="1" applyFill="1" applyBorder="1" applyAlignment="1" applyProtection="1">
      <alignment vertical="center" wrapText="1" shrinkToFit="1"/>
    </xf>
    <xf numFmtId="38" fontId="20" fillId="2" borderId="43" xfId="0" applyNumberFormat="1" applyFont="1" applyFill="1" applyBorder="1" applyAlignment="1" applyProtection="1">
      <alignment vertical="center" shrinkToFit="1"/>
    </xf>
    <xf numFmtId="0" fontId="69" fillId="2" borderId="79" xfId="0" applyFont="1" applyFill="1" applyBorder="1" applyAlignment="1" applyProtection="1">
      <alignment horizontal="center" vertical="center" shrinkToFit="1"/>
    </xf>
    <xf numFmtId="0" fontId="20" fillId="2" borderId="47" xfId="0" applyFont="1" applyFill="1" applyBorder="1" applyAlignment="1" applyProtection="1">
      <alignment horizontal="center" vertical="center" shrinkToFit="1"/>
    </xf>
    <xf numFmtId="0" fontId="69" fillId="2" borderId="47" xfId="0" applyFont="1" applyFill="1" applyBorder="1" applyAlignment="1" applyProtection="1">
      <alignment horizontal="center" vertical="center" shrinkToFit="1"/>
    </xf>
    <xf numFmtId="0" fontId="20" fillId="2" borderId="110" xfId="0" applyFont="1" applyFill="1" applyBorder="1" applyAlignment="1" applyProtection="1">
      <alignment horizontal="center" vertical="center" shrinkToFit="1"/>
    </xf>
    <xf numFmtId="38" fontId="20" fillId="2" borderId="0" xfId="9" applyFont="1" applyFill="1" applyBorder="1" applyAlignment="1" applyProtection="1">
      <alignment vertical="center" shrinkToFit="1"/>
    </xf>
    <xf numFmtId="0" fontId="19" fillId="2" borderId="79" xfId="0" applyFont="1" applyFill="1" applyBorder="1" applyAlignment="1" applyProtection="1">
      <alignment vertical="center" shrinkToFit="1"/>
    </xf>
    <xf numFmtId="0" fontId="17" fillId="2" borderId="36" xfId="0" applyFont="1" applyFill="1" applyBorder="1" applyAlignment="1" applyProtection="1">
      <alignment vertical="center" shrinkToFit="1"/>
    </xf>
    <xf numFmtId="0" fontId="17" fillId="2" borderId="59" xfId="0" applyFont="1" applyFill="1" applyBorder="1" applyAlignment="1" applyProtection="1">
      <alignment vertical="center" shrinkToFit="1"/>
    </xf>
    <xf numFmtId="0" fontId="20" fillId="2" borderId="180" xfId="0" applyFont="1" applyFill="1" applyBorder="1" applyAlignment="1" applyProtection="1">
      <alignment horizontal="center" vertical="center" shrinkToFit="1"/>
    </xf>
    <xf numFmtId="0" fontId="20" fillId="2" borderId="68" xfId="0"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17" fillId="2" borderId="181" xfId="0" applyFont="1" applyFill="1" applyBorder="1" applyAlignment="1" applyProtection="1">
      <alignment horizontal="center" vertical="center" shrinkToFit="1"/>
    </xf>
    <xf numFmtId="0" fontId="17" fillId="2" borderId="180" xfId="0" applyFont="1" applyFill="1" applyBorder="1" applyAlignment="1" applyProtection="1">
      <alignment horizontal="center" vertical="center" shrinkToFit="1"/>
    </xf>
    <xf numFmtId="0" fontId="17" fillId="2" borderId="57" xfId="0" applyFont="1" applyFill="1" applyBorder="1" applyAlignment="1" applyProtection="1">
      <alignment horizontal="center" vertical="center" shrinkToFit="1"/>
    </xf>
    <xf numFmtId="0" fontId="19" fillId="2" borderId="47" xfId="0" applyFont="1" applyFill="1" applyBorder="1" applyAlignment="1" applyProtection="1">
      <alignment vertical="center" shrinkToFit="1"/>
    </xf>
    <xf numFmtId="38" fontId="87" fillId="2" borderId="43" xfId="0" applyNumberFormat="1" applyFont="1" applyFill="1" applyBorder="1" applyAlignment="1" applyProtection="1">
      <alignment vertical="center" shrinkToFit="1"/>
    </xf>
    <xf numFmtId="0" fontId="17" fillId="2" borderId="37" xfId="0" applyFont="1" applyFill="1" applyBorder="1" applyAlignment="1" applyProtection="1">
      <alignment horizontal="center" vertical="center" shrinkToFit="1"/>
    </xf>
    <xf numFmtId="38" fontId="87" fillId="2" borderId="43" xfId="9" applyFont="1" applyFill="1" applyBorder="1" applyAlignment="1" applyProtection="1">
      <alignment vertical="center" shrinkToFit="1"/>
    </xf>
    <xf numFmtId="38" fontId="89" fillId="2" borderId="16" xfId="9" applyFont="1" applyFill="1" applyBorder="1" applyAlignment="1" applyProtection="1">
      <alignment vertical="center" shrinkToFit="1"/>
    </xf>
    <xf numFmtId="38" fontId="89" fillId="2" borderId="37" xfId="0" applyNumberFormat="1" applyFont="1" applyFill="1" applyBorder="1" applyAlignment="1" applyProtection="1">
      <alignment vertical="center" shrinkToFit="1"/>
    </xf>
    <xf numFmtId="38" fontId="89" fillId="2" borderId="57" xfId="0" applyNumberFormat="1" applyFont="1" applyFill="1" applyBorder="1" applyAlignment="1" applyProtection="1">
      <alignment vertical="center" shrinkToFit="1"/>
    </xf>
    <xf numFmtId="38" fontId="89" fillId="2" borderId="37" xfId="9" applyFont="1" applyFill="1" applyBorder="1" applyAlignment="1" applyProtection="1">
      <alignment vertical="center" shrinkToFit="1"/>
    </xf>
    <xf numFmtId="38" fontId="89" fillId="2" borderId="48" xfId="0" applyNumberFormat="1" applyFont="1" applyFill="1" applyBorder="1" applyAlignment="1" applyProtection="1">
      <alignment vertical="center" shrinkToFit="1"/>
    </xf>
    <xf numFmtId="38" fontId="89" fillId="2" borderId="49" xfId="9" applyFont="1" applyFill="1" applyBorder="1" applyAlignment="1" applyProtection="1">
      <alignment vertical="center" shrinkToFit="1"/>
    </xf>
    <xf numFmtId="38" fontId="89" fillId="2" borderId="57" xfId="9" applyFont="1" applyFill="1" applyBorder="1" applyAlignment="1" applyProtection="1">
      <alignment vertical="center" shrinkToFit="1"/>
    </xf>
    <xf numFmtId="38" fontId="90" fillId="2" borderId="37" xfId="9" applyFont="1" applyFill="1" applyBorder="1" applyAlignment="1" applyProtection="1">
      <alignment vertical="center" shrinkToFit="1"/>
    </xf>
    <xf numFmtId="38" fontId="90" fillId="2" borderId="57" xfId="9" applyFont="1" applyFill="1" applyBorder="1" applyAlignment="1" applyProtection="1">
      <alignment vertical="center" shrinkToFit="1"/>
    </xf>
    <xf numFmtId="38" fontId="89" fillId="2" borderId="36" xfId="9" applyFont="1" applyFill="1" applyBorder="1" applyAlignment="1" applyProtection="1">
      <alignment vertical="center" shrinkToFit="1"/>
    </xf>
    <xf numFmtId="0" fontId="68" fillId="4" borderId="16" xfId="0" applyFont="1" applyFill="1" applyBorder="1" applyAlignment="1" applyProtection="1">
      <alignment horizontal="center" vertical="center" shrinkToFit="1"/>
      <protection locked="0"/>
    </xf>
    <xf numFmtId="185" fontId="17" fillId="0" borderId="0" xfId="0" applyNumberFormat="1" applyFont="1" applyBorder="1" applyAlignment="1" applyProtection="1">
      <alignment vertical="center" shrinkToFit="1"/>
    </xf>
    <xf numFmtId="0" fontId="19" fillId="2" borderId="0" xfId="0" applyFont="1" applyFill="1"/>
    <xf numFmtId="0" fontId="0" fillId="2" borderId="0" xfId="0" applyFill="1"/>
    <xf numFmtId="0" fontId="17" fillId="2" borderId="0" xfId="0" applyFont="1" applyFill="1"/>
    <xf numFmtId="0" fontId="17" fillId="2" borderId="0" xfId="0" applyFont="1" applyFill="1" applyAlignment="1">
      <alignment horizontal="left"/>
    </xf>
    <xf numFmtId="0" fontId="18" fillId="2" borderId="0" xfId="0" applyFont="1" applyFill="1" applyBorder="1" applyAlignment="1">
      <alignment horizontal="center" vertical="center" shrinkToFit="1"/>
    </xf>
    <xf numFmtId="0" fontId="18" fillId="2" borderId="0" xfId="0" applyFont="1" applyFill="1"/>
    <xf numFmtId="0" fontId="17" fillId="2" borderId="0" xfId="0" applyFont="1" applyFill="1" applyAlignment="1">
      <alignment vertical="center"/>
    </xf>
    <xf numFmtId="0" fontId="17" fillId="2" borderId="0" xfId="0" applyFont="1" applyFill="1" applyAlignment="1">
      <alignment vertical="center" wrapText="1"/>
    </xf>
    <xf numFmtId="0" fontId="38" fillId="2" borderId="2" xfId="82" applyFont="1" applyFill="1" applyBorder="1" applyAlignment="1" applyProtection="1">
      <alignment vertical="center"/>
    </xf>
    <xf numFmtId="0" fontId="38" fillId="2" borderId="15" xfId="82" applyFont="1" applyFill="1" applyBorder="1" applyAlignment="1" applyProtection="1">
      <alignment horizontal="center" vertical="center"/>
    </xf>
    <xf numFmtId="0" fontId="38" fillId="2" borderId="0" xfId="82" applyFont="1" applyFill="1" applyBorder="1" applyAlignment="1" applyProtection="1">
      <alignment vertical="center"/>
    </xf>
    <xf numFmtId="0" fontId="45" fillId="2" borderId="0" xfId="82" applyFont="1" applyFill="1" applyBorder="1" applyAlignment="1" applyProtection="1">
      <alignment horizontal="center" vertical="center" wrapText="1"/>
    </xf>
    <xf numFmtId="0" fontId="38" fillId="2" borderId="14" xfId="82" applyFont="1" applyFill="1" applyBorder="1" applyAlignment="1" applyProtection="1">
      <alignment horizontal="center" vertical="center"/>
    </xf>
    <xf numFmtId="0" fontId="57" fillId="2" borderId="0" xfId="82" applyFont="1" applyFill="1" applyAlignment="1" applyProtection="1">
      <alignment horizontal="center" vertical="center" shrinkToFit="1"/>
    </xf>
    <xf numFmtId="0" fontId="86" fillId="2" borderId="0" xfId="82" applyFont="1" applyFill="1" applyAlignment="1" applyProtection="1">
      <alignment horizontal="center" vertical="center" shrinkToFit="1"/>
    </xf>
    <xf numFmtId="0" fontId="38" fillId="2" borderId="13" xfId="82" applyFont="1" applyFill="1" applyBorder="1" applyAlignment="1" applyProtection="1">
      <alignment horizontal="center" vertical="center"/>
    </xf>
    <xf numFmtId="0" fontId="48" fillId="2" borderId="0" xfId="82" applyFont="1" applyFill="1" applyAlignment="1" applyProtection="1">
      <alignment horizontal="center" vertical="center" shrinkToFit="1"/>
    </xf>
    <xf numFmtId="0" fontId="38" fillId="2" borderId="0" xfId="82" applyFont="1" applyFill="1" applyBorder="1" applyAlignment="1" applyProtection="1">
      <alignment horizontal="center" vertical="center"/>
    </xf>
    <xf numFmtId="195" fontId="48" fillId="2" borderId="0" xfId="82" applyNumberFormat="1" applyFont="1" applyFill="1" applyBorder="1" applyAlignment="1" applyProtection="1">
      <alignment horizontal="center" vertical="center" wrapText="1"/>
    </xf>
    <xf numFmtId="195" fontId="38" fillId="2" borderId="0" xfId="82" applyNumberFormat="1" applyFont="1" applyFill="1" applyBorder="1" applyAlignment="1" applyProtection="1">
      <alignment horizontal="center" vertical="center"/>
    </xf>
    <xf numFmtId="38" fontId="77" fillId="2" borderId="16" xfId="9" applyFont="1" applyFill="1" applyBorder="1" applyAlignment="1" applyProtection="1">
      <alignment vertical="center"/>
    </xf>
    <xf numFmtId="0" fontId="41" fillId="2" borderId="0" xfId="82" applyFont="1" applyFill="1" applyBorder="1" applyAlignment="1" applyProtection="1">
      <alignment vertical="center"/>
    </xf>
    <xf numFmtId="0" fontId="38" fillId="2" borderId="127" xfId="82" applyFont="1" applyFill="1" applyBorder="1" applyAlignment="1" applyProtection="1">
      <alignment vertical="center"/>
    </xf>
    <xf numFmtId="0" fontId="38" fillId="2" borderId="147" xfId="82" applyFont="1" applyFill="1" applyBorder="1" applyAlignment="1" applyProtection="1">
      <alignment vertical="center"/>
    </xf>
    <xf numFmtId="0" fontId="38" fillId="2" borderId="135" xfId="82" applyFont="1" applyFill="1" applyBorder="1" applyAlignment="1" applyProtection="1">
      <alignment vertical="center"/>
    </xf>
    <xf numFmtId="0" fontId="38" fillId="2" borderId="47" xfId="82" applyFont="1" applyFill="1" applyBorder="1" applyAlignment="1" applyProtection="1">
      <alignment horizontal="center" vertical="center"/>
    </xf>
    <xf numFmtId="195" fontId="38" fillId="2" borderId="2" xfId="82" applyNumberFormat="1" applyFont="1" applyFill="1" applyBorder="1" applyAlignment="1" applyProtection="1">
      <alignment vertical="center"/>
    </xf>
    <xf numFmtId="198" fontId="77" fillId="2" borderId="128" xfId="82" applyNumberFormat="1" applyFont="1" applyFill="1" applyBorder="1" applyAlignment="1" applyProtection="1">
      <alignment vertical="center"/>
    </xf>
    <xf numFmtId="198" fontId="77" fillId="2" borderId="75" xfId="82" applyNumberFormat="1" applyFont="1" applyFill="1" applyBorder="1" applyAlignment="1" applyProtection="1">
      <alignment vertical="center"/>
    </xf>
    <xf numFmtId="198" fontId="77" fillId="2" borderId="146" xfId="82" applyNumberFormat="1" applyFont="1" applyFill="1" applyBorder="1" applyAlignment="1" applyProtection="1">
      <alignment vertical="center"/>
    </xf>
    <xf numFmtId="0" fontId="42" fillId="2" borderId="62" xfId="82" applyFont="1" applyFill="1" applyBorder="1" applyAlignment="1" applyProtection="1">
      <alignment horizontal="center" vertical="center"/>
    </xf>
    <xf numFmtId="195" fontId="38" fillId="2" borderId="16" xfId="82" applyNumberFormat="1" applyFont="1" applyFill="1" applyBorder="1" applyAlignment="1" applyProtection="1">
      <alignment vertical="center"/>
    </xf>
    <xf numFmtId="195" fontId="76" fillId="2" borderId="76" xfId="82" applyNumberFormat="1" applyFont="1" applyFill="1" applyBorder="1" applyAlignment="1" applyProtection="1">
      <alignment horizontal="right" vertical="center"/>
    </xf>
    <xf numFmtId="195" fontId="76" fillId="2" borderId="20" xfId="82" applyNumberFormat="1" applyFont="1" applyFill="1" applyBorder="1" applyAlignment="1" applyProtection="1">
      <alignment horizontal="right" vertical="center"/>
    </xf>
    <xf numFmtId="195" fontId="76" fillId="0" borderId="20" xfId="82" applyNumberFormat="1" applyFont="1" applyFill="1" applyBorder="1" applyAlignment="1" applyProtection="1">
      <alignment horizontal="right" vertical="center"/>
    </xf>
    <xf numFmtId="195" fontId="76" fillId="2" borderId="187" xfId="82" applyNumberFormat="1" applyFont="1" applyFill="1" applyBorder="1" applyAlignment="1" applyProtection="1">
      <alignment horizontal="right" vertical="center"/>
    </xf>
    <xf numFmtId="195" fontId="77" fillId="2" borderId="2" xfId="82" applyNumberFormat="1" applyFont="1" applyFill="1" applyBorder="1" applyAlignment="1" applyProtection="1">
      <alignment vertical="center"/>
    </xf>
    <xf numFmtId="195" fontId="77" fillId="2" borderId="135" xfId="82" applyNumberFormat="1" applyFont="1" applyFill="1" applyBorder="1" applyAlignment="1" applyProtection="1">
      <alignment vertical="center"/>
    </xf>
    <xf numFmtId="195" fontId="44" fillId="2" borderId="16" xfId="82" applyNumberFormat="1" applyFont="1" applyFill="1" applyBorder="1" applyAlignment="1" applyProtection="1">
      <alignment vertical="center"/>
    </xf>
    <xf numFmtId="195" fontId="44" fillId="2" borderId="14" xfId="82" applyNumberFormat="1" applyFont="1" applyFill="1" applyBorder="1" applyAlignment="1" applyProtection="1">
      <alignment vertical="center"/>
    </xf>
    <xf numFmtId="0" fontId="44" fillId="2" borderId="189" xfId="82" applyFont="1" applyFill="1" applyBorder="1" applyAlignment="1" applyProtection="1">
      <alignment vertical="center"/>
    </xf>
    <xf numFmtId="195" fontId="38" fillId="0" borderId="16" xfId="82" applyNumberFormat="1" applyFont="1" applyFill="1" applyBorder="1" applyAlignment="1" applyProtection="1">
      <alignment vertical="center"/>
    </xf>
    <xf numFmtId="0" fontId="38" fillId="2" borderId="188" xfId="82" applyFont="1" applyFill="1" applyBorder="1" applyAlignment="1" applyProtection="1">
      <alignment vertical="center"/>
    </xf>
    <xf numFmtId="198" fontId="77" fillId="2" borderId="72" xfId="82" applyNumberFormat="1" applyFont="1" applyFill="1" applyBorder="1" applyAlignment="1" applyProtection="1">
      <alignment vertical="center"/>
    </xf>
    <xf numFmtId="38" fontId="41" fillId="2" borderId="16" xfId="9" applyFont="1" applyFill="1" applyBorder="1" applyAlignment="1" applyProtection="1">
      <alignment vertical="center"/>
    </xf>
    <xf numFmtId="38" fontId="41" fillId="2" borderId="16" xfId="9" applyFont="1" applyFill="1" applyBorder="1" applyAlignment="1" applyProtection="1">
      <alignment vertical="center" wrapText="1" shrinkToFit="1"/>
    </xf>
    <xf numFmtId="196" fontId="38" fillId="2" borderId="16" xfId="82" applyNumberFormat="1" applyFont="1" applyFill="1" applyBorder="1" applyAlignment="1" applyProtection="1">
      <alignment horizontal="center" vertical="center"/>
    </xf>
    <xf numFmtId="195" fontId="38" fillId="2" borderId="0" xfId="82" applyNumberFormat="1" applyFont="1" applyFill="1" applyBorder="1" applyAlignment="1" applyProtection="1">
      <alignment horizontal="left" vertical="center"/>
    </xf>
    <xf numFmtId="9" fontId="38" fillId="2" borderId="0" xfId="76" applyFont="1" applyFill="1" applyBorder="1" applyAlignment="1" applyProtection="1">
      <alignment vertical="center"/>
    </xf>
    <xf numFmtId="38" fontId="38" fillId="2" borderId="16" xfId="9" applyFont="1" applyFill="1" applyBorder="1" applyAlignment="1" applyProtection="1">
      <alignment vertical="center"/>
    </xf>
    <xf numFmtId="0" fontId="38" fillId="2" borderId="0" xfId="82" applyFont="1" applyFill="1" applyAlignment="1" applyProtection="1">
      <alignment horizontal="left" vertical="center" indent="2"/>
    </xf>
    <xf numFmtId="195" fontId="38" fillId="2" borderId="16" xfId="82" applyNumberFormat="1" applyFont="1" applyFill="1" applyBorder="1" applyAlignment="1" applyProtection="1">
      <alignment horizontal="left" vertical="center"/>
    </xf>
    <xf numFmtId="0" fontId="38" fillId="2" borderId="0" xfId="82" applyFont="1" applyFill="1" applyAlignment="1" applyProtection="1">
      <alignment horizontal="left" vertical="center"/>
    </xf>
    <xf numFmtId="0" fontId="38" fillId="2" borderId="24" xfId="82" applyFont="1" applyFill="1" applyBorder="1" applyAlignment="1" applyProtection="1">
      <alignment vertical="center"/>
    </xf>
    <xf numFmtId="0" fontId="38" fillId="2" borderId="128" xfId="82" applyFont="1" applyFill="1" applyBorder="1" applyAlignment="1" applyProtection="1">
      <alignment vertical="center"/>
    </xf>
    <xf numFmtId="0" fontId="38" fillId="2" borderId="146" xfId="82" applyFont="1" applyFill="1" applyBorder="1" applyAlignment="1" applyProtection="1">
      <alignment vertical="center"/>
    </xf>
    <xf numFmtId="0" fontId="38" fillId="2" borderId="59" xfId="82" applyFont="1" applyFill="1" applyBorder="1" applyAlignment="1" applyProtection="1">
      <alignment vertical="center"/>
    </xf>
    <xf numFmtId="0" fontId="38" fillId="2" borderId="126" xfId="82" applyFont="1" applyFill="1" applyBorder="1" applyAlignment="1" applyProtection="1">
      <alignment vertical="center"/>
    </xf>
    <xf numFmtId="195" fontId="38" fillId="2" borderId="127" xfId="82" applyNumberFormat="1" applyFont="1" applyFill="1" applyBorder="1" applyAlignment="1" applyProtection="1">
      <alignment vertical="center"/>
    </xf>
    <xf numFmtId="195" fontId="43" fillId="2" borderId="36" xfId="82" applyNumberFormat="1" applyFont="1" applyFill="1" applyBorder="1" applyAlignment="1" applyProtection="1">
      <alignment vertical="center"/>
    </xf>
    <xf numFmtId="0" fontId="38" fillId="5" borderId="47" xfId="82" applyFont="1" applyFill="1" applyBorder="1" applyAlignment="1" applyProtection="1">
      <alignment horizontal="center" vertical="center"/>
    </xf>
    <xf numFmtId="0" fontId="38" fillId="2" borderId="34" xfId="82" applyFont="1" applyFill="1" applyBorder="1" applyAlignment="1" applyProtection="1">
      <alignment horizontal="center" vertical="center" wrapText="1"/>
    </xf>
    <xf numFmtId="195" fontId="38" fillId="2" borderId="5" xfId="82" applyNumberFormat="1" applyFont="1" applyFill="1" applyBorder="1" applyAlignment="1" applyProtection="1">
      <alignment horizontal="center" vertical="center" wrapText="1"/>
    </xf>
    <xf numFmtId="195" fontId="38" fillId="2" borderId="6" xfId="82" applyNumberFormat="1" applyFont="1" applyFill="1" applyBorder="1" applyAlignment="1" applyProtection="1">
      <alignment vertical="center"/>
    </xf>
    <xf numFmtId="195" fontId="76" fillId="2" borderId="29" xfId="82" applyNumberFormat="1" applyFont="1" applyFill="1" applyBorder="1" applyAlignment="1" applyProtection="1">
      <alignment horizontal="right" vertical="center"/>
    </xf>
    <xf numFmtId="195" fontId="76" fillId="2" borderId="44" xfId="82" applyNumberFormat="1" applyFont="1" applyFill="1" applyBorder="1" applyAlignment="1" applyProtection="1">
      <alignment horizontal="right" vertical="center"/>
    </xf>
    <xf numFmtId="195" fontId="76" fillId="2" borderId="81" xfId="82" applyNumberFormat="1" applyFont="1" applyFill="1" applyBorder="1" applyAlignment="1" applyProtection="1">
      <alignment horizontal="right" vertical="center"/>
    </xf>
    <xf numFmtId="195" fontId="76" fillId="2" borderId="145" xfId="82" applyNumberFormat="1" applyFont="1" applyFill="1" applyBorder="1" applyAlignment="1" applyProtection="1">
      <alignment horizontal="right" vertical="center"/>
    </xf>
    <xf numFmtId="195" fontId="43" fillId="2" borderId="2" xfId="82" applyNumberFormat="1" applyFont="1" applyFill="1" applyBorder="1" applyAlignment="1" applyProtection="1">
      <alignment vertical="center"/>
    </xf>
    <xf numFmtId="195" fontId="43" fillId="2" borderId="6" xfId="82" applyNumberFormat="1" applyFont="1" applyFill="1" applyBorder="1" applyAlignment="1" applyProtection="1">
      <alignment vertical="center"/>
    </xf>
    <xf numFmtId="195" fontId="38" fillId="5" borderId="26" xfId="82" applyNumberFormat="1" applyFont="1" applyFill="1" applyBorder="1" applyAlignment="1" applyProtection="1">
      <alignment horizontal="right" vertical="center"/>
    </xf>
    <xf numFmtId="195" fontId="43" fillId="2" borderId="5" xfId="82" applyNumberFormat="1" applyFont="1" applyFill="1" applyBorder="1" applyAlignment="1" applyProtection="1">
      <alignment vertical="center"/>
    </xf>
    <xf numFmtId="186" fontId="44" fillId="5" borderId="26" xfId="82" applyNumberFormat="1" applyFont="1" applyFill="1" applyBorder="1" applyAlignment="1" applyProtection="1">
      <alignment horizontal="right" vertical="center"/>
    </xf>
    <xf numFmtId="186" fontId="38" fillId="5" borderId="26" xfId="82" applyNumberFormat="1" applyFont="1" applyFill="1" applyBorder="1" applyAlignment="1" applyProtection="1">
      <alignment horizontal="right" vertical="center"/>
    </xf>
    <xf numFmtId="195" fontId="43" fillId="2" borderId="135" xfId="82" applyNumberFormat="1" applyFont="1" applyFill="1" applyBorder="1" applyAlignment="1" applyProtection="1">
      <alignment vertical="center"/>
    </xf>
    <xf numFmtId="195" fontId="38" fillId="2" borderId="13" xfId="82" applyNumberFormat="1" applyFont="1" applyFill="1" applyBorder="1" applyAlignment="1" applyProtection="1">
      <alignment vertical="center"/>
    </xf>
    <xf numFmtId="198" fontId="77" fillId="2" borderId="29" xfId="82" applyNumberFormat="1" applyFont="1" applyFill="1" applyBorder="1" applyAlignment="1" applyProtection="1">
      <alignment vertical="center"/>
    </xf>
    <xf numFmtId="198" fontId="77" fillId="2" borderId="44" xfId="82" applyNumberFormat="1" applyFont="1" applyFill="1" applyBorder="1" applyAlignment="1" applyProtection="1">
      <alignment vertical="center"/>
    </xf>
    <xf numFmtId="198" fontId="77" fillId="2" borderId="81" xfId="82" applyNumberFormat="1" applyFont="1" applyFill="1" applyBorder="1" applyAlignment="1" applyProtection="1">
      <alignment vertical="center"/>
    </xf>
    <xf numFmtId="198" fontId="77" fillId="2" borderId="145" xfId="82" applyNumberFormat="1" applyFont="1" applyFill="1" applyBorder="1" applyAlignment="1" applyProtection="1">
      <alignment vertical="center"/>
    </xf>
    <xf numFmtId="195" fontId="77" fillId="2" borderId="15" xfId="82" applyNumberFormat="1" applyFont="1" applyFill="1" applyBorder="1" applyAlignment="1" applyProtection="1">
      <alignment vertical="center"/>
    </xf>
    <xf numFmtId="195" fontId="38" fillId="2" borderId="15" xfId="82" applyNumberFormat="1" applyFont="1" applyFill="1" applyBorder="1" applyAlignment="1" applyProtection="1">
      <alignment vertical="center"/>
    </xf>
    <xf numFmtId="195" fontId="76" fillId="2" borderId="158" xfId="82" applyNumberFormat="1" applyFont="1" applyFill="1" applyBorder="1" applyAlignment="1" applyProtection="1">
      <alignment horizontal="right" vertical="center"/>
    </xf>
    <xf numFmtId="195" fontId="43" fillId="2" borderId="159" xfId="82" applyNumberFormat="1" applyFont="1" applyFill="1" applyBorder="1" applyAlignment="1" applyProtection="1">
      <alignment vertical="center"/>
    </xf>
    <xf numFmtId="0" fontId="38" fillId="0" borderId="158" xfId="82" applyFont="1" applyBorder="1" applyAlignment="1" applyProtection="1">
      <alignment vertical="center"/>
    </xf>
    <xf numFmtId="0" fontId="41" fillId="2" borderId="0" xfId="82" applyFont="1" applyFill="1" applyAlignment="1" applyProtection="1">
      <alignment vertical="center"/>
    </xf>
    <xf numFmtId="0" fontId="83" fillId="2" borderId="26" xfId="82" applyFont="1" applyFill="1" applyBorder="1" applyAlignment="1" applyProtection="1">
      <alignment horizontal="left" vertical="center"/>
    </xf>
    <xf numFmtId="0" fontId="42" fillId="2" borderId="0" xfId="82" applyFont="1" applyFill="1" applyBorder="1" applyAlignment="1" applyProtection="1">
      <alignment horizontal="center" vertical="center" wrapText="1" shrinkToFit="1"/>
    </xf>
    <xf numFmtId="196" fontId="38" fillId="2" borderId="0" xfId="82" applyNumberFormat="1" applyFont="1" applyFill="1" applyBorder="1" applyAlignment="1" applyProtection="1">
      <alignment horizontal="center" vertical="center"/>
    </xf>
    <xf numFmtId="38" fontId="77" fillId="2" borderId="0" xfId="9" applyFont="1" applyFill="1" applyBorder="1" applyAlignment="1" applyProtection="1">
      <alignment vertical="center"/>
    </xf>
    <xf numFmtId="0" fontId="42" fillId="2" borderId="0" xfId="82" applyFont="1" applyFill="1" applyAlignment="1" applyProtection="1">
      <alignment vertical="center"/>
    </xf>
    <xf numFmtId="195" fontId="42" fillId="0" borderId="0" xfId="82" applyNumberFormat="1" applyFont="1" applyAlignment="1" applyProtection="1">
      <alignment vertical="center"/>
    </xf>
    <xf numFmtId="0" fontId="42" fillId="2" borderId="0" xfId="82" applyFont="1" applyFill="1" applyAlignment="1" applyProtection="1">
      <alignment horizontal="left" vertical="center" indent="2"/>
    </xf>
    <xf numFmtId="198" fontId="77" fillId="2" borderId="25" xfId="82" applyNumberFormat="1" applyFont="1" applyFill="1" applyBorder="1" applyAlignment="1" applyProtection="1">
      <alignment vertical="center"/>
    </xf>
    <xf numFmtId="40" fontId="77" fillId="2" borderId="25" xfId="9" applyNumberFormat="1" applyFont="1" applyFill="1" applyBorder="1" applyAlignment="1" applyProtection="1">
      <alignment vertical="center"/>
    </xf>
    <xf numFmtId="196" fontId="93" fillId="2" borderId="16" xfId="82" applyNumberFormat="1" applyFont="1" applyFill="1" applyBorder="1" applyAlignment="1" applyProtection="1">
      <alignment horizontal="center" vertical="center"/>
    </xf>
    <xf numFmtId="198" fontId="93" fillId="2" borderId="25" xfId="82" applyNumberFormat="1" applyFont="1" applyFill="1" applyBorder="1" applyAlignment="1" applyProtection="1">
      <alignment vertical="center"/>
    </xf>
    <xf numFmtId="195" fontId="93" fillId="2" borderId="0" xfId="82" applyNumberFormat="1" applyFont="1" applyFill="1" applyBorder="1" applyAlignment="1" applyProtection="1">
      <alignment vertical="center"/>
    </xf>
    <xf numFmtId="196" fontId="93" fillId="2" borderId="0" xfId="82" applyNumberFormat="1" applyFont="1" applyFill="1" applyBorder="1" applyAlignment="1" applyProtection="1">
      <alignment horizontal="center" vertical="center"/>
    </xf>
    <xf numFmtId="40" fontId="77" fillId="2" borderId="1" xfId="9" applyNumberFormat="1" applyFont="1" applyFill="1" applyBorder="1" applyAlignment="1" applyProtection="1">
      <alignment vertical="center"/>
    </xf>
    <xf numFmtId="195" fontId="30" fillId="2" borderId="32" xfId="82" applyNumberFormat="1" applyFont="1" applyFill="1" applyBorder="1" applyAlignment="1" applyProtection="1">
      <alignment vertical="center"/>
    </xf>
    <xf numFmtId="0" fontId="83" fillId="2" borderId="26" xfId="82" applyFont="1" applyFill="1" applyBorder="1" applyAlignment="1" applyProtection="1">
      <alignment vertical="center"/>
    </xf>
    <xf numFmtId="0" fontId="31" fillId="2" borderId="70" xfId="82" applyFont="1" applyFill="1" applyBorder="1" applyAlignment="1" applyProtection="1">
      <alignment vertical="center"/>
    </xf>
    <xf numFmtId="0" fontId="31" fillId="2" borderId="26" xfId="82" applyFont="1" applyFill="1" applyBorder="1" applyAlignment="1" applyProtection="1">
      <alignment vertical="center"/>
    </xf>
    <xf numFmtId="0" fontId="38" fillId="2" borderId="72" xfId="82" applyFont="1" applyFill="1" applyBorder="1" applyAlignment="1" applyProtection="1">
      <alignment vertical="center"/>
    </xf>
    <xf numFmtId="38" fontId="56" fillId="2" borderId="15" xfId="9" applyFont="1" applyFill="1" applyBorder="1" applyAlignment="1" applyProtection="1">
      <alignment vertical="center" shrinkToFit="1"/>
    </xf>
    <xf numFmtId="0" fontId="38" fillId="2" borderId="15" xfId="82" applyFont="1" applyFill="1" applyBorder="1" applyAlignment="1" applyProtection="1">
      <alignment horizontal="center" vertical="center"/>
    </xf>
    <xf numFmtId="0" fontId="44" fillId="2" borderId="77" xfId="58" applyFont="1" applyFill="1" applyBorder="1" applyAlignment="1" applyProtection="1">
      <alignment horizontal="left" vertical="center"/>
    </xf>
    <xf numFmtId="196" fontId="44" fillId="2" borderId="182" xfId="82" applyNumberFormat="1" applyFont="1" applyFill="1" applyBorder="1" applyAlignment="1" applyProtection="1">
      <alignment vertical="center"/>
    </xf>
    <xf numFmtId="196" fontId="44" fillId="2" borderId="183" xfId="82" applyNumberFormat="1" applyFont="1" applyFill="1" applyBorder="1" applyAlignment="1" applyProtection="1">
      <alignment vertical="center"/>
    </xf>
    <xf numFmtId="196" fontId="44" fillId="2" borderId="177" xfId="82" applyNumberFormat="1" applyFont="1" applyFill="1" applyBorder="1" applyAlignment="1" applyProtection="1">
      <alignment vertical="center"/>
    </xf>
    <xf numFmtId="38" fontId="56" fillId="2" borderId="16" xfId="9" applyFont="1" applyFill="1" applyBorder="1" applyAlignment="1" applyProtection="1">
      <alignment vertical="center" shrinkToFit="1"/>
    </xf>
    <xf numFmtId="0" fontId="17" fillId="2" borderId="3" xfId="0" applyFont="1" applyFill="1" applyBorder="1" applyAlignment="1" applyProtection="1">
      <alignment horizontal="center" vertical="center" shrinkToFit="1"/>
    </xf>
    <xf numFmtId="0" fontId="17" fillId="2" borderId="13" xfId="0" applyFont="1" applyFill="1" applyBorder="1" applyAlignment="1" applyProtection="1">
      <alignment vertical="center" shrinkToFit="1"/>
    </xf>
    <xf numFmtId="0" fontId="17" fillId="2" borderId="10" xfId="0" applyFont="1" applyFill="1" applyBorder="1" applyAlignment="1" applyProtection="1">
      <alignment vertical="center" shrinkToFit="1"/>
    </xf>
    <xf numFmtId="0" fontId="0" fillId="2" borderId="16" xfId="0" applyFill="1" applyBorder="1" applyAlignment="1">
      <alignment horizontal="right" vertical="center"/>
    </xf>
    <xf numFmtId="0" fontId="0" fillId="2" borderId="16" xfId="0" applyFill="1" applyBorder="1" applyAlignment="1">
      <alignment vertical="center"/>
    </xf>
    <xf numFmtId="0" fontId="0" fillId="2" borderId="16" xfId="0" applyFill="1" applyBorder="1" applyAlignment="1">
      <alignment vertical="center" wrapText="1"/>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4" xfId="0" applyFill="1" applyBorder="1" applyAlignment="1">
      <alignment vertical="center" wrapText="1"/>
    </xf>
    <xf numFmtId="0" fontId="60" fillId="2" borderId="0" xfId="86" applyFont="1" applyFill="1" applyAlignment="1" applyProtection="1">
      <alignment horizontal="center"/>
    </xf>
    <xf numFmtId="0" fontId="5" fillId="2" borderId="16" xfId="86" applyFill="1" applyBorder="1" applyAlignment="1" applyProtection="1">
      <alignment vertical="center"/>
    </xf>
    <xf numFmtId="0" fontId="62" fillId="2" borderId="16" xfId="86" applyFont="1" applyFill="1" applyBorder="1" applyAlignment="1" applyProtection="1">
      <alignment vertical="center" shrinkToFit="1"/>
    </xf>
    <xf numFmtId="0" fontId="9" fillId="2" borderId="190" xfId="86" applyFont="1" applyFill="1" applyBorder="1" applyAlignment="1" applyProtection="1">
      <alignment horizontal="center" vertical="center"/>
    </xf>
    <xf numFmtId="0" fontId="5" fillId="2" borderId="73" xfId="86" applyFill="1" applyBorder="1" applyAlignment="1" applyProtection="1">
      <alignment horizontal="center" vertical="center"/>
    </xf>
    <xf numFmtId="0" fontId="20" fillId="6" borderId="16" xfId="0" applyFont="1" applyFill="1" applyBorder="1" applyAlignment="1" applyProtection="1">
      <alignment horizontal="center" vertical="center" shrinkToFit="1"/>
    </xf>
    <xf numFmtId="0" fontId="17" fillId="6" borderId="16" xfId="0" applyFont="1" applyFill="1" applyBorder="1" applyAlignment="1" applyProtection="1">
      <alignment horizontal="center" vertical="center" shrinkToFit="1"/>
    </xf>
    <xf numFmtId="196" fontId="38" fillId="2" borderId="48" xfId="82" applyNumberFormat="1" applyFont="1" applyFill="1" applyBorder="1" applyAlignment="1" applyProtection="1">
      <alignment horizontal="right" vertical="center"/>
    </xf>
    <xf numFmtId="195" fontId="38" fillId="14" borderId="105" xfId="82" applyNumberFormat="1" applyFont="1" applyFill="1" applyBorder="1" applyAlignment="1" applyProtection="1">
      <alignment horizontal="right" vertical="center"/>
    </xf>
    <xf numFmtId="0" fontId="97" fillId="6" borderId="16" xfId="0" applyFont="1" applyFill="1" applyBorder="1" applyAlignment="1" applyProtection="1">
      <alignment horizontal="center" vertical="center" shrinkToFit="1"/>
    </xf>
    <xf numFmtId="0" fontId="34" fillId="6" borderId="16" xfId="0" applyFont="1" applyFill="1" applyBorder="1" applyAlignment="1" applyProtection="1">
      <alignment horizontal="center" vertical="center" shrinkToFit="1"/>
    </xf>
    <xf numFmtId="195" fontId="38" fillId="5" borderId="114" xfId="82" applyNumberFormat="1" applyFont="1" applyFill="1" applyBorder="1" applyAlignment="1" applyProtection="1">
      <alignment horizontal="right" vertical="center"/>
    </xf>
    <xf numFmtId="195" fontId="38" fillId="5" borderId="152" xfId="82" applyNumberFormat="1" applyFont="1" applyFill="1" applyBorder="1" applyAlignment="1" applyProtection="1">
      <alignment horizontal="right" vertical="center"/>
    </xf>
    <xf numFmtId="195" fontId="38" fillId="5" borderId="88" xfId="82" applyNumberFormat="1" applyFont="1" applyFill="1" applyBorder="1" applyAlignment="1" applyProtection="1">
      <alignment horizontal="right" vertical="center"/>
    </xf>
    <xf numFmtId="195" fontId="38" fillId="5" borderId="153" xfId="82" applyNumberFormat="1" applyFont="1" applyFill="1" applyBorder="1" applyAlignment="1" applyProtection="1">
      <alignment horizontal="right" vertical="center"/>
    </xf>
    <xf numFmtId="195" fontId="38" fillId="5" borderId="89" xfId="82" applyNumberFormat="1" applyFont="1" applyFill="1" applyBorder="1" applyAlignment="1" applyProtection="1">
      <alignment horizontal="right" vertical="center"/>
    </xf>
    <xf numFmtId="0" fontId="34" fillId="0" borderId="0" xfId="0" applyFont="1"/>
    <xf numFmtId="0" fontId="98" fillId="0" borderId="0" xfId="0" applyFont="1"/>
    <xf numFmtId="0" fontId="98"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99" fillId="0" borderId="0" xfId="0" applyFont="1" applyAlignment="1">
      <alignment horizontal="left" vertical="center"/>
    </xf>
    <xf numFmtId="0" fontId="100" fillId="0" borderId="0" xfId="0" applyFont="1" applyAlignment="1">
      <alignment horizontal="left" vertical="center"/>
    </xf>
    <xf numFmtId="0" fontId="101" fillId="0" borderId="0" xfId="0" applyFont="1" applyAlignment="1">
      <alignment horizontal="left" vertical="center"/>
    </xf>
    <xf numFmtId="0" fontId="17" fillId="2" borderId="16" xfId="0" applyFont="1" applyFill="1" applyBorder="1" applyAlignment="1" applyProtection="1">
      <alignment horizontal="center" vertical="center" shrinkToFit="1"/>
    </xf>
    <xf numFmtId="0" fontId="20" fillId="2" borderId="7"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shrinkToFit="1"/>
    </xf>
    <xf numFmtId="0" fontId="20" fillId="2" borderId="80" xfId="0" applyFont="1" applyFill="1" applyBorder="1" applyAlignment="1" applyProtection="1">
      <alignment horizontal="center" vertical="center" wrapText="1"/>
    </xf>
    <xf numFmtId="0" fontId="33" fillId="2" borderId="0" xfId="0" applyFont="1" applyFill="1" applyBorder="1" applyAlignment="1" applyProtection="1">
      <alignment horizontal="right" vertical="center" wrapText="1" shrinkToFit="1"/>
    </xf>
    <xf numFmtId="0" fontId="20" fillId="2" borderId="9" xfId="0" applyFont="1" applyFill="1" applyBorder="1" applyAlignment="1" applyProtection="1">
      <alignment horizontal="center" vertical="center" wrapText="1"/>
    </xf>
    <xf numFmtId="0" fontId="38" fillId="2" borderId="0" xfId="82" applyFont="1" applyFill="1" applyBorder="1" applyAlignment="1" applyProtection="1">
      <alignment vertical="center"/>
    </xf>
    <xf numFmtId="0" fontId="17" fillId="2" borderId="9" xfId="0" applyFont="1" applyFill="1" applyBorder="1" applyAlignment="1" applyProtection="1">
      <alignment horizontal="center" vertical="center" wrapText="1" shrinkToFit="1"/>
    </xf>
    <xf numFmtId="0" fontId="17" fillId="2" borderId="4" xfId="0" applyFont="1" applyFill="1" applyBorder="1" applyAlignment="1" applyProtection="1">
      <alignment horizontal="center" vertical="center" wrapText="1" shrinkToFit="1"/>
    </xf>
    <xf numFmtId="0" fontId="17" fillId="2" borderId="0" xfId="0" applyFont="1" applyFill="1" applyBorder="1" applyAlignment="1" applyProtection="1">
      <alignment horizontal="center" vertical="center" shrinkToFit="1"/>
    </xf>
    <xf numFmtId="0" fontId="59" fillId="2" borderId="0" xfId="0" applyFont="1" applyFill="1" applyBorder="1" applyAlignment="1" applyProtection="1">
      <alignment horizontal="right" vertical="center" wrapText="1" shrinkToFit="1"/>
    </xf>
    <xf numFmtId="0" fontId="38" fillId="2" borderId="0" xfId="82" applyFont="1" applyFill="1" applyBorder="1" applyAlignment="1" applyProtection="1">
      <alignment vertical="center"/>
    </xf>
    <xf numFmtId="182" fontId="17" fillId="2" borderId="0" xfId="0" applyNumberFormat="1" applyFont="1" applyFill="1" applyBorder="1" applyAlignment="1" applyProtection="1">
      <alignment horizontal="center" vertical="center" shrinkToFit="1"/>
    </xf>
    <xf numFmtId="38" fontId="70" fillId="12" borderId="0" xfId="9" applyFont="1" applyFill="1" applyBorder="1" applyAlignment="1" applyProtection="1">
      <alignment horizontal="center" vertical="center" shrinkToFit="1"/>
    </xf>
    <xf numFmtId="38" fontId="70" fillId="8" borderId="0" xfId="9" applyFont="1" applyFill="1" applyBorder="1" applyAlignment="1" applyProtection="1">
      <alignment horizontal="center" vertical="center" shrinkToFit="1"/>
    </xf>
    <xf numFmtId="38" fontId="70" fillId="7" borderId="0" xfId="9" applyFont="1" applyFill="1" applyBorder="1" applyAlignment="1" applyProtection="1">
      <alignment horizontal="center" vertical="center" shrinkToFit="1"/>
    </xf>
    <xf numFmtId="196" fontId="44" fillId="2" borderId="48" xfId="82" applyNumberFormat="1" applyFont="1" applyFill="1" applyBorder="1" applyAlignment="1" applyProtection="1">
      <alignment vertical="center"/>
    </xf>
    <xf numFmtId="0" fontId="44" fillId="2" borderId="2" xfId="82" applyFont="1" applyFill="1" applyBorder="1" applyAlignment="1" applyProtection="1">
      <alignment horizontal="left" vertical="center"/>
    </xf>
    <xf numFmtId="38" fontId="27" fillId="12" borderId="0" xfId="9" applyFont="1" applyFill="1" applyBorder="1" applyAlignment="1" applyProtection="1">
      <alignment horizontal="center" vertical="center" shrinkToFit="1"/>
    </xf>
    <xf numFmtId="38" fontId="27" fillId="8" borderId="0" xfId="9" applyFont="1" applyFill="1" applyBorder="1" applyAlignment="1" applyProtection="1">
      <alignment horizontal="center" vertical="center" shrinkToFit="1"/>
    </xf>
    <xf numFmtId="38" fontId="27" fillId="7" borderId="0" xfId="9" applyFont="1" applyFill="1" applyBorder="1" applyAlignment="1" applyProtection="1">
      <alignment horizontal="center" vertical="center" shrinkToFit="1"/>
    </xf>
    <xf numFmtId="0" fontId="17" fillId="2" borderId="16"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196" fontId="44" fillId="2" borderId="115" xfId="82" applyNumberFormat="1" applyFont="1" applyFill="1" applyBorder="1" applyAlignment="1" applyProtection="1">
      <alignment vertical="center"/>
    </xf>
    <xf numFmtId="0" fontId="17" fillId="0" borderId="13" xfId="0" applyFont="1" applyFill="1" applyBorder="1" applyAlignment="1" applyProtection="1">
      <alignment vertical="center" shrinkToFit="1"/>
    </xf>
    <xf numFmtId="0" fontId="17" fillId="6" borderId="15" xfId="0" applyFont="1" applyFill="1" applyBorder="1" applyAlignment="1" applyProtection="1">
      <alignment horizontal="centerContinuous" vertical="center"/>
    </xf>
    <xf numFmtId="0" fontId="17" fillId="0" borderId="2" xfId="0" applyFont="1" applyFill="1" applyBorder="1" applyAlignment="1" applyProtection="1">
      <alignment horizontal="center" vertical="center" shrinkToFit="1"/>
    </xf>
    <xf numFmtId="0" fontId="17" fillId="2" borderId="165" xfId="0" applyFont="1" applyFill="1" applyBorder="1" applyAlignment="1" applyProtection="1">
      <alignment horizontal="center" vertical="center" shrinkToFit="1"/>
    </xf>
    <xf numFmtId="0" fontId="18" fillId="3" borderId="16"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44" fillId="2" borderId="2" xfId="82" applyFont="1" applyFill="1" applyBorder="1" applyAlignment="1" applyProtection="1">
      <alignment horizontal="left" vertical="center"/>
    </xf>
    <xf numFmtId="0" fontId="44" fillId="2" borderId="14" xfId="82" applyFont="1" applyFill="1" applyBorder="1" applyAlignment="1" applyProtection="1">
      <alignment horizontal="left" vertical="center"/>
    </xf>
    <xf numFmtId="0" fontId="18" fillId="2" borderId="16"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shrinkToFit="1"/>
    </xf>
    <xf numFmtId="0" fontId="17" fillId="2" borderId="10" xfId="0" applyFont="1" applyFill="1" applyBorder="1" applyAlignment="1" applyProtection="1">
      <alignment horizontal="center" vertical="center" shrinkToFit="1"/>
    </xf>
    <xf numFmtId="0" fontId="17" fillId="2" borderId="0" xfId="0" applyFont="1" applyFill="1" applyBorder="1" applyAlignment="1" applyProtection="1">
      <alignment horizontal="center" vertical="center" shrinkToFit="1"/>
    </xf>
    <xf numFmtId="0" fontId="62" fillId="2" borderId="57" xfId="86" applyFont="1" applyFill="1" applyBorder="1" applyAlignment="1" applyProtection="1">
      <alignment horizontal="left" vertical="center" wrapText="1" shrinkToFit="1"/>
    </xf>
    <xf numFmtId="0" fontId="62" fillId="2" borderId="35" xfId="86" applyFont="1" applyFill="1" applyBorder="1" applyAlignment="1" applyProtection="1">
      <alignment horizontal="left" vertical="center" wrapText="1" shrinkToFit="1"/>
    </xf>
    <xf numFmtId="0" fontId="60" fillId="2" borderId="0" xfId="86" applyFont="1" applyFill="1" applyAlignment="1" applyProtection="1">
      <alignment horizontal="center"/>
    </xf>
    <xf numFmtId="0" fontId="5" fillId="11" borderId="47" xfId="86" applyFill="1" applyBorder="1" applyAlignment="1" applyProtection="1">
      <alignment horizontal="left" vertical="center" indent="1"/>
    </xf>
    <xf numFmtId="0" fontId="5" fillId="11" borderId="2" xfId="86" applyFill="1" applyBorder="1" applyAlignment="1" applyProtection="1">
      <alignment horizontal="left" vertical="center" indent="1"/>
    </xf>
    <xf numFmtId="192" fontId="41" fillId="2" borderId="57" xfId="82" applyNumberFormat="1" applyFont="1" applyFill="1" applyBorder="1" applyAlignment="1" applyProtection="1">
      <alignment horizontal="right" vertical="center" shrinkToFit="1"/>
    </xf>
    <xf numFmtId="192" fontId="41" fillId="2" borderId="35" xfId="82" applyNumberFormat="1" applyFont="1" applyFill="1" applyBorder="1" applyAlignment="1" applyProtection="1">
      <alignment horizontal="right" vertical="center" shrinkToFit="1"/>
    </xf>
    <xf numFmtId="0" fontId="17" fillId="2" borderId="110" xfId="0" applyFont="1" applyFill="1" applyBorder="1" applyAlignment="1" applyProtection="1">
      <alignment horizontal="center" vertical="center" shrinkToFit="1"/>
    </xf>
    <xf numFmtId="0" fontId="17" fillId="2" borderId="12" xfId="0" applyFont="1" applyFill="1" applyBorder="1" applyAlignment="1" applyProtection="1">
      <alignment horizontal="center" vertical="center" shrinkToFit="1"/>
    </xf>
    <xf numFmtId="0" fontId="17" fillId="2" borderId="55" xfId="0" applyFont="1" applyFill="1" applyBorder="1" applyAlignment="1" applyProtection="1">
      <alignment horizontal="center" vertical="center" shrinkToFit="1"/>
    </xf>
    <xf numFmtId="0" fontId="17" fillId="2" borderId="11" xfId="0" applyFont="1" applyFill="1" applyBorder="1" applyAlignment="1" applyProtection="1">
      <alignment horizontal="center" vertical="center" shrinkToFit="1"/>
    </xf>
    <xf numFmtId="0" fontId="38" fillId="0" borderId="58" xfId="82" applyFont="1" applyBorder="1" applyAlignment="1" applyProtection="1">
      <alignment horizontal="center" vertical="center"/>
    </xf>
    <xf numFmtId="0" fontId="38" fillId="0" borderId="78" xfId="82" applyFont="1" applyBorder="1" applyAlignment="1" applyProtection="1">
      <alignment horizontal="center" vertical="center"/>
    </xf>
    <xf numFmtId="0" fontId="38" fillId="0" borderId="15" xfId="82" applyFont="1" applyBorder="1" applyAlignment="1" applyProtection="1">
      <alignment horizontal="center" vertical="center"/>
    </xf>
    <xf numFmtId="0" fontId="38" fillId="0" borderId="2" xfId="82" applyFont="1" applyBorder="1" applyAlignment="1" applyProtection="1">
      <alignment horizontal="center" vertical="center"/>
    </xf>
    <xf numFmtId="0" fontId="38" fillId="0" borderId="14" xfId="82" applyFont="1" applyBorder="1" applyAlignment="1" applyProtection="1">
      <alignment horizontal="center" vertical="center"/>
    </xf>
    <xf numFmtId="0" fontId="29" fillId="2" borderId="0" xfId="82" applyFont="1" applyFill="1" applyAlignment="1" applyProtection="1">
      <alignment horizontal="center" vertical="center" shrinkToFit="1"/>
    </xf>
    <xf numFmtId="0" fontId="54" fillId="2" borderId="0" xfId="82" applyFont="1" applyFill="1" applyAlignment="1" applyProtection="1">
      <alignment horizontal="center" vertical="center" shrinkToFit="1"/>
    </xf>
    <xf numFmtId="0" fontId="41" fillId="9" borderId="79" xfId="82" applyFont="1" applyFill="1" applyBorder="1" applyAlignment="1" applyProtection="1">
      <alignment horizontal="center" vertical="center"/>
    </xf>
    <xf numFmtId="0" fontId="41" fillId="9" borderId="65" xfId="82" applyFont="1" applyFill="1" applyBorder="1" applyAlignment="1" applyProtection="1">
      <alignment horizontal="center" vertical="center"/>
    </xf>
    <xf numFmtId="0" fontId="41" fillId="8" borderId="79" xfId="82" applyFont="1" applyFill="1" applyBorder="1" applyAlignment="1" applyProtection="1">
      <alignment horizontal="center" vertical="center"/>
    </xf>
    <xf numFmtId="0" fontId="41" fillId="8" borderId="65" xfId="82" applyFont="1" applyFill="1" applyBorder="1" applyAlignment="1" applyProtection="1">
      <alignment horizontal="center" vertical="center"/>
    </xf>
    <xf numFmtId="0" fontId="17" fillId="2" borderId="59"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xf numFmtId="0" fontId="17" fillId="2" borderId="36" xfId="0" applyFont="1" applyFill="1" applyBorder="1" applyAlignment="1" applyProtection="1">
      <alignment horizontal="center" vertical="center" shrinkToFit="1"/>
    </xf>
    <xf numFmtId="0" fontId="17" fillId="2" borderId="16" xfId="0" applyFont="1" applyFill="1" applyBorder="1" applyAlignment="1" applyProtection="1">
      <alignment horizontal="center" vertical="center" shrinkToFit="1"/>
    </xf>
    <xf numFmtId="0" fontId="18" fillId="4" borderId="70" xfId="82" applyFont="1" applyFill="1" applyBorder="1" applyAlignment="1" applyProtection="1">
      <alignment horizontal="left" vertical="top" wrapText="1"/>
      <protection locked="0"/>
    </xf>
    <xf numFmtId="0" fontId="18" fillId="4" borderId="72" xfId="82" applyFont="1" applyFill="1" applyBorder="1" applyAlignment="1" applyProtection="1">
      <alignment horizontal="left" vertical="top" wrapText="1"/>
      <protection locked="0"/>
    </xf>
    <xf numFmtId="0" fontId="18" fillId="4" borderId="71" xfId="82" applyFont="1" applyFill="1" applyBorder="1" applyAlignment="1" applyProtection="1">
      <alignment horizontal="left" vertical="top" wrapText="1"/>
      <protection locked="0"/>
    </xf>
    <xf numFmtId="0" fontId="18" fillId="4" borderId="54" xfId="82" applyFont="1" applyFill="1" applyBorder="1" applyAlignment="1" applyProtection="1">
      <alignment horizontal="left" vertical="top" wrapText="1"/>
      <protection locked="0"/>
    </xf>
    <xf numFmtId="0" fontId="18" fillId="4" borderId="0" xfId="82" applyFont="1" applyFill="1" applyBorder="1" applyAlignment="1" applyProtection="1">
      <alignment horizontal="left" vertical="top" wrapText="1"/>
      <protection locked="0"/>
    </xf>
    <xf numFmtId="0" fontId="18" fillId="4" borderId="52" xfId="82" applyFont="1" applyFill="1" applyBorder="1" applyAlignment="1" applyProtection="1">
      <alignment horizontal="left" vertical="top" wrapText="1"/>
      <protection locked="0"/>
    </xf>
    <xf numFmtId="0" fontId="18" fillId="4" borderId="42" xfId="82" applyFont="1" applyFill="1" applyBorder="1" applyAlignment="1" applyProtection="1">
      <alignment horizontal="left" vertical="top" wrapText="1"/>
      <protection locked="0"/>
    </xf>
    <xf numFmtId="0" fontId="18" fillId="4" borderId="28" xfId="82" applyFont="1" applyFill="1" applyBorder="1" applyAlignment="1" applyProtection="1">
      <alignment horizontal="left" vertical="top" wrapText="1"/>
      <protection locked="0"/>
    </xf>
    <xf numFmtId="0" fontId="18" fillId="4" borderId="53" xfId="82" applyFont="1" applyFill="1" applyBorder="1" applyAlignment="1" applyProtection="1">
      <alignment horizontal="left" vertical="top" wrapText="1"/>
      <protection locked="0"/>
    </xf>
    <xf numFmtId="0" fontId="18" fillId="2" borderId="26" xfId="82" applyFont="1" applyFill="1" applyBorder="1" applyAlignment="1" applyProtection="1">
      <alignment horizontal="center" vertical="center"/>
    </xf>
    <xf numFmtId="0" fontId="18" fillId="2" borderId="1" xfId="82" applyFont="1" applyFill="1" applyBorder="1" applyAlignment="1" applyProtection="1">
      <alignment horizontal="center" vertical="center"/>
    </xf>
    <xf numFmtId="0" fontId="38" fillId="3" borderId="26" xfId="82" applyFont="1" applyFill="1" applyBorder="1" applyAlignment="1" applyProtection="1">
      <alignment horizontal="center" vertical="center"/>
      <protection locked="0"/>
    </xf>
    <xf numFmtId="0" fontId="38" fillId="3" borderId="1" xfId="82" applyFont="1" applyFill="1" applyBorder="1" applyAlignment="1" applyProtection="1">
      <alignment horizontal="center" vertical="center"/>
      <protection locked="0"/>
    </xf>
    <xf numFmtId="0" fontId="38" fillId="3" borderId="25" xfId="82" applyFont="1" applyFill="1" applyBorder="1" applyAlignment="1" applyProtection="1">
      <alignment horizontal="center" vertical="center"/>
      <protection locked="0"/>
    </xf>
    <xf numFmtId="0" fontId="41" fillId="10" borderId="79" xfId="82" applyFont="1" applyFill="1" applyBorder="1" applyAlignment="1" applyProtection="1">
      <alignment horizontal="center" vertical="center"/>
    </xf>
    <xf numFmtId="0" fontId="41" fillId="10" borderId="65" xfId="82" applyFont="1" applyFill="1" applyBorder="1" applyAlignment="1" applyProtection="1">
      <alignment horizontal="center" vertical="center"/>
    </xf>
    <xf numFmtId="0" fontId="83" fillId="10" borderId="79" xfId="82" applyFont="1" applyFill="1" applyBorder="1" applyAlignment="1" applyProtection="1">
      <alignment horizontal="center" vertical="center"/>
    </xf>
    <xf numFmtId="0" fontId="83" fillId="10" borderId="65" xfId="82" applyFont="1" applyFill="1" applyBorder="1" applyAlignment="1" applyProtection="1">
      <alignment horizontal="center" vertical="center"/>
    </xf>
    <xf numFmtId="0" fontId="10" fillId="2" borderId="0" xfId="58" applyFont="1" applyFill="1" applyBorder="1" applyAlignment="1" applyProtection="1">
      <alignment horizontal="left" vertical="center"/>
    </xf>
    <xf numFmtId="0" fontId="55" fillId="2" borderId="0" xfId="58" applyFont="1" applyFill="1" applyBorder="1" applyAlignment="1" applyProtection="1">
      <alignment horizontal="left" vertical="center"/>
    </xf>
    <xf numFmtId="0" fontId="18" fillId="4" borderId="70" xfId="82" applyFont="1" applyFill="1" applyBorder="1" applyAlignment="1" applyProtection="1">
      <alignment horizontal="center" vertical="center"/>
      <protection locked="0"/>
    </xf>
    <xf numFmtId="0" fontId="18" fillId="4" borderId="72" xfId="82" applyFont="1" applyFill="1" applyBorder="1" applyAlignment="1" applyProtection="1">
      <alignment horizontal="center" vertical="center"/>
      <protection locked="0"/>
    </xf>
    <xf numFmtId="0" fontId="18" fillId="4" borderId="71" xfId="82" applyFont="1" applyFill="1" applyBorder="1" applyAlignment="1" applyProtection="1">
      <alignment horizontal="center" vertical="center"/>
      <protection locked="0"/>
    </xf>
    <xf numFmtId="0" fontId="18" fillId="4" borderId="54" xfId="82" applyFont="1" applyFill="1" applyBorder="1" applyAlignment="1" applyProtection="1">
      <alignment horizontal="center" vertical="center"/>
      <protection locked="0"/>
    </xf>
    <xf numFmtId="0" fontId="18" fillId="4" borderId="0" xfId="82" applyFont="1" applyFill="1" applyBorder="1" applyAlignment="1" applyProtection="1">
      <alignment horizontal="center" vertical="center"/>
      <protection locked="0"/>
    </xf>
    <xf numFmtId="0" fontId="18" fillId="4" borderId="52" xfId="82" applyFont="1" applyFill="1" applyBorder="1" applyAlignment="1" applyProtection="1">
      <alignment horizontal="center" vertical="center"/>
      <protection locked="0"/>
    </xf>
    <xf numFmtId="0" fontId="18" fillId="4" borderId="42" xfId="82" applyFont="1" applyFill="1" applyBorder="1" applyAlignment="1" applyProtection="1">
      <alignment horizontal="center" vertical="center"/>
      <protection locked="0"/>
    </xf>
    <xf numFmtId="0" fontId="18" fillId="4" borderId="28" xfId="82" applyFont="1" applyFill="1" applyBorder="1" applyAlignment="1" applyProtection="1">
      <alignment horizontal="center" vertical="center"/>
      <protection locked="0"/>
    </xf>
    <xf numFmtId="0" fontId="18" fillId="4" borderId="53" xfId="82" applyFont="1" applyFill="1" applyBorder="1" applyAlignment="1" applyProtection="1">
      <alignment horizontal="center" vertical="center"/>
      <protection locked="0"/>
    </xf>
    <xf numFmtId="0" fontId="38" fillId="0" borderId="16" xfId="82" applyFont="1" applyBorder="1" applyAlignment="1" applyProtection="1">
      <alignment horizontal="center" vertical="center"/>
    </xf>
    <xf numFmtId="0" fontId="20" fillId="2" borderId="7" xfId="0" applyFont="1" applyFill="1" applyBorder="1" applyAlignment="1" applyProtection="1">
      <alignment horizontal="center" vertical="center" shrinkToFit="1"/>
    </xf>
    <xf numFmtId="0" fontId="20" fillId="2" borderId="9" xfId="0" applyFont="1" applyFill="1" applyBorder="1" applyAlignment="1" applyProtection="1">
      <alignment horizontal="center" vertical="center" shrinkToFit="1"/>
    </xf>
    <xf numFmtId="0" fontId="20" fillId="2" borderId="4" xfId="0" applyFont="1" applyFill="1" applyBorder="1" applyAlignment="1" applyProtection="1">
      <alignment horizontal="center" vertical="center" shrinkToFit="1"/>
    </xf>
    <xf numFmtId="0" fontId="20" fillId="2" borderId="16" xfId="0" applyFont="1" applyFill="1" applyBorder="1" applyAlignment="1" applyProtection="1">
      <alignment horizontal="center" vertical="center" shrinkToFit="1"/>
    </xf>
    <xf numFmtId="0" fontId="20" fillId="2" borderId="15" xfId="0" applyFont="1" applyFill="1" applyBorder="1" applyAlignment="1" applyProtection="1">
      <alignment horizontal="center" vertical="center" shrinkToFit="1"/>
    </xf>
    <xf numFmtId="0" fontId="69" fillId="2" borderId="13" xfId="0" applyFont="1" applyFill="1" applyBorder="1" applyAlignment="1" applyProtection="1">
      <alignment horizontal="center" vertical="center" shrinkToFit="1"/>
    </xf>
    <xf numFmtId="0" fontId="69" fillId="2" borderId="12" xfId="0" applyFont="1" applyFill="1" applyBorder="1" applyAlignment="1" applyProtection="1">
      <alignment horizontal="center" vertical="center" shrinkToFit="1"/>
    </xf>
    <xf numFmtId="0" fontId="69" fillId="2" borderId="10" xfId="0" applyFont="1" applyFill="1" applyBorder="1" applyAlignment="1" applyProtection="1">
      <alignment horizontal="center" vertical="center" shrinkToFit="1"/>
    </xf>
    <xf numFmtId="0" fontId="69" fillId="2" borderId="11" xfId="0" applyFont="1" applyFill="1" applyBorder="1" applyAlignment="1" applyProtection="1">
      <alignment horizontal="center" vertical="center" shrinkToFit="1"/>
    </xf>
    <xf numFmtId="0" fontId="19" fillId="12" borderId="26" xfId="0" applyFont="1" applyFill="1" applyBorder="1" applyAlignment="1" applyProtection="1">
      <alignment horizontal="center" vertical="center" shrinkToFit="1"/>
    </xf>
    <xf numFmtId="0" fontId="19" fillId="12" borderId="25" xfId="0" applyFont="1" applyFill="1" applyBorder="1" applyAlignment="1" applyProtection="1">
      <alignment horizontal="center" vertical="center" shrinkToFit="1"/>
    </xf>
    <xf numFmtId="0" fontId="19" fillId="8" borderId="26" xfId="0" applyFont="1" applyFill="1" applyBorder="1" applyAlignment="1" applyProtection="1">
      <alignment horizontal="center" vertical="center" shrinkToFit="1"/>
    </xf>
    <xf numFmtId="0" fontId="19" fillId="8" borderId="25" xfId="0" applyFont="1" applyFill="1" applyBorder="1" applyAlignment="1" applyProtection="1">
      <alignment horizontal="center" vertical="center" shrinkToFit="1"/>
    </xf>
    <xf numFmtId="0" fontId="69" fillId="14" borderId="26" xfId="0" applyFont="1" applyFill="1" applyBorder="1" applyAlignment="1" applyProtection="1">
      <alignment horizontal="center" vertical="center" shrinkToFit="1"/>
    </xf>
    <xf numFmtId="0" fontId="69" fillId="14" borderId="25" xfId="0" applyFont="1" applyFill="1" applyBorder="1" applyAlignment="1" applyProtection="1">
      <alignment horizontal="center" vertical="center" shrinkToFit="1"/>
    </xf>
    <xf numFmtId="0" fontId="67" fillId="2" borderId="0" xfId="0" applyFont="1" applyFill="1" applyBorder="1" applyAlignment="1" applyProtection="1">
      <alignment horizontal="center" vertical="center" shrinkToFit="1"/>
    </xf>
    <xf numFmtId="0" fontId="67" fillId="2" borderId="5" xfId="0" applyFont="1" applyFill="1" applyBorder="1" applyAlignment="1" applyProtection="1">
      <alignment horizontal="center" vertical="center" shrinkToFit="1"/>
    </xf>
    <xf numFmtId="0" fontId="20" fillId="2" borderId="26" xfId="0" applyFont="1" applyFill="1" applyBorder="1" applyAlignment="1" applyProtection="1">
      <alignment horizontal="center" vertical="center" shrinkToFit="1"/>
    </xf>
    <xf numFmtId="0" fontId="20" fillId="2" borderId="1" xfId="0" applyFont="1" applyFill="1" applyBorder="1" applyAlignment="1" applyProtection="1">
      <alignment horizontal="center" vertical="center" shrinkToFit="1"/>
    </xf>
    <xf numFmtId="0" fontId="20" fillId="2" borderId="25" xfId="0" applyFont="1" applyFill="1" applyBorder="1" applyAlignment="1" applyProtection="1">
      <alignment horizontal="center" vertical="center" shrinkToFit="1"/>
    </xf>
    <xf numFmtId="0" fontId="20" fillId="2" borderId="7"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wrapText="1" shrinkToFit="1"/>
    </xf>
    <xf numFmtId="0" fontId="20" fillId="0" borderId="16" xfId="0" applyFont="1" applyFill="1" applyBorder="1" applyAlignment="1" applyProtection="1">
      <alignment horizontal="center" vertical="center" shrinkToFit="1"/>
    </xf>
    <xf numFmtId="0" fontId="20" fillId="2" borderId="7" xfId="0" applyFont="1" applyFill="1" applyBorder="1" applyAlignment="1" applyProtection="1">
      <alignment horizontal="center" vertical="center" wrapText="1" shrinkToFit="1"/>
    </xf>
    <xf numFmtId="0" fontId="20" fillId="2" borderId="4" xfId="0" applyFont="1" applyFill="1" applyBorder="1" applyAlignment="1" applyProtection="1">
      <alignment horizontal="center" vertical="center" wrapText="1" shrinkToFit="1"/>
    </xf>
    <xf numFmtId="0" fontId="102" fillId="0" borderId="0" xfId="87" applyFont="1" applyAlignment="1">
      <alignment horizontal="center" vertical="center"/>
    </xf>
    <xf numFmtId="0" fontId="65" fillId="2" borderId="0" xfId="0" applyFont="1" applyFill="1" applyBorder="1" applyAlignment="1" applyProtection="1">
      <alignment horizontal="center" vertical="center" shrinkToFit="1"/>
    </xf>
    <xf numFmtId="182" fontId="17" fillId="4" borderId="16" xfId="0" applyNumberFormat="1" applyFont="1" applyFill="1" applyBorder="1" applyAlignment="1" applyProtection="1">
      <alignment horizontal="center" vertical="center" shrinkToFit="1"/>
      <protection locked="0"/>
    </xf>
    <xf numFmtId="182" fontId="17" fillId="2" borderId="16" xfId="0" applyNumberFormat="1" applyFont="1" applyFill="1" applyBorder="1" applyAlignment="1" applyProtection="1">
      <alignment horizontal="center" vertical="center" shrinkToFit="1"/>
    </xf>
    <xf numFmtId="0" fontId="67" fillId="2" borderId="0" xfId="0" applyFont="1" applyFill="1" applyAlignment="1" applyProtection="1">
      <alignment horizontal="left" vertical="center" shrinkToFit="1"/>
    </xf>
    <xf numFmtId="0" fontId="69" fillId="2" borderId="0" xfId="0" applyFont="1" applyFill="1" applyBorder="1" applyAlignment="1" applyProtection="1">
      <alignment horizontal="center" vertical="center" shrinkToFit="1"/>
    </xf>
    <xf numFmtId="0" fontId="20" fillId="2" borderId="0" xfId="0" applyFont="1" applyFill="1" applyBorder="1" applyAlignment="1" applyProtection="1">
      <alignment horizontal="center" vertical="center" shrinkToFit="1"/>
    </xf>
    <xf numFmtId="0" fontId="20" fillId="0" borderId="16" xfId="0" applyFont="1" applyBorder="1" applyAlignment="1" applyProtection="1">
      <alignment horizontal="center" vertical="center" shrinkToFit="1"/>
    </xf>
    <xf numFmtId="0" fontId="20" fillId="6" borderId="16" xfId="0" applyFont="1" applyFill="1" applyBorder="1" applyAlignment="1" applyProtection="1">
      <alignment horizontal="center" vertical="center" shrinkToFit="1"/>
    </xf>
    <xf numFmtId="0" fontId="20" fillId="6" borderId="16" xfId="0" applyFont="1" applyFill="1" applyBorder="1" applyAlignment="1" applyProtection="1">
      <alignment horizontal="center" vertical="center" wrapText="1" shrinkToFit="1"/>
    </xf>
    <xf numFmtId="0" fontId="20" fillId="0" borderId="0" xfId="0" applyFont="1" applyBorder="1" applyAlignment="1" applyProtection="1">
      <alignment horizontal="center" vertical="center"/>
    </xf>
    <xf numFmtId="0" fontId="21" fillId="2" borderId="92" xfId="0" applyFont="1" applyFill="1" applyBorder="1" applyAlignment="1" applyProtection="1">
      <alignment horizontal="center" vertical="center" wrapText="1" shrinkToFit="1"/>
    </xf>
    <xf numFmtId="0" fontId="21" fillId="2" borderId="87" xfId="0" applyFont="1" applyFill="1" applyBorder="1" applyAlignment="1" applyProtection="1">
      <alignment horizontal="center" vertical="center" wrapText="1" shrinkToFit="1"/>
    </xf>
    <xf numFmtId="0" fontId="20" fillId="2" borderId="9" xfId="0" applyFont="1" applyFill="1" applyBorder="1" applyAlignment="1" applyProtection="1">
      <alignment horizontal="center" vertical="center" wrapText="1" shrinkToFit="1"/>
    </xf>
    <xf numFmtId="0" fontId="56" fillId="2" borderId="7" xfId="0" applyFont="1" applyFill="1" applyBorder="1" applyAlignment="1" applyProtection="1">
      <alignment horizontal="center" vertical="center" wrapText="1"/>
    </xf>
    <xf numFmtId="0" fontId="56" fillId="2" borderId="4" xfId="0" applyFont="1" applyFill="1" applyBorder="1" applyAlignment="1" applyProtection="1">
      <alignment horizontal="center" vertical="center" wrapText="1"/>
    </xf>
    <xf numFmtId="0" fontId="20" fillId="2" borderId="102" xfId="0" applyFont="1" applyFill="1" applyBorder="1" applyAlignment="1" applyProtection="1">
      <alignment horizontal="center" vertical="center" wrapText="1"/>
    </xf>
    <xf numFmtId="0" fontId="20" fillId="2" borderId="95" xfId="0" applyFont="1" applyFill="1" applyBorder="1" applyAlignment="1" applyProtection="1">
      <alignment horizontal="center" vertical="center" wrapText="1"/>
    </xf>
    <xf numFmtId="0" fontId="20" fillId="2" borderId="80" xfId="0" applyFont="1" applyFill="1" applyBorder="1" applyAlignment="1" applyProtection="1">
      <alignment horizontal="center" vertical="center" wrapText="1"/>
    </xf>
    <xf numFmtId="0" fontId="20" fillId="2" borderId="80" xfId="0" applyFont="1" applyFill="1" applyBorder="1" applyAlignment="1" applyProtection="1">
      <alignment horizontal="center" vertical="center" wrapText="1" shrinkToFit="1"/>
    </xf>
    <xf numFmtId="0" fontId="20" fillId="2" borderId="94"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9" xfId="0" applyFont="1" applyFill="1" applyBorder="1" applyAlignment="1" applyProtection="1">
      <alignment vertical="center" wrapText="1" shrinkToFit="1"/>
    </xf>
    <xf numFmtId="0" fontId="20" fillId="2" borderId="4" xfId="0" applyFont="1" applyFill="1" applyBorder="1" applyAlignment="1" applyProtection="1">
      <alignment vertical="center" wrapText="1" shrinkToFit="1"/>
    </xf>
    <xf numFmtId="0" fontId="21" fillId="2" borderId="7" xfId="0" applyFont="1" applyFill="1" applyBorder="1" applyAlignment="1" applyProtection="1">
      <alignment horizontal="center" vertical="center" wrapText="1" shrinkToFit="1"/>
    </xf>
    <xf numFmtId="0" fontId="21" fillId="2" borderId="4" xfId="0" applyFont="1" applyFill="1" applyBorder="1" applyAlignment="1" applyProtection="1">
      <alignment horizontal="center" vertical="center" wrapText="1" shrinkToFit="1"/>
    </xf>
    <xf numFmtId="0" fontId="69" fillId="2" borderId="6" xfId="0" applyFont="1" applyFill="1" applyBorder="1" applyAlignment="1" applyProtection="1">
      <alignment horizontal="center" vertical="center" shrinkToFit="1"/>
    </xf>
    <xf numFmtId="0" fontId="69" fillId="2" borderId="5" xfId="0" applyFont="1" applyFill="1" applyBorder="1" applyAlignment="1" applyProtection="1">
      <alignment horizontal="center" vertical="center" shrinkToFit="1"/>
    </xf>
    <xf numFmtId="0" fontId="20" fillId="2" borderId="13" xfId="0"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shrinkToFit="1"/>
    </xf>
    <xf numFmtId="0" fontId="67" fillId="2" borderId="0" xfId="0" applyFont="1" applyFill="1" applyBorder="1" applyAlignment="1" applyProtection="1">
      <alignment horizontal="right" vertical="center" wrapText="1" shrinkToFit="1"/>
    </xf>
    <xf numFmtId="0" fontId="33" fillId="2" borderId="0" xfId="0" applyFont="1" applyFill="1" applyBorder="1" applyAlignment="1" applyProtection="1">
      <alignment horizontal="center" vertical="center" wrapText="1" shrinkToFit="1"/>
    </xf>
    <xf numFmtId="38" fontId="70" fillId="7" borderId="5" xfId="9" applyFont="1" applyFill="1" applyBorder="1" applyAlignment="1" applyProtection="1">
      <alignment horizontal="center" vertical="center" shrinkToFit="1"/>
    </xf>
    <xf numFmtId="177" fontId="20" fillId="2" borderId="0" xfId="0" applyNumberFormat="1" applyFont="1" applyFill="1" applyBorder="1" applyAlignment="1" applyProtection="1">
      <alignment horizontal="left" vertical="center" wrapText="1" indent="1" shrinkToFit="1"/>
    </xf>
    <xf numFmtId="0" fontId="33" fillId="2" borderId="0" xfId="0" applyFont="1" applyFill="1" applyBorder="1" applyAlignment="1" applyProtection="1">
      <alignment horizontal="right" vertical="center" wrapText="1" shrinkToFit="1"/>
    </xf>
    <xf numFmtId="0" fontId="20" fillId="2" borderId="103"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38" fontId="70" fillId="8" borderId="5" xfId="9" applyFont="1" applyFill="1" applyBorder="1" applyAlignment="1" applyProtection="1">
      <alignment horizontal="center" vertical="center" shrinkToFit="1"/>
    </xf>
    <xf numFmtId="38" fontId="70" fillId="8" borderId="11" xfId="9" applyFont="1" applyFill="1" applyBorder="1" applyAlignment="1" applyProtection="1">
      <alignment horizontal="center" vertical="center" shrinkToFit="1"/>
    </xf>
    <xf numFmtId="38" fontId="70" fillId="12" borderId="5" xfId="9" applyFont="1" applyFill="1" applyBorder="1" applyAlignment="1" applyProtection="1">
      <alignment horizontal="center" vertical="center" shrinkToFit="1"/>
    </xf>
    <xf numFmtId="38" fontId="70" fillId="12" borderId="11" xfId="9" applyFont="1" applyFill="1" applyBorder="1" applyAlignment="1" applyProtection="1">
      <alignment horizontal="center" vertical="center" shrinkToFit="1"/>
    </xf>
    <xf numFmtId="0" fontId="74" fillId="2" borderId="15" xfId="82" applyFont="1" applyFill="1" applyBorder="1" applyAlignment="1" applyProtection="1">
      <alignment horizontal="left" vertical="center"/>
    </xf>
    <xf numFmtId="0" fontId="74" fillId="2" borderId="14" xfId="82" applyFont="1" applyFill="1" applyBorder="1" applyAlignment="1" applyProtection="1">
      <alignment horizontal="left" vertical="center"/>
    </xf>
    <xf numFmtId="0" fontId="38" fillId="2" borderId="15" xfId="82" applyFont="1" applyFill="1" applyBorder="1" applyAlignment="1" applyProtection="1">
      <alignment horizontal="center" vertical="center"/>
    </xf>
    <xf numFmtId="0" fontId="38" fillId="2" borderId="2" xfId="82" applyFont="1" applyFill="1" applyBorder="1" applyAlignment="1" applyProtection="1">
      <alignment horizontal="center" vertical="center"/>
    </xf>
    <xf numFmtId="0" fontId="38" fillId="2" borderId="14" xfId="82" applyFont="1" applyFill="1" applyBorder="1" applyAlignment="1" applyProtection="1">
      <alignment horizontal="center" vertical="center"/>
    </xf>
    <xf numFmtId="38" fontId="41" fillId="2" borderId="15" xfId="9" applyFont="1" applyFill="1" applyBorder="1" applyAlignment="1" applyProtection="1">
      <alignment horizontal="right" vertical="center"/>
    </xf>
    <xf numFmtId="38" fontId="41" fillId="2" borderId="2" xfId="9" applyFont="1" applyFill="1" applyBorder="1" applyAlignment="1" applyProtection="1">
      <alignment horizontal="right" vertical="center"/>
    </xf>
    <xf numFmtId="38" fontId="41" fillId="2" borderId="14" xfId="9" applyFont="1" applyFill="1" applyBorder="1" applyAlignment="1" applyProtection="1">
      <alignment horizontal="right" vertical="center"/>
    </xf>
    <xf numFmtId="195" fontId="42" fillId="2" borderId="5" xfId="82" applyNumberFormat="1" applyFont="1" applyFill="1" applyBorder="1" applyAlignment="1" applyProtection="1">
      <alignment horizontal="center" vertical="center" wrapText="1"/>
    </xf>
    <xf numFmtId="195" fontId="42" fillId="2" borderId="56" xfId="82" applyNumberFormat="1" applyFont="1" applyFill="1" applyBorder="1" applyAlignment="1" applyProtection="1">
      <alignment horizontal="center" vertical="center" wrapText="1"/>
    </xf>
    <xf numFmtId="0" fontId="38" fillId="2" borderId="2" xfId="82" applyFont="1" applyFill="1" applyBorder="1" applyAlignment="1" applyProtection="1">
      <alignment vertical="center"/>
    </xf>
    <xf numFmtId="0" fontId="38" fillId="0" borderId="110" xfId="82" applyFont="1" applyFill="1" applyBorder="1" applyAlignment="1" applyProtection="1">
      <alignment horizontal="center" vertical="center"/>
    </xf>
    <xf numFmtId="0" fontId="38" fillId="0" borderId="12" xfId="82" applyFont="1" applyFill="1" applyBorder="1" applyAlignment="1" applyProtection="1">
      <alignment horizontal="center" vertical="center"/>
    </xf>
    <xf numFmtId="0" fontId="38" fillId="0" borderId="54" xfId="82" applyFont="1" applyFill="1" applyBorder="1" applyAlignment="1" applyProtection="1">
      <alignment horizontal="center" vertical="center"/>
    </xf>
    <xf numFmtId="0" fontId="38" fillId="0" borderId="8" xfId="82" applyFont="1" applyFill="1" applyBorder="1" applyAlignment="1" applyProtection="1">
      <alignment horizontal="center" vertical="center"/>
    </xf>
    <xf numFmtId="0" fontId="38" fillId="0" borderId="55" xfId="82" applyFont="1" applyFill="1" applyBorder="1" applyAlignment="1" applyProtection="1">
      <alignment horizontal="center" vertical="center"/>
    </xf>
    <xf numFmtId="0" fontId="38" fillId="0" borderId="11" xfId="82" applyFont="1" applyFill="1" applyBorder="1" applyAlignment="1" applyProtection="1">
      <alignment horizontal="center" vertical="center"/>
    </xf>
    <xf numFmtId="0" fontId="78" fillId="2" borderId="26" xfId="82" applyFont="1" applyFill="1" applyBorder="1" applyAlignment="1" applyProtection="1">
      <alignment horizontal="center" vertical="center" shrinkToFit="1"/>
    </xf>
    <xf numFmtId="0" fontId="78" fillId="2" borderId="1" xfId="82" applyFont="1" applyFill="1" applyBorder="1" applyAlignment="1" applyProtection="1">
      <alignment horizontal="center" vertical="center" shrinkToFit="1"/>
    </xf>
    <xf numFmtId="0" fontId="42" fillId="2" borderId="0" xfId="82" applyFont="1" applyFill="1" applyBorder="1" applyAlignment="1" applyProtection="1">
      <alignment horizontal="left" vertical="top" wrapText="1"/>
    </xf>
    <xf numFmtId="196" fontId="44" fillId="2" borderId="182" xfId="82" applyNumberFormat="1" applyFont="1" applyFill="1" applyBorder="1" applyAlignment="1" applyProtection="1">
      <alignment horizontal="right" vertical="center"/>
    </xf>
    <xf numFmtId="196" fontId="44" fillId="2" borderId="183" xfId="82" applyNumberFormat="1" applyFont="1" applyFill="1" applyBorder="1" applyAlignment="1" applyProtection="1">
      <alignment horizontal="right" vertical="center"/>
    </xf>
    <xf numFmtId="196" fontId="44" fillId="2" borderId="177" xfId="82" applyNumberFormat="1" applyFont="1" applyFill="1" applyBorder="1" applyAlignment="1" applyProtection="1">
      <alignment horizontal="right" vertical="center"/>
    </xf>
    <xf numFmtId="196" fontId="44" fillId="2" borderId="184" xfId="82" applyNumberFormat="1" applyFont="1" applyFill="1" applyBorder="1" applyAlignment="1" applyProtection="1">
      <alignment horizontal="right" vertical="center"/>
    </xf>
    <xf numFmtId="196" fontId="44" fillId="2" borderId="185" xfId="82" applyNumberFormat="1" applyFont="1" applyFill="1" applyBorder="1" applyAlignment="1" applyProtection="1">
      <alignment horizontal="right" vertical="center"/>
    </xf>
    <xf numFmtId="196" fontId="44" fillId="2" borderId="186" xfId="82" applyNumberFormat="1" applyFont="1" applyFill="1" applyBorder="1" applyAlignment="1" applyProtection="1">
      <alignment horizontal="right" vertical="center"/>
    </xf>
    <xf numFmtId="195" fontId="78" fillId="2" borderId="26" xfId="82" applyNumberFormat="1" applyFont="1" applyFill="1" applyBorder="1" applyAlignment="1" applyProtection="1">
      <alignment horizontal="right" vertical="center"/>
    </xf>
    <xf numFmtId="195" fontId="78" fillId="2" borderId="1" xfId="82" applyNumberFormat="1" applyFont="1" applyFill="1" applyBorder="1" applyAlignment="1" applyProtection="1">
      <alignment horizontal="right" vertical="center"/>
    </xf>
    <xf numFmtId="195" fontId="78" fillId="2" borderId="25" xfId="82" applyNumberFormat="1" applyFont="1" applyFill="1" applyBorder="1" applyAlignment="1" applyProtection="1">
      <alignment horizontal="right" vertical="center"/>
    </xf>
    <xf numFmtId="195" fontId="74" fillId="2" borderId="26" xfId="82" applyNumberFormat="1" applyFont="1" applyFill="1" applyBorder="1" applyAlignment="1" applyProtection="1">
      <alignment horizontal="right" vertical="center"/>
    </xf>
    <xf numFmtId="195" fontId="74" fillId="2" borderId="1" xfId="82" applyNumberFormat="1" applyFont="1" applyFill="1" applyBorder="1" applyAlignment="1" applyProtection="1">
      <alignment horizontal="right" vertical="center"/>
    </xf>
    <xf numFmtId="195" fontId="74" fillId="2" borderId="25" xfId="82" applyNumberFormat="1" applyFont="1" applyFill="1" applyBorder="1" applyAlignment="1" applyProtection="1">
      <alignment horizontal="right" vertical="center"/>
    </xf>
    <xf numFmtId="0" fontId="38" fillId="2" borderId="15" xfId="82" applyFont="1" applyFill="1" applyBorder="1" applyAlignment="1" applyProtection="1">
      <alignment horizontal="left" vertical="center"/>
    </xf>
    <xf numFmtId="0" fontId="38" fillId="2" borderId="2" xfId="82" applyFont="1" applyFill="1" applyBorder="1" applyAlignment="1" applyProtection="1">
      <alignment horizontal="left" vertical="center"/>
    </xf>
    <xf numFmtId="0" fontId="38" fillId="2" borderId="48" xfId="82" applyFont="1" applyFill="1" applyBorder="1" applyAlignment="1" applyProtection="1">
      <alignment horizontal="left" vertical="center"/>
    </xf>
    <xf numFmtId="0" fontId="38" fillId="2" borderId="26" xfId="82" applyFont="1" applyFill="1" applyBorder="1" applyAlignment="1" applyProtection="1">
      <alignment horizontal="center" vertical="center" wrapText="1"/>
    </xf>
    <xf numFmtId="0" fontId="38" fillId="2" borderId="25" xfId="82" applyFont="1" applyFill="1" applyBorder="1" applyAlignment="1" applyProtection="1">
      <alignment horizontal="center" vertical="center" wrapText="1"/>
    </xf>
    <xf numFmtId="195" fontId="43" fillId="2" borderId="7" xfId="82" applyNumberFormat="1" applyFont="1" applyFill="1" applyBorder="1" applyAlignment="1" applyProtection="1">
      <alignment horizontal="center" vertical="center"/>
    </xf>
    <xf numFmtId="195" fontId="43" fillId="2" borderId="4" xfId="82" applyNumberFormat="1" applyFont="1" applyFill="1" applyBorder="1" applyAlignment="1" applyProtection="1">
      <alignment horizontal="center" vertical="center"/>
    </xf>
    <xf numFmtId="0" fontId="47" fillId="2" borderId="13" xfId="82" applyFont="1" applyFill="1" applyBorder="1" applyAlignment="1" applyProtection="1">
      <alignment horizontal="center" vertical="center" wrapText="1"/>
    </xf>
    <xf numFmtId="0" fontId="47" fillId="2" borderId="6" xfId="82" applyFont="1" applyFill="1" applyBorder="1" applyAlignment="1" applyProtection="1">
      <alignment horizontal="center" vertical="center" wrapText="1"/>
    </xf>
    <xf numFmtId="0" fontId="47" fillId="2" borderId="12" xfId="82" applyFont="1" applyFill="1" applyBorder="1" applyAlignment="1" applyProtection="1">
      <alignment horizontal="center" vertical="center" wrapText="1"/>
    </xf>
    <xf numFmtId="0" fontId="47" fillId="2" borderId="10" xfId="82" applyFont="1" applyFill="1" applyBorder="1" applyAlignment="1" applyProtection="1">
      <alignment horizontal="center" vertical="center" wrapText="1"/>
    </xf>
    <xf numFmtId="0" fontId="47" fillId="2" borderId="5" xfId="82" applyFont="1" applyFill="1" applyBorder="1" applyAlignment="1" applyProtection="1">
      <alignment horizontal="center" vertical="center" wrapText="1"/>
    </xf>
    <xf numFmtId="0" fontId="47" fillId="2" borderId="11" xfId="82" applyFont="1" applyFill="1" applyBorder="1" applyAlignment="1" applyProtection="1">
      <alignment horizontal="center" vertical="center" wrapText="1"/>
    </xf>
    <xf numFmtId="0" fontId="38" fillId="2" borderId="0" xfId="82" applyFont="1" applyFill="1" applyBorder="1" applyAlignment="1" applyProtection="1">
      <alignment horizontal="right" vertical="center"/>
    </xf>
    <xf numFmtId="0" fontId="38" fillId="2" borderId="8" xfId="82" applyFont="1" applyFill="1" applyBorder="1" applyAlignment="1" applyProtection="1">
      <alignment horizontal="right" vertical="center"/>
    </xf>
    <xf numFmtId="0" fontId="57" fillId="2" borderId="0" xfId="82" applyFont="1" applyFill="1" applyAlignment="1" applyProtection="1">
      <alignment horizontal="left" vertical="center" shrinkToFit="1"/>
    </xf>
    <xf numFmtId="0" fontId="103" fillId="2" borderId="0" xfId="47" applyFont="1" applyFill="1" applyAlignment="1" applyProtection="1">
      <alignment horizontal="right" vertical="center" shrinkToFit="1"/>
    </xf>
    <xf numFmtId="0" fontId="57" fillId="2" borderId="0" xfId="82" applyNumberFormat="1" applyFont="1" applyFill="1" applyAlignment="1" applyProtection="1">
      <alignment horizontal="center" vertical="center" shrinkToFit="1"/>
    </xf>
    <xf numFmtId="0" fontId="38" fillId="2" borderId="2" xfId="82" applyFont="1" applyFill="1" applyBorder="1" applyAlignment="1" applyProtection="1">
      <alignment horizontal="center" vertical="center" shrinkToFit="1"/>
    </xf>
    <xf numFmtId="0" fontId="38" fillId="2" borderId="3" xfId="82" applyFont="1" applyFill="1" applyBorder="1" applyAlignment="1" applyProtection="1">
      <alignment vertical="center"/>
    </xf>
    <xf numFmtId="0" fontId="38" fillId="2" borderId="0" xfId="82" applyFont="1" applyFill="1" applyBorder="1" applyAlignment="1" applyProtection="1">
      <alignment vertical="center"/>
    </xf>
    <xf numFmtId="0" fontId="38" fillId="2" borderId="52" xfId="82" applyFont="1" applyFill="1" applyBorder="1" applyAlignment="1" applyProtection="1">
      <alignment vertical="center"/>
    </xf>
    <xf numFmtId="0" fontId="38" fillId="2" borderId="45" xfId="82" applyFont="1" applyFill="1" applyBorder="1" applyAlignment="1" applyProtection="1">
      <alignment horizontal="left" vertical="center"/>
    </xf>
    <xf numFmtId="0" fontId="38" fillId="2" borderId="74" xfId="82" applyFont="1" applyFill="1" applyBorder="1" applyAlignment="1" applyProtection="1">
      <alignment horizontal="left" vertical="center"/>
    </xf>
    <xf numFmtId="0" fontId="45" fillId="2" borderId="54" xfId="82" applyFont="1" applyFill="1" applyBorder="1" applyAlignment="1" applyProtection="1">
      <alignment horizontal="center" vertical="center" wrapText="1"/>
    </xf>
    <xf numFmtId="0" fontId="45" fillId="2" borderId="0" xfId="82" applyFont="1" applyFill="1" applyBorder="1" applyAlignment="1" applyProtection="1">
      <alignment horizontal="center" vertical="center" wrapText="1"/>
    </xf>
    <xf numFmtId="0" fontId="38" fillId="2" borderId="75" xfId="82" applyFont="1" applyFill="1" applyBorder="1" applyAlignment="1" applyProtection="1">
      <alignment horizontal="left" vertical="center"/>
    </xf>
    <xf numFmtId="0" fontId="38" fillId="2" borderId="116" xfId="82" applyFont="1" applyFill="1" applyBorder="1" applyAlignment="1" applyProtection="1">
      <alignment horizontal="left" vertical="center"/>
    </xf>
    <xf numFmtId="0" fontId="38" fillId="2" borderId="117" xfId="82" applyFont="1" applyFill="1" applyBorder="1" applyAlignment="1" applyProtection="1">
      <alignment horizontal="left" vertical="center"/>
    </xf>
    <xf numFmtId="0" fontId="48" fillId="2" borderId="0" xfId="82" applyFont="1" applyFill="1" applyBorder="1" applyAlignment="1" applyProtection="1">
      <alignment horizontal="left" vertical="top" wrapText="1"/>
    </xf>
    <xf numFmtId="0" fontId="38" fillId="2" borderId="26" xfId="82" applyFont="1" applyFill="1" applyBorder="1" applyAlignment="1" applyProtection="1">
      <alignment horizontal="center" vertical="center"/>
    </xf>
    <xf numFmtId="0" fontId="38" fillId="2" borderId="1" xfId="82" applyFont="1" applyFill="1" applyBorder="1" applyAlignment="1" applyProtection="1">
      <alignment horizontal="center" vertical="center"/>
    </xf>
    <xf numFmtId="0" fontId="38" fillId="2" borderId="25" xfId="82" applyFont="1" applyFill="1" applyBorder="1" applyAlignment="1" applyProtection="1">
      <alignment horizontal="center" vertical="center"/>
    </xf>
    <xf numFmtId="195" fontId="38" fillId="2" borderId="26" xfId="82" applyNumberFormat="1" applyFont="1" applyFill="1" applyBorder="1" applyAlignment="1" applyProtection="1">
      <alignment horizontal="center" vertical="center"/>
    </xf>
    <xf numFmtId="195" fontId="38" fillId="2" borderId="1" xfId="82" applyNumberFormat="1" applyFont="1" applyFill="1" applyBorder="1" applyAlignment="1" applyProtection="1">
      <alignment horizontal="center" vertical="center"/>
    </xf>
    <xf numFmtId="195" fontId="38" fillId="2" borderId="25" xfId="82" applyNumberFormat="1" applyFont="1" applyFill="1" applyBorder="1" applyAlignment="1" applyProtection="1">
      <alignment horizontal="center" vertical="center"/>
    </xf>
    <xf numFmtId="195" fontId="42" fillId="2" borderId="64" xfId="82" applyNumberFormat="1" applyFont="1" applyFill="1" applyBorder="1" applyAlignment="1" applyProtection="1">
      <alignment horizontal="center" vertical="center" wrapText="1"/>
    </xf>
    <xf numFmtId="195" fontId="42" fillId="2" borderId="51" xfId="82" applyNumberFormat="1" applyFont="1" applyFill="1" applyBorder="1" applyAlignment="1" applyProtection="1">
      <alignment horizontal="center" vertical="center" wrapText="1"/>
    </xf>
    <xf numFmtId="0" fontId="17" fillId="0" borderId="7"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2" borderId="7" xfId="0" applyFont="1" applyFill="1" applyBorder="1" applyAlignment="1" applyProtection="1">
      <alignment horizontal="center" vertical="center" wrapText="1" shrinkToFit="1"/>
    </xf>
    <xf numFmtId="0" fontId="17" fillId="2" borderId="4" xfId="0" applyFont="1" applyFill="1" applyBorder="1" applyAlignment="1" applyProtection="1">
      <alignment horizontal="center" vertical="center" wrapText="1" shrinkToFit="1"/>
    </xf>
    <xf numFmtId="0" fontId="17" fillId="2" borderId="9" xfId="0" applyFont="1" applyFill="1" applyBorder="1" applyAlignment="1" applyProtection="1">
      <alignment horizontal="center" vertical="center" wrapText="1" shrinkToFit="1"/>
    </xf>
    <xf numFmtId="0" fontId="17" fillId="0" borderId="13" xfId="0" applyFont="1" applyBorder="1" applyAlignment="1" applyProtection="1">
      <alignment horizontal="center" vertical="center" wrapText="1" shrinkToFit="1"/>
    </xf>
    <xf numFmtId="0" fontId="17" fillId="0" borderId="10" xfId="0" applyFont="1" applyBorder="1" applyAlignment="1" applyProtection="1">
      <alignment horizontal="center" vertical="center" wrapText="1" shrinkToFit="1"/>
    </xf>
    <xf numFmtId="0" fontId="17" fillId="0" borderId="166" xfId="0" applyFont="1" applyBorder="1" applyAlignment="1" applyProtection="1">
      <alignment horizontal="center" vertical="center" wrapText="1" shrinkToFit="1"/>
    </xf>
    <xf numFmtId="0" fontId="17" fillId="0" borderId="167" xfId="0" applyFont="1" applyBorder="1" applyAlignment="1" applyProtection="1">
      <alignment horizontal="center" vertical="center" wrapText="1" shrinkToFit="1"/>
    </xf>
    <xf numFmtId="38" fontId="27" fillId="12" borderId="5" xfId="9" applyFont="1" applyFill="1" applyBorder="1" applyAlignment="1" applyProtection="1">
      <alignment horizontal="center" vertical="center" shrinkToFit="1"/>
    </xf>
    <xf numFmtId="38" fontId="27" fillId="12" borderId="11" xfId="9" applyFont="1" applyFill="1" applyBorder="1" applyAlignment="1" applyProtection="1">
      <alignment horizontal="center" vertical="center" shrinkToFit="1"/>
    </xf>
    <xf numFmtId="0" fontId="58" fillId="2" borderId="0" xfId="0" applyFont="1" applyFill="1" applyBorder="1" applyAlignment="1" applyProtection="1">
      <alignment horizontal="right" vertical="center" wrapText="1" shrinkToFit="1"/>
    </xf>
    <xf numFmtId="0" fontId="17" fillId="2" borderId="15" xfId="0" applyFont="1" applyFill="1" applyBorder="1" applyAlignment="1" applyProtection="1">
      <alignment horizontal="center" vertical="center" shrinkToFit="1"/>
    </xf>
    <xf numFmtId="0" fontId="19" fillId="2" borderId="13" xfId="0" applyFont="1" applyFill="1" applyBorder="1" applyAlignment="1" applyProtection="1">
      <alignment horizontal="center" vertical="center" wrapText="1" shrinkToFit="1"/>
    </xf>
    <xf numFmtId="0" fontId="19" fillId="2" borderId="6" xfId="0" applyFont="1" applyFill="1" applyBorder="1" applyAlignment="1" applyProtection="1">
      <alignment horizontal="center" vertical="center" wrapText="1" shrinkToFit="1"/>
    </xf>
    <xf numFmtId="0" fontId="19" fillId="2" borderId="3" xfId="0" applyFont="1" applyFill="1" applyBorder="1" applyAlignment="1" applyProtection="1">
      <alignment horizontal="center" vertical="center" wrapText="1" shrinkToFit="1"/>
    </xf>
    <xf numFmtId="0" fontId="19" fillId="2" borderId="0" xfId="0" applyFont="1" applyFill="1" applyBorder="1" applyAlignment="1" applyProtection="1">
      <alignment horizontal="center" vertical="center" wrapText="1" shrinkToFit="1"/>
    </xf>
    <xf numFmtId="0" fontId="58" fillId="2" borderId="0" xfId="0" applyFont="1" applyFill="1" applyAlignment="1" applyProtection="1">
      <alignment horizontal="left" vertical="center" shrinkToFit="1"/>
    </xf>
    <xf numFmtId="0" fontId="17" fillId="2" borderId="3" xfId="0" applyFont="1" applyFill="1" applyBorder="1" applyAlignment="1" applyProtection="1">
      <alignment horizontal="center" vertical="center" wrapText="1" shrinkToFit="1"/>
    </xf>
    <xf numFmtId="0" fontId="17" fillId="2" borderId="10" xfId="0" applyFont="1" applyFill="1" applyBorder="1" applyAlignment="1" applyProtection="1">
      <alignment horizontal="center" vertical="center" wrapText="1" shrinkToFit="1"/>
    </xf>
    <xf numFmtId="0" fontId="17" fillId="0" borderId="13" xfId="0" applyFont="1" applyBorder="1" applyAlignment="1" applyProtection="1">
      <alignment horizontal="center" vertical="center" shrinkToFit="1"/>
    </xf>
    <xf numFmtId="0" fontId="17" fillId="0" borderId="12" xfId="0" applyFont="1" applyBorder="1" applyAlignment="1" applyProtection="1">
      <alignment horizontal="center" vertical="center" shrinkToFit="1"/>
    </xf>
    <xf numFmtId="0" fontId="34" fillId="2" borderId="16" xfId="0" applyFont="1" applyFill="1" applyBorder="1" applyAlignment="1" applyProtection="1">
      <alignment horizontal="center" vertical="center" shrinkToFit="1"/>
    </xf>
    <xf numFmtId="182" fontId="34" fillId="4" borderId="16" xfId="0" applyNumberFormat="1" applyFont="1" applyFill="1" applyBorder="1" applyAlignment="1" applyProtection="1">
      <alignment horizontal="center" vertical="center" shrinkToFit="1"/>
      <protection locked="0"/>
    </xf>
    <xf numFmtId="200" fontId="34" fillId="2" borderId="16" xfId="0" applyNumberFormat="1" applyFont="1" applyFill="1" applyBorder="1" applyAlignment="1" applyProtection="1">
      <alignment horizontal="center" vertical="center" shrinkToFit="1"/>
    </xf>
    <xf numFmtId="0" fontId="58" fillId="2" borderId="5" xfId="0" applyFont="1" applyFill="1" applyBorder="1" applyAlignment="1" applyProtection="1">
      <alignment horizontal="left" vertical="center" shrinkToFit="1"/>
    </xf>
    <xf numFmtId="0" fontId="34" fillId="6" borderId="16" xfId="0" applyFont="1" applyFill="1" applyBorder="1" applyAlignment="1" applyProtection="1">
      <alignment horizontal="center" vertical="center" shrinkToFit="1"/>
    </xf>
    <xf numFmtId="0" fontId="17" fillId="0" borderId="15" xfId="0" applyFont="1" applyBorder="1" applyAlignment="1" applyProtection="1">
      <alignment horizontal="center" vertical="center" shrinkToFit="1"/>
    </xf>
    <xf numFmtId="0" fontId="17" fillId="0" borderId="14" xfId="0" applyFont="1" applyBorder="1" applyAlignment="1" applyProtection="1">
      <alignment horizontal="center" vertical="center" shrinkToFit="1"/>
    </xf>
    <xf numFmtId="0" fontId="17" fillId="2" borderId="26" xfId="0" applyFont="1" applyFill="1" applyBorder="1" applyAlignment="1" applyProtection="1">
      <alignment horizontal="center" vertical="center" shrinkToFit="1"/>
    </xf>
    <xf numFmtId="0" fontId="17" fillId="2" borderId="1" xfId="0" applyFont="1" applyFill="1" applyBorder="1" applyAlignment="1" applyProtection="1">
      <alignment horizontal="center" vertical="center" shrinkToFit="1"/>
    </xf>
    <xf numFmtId="0" fontId="17" fillId="2" borderId="25" xfId="0" applyFont="1" applyFill="1" applyBorder="1" applyAlignment="1" applyProtection="1">
      <alignment horizontal="center" vertical="center" shrinkToFit="1"/>
    </xf>
    <xf numFmtId="0" fontId="25" fillId="2" borderId="9"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177" fontId="17" fillId="2" borderId="0" xfId="0" applyNumberFormat="1" applyFont="1" applyFill="1" applyBorder="1" applyAlignment="1" applyProtection="1">
      <alignment horizontal="center" vertical="center" shrinkToFit="1"/>
    </xf>
    <xf numFmtId="0" fontId="17" fillId="2" borderId="0" xfId="0" applyFont="1" applyFill="1" applyBorder="1" applyAlignment="1" applyProtection="1">
      <alignment horizontal="center" vertical="center" wrapText="1" shrinkToFit="1"/>
    </xf>
    <xf numFmtId="0" fontId="104" fillId="2" borderId="0" xfId="0" applyFont="1" applyFill="1" applyAlignment="1" applyProtection="1">
      <alignment horizontal="center" vertical="center" shrinkToFit="1"/>
    </xf>
    <xf numFmtId="0" fontId="34" fillId="2" borderId="0" xfId="0" applyFont="1" applyFill="1" applyBorder="1" applyAlignment="1" applyProtection="1">
      <alignment horizontal="center" vertical="center" shrinkToFit="1"/>
    </xf>
    <xf numFmtId="0" fontId="17" fillId="2" borderId="13" xfId="0" applyFont="1" applyFill="1" applyBorder="1" applyAlignment="1" applyProtection="1">
      <alignment horizontal="center" vertical="center" shrinkToFit="1"/>
    </xf>
    <xf numFmtId="0" fontId="17" fillId="2" borderId="3" xfId="0" applyFont="1" applyFill="1" applyBorder="1" applyAlignment="1" applyProtection="1">
      <alignment horizontal="center" vertical="center" shrinkToFit="1"/>
    </xf>
    <xf numFmtId="0" fontId="17" fillId="2" borderId="8" xfId="0" applyFont="1" applyFill="1" applyBorder="1" applyAlignment="1" applyProtection="1">
      <alignment horizontal="center" vertical="center" shrinkToFit="1"/>
    </xf>
    <xf numFmtId="0" fontId="17" fillId="2" borderId="10" xfId="0" applyFont="1" applyFill="1" applyBorder="1" applyAlignment="1" applyProtection="1">
      <alignment horizontal="center" vertical="center" shrinkToFit="1"/>
    </xf>
    <xf numFmtId="0" fontId="17" fillId="2" borderId="11" xfId="0" applyFont="1" applyFill="1" applyBorder="1" applyAlignment="1" applyProtection="1">
      <alignment horizontal="center" vertical="center" wrapText="1" shrinkToFit="1"/>
    </xf>
    <xf numFmtId="0" fontId="17"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shrinkToFit="1"/>
    </xf>
    <xf numFmtId="0" fontId="71" fillId="2" borderId="0" xfId="0" applyFont="1" applyFill="1" applyBorder="1" applyAlignment="1" applyProtection="1">
      <alignment horizontal="center" vertical="center" shrinkToFit="1"/>
    </xf>
    <xf numFmtId="38" fontId="27" fillId="7" borderId="5" xfId="9" applyFont="1" applyFill="1" applyBorder="1" applyAlignment="1" applyProtection="1">
      <alignment horizontal="center" vertical="center" shrinkToFit="1"/>
    </xf>
    <xf numFmtId="177" fontId="17" fillId="2" borderId="0" xfId="0" applyNumberFormat="1" applyFont="1" applyFill="1" applyBorder="1" applyAlignment="1" applyProtection="1">
      <alignment horizontal="left" vertical="center" wrapText="1" shrinkToFit="1"/>
    </xf>
    <xf numFmtId="38" fontId="27" fillId="8" borderId="5" xfId="9" applyFont="1" applyFill="1" applyBorder="1" applyAlignment="1" applyProtection="1">
      <alignment horizontal="center" vertical="center" shrinkToFit="1"/>
    </xf>
    <xf numFmtId="38" fontId="27" fillId="8" borderId="11" xfId="9" applyFont="1" applyFill="1" applyBorder="1" applyAlignment="1" applyProtection="1">
      <alignment horizontal="center" vertical="center" shrinkToFit="1"/>
    </xf>
    <xf numFmtId="196" fontId="80" fillId="2" borderId="124" xfId="82" applyNumberFormat="1" applyFont="1" applyFill="1" applyBorder="1" applyAlignment="1" applyProtection="1">
      <alignment horizontal="right" vertical="center"/>
    </xf>
    <xf numFmtId="196" fontId="80" fillId="2" borderId="87" xfId="82" applyNumberFormat="1" applyFont="1" applyFill="1" applyBorder="1" applyAlignment="1" applyProtection="1">
      <alignment horizontal="right" vertical="center"/>
    </xf>
    <xf numFmtId="0" fontId="38" fillId="2" borderId="0" xfId="82" applyFont="1" applyFill="1" applyBorder="1" applyAlignment="1" applyProtection="1">
      <alignment horizontal="left" vertical="top" wrapText="1"/>
    </xf>
    <xf numFmtId="0" fontId="38" fillId="2" borderId="13" xfId="82" applyFont="1" applyFill="1" applyBorder="1" applyAlignment="1" applyProtection="1">
      <alignment horizontal="left" vertical="center"/>
    </xf>
    <xf numFmtId="0" fontId="38" fillId="2" borderId="6" xfId="82" applyFont="1" applyFill="1" applyBorder="1" applyAlignment="1" applyProtection="1">
      <alignment horizontal="left" vertical="center"/>
    </xf>
    <xf numFmtId="0" fontId="45" fillId="2" borderId="54" xfId="82" applyFont="1" applyFill="1" applyBorder="1" applyAlignment="1" applyProtection="1">
      <alignment horizontal="left" vertical="center" wrapText="1"/>
    </xf>
    <xf numFmtId="0" fontId="45" fillId="2" borderId="0" xfId="82" applyFont="1" applyFill="1" applyBorder="1" applyAlignment="1" applyProtection="1">
      <alignment horizontal="left" vertical="center" wrapText="1"/>
    </xf>
    <xf numFmtId="0" fontId="57" fillId="2" borderId="0" xfId="82" applyFont="1" applyFill="1" applyAlignment="1" applyProtection="1">
      <alignment horizontal="left" vertical="center"/>
    </xf>
    <xf numFmtId="0" fontId="57" fillId="2" borderId="0" xfId="82" applyFont="1" applyFill="1" applyAlignment="1" applyProtection="1">
      <alignment horizontal="center" vertical="center" shrinkToFit="1"/>
    </xf>
    <xf numFmtId="0" fontId="17" fillId="0" borderId="13" xfId="58" applyFont="1" applyBorder="1" applyAlignment="1" applyProtection="1">
      <alignment horizontal="center" vertical="center" shrinkToFit="1"/>
    </xf>
    <xf numFmtId="0" fontId="17" fillId="0" borderId="12" xfId="58" applyFont="1" applyBorder="1" applyAlignment="1" applyProtection="1">
      <alignment horizontal="center" vertical="center" shrinkToFit="1"/>
    </xf>
    <xf numFmtId="0" fontId="103" fillId="2" borderId="0" xfId="82" applyFont="1" applyFill="1" applyAlignment="1" applyProtection="1">
      <alignment horizontal="center" vertical="center" shrinkToFit="1"/>
    </xf>
    <xf numFmtId="0" fontId="17" fillId="2" borderId="96" xfId="0" applyFont="1" applyFill="1" applyBorder="1" applyAlignment="1" applyProtection="1">
      <alignment horizontal="center" vertical="center" wrapText="1" shrinkToFit="1"/>
    </xf>
    <xf numFmtId="0" fontId="17" fillId="2" borderId="92" xfId="0" applyFont="1" applyFill="1" applyBorder="1" applyAlignment="1" applyProtection="1">
      <alignment horizontal="center" vertical="center" wrapText="1" shrinkToFit="1"/>
    </xf>
    <xf numFmtId="0" fontId="59" fillId="2" borderId="0" xfId="0" applyFont="1" applyFill="1" applyBorder="1" applyAlignment="1" applyProtection="1">
      <alignment horizontal="right" vertical="center" wrapText="1" shrinkToFit="1"/>
    </xf>
    <xf numFmtId="0" fontId="58" fillId="2" borderId="0" xfId="0" applyFont="1" applyFill="1" applyBorder="1" applyAlignment="1" applyProtection="1">
      <alignment horizontal="right" wrapText="1" shrinkToFit="1"/>
    </xf>
    <xf numFmtId="38" fontId="27" fillId="13" borderId="5" xfId="9" applyFont="1" applyFill="1" applyBorder="1" applyAlignment="1" applyProtection="1">
      <alignment horizontal="center" vertical="center" shrinkToFit="1"/>
    </xf>
    <xf numFmtId="0" fontId="25" fillId="2" borderId="7" xfId="0" applyFont="1" applyFill="1" applyBorder="1" applyAlignment="1" applyProtection="1">
      <alignment horizontal="center" vertical="center" wrapText="1" shrinkToFit="1"/>
    </xf>
    <xf numFmtId="0" fontId="25" fillId="2" borderId="4" xfId="0" applyFont="1" applyFill="1" applyBorder="1" applyAlignment="1" applyProtection="1">
      <alignment horizontal="center" vertical="center" wrapText="1" shrinkToFit="1"/>
    </xf>
    <xf numFmtId="0" fontId="102" fillId="0" borderId="0" xfId="87" applyFont="1" applyAlignment="1">
      <alignment horizontal="center" vertical="center" shrinkToFit="1"/>
    </xf>
    <xf numFmtId="0" fontId="17" fillId="2" borderId="105" xfId="0" applyFont="1" applyFill="1" applyBorder="1" applyAlignment="1" applyProtection="1">
      <alignment horizontal="center" vertical="center" wrapText="1" shrinkToFit="1"/>
    </xf>
    <xf numFmtId="0" fontId="97" fillId="6" borderId="16" xfId="0" applyFont="1" applyFill="1" applyBorder="1" applyAlignment="1" applyProtection="1">
      <alignment horizontal="center" vertical="center" wrapText="1" shrinkToFit="1"/>
    </xf>
    <xf numFmtId="0" fontId="19" fillId="2" borderId="13" xfId="0" applyFont="1" applyFill="1" applyBorder="1" applyAlignment="1" applyProtection="1">
      <alignment horizontal="center" vertical="center" shrinkToFit="1"/>
    </xf>
    <xf numFmtId="0" fontId="19" fillId="2" borderId="6" xfId="0" applyFont="1" applyFill="1" applyBorder="1" applyAlignment="1" applyProtection="1">
      <alignment horizontal="center" vertical="center" shrinkToFit="1"/>
    </xf>
    <xf numFmtId="0" fontId="19" fillId="2" borderId="10" xfId="0" applyFont="1" applyFill="1" applyBorder="1" applyAlignment="1" applyProtection="1">
      <alignment horizontal="center" vertical="center" shrinkToFit="1"/>
    </xf>
    <xf numFmtId="0" fontId="19" fillId="2" borderId="5" xfId="0" applyFont="1" applyFill="1" applyBorder="1" applyAlignment="1" applyProtection="1">
      <alignment horizontal="center" vertical="center" shrinkToFit="1"/>
    </xf>
    <xf numFmtId="0" fontId="17" fillId="2" borderId="9" xfId="0" applyFont="1" applyFill="1" applyBorder="1" applyAlignment="1" applyProtection="1">
      <alignment horizontal="center" vertical="center" shrinkToFit="1"/>
    </xf>
    <xf numFmtId="0" fontId="17" fillId="2" borderId="4" xfId="0" applyFont="1" applyFill="1" applyBorder="1" applyAlignment="1" applyProtection="1">
      <alignment horizontal="center" vertical="center" shrinkToFit="1"/>
    </xf>
    <xf numFmtId="0" fontId="97" fillId="6" borderId="16" xfId="0" applyFont="1" applyFill="1" applyBorder="1" applyAlignment="1" applyProtection="1">
      <alignment horizontal="center" vertical="center" shrinkToFit="1"/>
    </xf>
    <xf numFmtId="0" fontId="25" fillId="2" borderId="98" xfId="0" applyFont="1" applyFill="1" applyBorder="1" applyAlignment="1" applyProtection="1">
      <alignment horizontal="center" vertical="center" wrapText="1" shrinkToFit="1"/>
    </xf>
    <xf numFmtId="0" fontId="25" fillId="2" borderId="100" xfId="0" applyFont="1" applyFill="1" applyBorder="1" applyAlignment="1" applyProtection="1">
      <alignment horizontal="center" vertical="center" wrapText="1" shrinkToFit="1"/>
    </xf>
    <xf numFmtId="0" fontId="18" fillId="2" borderId="7" xfId="0" applyFont="1" applyFill="1" applyBorder="1" applyAlignment="1" applyProtection="1">
      <alignment horizontal="center" vertical="center" wrapText="1" shrinkToFit="1"/>
    </xf>
    <xf numFmtId="0" fontId="18" fillId="2" borderId="4" xfId="0" applyFont="1" applyFill="1" applyBorder="1" applyAlignment="1" applyProtection="1">
      <alignment horizontal="center" vertical="center" wrapText="1" shrinkToFit="1"/>
    </xf>
    <xf numFmtId="0" fontId="25" fillId="2" borderId="99" xfId="0" applyFont="1" applyFill="1" applyBorder="1" applyAlignment="1" applyProtection="1">
      <alignment horizontal="center" vertical="center" wrapText="1" shrinkToFit="1"/>
    </xf>
    <xf numFmtId="0" fontId="25" fillId="2" borderId="101" xfId="0" applyFont="1" applyFill="1" applyBorder="1" applyAlignment="1" applyProtection="1">
      <alignment horizontal="center" vertical="center" wrapText="1" shrinkToFit="1"/>
    </xf>
    <xf numFmtId="0" fontId="25" fillId="2" borderId="178" xfId="0" applyFont="1" applyFill="1" applyBorder="1" applyAlignment="1" applyProtection="1">
      <alignment horizontal="center" vertical="center" wrapText="1" shrinkToFit="1"/>
    </xf>
    <xf numFmtId="0" fontId="25" fillId="2" borderId="179" xfId="0" applyFont="1" applyFill="1" applyBorder="1" applyAlignment="1" applyProtection="1">
      <alignment horizontal="center" vertical="center" wrapText="1" shrinkToFit="1"/>
    </xf>
    <xf numFmtId="38" fontId="27" fillId="14" borderId="5" xfId="9" applyFont="1" applyFill="1" applyBorder="1" applyAlignment="1" applyProtection="1">
      <alignment horizontal="center" vertical="center" shrinkToFit="1"/>
    </xf>
    <xf numFmtId="0" fontId="19" fillId="13" borderId="26" xfId="0" applyFont="1" applyFill="1" applyBorder="1" applyAlignment="1" applyProtection="1">
      <alignment horizontal="center" vertical="center" shrinkToFit="1"/>
    </xf>
    <xf numFmtId="0" fontId="19" fillId="13" borderId="25" xfId="0" applyFont="1" applyFill="1" applyBorder="1" applyAlignment="1" applyProtection="1">
      <alignment horizontal="center" vertical="center" shrinkToFit="1"/>
    </xf>
    <xf numFmtId="177" fontId="28" fillId="2" borderId="0" xfId="0" applyNumberFormat="1" applyFont="1" applyFill="1" applyBorder="1" applyAlignment="1" applyProtection="1">
      <alignment horizontal="left" vertical="center" wrapText="1" shrinkToFit="1"/>
    </xf>
    <xf numFmtId="177" fontId="28" fillId="2" borderId="8" xfId="0" applyNumberFormat="1" applyFont="1" applyFill="1" applyBorder="1" applyAlignment="1" applyProtection="1">
      <alignment horizontal="left" vertical="center" wrapText="1" shrinkToFit="1"/>
    </xf>
    <xf numFmtId="0" fontId="97" fillId="2" borderId="15" xfId="0" applyFont="1" applyFill="1" applyBorder="1" applyAlignment="1" applyProtection="1">
      <alignment horizontal="center" vertical="center" shrinkToFit="1"/>
    </xf>
    <xf numFmtId="0" fontId="97" fillId="2" borderId="14" xfId="0" applyFont="1" applyFill="1" applyBorder="1" applyAlignment="1" applyProtection="1">
      <alignment horizontal="center" vertical="center" shrinkToFit="1"/>
    </xf>
    <xf numFmtId="0" fontId="97" fillId="2" borderId="16" xfId="0" applyFont="1" applyFill="1" applyBorder="1" applyAlignment="1" applyProtection="1">
      <alignment horizontal="center" vertical="center" shrinkToFit="1"/>
    </xf>
    <xf numFmtId="182" fontId="97" fillId="4" borderId="16" xfId="0" applyNumberFormat="1" applyFont="1" applyFill="1" applyBorder="1" applyAlignment="1" applyProtection="1">
      <alignment horizontal="center" vertical="center" shrinkToFit="1"/>
      <protection locked="0"/>
    </xf>
    <xf numFmtId="182" fontId="97" fillId="2" borderId="16" xfId="0" applyNumberFormat="1" applyFont="1" applyFill="1" applyBorder="1" applyAlignment="1" applyProtection="1">
      <alignment horizontal="center" vertical="center" shrinkToFit="1"/>
    </xf>
    <xf numFmtId="182" fontId="97" fillId="2" borderId="38" xfId="0" applyNumberFormat="1" applyFont="1" applyFill="1" applyBorder="1" applyAlignment="1" applyProtection="1">
      <alignment horizontal="center" vertical="center" shrinkToFit="1"/>
      <protection locked="0"/>
    </xf>
    <xf numFmtId="196" fontId="74" fillId="2" borderId="26" xfId="82" applyNumberFormat="1" applyFont="1" applyFill="1" applyBorder="1" applyAlignment="1" applyProtection="1">
      <alignment horizontal="right" vertical="center"/>
    </xf>
    <xf numFmtId="196" fontId="74" fillId="2" borderId="1" xfId="82" applyNumberFormat="1" applyFont="1" applyFill="1" applyBorder="1" applyAlignment="1" applyProtection="1">
      <alignment horizontal="right" vertical="center"/>
    </xf>
    <xf numFmtId="196" fontId="74" fillId="2" borderId="25" xfId="82" applyNumberFormat="1" applyFont="1" applyFill="1" applyBorder="1" applyAlignment="1" applyProtection="1">
      <alignment horizontal="right" vertical="center"/>
    </xf>
    <xf numFmtId="0" fontId="38" fillId="2" borderId="110" xfId="82" applyFont="1" applyFill="1" applyBorder="1" applyAlignment="1" applyProtection="1">
      <alignment horizontal="center" vertical="center"/>
    </xf>
    <xf numFmtId="0" fontId="38" fillId="2" borderId="6" xfId="82" applyFont="1" applyFill="1" applyBorder="1" applyAlignment="1" applyProtection="1">
      <alignment horizontal="center" vertical="center"/>
    </xf>
    <xf numFmtId="0" fontId="38" fillId="2" borderId="2" xfId="82" applyFont="1" applyFill="1" applyBorder="1" applyAlignment="1" applyProtection="1">
      <alignment horizontal="left" vertical="center" wrapText="1"/>
    </xf>
    <xf numFmtId="195" fontId="38" fillId="2" borderId="63" xfId="82" applyNumberFormat="1" applyFont="1" applyFill="1" applyBorder="1" applyAlignment="1" applyProtection="1">
      <alignment horizontal="center" vertical="center" wrapText="1"/>
    </xf>
    <xf numFmtId="195" fontId="38" fillId="2" borderId="51" xfId="82" applyNumberFormat="1" applyFont="1" applyFill="1" applyBorder="1" applyAlignment="1" applyProtection="1">
      <alignment horizontal="center" vertical="center"/>
    </xf>
    <xf numFmtId="195" fontId="45" fillId="2" borderId="54" xfId="82" applyNumberFormat="1" applyFont="1" applyFill="1" applyBorder="1" applyAlignment="1" applyProtection="1">
      <alignment horizontal="left" vertical="center" wrapText="1"/>
    </xf>
    <xf numFmtId="195" fontId="45" fillId="2" borderId="0" xfId="82" applyNumberFormat="1" applyFont="1" applyFill="1" applyAlignment="1" applyProtection="1">
      <alignment horizontal="left" vertical="center" wrapText="1"/>
    </xf>
    <xf numFmtId="0" fontId="38" fillId="2" borderId="0" xfId="82" applyFont="1" applyFill="1" applyAlignment="1" applyProtection="1">
      <alignment horizontal="left" vertical="top"/>
    </xf>
    <xf numFmtId="0" fontId="47" fillId="2" borderId="0" xfId="82" applyFont="1" applyFill="1" applyAlignment="1" applyProtection="1">
      <alignment horizontal="center" vertical="center" shrinkToFit="1"/>
    </xf>
    <xf numFmtId="0" fontId="19" fillId="2" borderId="110" xfId="0" applyFont="1" applyFill="1" applyBorder="1" applyAlignment="1" applyProtection="1">
      <alignment horizontal="center" vertical="center" shrinkToFit="1"/>
    </xf>
    <xf numFmtId="0" fontId="19" fillId="2" borderId="55"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shrinkToFit="1"/>
    </xf>
    <xf numFmtId="0" fontId="19" fillId="2" borderId="11"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9" fillId="2" borderId="70" xfId="0" applyFont="1" applyFill="1" applyBorder="1" applyAlignment="1" applyProtection="1">
      <alignment horizontal="center" vertical="center" shrinkToFit="1"/>
    </xf>
    <xf numFmtId="177" fontId="17" fillId="2" borderId="0" xfId="0" applyNumberFormat="1" applyFont="1" applyFill="1" applyBorder="1" applyAlignment="1" applyProtection="1">
      <alignment horizontal="left" vertical="center" indent="1" shrinkToFit="1"/>
    </xf>
    <xf numFmtId="177" fontId="17" fillId="2" borderId="52" xfId="0" applyNumberFormat="1" applyFont="1" applyFill="1" applyBorder="1" applyAlignment="1" applyProtection="1">
      <alignment horizontal="left" vertical="center" indent="1" shrinkToFit="1"/>
    </xf>
    <xf numFmtId="184" fontId="17" fillId="2" borderId="16" xfId="0" applyNumberFormat="1" applyFont="1" applyFill="1" applyBorder="1" applyAlignment="1" applyProtection="1">
      <alignment horizontal="center" vertical="center" shrinkToFit="1"/>
    </xf>
    <xf numFmtId="0" fontId="17" fillId="2" borderId="59" xfId="0" applyFont="1" applyFill="1" applyBorder="1" applyAlignment="1" applyProtection="1">
      <alignment horizontal="center" vertical="center" wrapText="1"/>
    </xf>
    <xf numFmtId="0" fontId="17" fillId="2" borderId="34" xfId="0" applyFont="1" applyFill="1" applyBorder="1" applyAlignment="1" applyProtection="1">
      <alignment horizontal="center" vertical="center" wrapText="1"/>
    </xf>
    <xf numFmtId="0" fontId="17" fillId="2" borderId="57" xfId="0" applyFont="1" applyFill="1" applyBorder="1" applyAlignment="1" applyProtection="1">
      <alignment horizontal="center" vertical="center" wrapText="1"/>
    </xf>
    <xf numFmtId="0" fontId="17" fillId="2" borderId="35" xfId="0" applyFont="1" applyFill="1" applyBorder="1" applyAlignment="1" applyProtection="1">
      <alignment horizontal="center" vertical="center" wrapText="1"/>
    </xf>
    <xf numFmtId="0" fontId="17" fillId="2" borderId="97"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97" xfId="0" applyFont="1" applyFill="1" applyBorder="1" applyAlignment="1" applyProtection="1">
      <alignment horizontal="center" vertical="center" shrinkToFit="1"/>
    </xf>
    <xf numFmtId="0" fontId="17" fillId="2" borderId="35" xfId="0" applyFont="1" applyFill="1" applyBorder="1" applyAlignment="1" applyProtection="1">
      <alignment horizontal="center" vertical="center" shrinkToFit="1"/>
    </xf>
    <xf numFmtId="0" fontId="17" fillId="2" borderId="57" xfId="0" applyFont="1" applyFill="1" applyBorder="1" applyAlignment="1" applyProtection="1">
      <alignment horizontal="center" vertical="center" shrinkToFit="1"/>
    </xf>
    <xf numFmtId="0" fontId="17" fillId="6" borderId="16" xfId="0" applyFont="1" applyFill="1" applyBorder="1" applyAlignment="1" applyProtection="1">
      <alignment horizontal="center" vertical="center" shrinkToFit="1"/>
    </xf>
    <xf numFmtId="0" fontId="34" fillId="2" borderId="0" xfId="0" applyFont="1" applyFill="1" applyAlignment="1" applyProtection="1">
      <alignment horizontal="center" vertical="center" shrinkToFit="1"/>
    </xf>
    <xf numFmtId="0" fontId="17" fillId="2" borderId="2" xfId="0" applyFont="1" applyFill="1" applyBorder="1" applyAlignment="1" applyProtection="1">
      <alignment horizontal="center" vertical="center" shrinkToFit="1"/>
    </xf>
    <xf numFmtId="0" fontId="17" fillId="2" borderId="14" xfId="0" applyFont="1" applyFill="1" applyBorder="1" applyAlignment="1" applyProtection="1">
      <alignment horizontal="center" vertical="center" shrinkToFit="1"/>
    </xf>
    <xf numFmtId="0" fontId="17" fillId="2" borderId="9" xfId="0" applyFont="1" applyFill="1" applyBorder="1" applyAlignment="1" applyProtection="1">
      <alignment horizontal="center" vertical="center" wrapText="1"/>
    </xf>
    <xf numFmtId="0" fontId="17" fillId="2" borderId="105" xfId="0" applyFont="1" applyFill="1" applyBorder="1" applyAlignment="1" applyProtection="1">
      <alignment horizontal="center" vertical="center" wrapText="1"/>
    </xf>
    <xf numFmtId="0" fontId="17" fillId="2" borderId="87"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19" fillId="2" borderId="15" xfId="0" applyFont="1" applyFill="1" applyBorder="1" applyAlignment="1" applyProtection="1">
      <alignment horizontal="center" vertical="center" shrinkToFit="1"/>
    </xf>
    <xf numFmtId="0" fontId="19" fillId="2" borderId="14" xfId="0" applyFont="1" applyFill="1" applyBorder="1" applyAlignment="1" applyProtection="1">
      <alignment horizontal="center" vertical="center" shrinkToFit="1"/>
    </xf>
    <xf numFmtId="38" fontId="27" fillId="13" borderId="11" xfId="9" applyFont="1" applyFill="1" applyBorder="1" applyAlignment="1" applyProtection="1">
      <alignment horizontal="center" vertical="center" shrinkToFit="1"/>
    </xf>
    <xf numFmtId="0" fontId="19" fillId="2" borderId="0" xfId="0" applyFont="1" applyFill="1" applyBorder="1" applyAlignment="1" applyProtection="1">
      <alignment horizontal="right" vertical="center" wrapText="1" shrinkToFit="1"/>
    </xf>
    <xf numFmtId="0" fontId="17" fillId="2" borderId="13"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96"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177" fontId="17" fillId="2" borderId="0" xfId="0" applyNumberFormat="1" applyFont="1" applyFill="1" applyBorder="1" applyAlignment="1" applyProtection="1">
      <alignment horizontal="center" vertical="center" wrapText="1" shrinkToFit="1"/>
    </xf>
    <xf numFmtId="0" fontId="58" fillId="2" borderId="5" xfId="0" applyFont="1" applyFill="1" applyBorder="1" applyAlignment="1" applyProtection="1">
      <alignment horizontal="left" vertical="center"/>
    </xf>
    <xf numFmtId="0" fontId="17" fillId="2" borderId="0" xfId="0" applyFont="1" applyFill="1" applyAlignment="1" applyProtection="1">
      <alignment horizontal="center" vertical="center" shrinkToFit="1"/>
    </xf>
    <xf numFmtId="0" fontId="17" fillId="2" borderId="8"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wrapText="1"/>
    </xf>
    <xf numFmtId="0" fontId="17" fillId="2" borderId="80" xfId="0" applyFont="1" applyFill="1" applyBorder="1" applyAlignment="1" applyProtection="1">
      <alignment horizontal="center" vertical="center" wrapText="1"/>
    </xf>
    <xf numFmtId="0" fontId="42" fillId="2" borderId="0" xfId="82" applyFont="1" applyFill="1" applyBorder="1" applyAlignment="1" applyProtection="1">
      <alignment horizontal="right" vertical="center"/>
    </xf>
    <xf numFmtId="0" fontId="42" fillId="2" borderId="8" xfId="82" applyFont="1" applyFill="1" applyBorder="1" applyAlignment="1" applyProtection="1">
      <alignment horizontal="right" vertical="center"/>
    </xf>
    <xf numFmtId="0" fontId="41" fillId="2" borderId="15" xfId="82" applyFont="1" applyFill="1" applyBorder="1" applyAlignment="1" applyProtection="1">
      <alignment horizontal="left" vertical="center"/>
    </xf>
    <xf numFmtId="0" fontId="41" fillId="2" borderId="14" xfId="82" applyFont="1" applyFill="1" applyBorder="1" applyAlignment="1" applyProtection="1">
      <alignment horizontal="left" vertical="center"/>
    </xf>
    <xf numFmtId="0" fontId="38" fillId="2" borderId="16" xfId="82" applyFont="1" applyFill="1" applyBorder="1" applyAlignment="1" applyProtection="1">
      <alignment horizontal="center" vertical="center"/>
    </xf>
    <xf numFmtId="38" fontId="41" fillId="2" borderId="16" xfId="9" applyFont="1" applyFill="1" applyBorder="1" applyAlignment="1" applyProtection="1">
      <alignment horizontal="right" vertical="center"/>
    </xf>
    <xf numFmtId="0" fontId="38" fillId="2" borderId="145" xfId="82" applyFont="1" applyFill="1" applyBorder="1" applyAlignment="1" applyProtection="1">
      <alignment horizontal="left" vertical="center"/>
    </xf>
    <xf numFmtId="0" fontId="38" fillId="2" borderId="157" xfId="82" applyFont="1" applyFill="1" applyBorder="1" applyAlignment="1" applyProtection="1">
      <alignment horizontal="left" vertical="center"/>
    </xf>
    <xf numFmtId="0" fontId="38" fillId="2" borderId="14" xfId="82" applyFont="1" applyFill="1" applyBorder="1" applyAlignment="1" applyProtection="1">
      <alignment horizontal="left" vertical="center"/>
    </xf>
    <xf numFmtId="195" fontId="38" fillId="2" borderId="79" xfId="82" applyNumberFormat="1" applyFont="1" applyFill="1" applyBorder="1" applyAlignment="1" applyProtection="1">
      <alignment horizontal="center" vertical="center" wrapText="1"/>
    </xf>
    <xf numFmtId="195" fontId="38" fillId="2" borderId="51" xfId="82" applyNumberFormat="1" applyFont="1" applyFill="1" applyBorder="1" applyAlignment="1" applyProtection="1">
      <alignment horizontal="center" vertical="center" wrapText="1"/>
    </xf>
    <xf numFmtId="0" fontId="15" fillId="2" borderId="29" xfId="58" applyFont="1" applyFill="1" applyBorder="1" applyAlignment="1" applyProtection="1">
      <alignment horizontal="left" vertical="center" wrapText="1"/>
    </xf>
    <xf numFmtId="0" fontId="15" fillId="2" borderId="18" xfId="58" applyFont="1" applyFill="1" applyBorder="1" applyAlignment="1" applyProtection="1">
      <alignment horizontal="left" vertical="center" wrapText="1"/>
    </xf>
    <xf numFmtId="0" fontId="15" fillId="2" borderId="44" xfId="58" applyFont="1" applyFill="1" applyBorder="1" applyAlignment="1" applyProtection="1">
      <alignment horizontal="left" vertical="center" wrapText="1"/>
    </xf>
    <xf numFmtId="0" fontId="15" fillId="2" borderId="21" xfId="58" applyFont="1" applyFill="1" applyBorder="1" applyAlignment="1" applyProtection="1">
      <alignment horizontal="left" vertical="center" wrapText="1"/>
    </xf>
    <xf numFmtId="0" fontId="38" fillId="2" borderId="44" xfId="82" applyFont="1" applyFill="1" applyBorder="1" applyAlignment="1" applyProtection="1">
      <alignment horizontal="left" vertical="center" wrapText="1"/>
    </xf>
    <xf numFmtId="0" fontId="38" fillId="2" borderId="21" xfId="82" applyFont="1" applyFill="1" applyBorder="1" applyAlignment="1" applyProtection="1">
      <alignment horizontal="left" vertical="center" wrapText="1"/>
    </xf>
    <xf numFmtId="0" fontId="38" fillId="2" borderId="44" xfId="82" applyFont="1" applyFill="1" applyBorder="1" applyAlignment="1" applyProtection="1">
      <alignment horizontal="left" vertical="center"/>
    </xf>
    <xf numFmtId="0" fontId="38" fillId="2" borderId="21" xfId="82" applyFont="1" applyFill="1" applyBorder="1" applyAlignment="1" applyProtection="1">
      <alignment horizontal="left" vertical="center"/>
    </xf>
    <xf numFmtId="0" fontId="41" fillId="2" borderId="26" xfId="82" applyFont="1" applyFill="1" applyBorder="1" applyAlignment="1" applyProtection="1">
      <alignment horizontal="left" vertical="center"/>
    </xf>
    <xf numFmtId="0" fontId="41" fillId="2" borderId="1" xfId="82" applyFont="1" applyFill="1" applyBorder="1" applyAlignment="1" applyProtection="1">
      <alignment horizontal="left" vertical="center"/>
    </xf>
    <xf numFmtId="0" fontId="38" fillId="2" borderId="162" xfId="82" applyFont="1" applyFill="1" applyBorder="1" applyAlignment="1" applyProtection="1">
      <alignment horizontal="left" vertical="center"/>
    </xf>
    <xf numFmtId="0" fontId="38" fillId="2" borderId="163" xfId="82" applyFont="1" applyFill="1" applyBorder="1" applyAlignment="1" applyProtection="1">
      <alignment horizontal="left" vertical="center"/>
    </xf>
    <xf numFmtId="0" fontId="44" fillId="2" borderId="2" xfId="82" applyFont="1" applyFill="1" applyBorder="1" applyAlignment="1" applyProtection="1">
      <alignment horizontal="left" vertical="center"/>
    </xf>
    <xf numFmtId="0" fontId="44" fillId="2" borderId="14" xfId="82" applyFont="1" applyFill="1" applyBorder="1" applyAlignment="1" applyProtection="1">
      <alignment horizontal="left" vertical="center"/>
    </xf>
    <xf numFmtId="0" fontId="42" fillId="2" borderId="2" xfId="82" applyFont="1" applyFill="1" applyBorder="1" applyAlignment="1" applyProtection="1">
      <alignment horizontal="left" vertical="center" wrapText="1"/>
    </xf>
    <xf numFmtId="0" fontId="42" fillId="2" borderId="14" xfId="82" applyFont="1" applyFill="1" applyBorder="1" applyAlignment="1" applyProtection="1">
      <alignment horizontal="left" vertical="center" wrapText="1"/>
    </xf>
    <xf numFmtId="0" fontId="38" fillId="2" borderId="5" xfId="82" applyFont="1" applyFill="1" applyBorder="1" applyAlignment="1" applyProtection="1">
      <alignment horizontal="left" vertical="top" wrapText="1"/>
    </xf>
    <xf numFmtId="0" fontId="38" fillId="2" borderId="6" xfId="82" applyFont="1" applyFill="1" applyBorder="1" applyAlignment="1" applyProtection="1">
      <alignment horizontal="left" vertical="top" wrapText="1"/>
    </xf>
    <xf numFmtId="0" fontId="38" fillId="2" borderId="13" xfId="82" applyFont="1" applyFill="1" applyBorder="1" applyAlignment="1" applyProtection="1">
      <alignment horizontal="center" vertical="center" shrinkToFit="1"/>
    </xf>
    <xf numFmtId="0" fontId="38" fillId="2" borderId="12" xfId="82" applyFont="1" applyFill="1" applyBorder="1" applyAlignment="1" applyProtection="1">
      <alignment horizontal="center" vertical="center" shrinkToFit="1"/>
    </xf>
    <xf numFmtId="0" fontId="38" fillId="2" borderId="10" xfId="82" applyFont="1" applyFill="1" applyBorder="1" applyAlignment="1" applyProtection="1">
      <alignment horizontal="center" vertical="center" shrinkToFit="1"/>
    </xf>
    <xf numFmtId="0" fontId="38" fillId="2" borderId="11" xfId="82" applyFont="1" applyFill="1" applyBorder="1" applyAlignment="1" applyProtection="1">
      <alignment horizontal="center" vertical="center" shrinkToFit="1"/>
    </xf>
    <xf numFmtId="0" fontId="105" fillId="2" borderId="13" xfId="82" applyFont="1" applyFill="1" applyBorder="1" applyAlignment="1" applyProtection="1">
      <alignment horizontal="center" vertical="center" wrapText="1" shrinkToFit="1"/>
    </xf>
    <xf numFmtId="0" fontId="105" fillId="2" borderId="6" xfId="82" applyFont="1" applyFill="1" applyBorder="1" applyAlignment="1" applyProtection="1">
      <alignment horizontal="center" vertical="center" wrapText="1" shrinkToFit="1"/>
    </xf>
    <xf numFmtId="0" fontId="105" fillId="2" borderId="12" xfId="82" applyFont="1" applyFill="1" applyBorder="1" applyAlignment="1" applyProtection="1">
      <alignment horizontal="center" vertical="center" wrapText="1" shrinkToFit="1"/>
    </xf>
    <xf numFmtId="0" fontId="105" fillId="2" borderId="10" xfId="82" applyFont="1" applyFill="1" applyBorder="1" applyAlignment="1" applyProtection="1">
      <alignment horizontal="center" vertical="center" wrapText="1" shrinkToFit="1"/>
    </xf>
    <xf numFmtId="0" fontId="105" fillId="2" borderId="5" xfId="82" applyFont="1" applyFill="1" applyBorder="1" applyAlignment="1" applyProtection="1">
      <alignment horizontal="center" vertical="center" wrapText="1" shrinkToFit="1"/>
    </xf>
    <xf numFmtId="0" fontId="105" fillId="2" borderId="11" xfId="82" applyFont="1" applyFill="1" applyBorder="1" applyAlignment="1" applyProtection="1">
      <alignment horizontal="center" vertical="center" wrapText="1" shrinkToFit="1"/>
    </xf>
    <xf numFmtId="0" fontId="17" fillId="2" borderId="102" xfId="0" applyFont="1" applyFill="1" applyBorder="1" applyAlignment="1" applyProtection="1">
      <alignment horizontal="center" vertical="center" wrapText="1"/>
    </xf>
    <xf numFmtId="0" fontId="17" fillId="2" borderId="95" xfId="0" applyFont="1" applyFill="1" applyBorder="1" applyAlignment="1" applyProtection="1">
      <alignment horizontal="center" vertical="center" wrapText="1"/>
    </xf>
    <xf numFmtId="177" fontId="17" fillId="2" borderId="0" xfId="0" applyNumberFormat="1" applyFont="1" applyFill="1" applyBorder="1" applyAlignment="1" applyProtection="1">
      <alignment horizontal="left" vertical="center" wrapText="1" indent="2" shrinkToFit="1"/>
    </xf>
    <xf numFmtId="177" fontId="17" fillId="2" borderId="52" xfId="0" applyNumberFormat="1" applyFont="1" applyFill="1" applyBorder="1" applyAlignment="1" applyProtection="1">
      <alignment horizontal="left" vertical="center" wrapText="1" indent="2" shrinkToFit="1"/>
    </xf>
    <xf numFmtId="0" fontId="38" fillId="2" borderId="13" xfId="82" applyFont="1" applyFill="1" applyBorder="1" applyAlignment="1" applyProtection="1">
      <alignment horizontal="center" vertical="center"/>
    </xf>
    <xf numFmtId="0" fontId="38" fillId="2" borderId="12" xfId="82" applyFont="1" applyFill="1" applyBorder="1" applyAlignment="1" applyProtection="1">
      <alignment horizontal="center" vertical="center"/>
    </xf>
    <xf numFmtId="0" fontId="38" fillId="2" borderId="10" xfId="82" applyFont="1" applyFill="1" applyBorder="1" applyAlignment="1" applyProtection="1">
      <alignment horizontal="center" vertical="center"/>
    </xf>
    <xf numFmtId="0" fontId="38" fillId="2" borderId="11" xfId="82" applyFont="1" applyFill="1" applyBorder="1" applyAlignment="1" applyProtection="1">
      <alignment horizontal="center" vertical="center"/>
    </xf>
    <xf numFmtId="195" fontId="47" fillId="2" borderId="13" xfId="82" applyNumberFormat="1" applyFont="1" applyFill="1" applyBorder="1" applyAlignment="1" applyProtection="1">
      <alignment horizontal="center" vertical="center" wrapText="1"/>
    </xf>
    <xf numFmtId="195" fontId="47" fillId="2" borderId="6" xfId="82" applyNumberFormat="1" applyFont="1" applyFill="1" applyBorder="1" applyAlignment="1" applyProtection="1">
      <alignment horizontal="center" vertical="center" wrapText="1"/>
    </xf>
    <xf numFmtId="195" fontId="47" fillId="2" borderId="12" xfId="82" applyNumberFormat="1" applyFont="1" applyFill="1" applyBorder="1" applyAlignment="1" applyProtection="1">
      <alignment horizontal="center" vertical="center" wrapText="1"/>
    </xf>
    <xf numFmtId="195" fontId="47" fillId="2" borderId="10" xfId="82" applyNumberFormat="1" applyFont="1" applyFill="1" applyBorder="1" applyAlignment="1" applyProtection="1">
      <alignment horizontal="center" vertical="center" wrapText="1"/>
    </xf>
    <xf numFmtId="195" fontId="47" fillId="2" borderId="5" xfId="82" applyNumberFormat="1" applyFont="1" applyFill="1" applyBorder="1" applyAlignment="1" applyProtection="1">
      <alignment horizontal="center" vertical="center" wrapText="1"/>
    </xf>
    <xf numFmtId="195" fontId="47" fillId="2" borderId="11" xfId="82" applyNumberFormat="1" applyFont="1" applyFill="1" applyBorder="1" applyAlignment="1" applyProtection="1">
      <alignment horizontal="center" vertical="center" wrapText="1"/>
    </xf>
    <xf numFmtId="195" fontId="48" fillId="2" borderId="0" xfId="82" applyNumberFormat="1" applyFont="1" applyFill="1" applyBorder="1" applyAlignment="1" applyProtection="1">
      <alignment horizontal="center" vertical="center" wrapText="1"/>
    </xf>
    <xf numFmtId="0" fontId="17" fillId="2" borderId="97" xfId="0" applyFont="1" applyFill="1" applyBorder="1" applyAlignment="1" applyProtection="1">
      <alignment horizontal="center" vertical="center" wrapText="1" shrinkToFit="1"/>
    </xf>
    <xf numFmtId="0" fontId="17" fillId="2" borderId="35" xfId="0" applyFont="1" applyFill="1" applyBorder="1" applyAlignment="1" applyProtection="1">
      <alignment horizontal="center" vertical="center" wrapText="1" shrinkToFit="1"/>
    </xf>
    <xf numFmtId="0" fontId="17" fillId="2" borderId="85" xfId="0" applyFont="1" applyFill="1" applyBorder="1" applyAlignment="1" applyProtection="1">
      <alignment horizontal="center" vertical="center" wrapText="1" shrinkToFit="1"/>
    </xf>
    <xf numFmtId="0" fontId="17" fillId="2" borderId="34" xfId="0" applyFont="1" applyFill="1" applyBorder="1" applyAlignment="1" applyProtection="1">
      <alignment horizontal="center" vertical="center" wrapText="1" shrinkToFit="1"/>
    </xf>
    <xf numFmtId="0" fontId="89" fillId="2" borderId="59" xfId="0" applyFont="1" applyFill="1" applyBorder="1" applyAlignment="1" applyProtection="1">
      <alignment horizontal="center" vertical="center" wrapText="1" shrinkToFit="1"/>
    </xf>
    <xf numFmtId="0" fontId="89" fillId="2" borderId="34" xfId="0" applyFont="1" applyFill="1" applyBorder="1" applyAlignment="1" applyProtection="1">
      <alignment horizontal="center" vertical="center" wrapText="1" shrinkToFit="1"/>
    </xf>
    <xf numFmtId="0" fontId="17" fillId="2" borderId="57" xfId="0" applyFont="1" applyFill="1" applyBorder="1" applyAlignment="1" applyProtection="1">
      <alignment horizontal="center" vertical="center" wrapText="1" shrinkToFit="1"/>
    </xf>
    <xf numFmtId="0" fontId="17" fillId="2" borderId="59" xfId="0" applyFont="1" applyFill="1" applyBorder="1" applyAlignment="1" applyProtection="1">
      <alignment horizontal="center" vertical="center" wrapText="1" shrinkToFit="1"/>
    </xf>
    <xf numFmtId="0" fontId="89" fillId="2" borderId="85" xfId="0" applyFont="1" applyFill="1" applyBorder="1" applyAlignment="1" applyProtection="1">
      <alignment horizontal="center" vertical="center" wrapText="1" shrinkToFit="1"/>
    </xf>
    <xf numFmtId="177" fontId="17" fillId="2" borderId="0" xfId="0" applyNumberFormat="1" applyFont="1" applyFill="1" applyBorder="1" applyAlignment="1" applyProtection="1">
      <alignment horizontal="left" vertical="center" shrinkToFit="1"/>
    </xf>
    <xf numFmtId="177" fontId="17" fillId="2" borderId="52" xfId="0" applyNumberFormat="1" applyFont="1" applyFill="1" applyBorder="1" applyAlignment="1" applyProtection="1">
      <alignment horizontal="left" vertical="center" shrinkToFit="1"/>
    </xf>
    <xf numFmtId="0" fontId="87" fillId="2" borderId="16" xfId="0" applyFont="1" applyFill="1" applyBorder="1" applyAlignment="1" applyProtection="1">
      <alignment horizontal="center" vertical="center" shrinkToFit="1"/>
    </xf>
    <xf numFmtId="0" fontId="19" fillId="2" borderId="16" xfId="0" applyFont="1" applyFill="1" applyBorder="1" applyAlignment="1" applyProtection="1">
      <alignment horizontal="center" vertical="center" shrinkToFit="1"/>
    </xf>
    <xf numFmtId="0" fontId="17" fillId="6" borderId="15" xfId="0" applyFont="1" applyFill="1" applyBorder="1" applyAlignment="1" applyProtection="1">
      <alignment horizontal="center" vertical="center" shrinkToFit="1"/>
    </xf>
    <xf numFmtId="0" fontId="17" fillId="6" borderId="14" xfId="0" applyFont="1" applyFill="1" applyBorder="1" applyAlignment="1" applyProtection="1">
      <alignment horizontal="center" vertical="center" shrinkToFit="1"/>
    </xf>
    <xf numFmtId="0" fontId="17" fillId="3" borderId="15"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58" fillId="2" borderId="0" xfId="0" applyFont="1" applyFill="1" applyAlignment="1" applyProtection="1">
      <alignment horizontal="center" vertical="center" shrinkToFit="1"/>
    </xf>
    <xf numFmtId="0" fontId="19" fillId="2" borderId="85" xfId="0" applyFont="1" applyFill="1" applyBorder="1" applyAlignment="1" applyProtection="1">
      <alignment horizontal="center" vertical="center" shrinkToFit="1"/>
    </xf>
    <xf numFmtId="0" fontId="19" fillId="2" borderId="34" xfId="0" applyFont="1" applyFill="1" applyBorder="1" applyAlignment="1" applyProtection="1">
      <alignment horizontal="center" vertical="center" shrinkToFit="1"/>
    </xf>
    <xf numFmtId="0" fontId="19" fillId="2" borderId="2" xfId="0" applyFont="1" applyFill="1" applyBorder="1" applyAlignment="1" applyProtection="1">
      <alignment horizontal="center" vertical="center" shrinkToFit="1"/>
    </xf>
    <xf numFmtId="0" fontId="38" fillId="2" borderId="7" xfId="82" applyFont="1" applyFill="1" applyBorder="1" applyAlignment="1" applyProtection="1">
      <alignment horizontal="center" vertical="center" shrinkToFit="1"/>
    </xf>
    <xf numFmtId="0" fontId="38" fillId="2" borderId="4" xfId="82" applyFont="1" applyFill="1" applyBorder="1" applyAlignment="1" applyProtection="1">
      <alignment horizontal="center" vertical="center" shrinkToFit="1"/>
    </xf>
    <xf numFmtId="0" fontId="103" fillId="2" borderId="13" xfId="82" applyFont="1" applyFill="1" applyBorder="1" applyAlignment="1" applyProtection="1">
      <alignment horizontal="center" vertical="center" wrapText="1" shrinkToFit="1"/>
    </xf>
    <xf numFmtId="0" fontId="103" fillId="2" borderId="12" xfId="82" applyFont="1" applyFill="1" applyBorder="1" applyAlignment="1" applyProtection="1">
      <alignment horizontal="center" vertical="center" wrapText="1" shrinkToFit="1"/>
    </xf>
    <xf numFmtId="0" fontId="103" fillId="2" borderId="10" xfId="82" applyFont="1" applyFill="1" applyBorder="1" applyAlignment="1" applyProtection="1">
      <alignment horizontal="center" vertical="center" wrapText="1" shrinkToFit="1"/>
    </xf>
    <xf numFmtId="0" fontId="103" fillId="2" borderId="11" xfId="82" applyFont="1" applyFill="1" applyBorder="1" applyAlignment="1" applyProtection="1">
      <alignment horizontal="center" vertical="center" wrapText="1" shrinkToFit="1"/>
    </xf>
  </cellXfs>
  <cellStyles count="9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76" builtinId="5"/>
    <cellStyle name="パーセント 2" xfId="5" xr:uid="{00000000-0005-0000-0000-000005000000}"/>
    <cellStyle name="パーセント 2 2" xfId="80" xr:uid="{00000000-0005-0000-0000-000006000000}"/>
    <cellStyle name="パーセント 3" xfId="6" xr:uid="{00000000-0005-0000-0000-000007000000}"/>
    <cellStyle name="パーセント 4" xfId="7" xr:uid="{00000000-0005-0000-0000-000008000000}"/>
    <cellStyle name="パーセント 5" xfId="8" xr:uid="{00000000-0005-0000-0000-000009000000}"/>
    <cellStyle name="ハイパーリンク 2" xfId="91" xr:uid="{00000000-0005-0000-0000-00000A000000}"/>
    <cellStyle name="桁区切り" xfId="9" builtinId="6"/>
    <cellStyle name="桁区切り 10" xfId="10" xr:uid="{00000000-0005-0000-0000-00000C000000}"/>
    <cellStyle name="桁区切り 10 2" xfId="11" xr:uid="{00000000-0005-0000-0000-00000D000000}"/>
    <cellStyle name="桁区切り 11" xfId="12" xr:uid="{00000000-0005-0000-0000-00000E000000}"/>
    <cellStyle name="桁区切り 2" xfId="13" xr:uid="{00000000-0005-0000-0000-00000F000000}"/>
    <cellStyle name="桁区切り 2 2" xfId="14" xr:uid="{00000000-0005-0000-0000-000010000000}"/>
    <cellStyle name="桁区切り 2 3" xfId="15" xr:uid="{00000000-0005-0000-0000-000011000000}"/>
    <cellStyle name="桁区切り 2 4" xfId="83" xr:uid="{00000000-0005-0000-0000-000012000000}"/>
    <cellStyle name="桁区切り 3" xfId="16" xr:uid="{00000000-0005-0000-0000-000013000000}"/>
    <cellStyle name="桁区切り 3 2" xfId="81" xr:uid="{00000000-0005-0000-0000-000014000000}"/>
    <cellStyle name="桁区切り 4" xfId="17" xr:uid="{00000000-0005-0000-0000-000015000000}"/>
    <cellStyle name="桁区切り 5" xfId="18" xr:uid="{00000000-0005-0000-0000-000016000000}"/>
    <cellStyle name="桁区切り 6" xfId="19" xr:uid="{00000000-0005-0000-0000-000017000000}"/>
    <cellStyle name="桁区切り 7" xfId="20" xr:uid="{00000000-0005-0000-0000-000018000000}"/>
    <cellStyle name="桁区切り 7 2" xfId="21" xr:uid="{00000000-0005-0000-0000-000019000000}"/>
    <cellStyle name="桁区切り 8" xfId="22" xr:uid="{00000000-0005-0000-0000-00001A000000}"/>
    <cellStyle name="桁区切り 9" xfId="23" xr:uid="{00000000-0005-0000-0000-00001B000000}"/>
    <cellStyle name="桁区切り 9 2" xfId="24" xr:uid="{00000000-0005-0000-0000-00001C000000}"/>
    <cellStyle name="小計" xfId="25" xr:uid="{00000000-0005-0000-0000-00001D000000}"/>
    <cellStyle name="通貨 2" xfId="26" xr:uid="{00000000-0005-0000-0000-00001F000000}"/>
    <cellStyle name="通貨 2 2" xfId="27" xr:uid="{00000000-0005-0000-0000-000020000000}"/>
    <cellStyle name="通貨 2 3" xfId="28" xr:uid="{00000000-0005-0000-0000-000021000000}"/>
    <cellStyle name="標準" xfId="0" builtinId="0"/>
    <cellStyle name="標準 10" xfId="29" xr:uid="{00000000-0005-0000-0000-000023000000}"/>
    <cellStyle name="標準 11" xfId="30" xr:uid="{00000000-0005-0000-0000-000024000000}"/>
    <cellStyle name="標準 11 2" xfId="31" xr:uid="{00000000-0005-0000-0000-000025000000}"/>
    <cellStyle name="標準 12" xfId="32" xr:uid="{00000000-0005-0000-0000-000026000000}"/>
    <cellStyle name="標準 12 2" xfId="33" xr:uid="{00000000-0005-0000-0000-000027000000}"/>
    <cellStyle name="標準 12 2 2" xfId="34" xr:uid="{00000000-0005-0000-0000-000028000000}"/>
    <cellStyle name="標準 12 2 2 2" xfId="35" xr:uid="{00000000-0005-0000-0000-000029000000}"/>
    <cellStyle name="標準 13" xfId="36" xr:uid="{00000000-0005-0000-0000-00002A000000}"/>
    <cellStyle name="標準 14" xfId="37" xr:uid="{00000000-0005-0000-0000-00002B000000}"/>
    <cellStyle name="標準 14 2" xfId="38" xr:uid="{00000000-0005-0000-0000-00002C000000}"/>
    <cellStyle name="標準 14 2 2" xfId="39" xr:uid="{00000000-0005-0000-0000-00002D000000}"/>
    <cellStyle name="標準 14 2 3" xfId="40" xr:uid="{00000000-0005-0000-0000-00002E000000}"/>
    <cellStyle name="標準 14 3" xfId="41" xr:uid="{00000000-0005-0000-0000-00002F000000}"/>
    <cellStyle name="標準 15" xfId="42" xr:uid="{00000000-0005-0000-0000-000030000000}"/>
    <cellStyle name="標準 15 2" xfId="43" xr:uid="{00000000-0005-0000-0000-000031000000}"/>
    <cellStyle name="標準 16" xfId="44" xr:uid="{00000000-0005-0000-0000-000032000000}"/>
    <cellStyle name="標準 16 2" xfId="45" xr:uid="{00000000-0005-0000-0000-000033000000}"/>
    <cellStyle name="標準 16 3" xfId="46" xr:uid="{00000000-0005-0000-0000-000034000000}"/>
    <cellStyle name="標準 17" xfId="47" xr:uid="{00000000-0005-0000-0000-000035000000}"/>
    <cellStyle name="標準 17 2" xfId="48" xr:uid="{00000000-0005-0000-0000-000036000000}"/>
    <cellStyle name="標準 18" xfId="87" xr:uid="{00000000-0005-0000-0000-000037000000}"/>
    <cellStyle name="標準 18 2" xfId="88" xr:uid="{00000000-0005-0000-0000-000038000000}"/>
    <cellStyle name="標準 2" xfId="49" xr:uid="{00000000-0005-0000-0000-000039000000}"/>
    <cellStyle name="標準 2 2" xfId="50" xr:uid="{00000000-0005-0000-0000-00003A000000}"/>
    <cellStyle name="標準 2 2 2" xfId="84" xr:uid="{00000000-0005-0000-0000-00003B000000}"/>
    <cellStyle name="標準 2 3" xfId="51" xr:uid="{00000000-0005-0000-0000-00003C000000}"/>
    <cellStyle name="標準 2 3 2" xfId="78" xr:uid="{00000000-0005-0000-0000-00003D000000}"/>
    <cellStyle name="標準 2 3 3" xfId="86" xr:uid="{00000000-0005-0000-0000-00003E000000}"/>
    <cellStyle name="標準 2 4" xfId="52" xr:uid="{00000000-0005-0000-0000-00003F000000}"/>
    <cellStyle name="標準 20" xfId="89" xr:uid="{00000000-0005-0000-0000-000040000000}"/>
    <cellStyle name="標準 3" xfId="53" xr:uid="{00000000-0005-0000-0000-000041000000}"/>
    <cellStyle name="標準 3 2" xfId="54" xr:uid="{00000000-0005-0000-0000-000042000000}"/>
    <cellStyle name="標準 3 2 2" xfId="55" xr:uid="{00000000-0005-0000-0000-000043000000}"/>
    <cellStyle name="標準 3 2 3" xfId="56" xr:uid="{00000000-0005-0000-0000-000044000000}"/>
    <cellStyle name="標準 3 2 4" xfId="90" xr:uid="{00000000-0005-0000-0000-000045000000}"/>
    <cellStyle name="標準 3 3" xfId="82" xr:uid="{00000000-0005-0000-0000-000046000000}"/>
    <cellStyle name="標準 3 4" xfId="85" xr:uid="{00000000-0005-0000-0000-000047000000}"/>
    <cellStyle name="標準 4" xfId="57" xr:uid="{00000000-0005-0000-0000-000048000000}"/>
    <cellStyle name="標準 4 2" xfId="58" xr:uid="{00000000-0005-0000-0000-000049000000}"/>
    <cellStyle name="標準 4 2 2" xfId="59" xr:uid="{00000000-0005-0000-0000-00004A000000}"/>
    <cellStyle name="標準 4 2 3" xfId="77" xr:uid="{00000000-0005-0000-0000-00004B000000}"/>
    <cellStyle name="標準 4 3" xfId="79" xr:uid="{00000000-0005-0000-0000-00004C000000}"/>
    <cellStyle name="標準 5" xfId="60" xr:uid="{00000000-0005-0000-0000-00004D000000}"/>
    <cellStyle name="標準 6" xfId="61" xr:uid="{00000000-0005-0000-0000-00004E000000}"/>
    <cellStyle name="標準 6 2" xfId="62" xr:uid="{00000000-0005-0000-0000-00004F000000}"/>
    <cellStyle name="標準 7" xfId="63" xr:uid="{00000000-0005-0000-0000-000050000000}"/>
    <cellStyle name="標準 7 2" xfId="64" xr:uid="{00000000-0005-0000-0000-000051000000}"/>
    <cellStyle name="標準 7 3" xfId="65" xr:uid="{00000000-0005-0000-0000-000052000000}"/>
    <cellStyle name="標準 7 4" xfId="66" xr:uid="{00000000-0005-0000-0000-000053000000}"/>
    <cellStyle name="標準 7 4 2" xfId="67" xr:uid="{00000000-0005-0000-0000-000054000000}"/>
    <cellStyle name="標準 7 4 2 2" xfId="68" xr:uid="{00000000-0005-0000-0000-000055000000}"/>
    <cellStyle name="標準 7 4 2 2 2" xfId="69" xr:uid="{00000000-0005-0000-0000-000056000000}"/>
    <cellStyle name="標準 7 5" xfId="70" xr:uid="{00000000-0005-0000-0000-000057000000}"/>
    <cellStyle name="標準 7 6" xfId="71" xr:uid="{00000000-0005-0000-0000-000058000000}"/>
    <cellStyle name="標準 8" xfId="72" xr:uid="{00000000-0005-0000-0000-000059000000}"/>
    <cellStyle name="標準 8 2" xfId="73" xr:uid="{00000000-0005-0000-0000-00005A000000}"/>
    <cellStyle name="標準 9" xfId="74" xr:uid="{00000000-0005-0000-0000-00005B000000}"/>
    <cellStyle name="標準 9 2" xfId="75" xr:uid="{00000000-0005-0000-0000-00005C00000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Medium9"/>
  <colors>
    <mruColors>
      <color rgb="FFFFFFCC"/>
      <color rgb="FFFF99FF"/>
      <color rgb="FFFF00FF"/>
      <color rgb="FFFFCCCC"/>
      <color rgb="FFFFCCFF"/>
      <color rgb="FFFF9999"/>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163286</xdr:rowOff>
    </xdr:from>
    <xdr:to>
      <xdr:col>5</xdr:col>
      <xdr:colOff>238125</xdr:colOff>
      <xdr:row>4</xdr:row>
      <xdr:rowOff>67715</xdr:rowOff>
    </xdr:to>
    <xdr:sp macro="" textlink="">
      <xdr:nvSpPr>
        <xdr:cNvPr id="3" name="正方形/長方形 2">
          <a:extLst>
            <a:ext uri="{FF2B5EF4-FFF2-40B4-BE49-F238E27FC236}">
              <a16:creationId xmlns:a16="http://schemas.microsoft.com/office/drawing/2014/main" id="{64D3D076-027B-4D1B-BA86-3A9A4E4F56A9}"/>
            </a:ext>
          </a:extLst>
        </xdr:cNvPr>
        <xdr:cNvSpPr/>
      </xdr:nvSpPr>
      <xdr:spPr>
        <a:xfrm>
          <a:off x="680357" y="163286"/>
          <a:ext cx="2959554" cy="61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ysClr val="windowText" lastClr="000000"/>
              </a:solidFill>
            </a:rPr>
            <a:t>ステップ０</a:t>
          </a:r>
        </a:p>
      </xdr:txBody>
    </xdr:sp>
    <xdr:clientData/>
  </xdr:twoCellAnchor>
  <xdr:twoCellAnchor>
    <xdr:from>
      <xdr:col>1</xdr:col>
      <xdr:colOff>0</xdr:colOff>
      <xdr:row>8</xdr:row>
      <xdr:rowOff>136072</xdr:rowOff>
    </xdr:from>
    <xdr:to>
      <xdr:col>10</xdr:col>
      <xdr:colOff>628650</xdr:colOff>
      <xdr:row>8</xdr:row>
      <xdr:rowOff>748072</xdr:rowOff>
    </xdr:to>
    <xdr:sp macro="" textlink="">
      <xdr:nvSpPr>
        <xdr:cNvPr id="6" name="正方形/長方形 5">
          <a:extLst>
            <a:ext uri="{FF2B5EF4-FFF2-40B4-BE49-F238E27FC236}">
              <a16:creationId xmlns:a16="http://schemas.microsoft.com/office/drawing/2014/main" id="{8674885B-B280-4CDC-8968-848C842C5970}"/>
            </a:ext>
          </a:extLst>
        </xdr:cNvPr>
        <xdr:cNvSpPr/>
      </xdr:nvSpPr>
      <xdr:spPr>
        <a:xfrm>
          <a:off x="680357" y="2204358"/>
          <a:ext cx="6751864" cy="61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ysClr val="windowText" lastClr="000000"/>
              </a:solidFill>
            </a:rPr>
            <a:t>ステップ１　年間の見込児童数を算出</a:t>
          </a:r>
        </a:p>
      </xdr:txBody>
    </xdr:sp>
    <xdr:clientData/>
  </xdr:twoCellAnchor>
  <xdr:twoCellAnchor>
    <xdr:from>
      <xdr:col>1</xdr:col>
      <xdr:colOff>1</xdr:colOff>
      <xdr:row>13</xdr:row>
      <xdr:rowOff>171450</xdr:rowOff>
    </xdr:from>
    <xdr:to>
      <xdr:col>10</xdr:col>
      <xdr:colOff>628651</xdr:colOff>
      <xdr:row>13</xdr:row>
      <xdr:rowOff>783450</xdr:rowOff>
    </xdr:to>
    <xdr:sp macro="" textlink="">
      <xdr:nvSpPr>
        <xdr:cNvPr id="7" name="正方形/長方形 6">
          <a:extLst>
            <a:ext uri="{FF2B5EF4-FFF2-40B4-BE49-F238E27FC236}">
              <a16:creationId xmlns:a16="http://schemas.microsoft.com/office/drawing/2014/main" id="{456DE1FF-F36B-48FF-A033-4200179712D0}"/>
            </a:ext>
          </a:extLst>
        </xdr:cNvPr>
        <xdr:cNvSpPr/>
      </xdr:nvSpPr>
      <xdr:spPr>
        <a:xfrm>
          <a:off x="680358" y="4811486"/>
          <a:ext cx="6751864" cy="61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ysClr val="windowText" lastClr="000000"/>
              </a:solidFill>
            </a:rPr>
            <a:t>ステップ２　加算の入力</a:t>
          </a:r>
        </a:p>
      </xdr:txBody>
    </xdr:sp>
    <xdr:clientData/>
  </xdr:twoCellAnchor>
  <xdr:twoCellAnchor>
    <xdr:from>
      <xdr:col>1</xdr:col>
      <xdr:colOff>16330</xdr:colOff>
      <xdr:row>18</xdr:row>
      <xdr:rowOff>179614</xdr:rowOff>
    </xdr:from>
    <xdr:to>
      <xdr:col>10</xdr:col>
      <xdr:colOff>644980</xdr:colOff>
      <xdr:row>18</xdr:row>
      <xdr:rowOff>791614</xdr:rowOff>
    </xdr:to>
    <xdr:sp macro="" textlink="">
      <xdr:nvSpPr>
        <xdr:cNvPr id="8" name="正方形/長方形 7">
          <a:extLst>
            <a:ext uri="{FF2B5EF4-FFF2-40B4-BE49-F238E27FC236}">
              <a16:creationId xmlns:a16="http://schemas.microsoft.com/office/drawing/2014/main" id="{F0E6A845-1FAE-4E67-8BF0-03C4EE4BC0D8}"/>
            </a:ext>
          </a:extLst>
        </xdr:cNvPr>
        <xdr:cNvSpPr/>
      </xdr:nvSpPr>
      <xdr:spPr>
        <a:xfrm>
          <a:off x="696687" y="8180614"/>
          <a:ext cx="6751864" cy="61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ysClr val="windowText" lastClr="000000"/>
              </a:solidFill>
            </a:rPr>
            <a:t>ステップ３　対象人数の確認</a:t>
          </a:r>
        </a:p>
      </xdr:txBody>
    </xdr:sp>
    <xdr:clientData/>
  </xdr:twoCellAnchor>
  <xdr:twoCellAnchor>
    <xdr:from>
      <xdr:col>1</xdr:col>
      <xdr:colOff>13607</xdr:colOff>
      <xdr:row>24</xdr:row>
      <xdr:rowOff>299358</xdr:rowOff>
    </xdr:from>
    <xdr:to>
      <xdr:col>14</xdr:col>
      <xdr:colOff>190398</xdr:colOff>
      <xdr:row>38</xdr:row>
      <xdr:rowOff>97080</xdr:rowOff>
    </xdr:to>
    <xdr:grpSp>
      <xdr:nvGrpSpPr>
        <xdr:cNvPr id="18" name="グループ化 17">
          <a:extLst>
            <a:ext uri="{FF2B5EF4-FFF2-40B4-BE49-F238E27FC236}">
              <a16:creationId xmlns:a16="http://schemas.microsoft.com/office/drawing/2014/main" id="{9DD5A8FE-8762-418B-AC61-A65FD1327423}"/>
            </a:ext>
          </a:extLst>
        </xdr:cNvPr>
        <xdr:cNvGrpSpPr/>
      </xdr:nvGrpSpPr>
      <xdr:grpSpPr>
        <a:xfrm>
          <a:off x="622753" y="10243004"/>
          <a:ext cx="8140145" cy="3243505"/>
          <a:chOff x="9361714" y="10668000"/>
          <a:chExt cx="9021434" cy="3362794"/>
        </a:xfrm>
      </xdr:grpSpPr>
      <xdr:pic>
        <xdr:nvPicPr>
          <xdr:cNvPr id="14" name="図 13">
            <a:extLst>
              <a:ext uri="{FF2B5EF4-FFF2-40B4-BE49-F238E27FC236}">
                <a16:creationId xmlns:a16="http://schemas.microsoft.com/office/drawing/2014/main" id="{BB7E4B23-E18D-4665-BE0F-ECC8DDF6D935}"/>
              </a:ext>
            </a:extLst>
          </xdr:cNvPr>
          <xdr:cNvPicPr>
            <a:picLocks noChangeAspect="1"/>
          </xdr:cNvPicPr>
        </xdr:nvPicPr>
        <xdr:blipFill>
          <a:blip xmlns:r="http://schemas.openxmlformats.org/officeDocument/2006/relationships" r:embed="rId1"/>
          <a:stretch>
            <a:fillRect/>
          </a:stretch>
        </xdr:blipFill>
        <xdr:spPr>
          <a:xfrm>
            <a:off x="9361714" y="10668000"/>
            <a:ext cx="9021434" cy="3362794"/>
          </a:xfrm>
          <a:prstGeom prst="rect">
            <a:avLst/>
          </a:prstGeom>
        </xdr:spPr>
      </xdr:pic>
      <xdr:sp macro="" textlink="">
        <xdr:nvSpPr>
          <xdr:cNvPr id="15" name="正方形/長方形 14">
            <a:extLst>
              <a:ext uri="{FF2B5EF4-FFF2-40B4-BE49-F238E27FC236}">
                <a16:creationId xmlns:a16="http://schemas.microsoft.com/office/drawing/2014/main" id="{E24FA7B9-001C-4232-A3B0-F8F4A9AB69A7}"/>
              </a:ext>
            </a:extLst>
          </xdr:cNvPr>
          <xdr:cNvSpPr/>
        </xdr:nvSpPr>
        <xdr:spPr>
          <a:xfrm>
            <a:off x="9756320" y="12368894"/>
            <a:ext cx="2626179" cy="102053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FBC6F1B8-2D25-437E-B25A-6685821520E0}"/>
              </a:ext>
            </a:extLst>
          </xdr:cNvPr>
          <xdr:cNvSpPr/>
        </xdr:nvSpPr>
        <xdr:spPr>
          <a:xfrm>
            <a:off x="13133614" y="12385223"/>
            <a:ext cx="2514600" cy="9769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B3EA1849-89FC-4EC6-A12B-8FBBFC17F802}"/>
              </a:ext>
            </a:extLst>
          </xdr:cNvPr>
          <xdr:cNvSpPr/>
        </xdr:nvSpPr>
        <xdr:spPr>
          <a:xfrm>
            <a:off x="13144500" y="11133366"/>
            <a:ext cx="802821" cy="4871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201706</xdr:colOff>
      <xdr:row>53</xdr:row>
      <xdr:rowOff>43295</xdr:rowOff>
    </xdr:from>
    <xdr:to>
      <xdr:col>12</xdr:col>
      <xdr:colOff>372340</xdr:colOff>
      <xdr:row>55</xdr:row>
      <xdr:rowOff>216477</xdr:rowOff>
    </xdr:to>
    <xdr:sp macro="" textlink="">
      <xdr:nvSpPr>
        <xdr:cNvPr id="3" name="右中かっこ 2">
          <a:extLst>
            <a:ext uri="{FF2B5EF4-FFF2-40B4-BE49-F238E27FC236}">
              <a16:creationId xmlns:a16="http://schemas.microsoft.com/office/drawing/2014/main" id="{00000000-0008-0000-0800-000003000000}"/>
            </a:ext>
          </a:extLst>
        </xdr:cNvPr>
        <xdr:cNvSpPr/>
      </xdr:nvSpPr>
      <xdr:spPr>
        <a:xfrm>
          <a:off x="5681382" y="11675001"/>
          <a:ext cx="674899" cy="666241"/>
        </a:xfrm>
        <a:prstGeom prst="rightBrace">
          <a:avLst>
            <a:gd name="adj1" fmla="val 8333"/>
            <a:gd name="adj2" fmla="val 51515"/>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28</xdr:col>
      <xdr:colOff>448235</xdr:colOff>
      <xdr:row>5</xdr:row>
      <xdr:rowOff>56029</xdr:rowOff>
    </xdr:from>
    <xdr:ext cx="6801971" cy="2322431"/>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110382" y="1210235"/>
          <a:ext cx="6801971" cy="232243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このシートで処遇改善等加算</a:t>
          </a:r>
          <a:r>
            <a:rPr kumimoji="1" lang="en-US" altLang="ja-JP" sz="1400"/>
            <a:t>Ⅰ</a:t>
          </a:r>
          <a:r>
            <a:rPr kumimoji="1" lang="ja-JP" altLang="en-US" sz="1400"/>
            <a:t>・</a:t>
          </a:r>
          <a:r>
            <a:rPr kumimoji="1" lang="en-US" altLang="ja-JP" sz="1400"/>
            <a:t>Ⅱ</a:t>
          </a:r>
          <a:r>
            <a:rPr kumimoji="1" lang="ja-JP" altLang="en-US" sz="1400"/>
            <a:t>の見込金額の算定基礎となる児童数を算出します。</a:t>
          </a:r>
          <a:endParaRPr kumimoji="1" lang="en-US" altLang="ja-JP" sz="1400"/>
        </a:p>
        <a:p>
          <a:endParaRPr kumimoji="1" lang="en-US" altLang="ja-JP" sz="1400"/>
        </a:p>
        <a:p>
          <a:r>
            <a:rPr kumimoji="1" lang="ja-JP" altLang="en-US" sz="1400"/>
            <a:t>（１）で、前年度実績より</a:t>
          </a:r>
          <a:r>
            <a:rPr kumimoji="1" lang="en-US" altLang="ja-JP" sz="1400"/>
            <a:t>4</a:t>
          </a:r>
          <a:r>
            <a:rPr kumimoji="1" lang="ja-JP" altLang="en-US" sz="1400"/>
            <a:t>月から</a:t>
          </a:r>
          <a:r>
            <a:rPr kumimoji="1" lang="en-US" altLang="ja-JP" sz="1400"/>
            <a:t>5</a:t>
          </a:r>
          <a:r>
            <a:rPr kumimoji="1" lang="ja-JP" altLang="en-US" sz="1400"/>
            <a:t>月以降の伸び率を算定</a:t>
          </a:r>
          <a:endParaRPr kumimoji="1" lang="en-US" altLang="ja-JP" sz="1400"/>
        </a:p>
        <a:p>
          <a:r>
            <a:rPr kumimoji="1" lang="ja-JP" altLang="en-US" sz="1400"/>
            <a:t>（２）で、</a:t>
          </a:r>
          <a:r>
            <a:rPr kumimoji="1" lang="en-US" altLang="ja-JP" sz="1400"/>
            <a:t>4</a:t>
          </a:r>
          <a:r>
            <a:rPr kumimoji="1" lang="ja-JP" altLang="en-US" sz="1400"/>
            <a:t>月の初日児童数</a:t>
          </a:r>
          <a:r>
            <a:rPr kumimoji="1" lang="en-US" altLang="ja-JP" sz="1400"/>
            <a:t>×</a:t>
          </a:r>
          <a:r>
            <a:rPr kumimoji="1" lang="ja-JP" altLang="en-US" sz="1400"/>
            <a:t>（１）で算定した伸び率で年間の平均児童数（年齢別）を算出</a:t>
          </a:r>
          <a:endParaRPr kumimoji="1" lang="en-US" altLang="ja-JP" sz="1400"/>
        </a:p>
        <a:p>
          <a:endParaRPr kumimoji="1" lang="en-US" altLang="ja-JP" sz="1400"/>
        </a:p>
        <a:p>
          <a:r>
            <a:rPr kumimoji="1" lang="ja-JP" altLang="en-US" sz="1400"/>
            <a:t>ただし、（１）～（２）の手順で算定すると実態と乖離してしまう施設や、新規開設で前年度実績が無い施設については、（３）～（４）により年間の見込み児童数を直接入力する。</a:t>
          </a:r>
          <a:endParaRPr kumimoji="1" lang="en-US" altLang="ja-JP" sz="1400"/>
        </a:p>
        <a:p>
          <a:endParaRPr kumimoji="1" lang="en-US" altLang="ja-JP" sz="1400"/>
        </a:p>
        <a:p>
          <a:r>
            <a:rPr kumimoji="1" lang="en-US" altLang="ja-JP" sz="1400"/>
            <a:t>※</a:t>
          </a:r>
          <a:r>
            <a:rPr kumimoji="1" lang="ja-JP" altLang="en-US" sz="1400"/>
            <a:t>分園がある施設は（児童数</a:t>
          </a:r>
          <a:r>
            <a:rPr kumimoji="1" lang="en-US" altLang="ja-JP" sz="1400"/>
            <a:t>-</a:t>
          </a:r>
          <a:r>
            <a:rPr kumimoji="1" lang="ja-JP" altLang="en-US" sz="1400"/>
            <a:t>分園）シートも入力が必要</a:t>
          </a:r>
          <a:endParaRPr kumimoji="1" lang="en-US" altLang="ja-JP" sz="1400"/>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201706</xdr:colOff>
      <xdr:row>40</xdr:row>
      <xdr:rowOff>43295</xdr:rowOff>
    </xdr:from>
    <xdr:to>
      <xdr:col>12</xdr:col>
      <xdr:colOff>372340</xdr:colOff>
      <xdr:row>42</xdr:row>
      <xdr:rowOff>216477</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5678581" y="11730470"/>
          <a:ext cx="675459" cy="668482"/>
        </a:xfrm>
        <a:prstGeom prst="rightBrace">
          <a:avLst>
            <a:gd name="adj1" fmla="val 8333"/>
            <a:gd name="adj2" fmla="val 51515"/>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97286</xdr:colOff>
      <xdr:row>32</xdr:row>
      <xdr:rowOff>88630</xdr:rowOff>
    </xdr:from>
    <xdr:to>
      <xdr:col>23</xdr:col>
      <xdr:colOff>244493</xdr:colOff>
      <xdr:row>42</xdr:row>
      <xdr:rowOff>100853</xdr:rowOff>
    </xdr:to>
    <xdr:sp macro="" textlink="">
      <xdr:nvSpPr>
        <xdr:cNvPr id="5" name="角丸四角形 4">
          <a:extLst>
            <a:ext uri="{FF2B5EF4-FFF2-40B4-BE49-F238E27FC236}">
              <a16:creationId xmlns:a16="http://schemas.microsoft.com/office/drawing/2014/main" id="{00000000-0008-0000-2800-000005000000}"/>
            </a:ext>
          </a:extLst>
        </xdr:cNvPr>
        <xdr:cNvSpPr/>
      </xdr:nvSpPr>
      <xdr:spPr>
        <a:xfrm>
          <a:off x="11852257" y="7977571"/>
          <a:ext cx="4932118" cy="247751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加算見込額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Ａの人数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４万円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Ｂの人数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５千円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加算見込額（加算額に法定福利費を含めた額）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Ａの人数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のＡ当該年度の単価</a:t>
          </a:r>
          <a:endPar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Ｂの人数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の</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Ｂ</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当該年度の単価</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配分上限額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加算実績額Ａ＋Ｂ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２０％</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394607</xdr:colOff>
      <xdr:row>33</xdr:row>
      <xdr:rowOff>13607</xdr:rowOff>
    </xdr:from>
    <xdr:to>
      <xdr:col>28</xdr:col>
      <xdr:colOff>564225</xdr:colOff>
      <xdr:row>42</xdr:row>
      <xdr:rowOff>121881</xdr:rowOff>
    </xdr:to>
    <xdr:sp macro="" textlink="">
      <xdr:nvSpPr>
        <xdr:cNvPr id="6" name="角丸四角形 5">
          <a:extLst>
            <a:ext uri="{FF2B5EF4-FFF2-40B4-BE49-F238E27FC236}">
              <a16:creationId xmlns:a16="http://schemas.microsoft.com/office/drawing/2014/main" id="{00000000-0008-0000-2900-000006000000}"/>
            </a:ext>
          </a:extLst>
        </xdr:cNvPr>
        <xdr:cNvSpPr/>
      </xdr:nvSpPr>
      <xdr:spPr>
        <a:xfrm>
          <a:off x="9593036" y="10205357"/>
          <a:ext cx="4932118" cy="280248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Ａの人数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４万円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Ｂの人数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５千円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加算実績額（加算額に法定福利費を含めた額）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Ａの人数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のＡ当該年度の単価</a:t>
          </a:r>
          <a:endPar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Ｂの人数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の</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Ｂ</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当該年度の単価</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配分上限額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加算実績額Ａ＋Ｂ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２０％</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313765</xdr:colOff>
      <xdr:row>49</xdr:row>
      <xdr:rowOff>89647</xdr:rowOff>
    </xdr:from>
    <xdr:to>
      <xdr:col>32</xdr:col>
      <xdr:colOff>483382</xdr:colOff>
      <xdr:row>58</xdr:row>
      <xdr:rowOff>209128</xdr:rowOff>
    </xdr:to>
    <xdr:sp macro="" textlink="">
      <xdr:nvSpPr>
        <xdr:cNvPr id="7" name="角丸四角形 6">
          <a:extLst>
            <a:ext uri="{FF2B5EF4-FFF2-40B4-BE49-F238E27FC236}">
              <a16:creationId xmlns:a16="http://schemas.microsoft.com/office/drawing/2014/main" id="{00000000-0008-0000-2A00-000007000000}"/>
            </a:ext>
          </a:extLst>
        </xdr:cNvPr>
        <xdr:cNvSpPr/>
      </xdr:nvSpPr>
      <xdr:spPr>
        <a:xfrm>
          <a:off x="10488706" y="12573000"/>
          <a:ext cx="4954529" cy="2831304"/>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Ａの人数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４万円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Ｂの人数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５千円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加算実績額（加算額に法定福利費を含めた額）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Ａの人数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のＡ当該年度の単価</a:t>
          </a:r>
          <a:endPar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Ｂの人数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の</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Ｂ</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当該年度の単価</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配分上限額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加算実績額Ａ＋Ｂ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２０％</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280148</xdr:colOff>
      <xdr:row>24</xdr:row>
      <xdr:rowOff>280147</xdr:rowOff>
    </xdr:from>
    <xdr:to>
      <xdr:col>28</xdr:col>
      <xdr:colOff>449765</xdr:colOff>
      <xdr:row>33</xdr:row>
      <xdr:rowOff>130686</xdr:rowOff>
    </xdr:to>
    <xdr:sp macro="" textlink="">
      <xdr:nvSpPr>
        <xdr:cNvPr id="9" name="角丸四角形 8">
          <a:extLst>
            <a:ext uri="{FF2B5EF4-FFF2-40B4-BE49-F238E27FC236}">
              <a16:creationId xmlns:a16="http://schemas.microsoft.com/office/drawing/2014/main" id="{00000000-0008-0000-2B00-000009000000}"/>
            </a:ext>
          </a:extLst>
        </xdr:cNvPr>
        <xdr:cNvSpPr/>
      </xdr:nvSpPr>
      <xdr:spPr>
        <a:xfrm>
          <a:off x="7978589" y="7720853"/>
          <a:ext cx="4954529" cy="2831304"/>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Ａの人数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４万円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Ｂの人数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５千円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加算実績額（加算額に法定福利費を含めた額）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Ａの人数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のＡ当該年度の単価</a:t>
          </a:r>
          <a:endPar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Ｂの人数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の</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Ｂ</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当該年度の単価</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配分上限額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加算実績額Ａ＋Ｂ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２０％</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0</xdr:colOff>
      <xdr:row>13</xdr:row>
      <xdr:rowOff>0</xdr:rowOff>
    </xdr:from>
    <xdr:to>
      <xdr:col>16</xdr:col>
      <xdr:colOff>152400</xdr:colOff>
      <xdr:row>19</xdr:row>
      <xdr:rowOff>123825</xdr:rowOff>
    </xdr:to>
    <xdr:sp macro="" textlink="">
      <xdr:nvSpPr>
        <xdr:cNvPr id="2" name="正方形/長方形 1">
          <a:extLst>
            <a:ext uri="{FF2B5EF4-FFF2-40B4-BE49-F238E27FC236}">
              <a16:creationId xmlns:a16="http://schemas.microsoft.com/office/drawing/2014/main" id="{F5AF03A6-FD34-4B7E-9E3F-E7462B2FBC7F}"/>
            </a:ext>
          </a:extLst>
        </xdr:cNvPr>
        <xdr:cNvSpPr/>
      </xdr:nvSpPr>
      <xdr:spPr>
        <a:xfrm>
          <a:off x="8058150" y="3571875"/>
          <a:ext cx="2667000" cy="20097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●小計の関数について●</a:t>
          </a:r>
          <a:endParaRPr kumimoji="1" lang="en-US" altLang="ja-JP" sz="1100"/>
        </a:p>
        <a:p>
          <a:pPr algn="l"/>
          <a:r>
            <a:rPr kumimoji="1" lang="ja-JP" altLang="en-US" sz="1100"/>
            <a:t>通常、特例給付対象児童は在籍しないため、小計に計上されないように関数を組んでいる。</a:t>
          </a:r>
          <a:endParaRPr kumimoji="1" lang="en-US" altLang="ja-JP" sz="1100"/>
        </a:p>
        <a:p>
          <a:pPr algn="l"/>
          <a:r>
            <a:rPr kumimoji="1" lang="ja-JP" altLang="en-US" sz="1100"/>
            <a:t>そのため、万が一、特例給付対象児童が在籍する園に巡り合った場合は、関数を修正すること。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286808</xdr:colOff>
      <xdr:row>22</xdr:row>
      <xdr:rowOff>312208</xdr:rowOff>
    </xdr:from>
    <xdr:to>
      <xdr:col>22</xdr:col>
      <xdr:colOff>425920</xdr:colOff>
      <xdr:row>30</xdr:row>
      <xdr:rowOff>307179</xdr:rowOff>
    </xdr:to>
    <xdr:sp macro="" textlink="">
      <xdr:nvSpPr>
        <xdr:cNvPr id="7" name="角丸四角形 6">
          <a:extLst>
            <a:ext uri="{FF2B5EF4-FFF2-40B4-BE49-F238E27FC236}">
              <a16:creationId xmlns:a16="http://schemas.microsoft.com/office/drawing/2014/main" id="{00000000-0008-0000-2C00-000007000000}"/>
            </a:ext>
          </a:extLst>
        </xdr:cNvPr>
        <xdr:cNvSpPr/>
      </xdr:nvSpPr>
      <xdr:spPr>
        <a:xfrm>
          <a:off x="7716308" y="7360708"/>
          <a:ext cx="4939712" cy="258577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Ａの人数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４万円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Ｂの人数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月数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５千円</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加算実績額（加算額に法定福利費を含めた額）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Ａの人数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のＡ当該年度の単価</a:t>
          </a:r>
          <a:endPar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Ｂの人数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月数　</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処遇</a:t>
          </a:r>
          <a:r>
            <a:rPr kumimoji="1"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Ⅱ</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の</a:t>
          </a:r>
          <a:r>
            <a:rPr kumimoji="1"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Ｂ</a:t>
          </a:r>
          <a:r>
            <a:rPr kumimoji="1"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当該年度の単価</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配分上限額</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加算実績額Ａ＋Ｂ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　２０％</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476250</xdr:colOff>
      <xdr:row>7</xdr:row>
      <xdr:rowOff>38100</xdr:rowOff>
    </xdr:from>
    <xdr:to>
      <xdr:col>15</xdr:col>
      <xdr:colOff>0</xdr:colOff>
      <xdr:row>13</xdr:row>
      <xdr:rowOff>95250</xdr:rowOff>
    </xdr:to>
    <xdr:sp macro="" textlink="">
      <xdr:nvSpPr>
        <xdr:cNvPr id="2" name="正方形/長方形 1">
          <a:extLst>
            <a:ext uri="{FF2B5EF4-FFF2-40B4-BE49-F238E27FC236}">
              <a16:creationId xmlns:a16="http://schemas.microsoft.com/office/drawing/2014/main" id="{0657E600-9CBA-D5EE-B548-2BD37A241291}"/>
            </a:ext>
          </a:extLst>
        </xdr:cNvPr>
        <xdr:cNvSpPr/>
      </xdr:nvSpPr>
      <xdr:spPr>
        <a:xfrm>
          <a:off x="7277100" y="1971675"/>
          <a:ext cx="2667000" cy="20097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●小計の関数について●</a:t>
          </a:r>
          <a:endParaRPr kumimoji="1" lang="en-US" altLang="ja-JP" sz="1100"/>
        </a:p>
        <a:p>
          <a:pPr algn="l"/>
          <a:r>
            <a:rPr kumimoji="1" lang="ja-JP" altLang="en-US" sz="1100"/>
            <a:t>通常、特例給付対象児童は在籍しないため、小計に計上されないように関数を組んでいる。</a:t>
          </a:r>
          <a:endParaRPr kumimoji="1" lang="en-US" altLang="ja-JP" sz="1100"/>
        </a:p>
        <a:p>
          <a:pPr algn="l"/>
          <a:r>
            <a:rPr kumimoji="1" lang="ja-JP" altLang="en-US" sz="1100"/>
            <a:t>そのため、万が一、特例給付対象児童が在籍する園に巡り合った場合は、関数を修正すること。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625476</xdr:colOff>
      <xdr:row>5</xdr:row>
      <xdr:rowOff>35502</xdr:rowOff>
    </xdr:from>
    <xdr:to>
      <xdr:col>20</xdr:col>
      <xdr:colOff>591562</xdr:colOff>
      <xdr:row>12</xdr:row>
      <xdr:rowOff>12267</xdr:rowOff>
    </xdr:to>
    <xdr:sp macro="" textlink="">
      <xdr:nvSpPr>
        <xdr:cNvPr id="7" name="四角形吹き出し 6">
          <a:extLst>
            <a:ext uri="{FF2B5EF4-FFF2-40B4-BE49-F238E27FC236}">
              <a16:creationId xmlns:a16="http://schemas.microsoft.com/office/drawing/2014/main" id="{00000000-0008-0000-2D00-000007000000}"/>
            </a:ext>
          </a:extLst>
        </xdr:cNvPr>
        <xdr:cNvSpPr/>
      </xdr:nvSpPr>
      <xdr:spPr>
        <a:xfrm>
          <a:off x="8582026" y="1502352"/>
          <a:ext cx="4734936" cy="1773815"/>
        </a:xfrm>
        <a:prstGeom prst="wedgeRectCallout">
          <a:avLst>
            <a:gd name="adj1" fmla="val -56585"/>
            <a:gd name="adj2" fmla="val 734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１　加算</a:t>
          </a:r>
          <a:r>
            <a:rPr kumimoji="1" lang="en-US" altLang="ja-JP" sz="1800">
              <a:solidFill>
                <a:schemeClr val="tx1"/>
              </a:solidFill>
            </a:rPr>
            <a:t>Ⅱ</a:t>
          </a:r>
          <a:r>
            <a:rPr kumimoji="1" lang="ja-JP" altLang="en-US" sz="1800">
              <a:solidFill>
                <a:schemeClr val="tx1"/>
              </a:solidFill>
            </a:rPr>
            <a:t>の対象となる職員の経験年数を入力してください。</a:t>
          </a:r>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２　取得する加算区分を選択してください。</a:t>
          </a:r>
          <a:endParaRPr kumimoji="1" lang="en-US" altLang="ja-JP" sz="1800">
            <a:solidFill>
              <a:schemeClr val="tx1"/>
            </a:solidFill>
          </a:endParaRPr>
        </a:p>
        <a:p>
          <a:pPr algn="l"/>
          <a:r>
            <a:rPr kumimoji="1" lang="ja-JP" altLang="en-US" sz="1800">
              <a:solidFill>
                <a:schemeClr val="tx1"/>
              </a:solidFill>
            </a:rPr>
            <a:t>（「Ａ」または「Ｂ」）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3&#32102;&#20184;&#20418;/04&#65306;&#35036;&#21161;&#37329;/13&#65306;&#23455;&#36027;&#24500;&#21454;/R3&#24180;&#24230;/100_&#25945;&#26448;&#36027;/10_&#27010;&#31639;/00_&#27096;&#24335;/02-&#30003;&#35531;&#26360;&#27096;&#24335;&#65288;&#35469;&#12371;&#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情報"/>
      <sheetName val="提出書類チェック表"/>
      <sheetName val="基礎データ入力"/>
      <sheetName val="様式1"/>
      <sheetName val="様式２-1(1)"/>
      <sheetName val="(2)"/>
      <sheetName val="(3)"/>
      <sheetName val="(4)"/>
      <sheetName val="(5)"/>
      <sheetName val="(6)"/>
      <sheetName val="(7)"/>
      <sheetName val="(8)"/>
      <sheetName val="(9)"/>
      <sheetName val="(10)"/>
      <sheetName val="様式2-2(1)"/>
      <sheetName val="2(2)"/>
      <sheetName val="2(3)"/>
      <sheetName val="2(4)"/>
      <sheetName val="2(5)"/>
      <sheetName val="2(6)"/>
      <sheetName val="2(7)"/>
      <sheetName val="2(8)"/>
      <sheetName val="2(9)"/>
      <sheetName val="2(10)"/>
      <sheetName val="様式2-3(1)"/>
      <sheetName val="3(2)"/>
      <sheetName val="3(3)"/>
      <sheetName val="3(4)"/>
      <sheetName val="3(5)"/>
      <sheetName val="3(6)"/>
      <sheetName val="3(7)"/>
      <sheetName val="3(8)"/>
      <sheetName val="3(9)"/>
      <sheetName val="3(10)"/>
      <sheetName val="様式3"/>
      <sheetName val="概算交付申出書 "/>
    </sheetNames>
    <sheetDataSet>
      <sheetData sheetId="0"/>
      <sheetData sheetId="1"/>
      <sheetData sheetId="2"/>
      <sheetData sheetId="3"/>
      <sheetData sheetId="4">
        <row r="3">
          <cell r="AL3" t="str">
            <v>平成</v>
          </cell>
        </row>
        <row r="4">
          <cell r="AL4" t="str">
            <v>令和</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tabColor rgb="FFFFFF00"/>
  </sheetPr>
  <dimension ref="A1:K30"/>
  <sheetViews>
    <sheetView workbookViewId="0">
      <selection activeCell="D31" sqref="D31"/>
    </sheetView>
  </sheetViews>
  <sheetFormatPr defaultRowHeight="13"/>
  <sheetData>
    <row r="1" spans="1:1">
      <c r="A1" t="s">
        <v>514</v>
      </c>
    </row>
    <row r="2" spans="1:1">
      <c r="A2" t="s">
        <v>515</v>
      </c>
    </row>
    <row r="3" spans="1:1">
      <c r="A3" t="s">
        <v>516</v>
      </c>
    </row>
    <row r="4" spans="1:1">
      <c r="A4" t="s">
        <v>518</v>
      </c>
    </row>
    <row r="5" spans="1:1">
      <c r="A5" t="s">
        <v>519</v>
      </c>
    </row>
    <row r="6" spans="1:1">
      <c r="A6" t="s">
        <v>520</v>
      </c>
    </row>
    <row r="9" spans="1:1">
      <c r="A9" t="s">
        <v>517</v>
      </c>
    </row>
    <row r="11" spans="1:1">
      <c r="A11" t="s">
        <v>499</v>
      </c>
    </row>
    <row r="12" spans="1:1">
      <c r="A12" t="s">
        <v>498</v>
      </c>
    </row>
    <row r="13" spans="1:1">
      <c r="A13" t="s">
        <v>501</v>
      </c>
    </row>
    <row r="14" spans="1:1">
      <c r="A14" t="s">
        <v>500</v>
      </c>
    </row>
    <row r="15" spans="1:1">
      <c r="A15" t="s">
        <v>502</v>
      </c>
    </row>
    <row r="16" spans="1:1">
      <c r="A16" t="s">
        <v>503</v>
      </c>
    </row>
    <row r="17" spans="1:11">
      <c r="A17" t="s">
        <v>504</v>
      </c>
    </row>
    <row r="18" spans="1:11">
      <c r="A18" t="s">
        <v>513</v>
      </c>
    </row>
    <row r="21" spans="1:11">
      <c r="A21" t="s">
        <v>505</v>
      </c>
    </row>
    <row r="22" spans="1:11">
      <c r="A22" t="s">
        <v>506</v>
      </c>
      <c r="K22" s="113" t="s">
        <v>117</v>
      </c>
    </row>
    <row r="23" spans="1:11">
      <c r="K23" s="112"/>
    </row>
    <row r="24" spans="1:11">
      <c r="K24" s="112" t="s">
        <v>118</v>
      </c>
    </row>
    <row r="25" spans="1:11">
      <c r="K25" s="112" t="s">
        <v>21</v>
      </c>
    </row>
    <row r="26" spans="1:11">
      <c r="K26" s="111" t="s">
        <v>5</v>
      </c>
    </row>
    <row r="27" spans="1:11">
      <c r="K27" s="111" t="s">
        <v>119</v>
      </c>
    </row>
    <row r="28" spans="1:11">
      <c r="K28" s="111" t="s">
        <v>120</v>
      </c>
    </row>
    <row r="29" spans="1:11">
      <c r="K29" s="111" t="s">
        <v>121</v>
      </c>
    </row>
    <row r="30" spans="1:11">
      <c r="K30" s="111" t="s">
        <v>122</v>
      </c>
    </row>
  </sheetData>
  <sheetProtection algorithmName="SHA-512" hashValue="Bm3nsfgpbiw09ndhugVu02k5o2orC2KATFm5DRFFkBCZ20sRN9KRk2H/TA1FsorAtyx6JW3q4dLGzraguoaPgA==" saltValue="xGuVoTAkCUSePkerV6R9Kw==" spinCount="100000" sheet="1" objects="1" scenarios="1"/>
  <phoneticPr fontId="3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4">
    <tabColor rgb="FFFFC000"/>
  </sheetPr>
  <dimension ref="A1:P124"/>
  <sheetViews>
    <sheetView view="pageBreakPreview" zoomScale="90" zoomScaleNormal="100" zoomScaleSheetLayoutView="90" workbookViewId="0">
      <selection sqref="A1:C1"/>
    </sheetView>
  </sheetViews>
  <sheetFormatPr defaultRowHeight="13" outlineLevelCol="1"/>
  <cols>
    <col min="1" max="1" width="2.90625" style="34" customWidth="1"/>
    <col min="2" max="2" width="3" style="34" customWidth="1"/>
    <col min="3" max="3" width="12.08984375" style="34" customWidth="1"/>
    <col min="4" max="4" width="18" style="34" customWidth="1"/>
    <col min="5" max="5" width="10.6328125" style="34" customWidth="1"/>
    <col min="6" max="8" width="10.6328125" style="234" customWidth="1"/>
    <col min="9" max="9" width="12.90625" style="234" customWidth="1"/>
    <col min="10" max="12" width="10.6328125" style="34" customWidth="1"/>
    <col min="13" max="13" width="9" style="34" hidden="1" customWidth="1" outlineLevel="1"/>
    <col min="14" max="14" width="4.36328125" style="34" hidden="1" customWidth="1" outlineLevel="1"/>
    <col min="15" max="15" width="9" style="34" hidden="1" customWidth="1" outlineLevel="1"/>
    <col min="16" max="16" width="9" style="34" collapsed="1"/>
    <col min="17" max="256" width="9" style="34"/>
    <col min="257" max="257" width="2.90625" style="34" customWidth="1"/>
    <col min="258" max="258" width="3" style="34" customWidth="1"/>
    <col min="259" max="259" width="12.08984375" style="34" customWidth="1"/>
    <col min="260" max="260" width="18" style="34" customWidth="1"/>
    <col min="261" max="261" width="8" style="34" customWidth="1"/>
    <col min="262" max="262" width="9.90625" style="34" customWidth="1"/>
    <col min="263" max="263" width="7.90625" style="34" bestFit="1" customWidth="1"/>
    <col min="264" max="264" width="13.26953125" style="34" bestFit="1" customWidth="1"/>
    <col min="265" max="265" width="9" style="34" customWidth="1"/>
    <col min="266" max="512" width="9" style="34"/>
    <col min="513" max="513" width="2.90625" style="34" customWidth="1"/>
    <col min="514" max="514" width="3" style="34" customWidth="1"/>
    <col min="515" max="515" width="12.08984375" style="34" customWidth="1"/>
    <col min="516" max="516" width="18" style="34" customWidth="1"/>
    <col min="517" max="517" width="8" style="34" customWidth="1"/>
    <col min="518" max="518" width="9.90625" style="34" customWidth="1"/>
    <col min="519" max="519" width="7.90625" style="34" bestFit="1" customWidth="1"/>
    <col min="520" max="520" width="13.26953125" style="34" bestFit="1" customWidth="1"/>
    <col min="521" max="521" width="9" style="34" customWidth="1"/>
    <col min="522" max="768" width="9" style="34"/>
    <col min="769" max="769" width="2.90625" style="34" customWidth="1"/>
    <col min="770" max="770" width="3" style="34" customWidth="1"/>
    <col min="771" max="771" width="12.08984375" style="34" customWidth="1"/>
    <col min="772" max="772" width="18" style="34" customWidth="1"/>
    <col min="773" max="773" width="8" style="34" customWidth="1"/>
    <col min="774" max="774" width="9.90625" style="34" customWidth="1"/>
    <col min="775" max="775" width="7.90625" style="34" bestFit="1" customWidth="1"/>
    <col min="776" max="776" width="13.26953125" style="34" bestFit="1" customWidth="1"/>
    <col min="777" max="777" width="9" style="34" customWidth="1"/>
    <col min="778" max="1024" width="9" style="34"/>
    <col min="1025" max="1025" width="2.90625" style="34" customWidth="1"/>
    <col min="1026" max="1026" width="3" style="34" customWidth="1"/>
    <col min="1027" max="1027" width="12.08984375" style="34" customWidth="1"/>
    <col min="1028" max="1028" width="18" style="34" customWidth="1"/>
    <col min="1029" max="1029" width="8" style="34" customWidth="1"/>
    <col min="1030" max="1030" width="9.90625" style="34" customWidth="1"/>
    <col min="1031" max="1031" width="7.90625" style="34" bestFit="1" customWidth="1"/>
    <col min="1032" max="1032" width="13.26953125" style="34" bestFit="1" customWidth="1"/>
    <col min="1033" max="1033" width="9" style="34" customWidth="1"/>
    <col min="1034" max="1280" width="9" style="34"/>
    <col min="1281" max="1281" width="2.90625" style="34" customWidth="1"/>
    <col min="1282" max="1282" width="3" style="34" customWidth="1"/>
    <col min="1283" max="1283" width="12.08984375" style="34" customWidth="1"/>
    <col min="1284" max="1284" width="18" style="34" customWidth="1"/>
    <col min="1285" max="1285" width="8" style="34" customWidth="1"/>
    <col min="1286" max="1286" width="9.90625" style="34" customWidth="1"/>
    <col min="1287" max="1287" width="7.90625" style="34" bestFit="1" customWidth="1"/>
    <col min="1288" max="1288" width="13.26953125" style="34" bestFit="1" customWidth="1"/>
    <col min="1289" max="1289" width="9" style="34" customWidth="1"/>
    <col min="1290" max="1536" width="9" style="34"/>
    <col min="1537" max="1537" width="2.90625" style="34" customWidth="1"/>
    <col min="1538" max="1538" width="3" style="34" customWidth="1"/>
    <col min="1539" max="1539" width="12.08984375" style="34" customWidth="1"/>
    <col min="1540" max="1540" width="18" style="34" customWidth="1"/>
    <col min="1541" max="1541" width="8" style="34" customWidth="1"/>
    <col min="1542" max="1542" width="9.90625" style="34" customWidth="1"/>
    <col min="1543" max="1543" width="7.90625" style="34" bestFit="1" customWidth="1"/>
    <col min="1544" max="1544" width="13.26953125" style="34" bestFit="1" customWidth="1"/>
    <col min="1545" max="1545" width="9" style="34" customWidth="1"/>
    <col min="1546" max="1792" width="9" style="34"/>
    <col min="1793" max="1793" width="2.90625" style="34" customWidth="1"/>
    <col min="1794" max="1794" width="3" style="34" customWidth="1"/>
    <col min="1795" max="1795" width="12.08984375" style="34" customWidth="1"/>
    <col min="1796" max="1796" width="18" style="34" customWidth="1"/>
    <col min="1797" max="1797" width="8" style="34" customWidth="1"/>
    <col min="1798" max="1798" width="9.90625" style="34" customWidth="1"/>
    <col min="1799" max="1799" width="7.90625" style="34" bestFit="1" customWidth="1"/>
    <col min="1800" max="1800" width="13.26953125" style="34" bestFit="1" customWidth="1"/>
    <col min="1801" max="1801" width="9" style="34" customWidth="1"/>
    <col min="1802" max="2048" width="9" style="34"/>
    <col min="2049" max="2049" width="2.90625" style="34" customWidth="1"/>
    <col min="2050" max="2050" width="3" style="34" customWidth="1"/>
    <col min="2051" max="2051" width="12.08984375" style="34" customWidth="1"/>
    <col min="2052" max="2052" width="18" style="34" customWidth="1"/>
    <col min="2053" max="2053" width="8" style="34" customWidth="1"/>
    <col min="2054" max="2054" width="9.90625" style="34" customWidth="1"/>
    <col min="2055" max="2055" width="7.90625" style="34" bestFit="1" customWidth="1"/>
    <col min="2056" max="2056" width="13.26953125" style="34" bestFit="1" customWidth="1"/>
    <col min="2057" max="2057" width="9" style="34" customWidth="1"/>
    <col min="2058" max="2304" width="9" style="34"/>
    <col min="2305" max="2305" width="2.90625" style="34" customWidth="1"/>
    <col min="2306" max="2306" width="3" style="34" customWidth="1"/>
    <col min="2307" max="2307" width="12.08984375" style="34" customWidth="1"/>
    <col min="2308" max="2308" width="18" style="34" customWidth="1"/>
    <col min="2309" max="2309" width="8" style="34" customWidth="1"/>
    <col min="2310" max="2310" width="9.90625" style="34" customWidth="1"/>
    <col min="2311" max="2311" width="7.90625" style="34" bestFit="1" customWidth="1"/>
    <col min="2312" max="2312" width="13.26953125" style="34" bestFit="1" customWidth="1"/>
    <col min="2313" max="2313" width="9" style="34" customWidth="1"/>
    <col min="2314" max="2560" width="9" style="34"/>
    <col min="2561" max="2561" width="2.90625" style="34" customWidth="1"/>
    <col min="2562" max="2562" width="3" style="34" customWidth="1"/>
    <col min="2563" max="2563" width="12.08984375" style="34" customWidth="1"/>
    <col min="2564" max="2564" width="18" style="34" customWidth="1"/>
    <col min="2565" max="2565" width="8" style="34" customWidth="1"/>
    <col min="2566" max="2566" width="9.90625" style="34" customWidth="1"/>
    <col min="2567" max="2567" width="7.90625" style="34" bestFit="1" customWidth="1"/>
    <col min="2568" max="2568" width="13.26953125" style="34" bestFit="1" customWidth="1"/>
    <col min="2569" max="2569" width="9" style="34" customWidth="1"/>
    <col min="2570" max="2816" width="9" style="34"/>
    <col min="2817" max="2817" width="2.90625" style="34" customWidth="1"/>
    <col min="2818" max="2818" width="3" style="34" customWidth="1"/>
    <col min="2819" max="2819" width="12.08984375" style="34" customWidth="1"/>
    <col min="2820" max="2820" width="18" style="34" customWidth="1"/>
    <col min="2821" max="2821" width="8" style="34" customWidth="1"/>
    <col min="2822" max="2822" width="9.90625" style="34" customWidth="1"/>
    <col min="2823" max="2823" width="7.90625" style="34" bestFit="1" customWidth="1"/>
    <col min="2824" max="2824" width="13.26953125" style="34" bestFit="1" customWidth="1"/>
    <col min="2825" max="2825" width="9" style="34" customWidth="1"/>
    <col min="2826" max="3072" width="9" style="34"/>
    <col min="3073" max="3073" width="2.90625" style="34" customWidth="1"/>
    <col min="3074" max="3074" width="3" style="34" customWidth="1"/>
    <col min="3075" max="3075" width="12.08984375" style="34" customWidth="1"/>
    <col min="3076" max="3076" width="18" style="34" customWidth="1"/>
    <col min="3077" max="3077" width="8" style="34" customWidth="1"/>
    <col min="3078" max="3078" width="9.90625" style="34" customWidth="1"/>
    <col min="3079" max="3079" width="7.90625" style="34" bestFit="1" customWidth="1"/>
    <col min="3080" max="3080" width="13.26953125" style="34" bestFit="1" customWidth="1"/>
    <col min="3081" max="3081" width="9" style="34" customWidth="1"/>
    <col min="3082" max="3328" width="9" style="34"/>
    <col min="3329" max="3329" width="2.90625" style="34" customWidth="1"/>
    <col min="3330" max="3330" width="3" style="34" customWidth="1"/>
    <col min="3331" max="3331" width="12.08984375" style="34" customWidth="1"/>
    <col min="3332" max="3332" width="18" style="34" customWidth="1"/>
    <col min="3333" max="3333" width="8" style="34" customWidth="1"/>
    <col min="3334" max="3334" width="9.90625" style="34" customWidth="1"/>
    <col min="3335" max="3335" width="7.90625" style="34" bestFit="1" customWidth="1"/>
    <col min="3336" max="3336" width="13.26953125" style="34" bestFit="1" customWidth="1"/>
    <col min="3337" max="3337" width="9" style="34" customWidth="1"/>
    <col min="3338" max="3584" width="9" style="34"/>
    <col min="3585" max="3585" width="2.90625" style="34" customWidth="1"/>
    <col min="3586" max="3586" width="3" style="34" customWidth="1"/>
    <col min="3587" max="3587" width="12.08984375" style="34" customWidth="1"/>
    <col min="3588" max="3588" width="18" style="34" customWidth="1"/>
    <col min="3589" max="3589" width="8" style="34" customWidth="1"/>
    <col min="3590" max="3590" width="9.90625" style="34" customWidth="1"/>
    <col min="3591" max="3591" width="7.90625" style="34" bestFit="1" customWidth="1"/>
    <col min="3592" max="3592" width="13.26953125" style="34" bestFit="1" customWidth="1"/>
    <col min="3593" max="3593" width="9" style="34" customWidth="1"/>
    <col min="3594" max="3840" width="9" style="34"/>
    <col min="3841" max="3841" width="2.90625" style="34" customWidth="1"/>
    <col min="3842" max="3842" width="3" style="34" customWidth="1"/>
    <col min="3843" max="3843" width="12.08984375" style="34" customWidth="1"/>
    <col min="3844" max="3844" width="18" style="34" customWidth="1"/>
    <col min="3845" max="3845" width="8" style="34" customWidth="1"/>
    <col min="3846" max="3846" width="9.90625" style="34" customWidth="1"/>
    <col min="3847" max="3847" width="7.90625" style="34" bestFit="1" customWidth="1"/>
    <col min="3848" max="3848" width="13.26953125" style="34" bestFit="1" customWidth="1"/>
    <col min="3849" max="3849" width="9" style="34" customWidth="1"/>
    <col min="3850" max="4096" width="9" style="34"/>
    <col min="4097" max="4097" width="2.90625" style="34" customWidth="1"/>
    <col min="4098" max="4098" width="3" style="34" customWidth="1"/>
    <col min="4099" max="4099" width="12.08984375" style="34" customWidth="1"/>
    <col min="4100" max="4100" width="18" style="34" customWidth="1"/>
    <col min="4101" max="4101" width="8" style="34" customWidth="1"/>
    <col min="4102" max="4102" width="9.90625" style="34" customWidth="1"/>
    <col min="4103" max="4103" width="7.90625" style="34" bestFit="1" customWidth="1"/>
    <col min="4104" max="4104" width="13.26953125" style="34" bestFit="1" customWidth="1"/>
    <col min="4105" max="4105" width="9" style="34" customWidth="1"/>
    <col min="4106" max="4352" width="9" style="34"/>
    <col min="4353" max="4353" width="2.90625" style="34" customWidth="1"/>
    <col min="4354" max="4354" width="3" style="34" customWidth="1"/>
    <col min="4355" max="4355" width="12.08984375" style="34" customWidth="1"/>
    <col min="4356" max="4356" width="18" style="34" customWidth="1"/>
    <col min="4357" max="4357" width="8" style="34" customWidth="1"/>
    <col min="4358" max="4358" width="9.90625" style="34" customWidth="1"/>
    <col min="4359" max="4359" width="7.90625" style="34" bestFit="1" customWidth="1"/>
    <col min="4360" max="4360" width="13.26953125" style="34" bestFit="1" customWidth="1"/>
    <col min="4361" max="4361" width="9" style="34" customWidth="1"/>
    <col min="4362" max="4608" width="9" style="34"/>
    <col min="4609" max="4609" width="2.90625" style="34" customWidth="1"/>
    <col min="4610" max="4610" width="3" style="34" customWidth="1"/>
    <col min="4611" max="4611" width="12.08984375" style="34" customWidth="1"/>
    <col min="4612" max="4612" width="18" style="34" customWidth="1"/>
    <col min="4613" max="4613" width="8" style="34" customWidth="1"/>
    <col min="4614" max="4614" width="9.90625" style="34" customWidth="1"/>
    <col min="4615" max="4615" width="7.90625" style="34" bestFit="1" customWidth="1"/>
    <col min="4616" max="4616" width="13.26953125" style="34" bestFit="1" customWidth="1"/>
    <col min="4617" max="4617" width="9" style="34" customWidth="1"/>
    <col min="4618" max="4864" width="9" style="34"/>
    <col min="4865" max="4865" width="2.90625" style="34" customWidth="1"/>
    <col min="4866" max="4866" width="3" style="34" customWidth="1"/>
    <col min="4867" max="4867" width="12.08984375" style="34" customWidth="1"/>
    <col min="4868" max="4868" width="18" style="34" customWidth="1"/>
    <col min="4869" max="4869" width="8" style="34" customWidth="1"/>
    <col min="4870" max="4870" width="9.90625" style="34" customWidth="1"/>
    <col min="4871" max="4871" width="7.90625" style="34" bestFit="1" customWidth="1"/>
    <col min="4872" max="4872" width="13.26953125" style="34" bestFit="1" customWidth="1"/>
    <col min="4873" max="4873" width="9" style="34" customWidth="1"/>
    <col min="4874" max="5120" width="9" style="34"/>
    <col min="5121" max="5121" width="2.90625" style="34" customWidth="1"/>
    <col min="5122" max="5122" width="3" style="34" customWidth="1"/>
    <col min="5123" max="5123" width="12.08984375" style="34" customWidth="1"/>
    <col min="5124" max="5124" width="18" style="34" customWidth="1"/>
    <col min="5125" max="5125" width="8" style="34" customWidth="1"/>
    <col min="5126" max="5126" width="9.90625" style="34" customWidth="1"/>
    <col min="5127" max="5127" width="7.90625" style="34" bestFit="1" customWidth="1"/>
    <col min="5128" max="5128" width="13.26953125" style="34" bestFit="1" customWidth="1"/>
    <col min="5129" max="5129" width="9" style="34" customWidth="1"/>
    <col min="5130" max="5376" width="9" style="34"/>
    <col min="5377" max="5377" width="2.90625" style="34" customWidth="1"/>
    <col min="5378" max="5378" width="3" style="34" customWidth="1"/>
    <col min="5379" max="5379" width="12.08984375" style="34" customWidth="1"/>
    <col min="5380" max="5380" width="18" style="34" customWidth="1"/>
    <col min="5381" max="5381" width="8" style="34" customWidth="1"/>
    <col min="5382" max="5382" width="9.90625" style="34" customWidth="1"/>
    <col min="5383" max="5383" width="7.90625" style="34" bestFit="1" customWidth="1"/>
    <col min="5384" max="5384" width="13.26953125" style="34" bestFit="1" customWidth="1"/>
    <col min="5385" max="5385" width="9" style="34" customWidth="1"/>
    <col min="5386" max="5632" width="9" style="34"/>
    <col min="5633" max="5633" width="2.90625" style="34" customWidth="1"/>
    <col min="5634" max="5634" width="3" style="34" customWidth="1"/>
    <col min="5635" max="5635" width="12.08984375" style="34" customWidth="1"/>
    <col min="5636" max="5636" width="18" style="34" customWidth="1"/>
    <col min="5637" max="5637" width="8" style="34" customWidth="1"/>
    <col min="5638" max="5638" width="9.90625" style="34" customWidth="1"/>
    <col min="5639" max="5639" width="7.90625" style="34" bestFit="1" customWidth="1"/>
    <col min="5640" max="5640" width="13.26953125" style="34" bestFit="1" customWidth="1"/>
    <col min="5641" max="5641" width="9" style="34" customWidth="1"/>
    <col min="5642" max="5888" width="9" style="34"/>
    <col min="5889" max="5889" width="2.90625" style="34" customWidth="1"/>
    <col min="5890" max="5890" width="3" style="34" customWidth="1"/>
    <col min="5891" max="5891" width="12.08984375" style="34" customWidth="1"/>
    <col min="5892" max="5892" width="18" style="34" customWidth="1"/>
    <col min="5893" max="5893" width="8" style="34" customWidth="1"/>
    <col min="5894" max="5894" width="9.90625" style="34" customWidth="1"/>
    <col min="5895" max="5895" width="7.90625" style="34" bestFit="1" customWidth="1"/>
    <col min="5896" max="5896" width="13.26953125" style="34" bestFit="1" customWidth="1"/>
    <col min="5897" max="5897" width="9" style="34" customWidth="1"/>
    <col min="5898" max="6144" width="9" style="34"/>
    <col min="6145" max="6145" width="2.90625" style="34" customWidth="1"/>
    <col min="6146" max="6146" width="3" style="34" customWidth="1"/>
    <col min="6147" max="6147" width="12.08984375" style="34" customWidth="1"/>
    <col min="6148" max="6148" width="18" style="34" customWidth="1"/>
    <col min="6149" max="6149" width="8" style="34" customWidth="1"/>
    <col min="6150" max="6150" width="9.90625" style="34" customWidth="1"/>
    <col min="6151" max="6151" width="7.90625" style="34" bestFit="1" customWidth="1"/>
    <col min="6152" max="6152" width="13.26953125" style="34" bestFit="1" customWidth="1"/>
    <col min="6153" max="6153" width="9" style="34" customWidth="1"/>
    <col min="6154" max="6400" width="9" style="34"/>
    <col min="6401" max="6401" width="2.90625" style="34" customWidth="1"/>
    <col min="6402" max="6402" width="3" style="34" customWidth="1"/>
    <col min="6403" max="6403" width="12.08984375" style="34" customWidth="1"/>
    <col min="6404" max="6404" width="18" style="34" customWidth="1"/>
    <col min="6405" max="6405" width="8" style="34" customWidth="1"/>
    <col min="6406" max="6406" width="9.90625" style="34" customWidth="1"/>
    <col min="6407" max="6407" width="7.90625" style="34" bestFit="1" customWidth="1"/>
    <col min="6408" max="6408" width="13.26953125" style="34" bestFit="1" customWidth="1"/>
    <col min="6409" max="6409" width="9" style="34" customWidth="1"/>
    <col min="6410" max="6656" width="9" style="34"/>
    <col min="6657" max="6657" width="2.90625" style="34" customWidth="1"/>
    <col min="6658" max="6658" width="3" style="34" customWidth="1"/>
    <col min="6659" max="6659" width="12.08984375" style="34" customWidth="1"/>
    <col min="6660" max="6660" width="18" style="34" customWidth="1"/>
    <col min="6661" max="6661" width="8" style="34" customWidth="1"/>
    <col min="6662" max="6662" width="9.90625" style="34" customWidth="1"/>
    <col min="6663" max="6663" width="7.90625" style="34" bestFit="1" customWidth="1"/>
    <col min="6664" max="6664" width="13.26953125" style="34" bestFit="1" customWidth="1"/>
    <col min="6665" max="6665" width="9" style="34" customWidth="1"/>
    <col min="6666" max="6912" width="9" style="34"/>
    <col min="6913" max="6913" width="2.90625" style="34" customWidth="1"/>
    <col min="6914" max="6914" width="3" style="34" customWidth="1"/>
    <col min="6915" max="6915" width="12.08984375" style="34" customWidth="1"/>
    <col min="6916" max="6916" width="18" style="34" customWidth="1"/>
    <col min="6917" max="6917" width="8" style="34" customWidth="1"/>
    <col min="6918" max="6918" width="9.90625" style="34" customWidth="1"/>
    <col min="6919" max="6919" width="7.90625" style="34" bestFit="1" customWidth="1"/>
    <col min="6920" max="6920" width="13.26953125" style="34" bestFit="1" customWidth="1"/>
    <col min="6921" max="6921" width="9" style="34" customWidth="1"/>
    <col min="6922" max="7168" width="9" style="34"/>
    <col min="7169" max="7169" width="2.90625" style="34" customWidth="1"/>
    <col min="7170" max="7170" width="3" style="34" customWidth="1"/>
    <col min="7171" max="7171" width="12.08984375" style="34" customWidth="1"/>
    <col min="7172" max="7172" width="18" style="34" customWidth="1"/>
    <col min="7173" max="7173" width="8" style="34" customWidth="1"/>
    <col min="7174" max="7174" width="9.90625" style="34" customWidth="1"/>
    <col min="7175" max="7175" width="7.90625" style="34" bestFit="1" customWidth="1"/>
    <col min="7176" max="7176" width="13.26953125" style="34" bestFit="1" customWidth="1"/>
    <col min="7177" max="7177" width="9" style="34" customWidth="1"/>
    <col min="7178" max="7424" width="9" style="34"/>
    <col min="7425" max="7425" width="2.90625" style="34" customWidth="1"/>
    <col min="7426" max="7426" width="3" style="34" customWidth="1"/>
    <col min="7427" max="7427" width="12.08984375" style="34" customWidth="1"/>
    <col min="7428" max="7428" width="18" style="34" customWidth="1"/>
    <col min="7429" max="7429" width="8" style="34" customWidth="1"/>
    <col min="7430" max="7430" width="9.90625" style="34" customWidth="1"/>
    <col min="7431" max="7431" width="7.90625" style="34" bestFit="1" customWidth="1"/>
    <col min="7432" max="7432" width="13.26953125" style="34" bestFit="1" customWidth="1"/>
    <col min="7433" max="7433" width="9" style="34" customWidth="1"/>
    <col min="7434" max="7680" width="9" style="34"/>
    <col min="7681" max="7681" width="2.90625" style="34" customWidth="1"/>
    <col min="7682" max="7682" width="3" style="34" customWidth="1"/>
    <col min="7683" max="7683" width="12.08984375" style="34" customWidth="1"/>
    <col min="7684" max="7684" width="18" style="34" customWidth="1"/>
    <col min="7685" max="7685" width="8" style="34" customWidth="1"/>
    <col min="7686" max="7686" width="9.90625" style="34" customWidth="1"/>
    <col min="7687" max="7687" width="7.90625" style="34" bestFit="1" customWidth="1"/>
    <col min="7688" max="7688" width="13.26953125" style="34" bestFit="1" customWidth="1"/>
    <col min="7689" max="7689" width="9" style="34" customWidth="1"/>
    <col min="7690" max="7936" width="9" style="34"/>
    <col min="7937" max="7937" width="2.90625" style="34" customWidth="1"/>
    <col min="7938" max="7938" width="3" style="34" customWidth="1"/>
    <col min="7939" max="7939" width="12.08984375" style="34" customWidth="1"/>
    <col min="7940" max="7940" width="18" style="34" customWidth="1"/>
    <col min="7941" max="7941" width="8" style="34" customWidth="1"/>
    <col min="7942" max="7942" width="9.90625" style="34" customWidth="1"/>
    <col min="7943" max="7943" width="7.90625" style="34" bestFit="1" customWidth="1"/>
    <col min="7944" max="7944" width="13.26953125" style="34" bestFit="1" customWidth="1"/>
    <col min="7945" max="7945" width="9" style="34" customWidth="1"/>
    <col min="7946" max="8192" width="9" style="34"/>
    <col min="8193" max="8193" width="2.90625" style="34" customWidth="1"/>
    <col min="8194" max="8194" width="3" style="34" customWidth="1"/>
    <col min="8195" max="8195" width="12.08984375" style="34" customWidth="1"/>
    <col min="8196" max="8196" width="18" style="34" customWidth="1"/>
    <col min="8197" max="8197" width="8" style="34" customWidth="1"/>
    <col min="8198" max="8198" width="9.90625" style="34" customWidth="1"/>
    <col min="8199" max="8199" width="7.90625" style="34" bestFit="1" customWidth="1"/>
    <col min="8200" max="8200" width="13.26953125" style="34" bestFit="1" customWidth="1"/>
    <col min="8201" max="8201" width="9" style="34" customWidth="1"/>
    <col min="8202" max="8448" width="9" style="34"/>
    <col min="8449" max="8449" width="2.90625" style="34" customWidth="1"/>
    <col min="8450" max="8450" width="3" style="34" customWidth="1"/>
    <col min="8451" max="8451" width="12.08984375" style="34" customWidth="1"/>
    <col min="8452" max="8452" width="18" style="34" customWidth="1"/>
    <col min="8453" max="8453" width="8" style="34" customWidth="1"/>
    <col min="8454" max="8454" width="9.90625" style="34" customWidth="1"/>
    <col min="8455" max="8455" width="7.90625" style="34" bestFit="1" customWidth="1"/>
    <col min="8456" max="8456" width="13.26953125" style="34" bestFit="1" customWidth="1"/>
    <col min="8457" max="8457" width="9" style="34" customWidth="1"/>
    <col min="8458" max="8704" width="9" style="34"/>
    <col min="8705" max="8705" width="2.90625" style="34" customWidth="1"/>
    <col min="8706" max="8706" width="3" style="34" customWidth="1"/>
    <col min="8707" max="8707" width="12.08984375" style="34" customWidth="1"/>
    <col min="8708" max="8708" width="18" style="34" customWidth="1"/>
    <col min="8709" max="8709" width="8" style="34" customWidth="1"/>
    <col min="8710" max="8710" width="9.90625" style="34" customWidth="1"/>
    <col min="8711" max="8711" width="7.90625" style="34" bestFit="1" customWidth="1"/>
    <col min="8712" max="8712" width="13.26953125" style="34" bestFit="1" customWidth="1"/>
    <col min="8713" max="8713" width="9" style="34" customWidth="1"/>
    <col min="8714" max="8960" width="9" style="34"/>
    <col min="8961" max="8961" width="2.90625" style="34" customWidth="1"/>
    <col min="8962" max="8962" width="3" style="34" customWidth="1"/>
    <col min="8963" max="8963" width="12.08984375" style="34" customWidth="1"/>
    <col min="8964" max="8964" width="18" style="34" customWidth="1"/>
    <col min="8965" max="8965" width="8" style="34" customWidth="1"/>
    <col min="8966" max="8966" width="9.90625" style="34" customWidth="1"/>
    <col min="8967" max="8967" width="7.90625" style="34" bestFit="1" customWidth="1"/>
    <col min="8968" max="8968" width="13.26953125" style="34" bestFit="1" customWidth="1"/>
    <col min="8969" max="8969" width="9" style="34" customWidth="1"/>
    <col min="8970" max="9216" width="9" style="34"/>
    <col min="9217" max="9217" width="2.90625" style="34" customWidth="1"/>
    <col min="9218" max="9218" width="3" style="34" customWidth="1"/>
    <col min="9219" max="9219" width="12.08984375" style="34" customWidth="1"/>
    <col min="9220" max="9220" width="18" style="34" customWidth="1"/>
    <col min="9221" max="9221" width="8" style="34" customWidth="1"/>
    <col min="9222" max="9222" width="9.90625" style="34" customWidth="1"/>
    <col min="9223" max="9223" width="7.90625" style="34" bestFit="1" customWidth="1"/>
    <col min="9224" max="9224" width="13.26953125" style="34" bestFit="1" customWidth="1"/>
    <col min="9225" max="9225" width="9" style="34" customWidth="1"/>
    <col min="9226" max="9472" width="9" style="34"/>
    <col min="9473" max="9473" width="2.90625" style="34" customWidth="1"/>
    <col min="9474" max="9474" width="3" style="34" customWidth="1"/>
    <col min="9475" max="9475" width="12.08984375" style="34" customWidth="1"/>
    <col min="9476" max="9476" width="18" style="34" customWidth="1"/>
    <col min="9477" max="9477" width="8" style="34" customWidth="1"/>
    <col min="9478" max="9478" width="9.90625" style="34" customWidth="1"/>
    <col min="9479" max="9479" width="7.90625" style="34" bestFit="1" customWidth="1"/>
    <col min="9480" max="9480" width="13.26953125" style="34" bestFit="1" customWidth="1"/>
    <col min="9481" max="9481" width="9" style="34" customWidth="1"/>
    <col min="9482" max="9728" width="9" style="34"/>
    <col min="9729" max="9729" width="2.90625" style="34" customWidth="1"/>
    <col min="9730" max="9730" width="3" style="34" customWidth="1"/>
    <col min="9731" max="9731" width="12.08984375" style="34" customWidth="1"/>
    <col min="9732" max="9732" width="18" style="34" customWidth="1"/>
    <col min="9733" max="9733" width="8" style="34" customWidth="1"/>
    <col min="9734" max="9734" width="9.90625" style="34" customWidth="1"/>
    <col min="9735" max="9735" width="7.90625" style="34" bestFit="1" customWidth="1"/>
    <col min="9736" max="9736" width="13.26953125" style="34" bestFit="1" customWidth="1"/>
    <col min="9737" max="9737" width="9" style="34" customWidth="1"/>
    <col min="9738" max="9984" width="9" style="34"/>
    <col min="9985" max="9985" width="2.90625" style="34" customWidth="1"/>
    <col min="9986" max="9986" width="3" style="34" customWidth="1"/>
    <col min="9987" max="9987" width="12.08984375" style="34" customWidth="1"/>
    <col min="9988" max="9988" width="18" style="34" customWidth="1"/>
    <col min="9989" max="9989" width="8" style="34" customWidth="1"/>
    <col min="9990" max="9990" width="9.90625" style="34" customWidth="1"/>
    <col min="9991" max="9991" width="7.90625" style="34" bestFit="1" customWidth="1"/>
    <col min="9992" max="9992" width="13.26953125" style="34" bestFit="1" customWidth="1"/>
    <col min="9993" max="9993" width="9" style="34" customWidth="1"/>
    <col min="9994" max="10240" width="9" style="34"/>
    <col min="10241" max="10241" width="2.90625" style="34" customWidth="1"/>
    <col min="10242" max="10242" width="3" style="34" customWidth="1"/>
    <col min="10243" max="10243" width="12.08984375" style="34" customWidth="1"/>
    <col min="10244" max="10244" width="18" style="34" customWidth="1"/>
    <col min="10245" max="10245" width="8" style="34" customWidth="1"/>
    <col min="10246" max="10246" width="9.90625" style="34" customWidth="1"/>
    <col min="10247" max="10247" width="7.90625" style="34" bestFit="1" customWidth="1"/>
    <col min="10248" max="10248" width="13.26953125" style="34" bestFit="1" customWidth="1"/>
    <col min="10249" max="10249" width="9" style="34" customWidth="1"/>
    <col min="10250" max="10496" width="9" style="34"/>
    <col min="10497" max="10497" width="2.90625" style="34" customWidth="1"/>
    <col min="10498" max="10498" width="3" style="34" customWidth="1"/>
    <col min="10499" max="10499" width="12.08984375" style="34" customWidth="1"/>
    <col min="10500" max="10500" width="18" style="34" customWidth="1"/>
    <col min="10501" max="10501" width="8" style="34" customWidth="1"/>
    <col min="10502" max="10502" width="9.90625" style="34" customWidth="1"/>
    <col min="10503" max="10503" width="7.90625" style="34" bestFit="1" customWidth="1"/>
    <col min="10504" max="10504" width="13.26953125" style="34" bestFit="1" customWidth="1"/>
    <col min="10505" max="10505" width="9" style="34" customWidth="1"/>
    <col min="10506" max="10752" width="9" style="34"/>
    <col min="10753" max="10753" width="2.90625" style="34" customWidth="1"/>
    <col min="10754" max="10754" width="3" style="34" customWidth="1"/>
    <col min="10755" max="10755" width="12.08984375" style="34" customWidth="1"/>
    <col min="10756" max="10756" width="18" style="34" customWidth="1"/>
    <col min="10757" max="10757" width="8" style="34" customWidth="1"/>
    <col min="10758" max="10758" width="9.90625" style="34" customWidth="1"/>
    <col min="10759" max="10759" width="7.90625" style="34" bestFit="1" customWidth="1"/>
    <col min="10760" max="10760" width="13.26953125" style="34" bestFit="1" customWidth="1"/>
    <col min="10761" max="10761" width="9" style="34" customWidth="1"/>
    <col min="10762" max="11008" width="9" style="34"/>
    <col min="11009" max="11009" width="2.90625" style="34" customWidth="1"/>
    <col min="11010" max="11010" width="3" style="34" customWidth="1"/>
    <col min="11011" max="11011" width="12.08984375" style="34" customWidth="1"/>
    <col min="11012" max="11012" width="18" style="34" customWidth="1"/>
    <col min="11013" max="11013" width="8" style="34" customWidth="1"/>
    <col min="11014" max="11014" width="9.90625" style="34" customWidth="1"/>
    <col min="11015" max="11015" width="7.90625" style="34" bestFit="1" customWidth="1"/>
    <col min="11016" max="11016" width="13.26953125" style="34" bestFit="1" customWidth="1"/>
    <col min="11017" max="11017" width="9" style="34" customWidth="1"/>
    <col min="11018" max="11264" width="9" style="34"/>
    <col min="11265" max="11265" width="2.90625" style="34" customWidth="1"/>
    <col min="11266" max="11266" width="3" style="34" customWidth="1"/>
    <col min="11267" max="11267" width="12.08984375" style="34" customWidth="1"/>
    <col min="11268" max="11268" width="18" style="34" customWidth="1"/>
    <col min="11269" max="11269" width="8" style="34" customWidth="1"/>
    <col min="11270" max="11270" width="9.90625" style="34" customWidth="1"/>
    <col min="11271" max="11271" width="7.90625" style="34" bestFit="1" customWidth="1"/>
    <col min="11272" max="11272" width="13.26953125" style="34" bestFit="1" customWidth="1"/>
    <col min="11273" max="11273" width="9" style="34" customWidth="1"/>
    <col min="11274" max="11520" width="9" style="34"/>
    <col min="11521" max="11521" width="2.90625" style="34" customWidth="1"/>
    <col min="11522" max="11522" width="3" style="34" customWidth="1"/>
    <col min="11523" max="11523" width="12.08984375" style="34" customWidth="1"/>
    <col min="11524" max="11524" width="18" style="34" customWidth="1"/>
    <col min="11525" max="11525" width="8" style="34" customWidth="1"/>
    <col min="11526" max="11526" width="9.90625" style="34" customWidth="1"/>
    <col min="11527" max="11527" width="7.90625" style="34" bestFit="1" customWidth="1"/>
    <col min="11528" max="11528" width="13.26953125" style="34" bestFit="1" customWidth="1"/>
    <col min="11529" max="11529" width="9" style="34" customWidth="1"/>
    <col min="11530" max="11776" width="9" style="34"/>
    <col min="11777" max="11777" width="2.90625" style="34" customWidth="1"/>
    <col min="11778" max="11778" width="3" style="34" customWidth="1"/>
    <col min="11779" max="11779" width="12.08984375" style="34" customWidth="1"/>
    <col min="11780" max="11780" width="18" style="34" customWidth="1"/>
    <col min="11781" max="11781" width="8" style="34" customWidth="1"/>
    <col min="11782" max="11782" width="9.90625" style="34" customWidth="1"/>
    <col min="11783" max="11783" width="7.90625" style="34" bestFit="1" customWidth="1"/>
    <col min="11784" max="11784" width="13.26953125" style="34" bestFit="1" customWidth="1"/>
    <col min="11785" max="11785" width="9" style="34" customWidth="1"/>
    <col min="11786" max="12032" width="9" style="34"/>
    <col min="12033" max="12033" width="2.90625" style="34" customWidth="1"/>
    <col min="12034" max="12034" width="3" style="34" customWidth="1"/>
    <col min="12035" max="12035" width="12.08984375" style="34" customWidth="1"/>
    <col min="12036" max="12036" width="18" style="34" customWidth="1"/>
    <col min="12037" max="12037" width="8" style="34" customWidth="1"/>
    <col min="12038" max="12038" width="9.90625" style="34" customWidth="1"/>
    <col min="12039" max="12039" width="7.90625" style="34" bestFit="1" customWidth="1"/>
    <col min="12040" max="12040" width="13.26953125" style="34" bestFit="1" customWidth="1"/>
    <col min="12041" max="12041" width="9" style="34" customWidth="1"/>
    <col min="12042" max="12288" width="9" style="34"/>
    <col min="12289" max="12289" width="2.90625" style="34" customWidth="1"/>
    <col min="12290" max="12290" width="3" style="34" customWidth="1"/>
    <col min="12291" max="12291" width="12.08984375" style="34" customWidth="1"/>
    <col min="12292" max="12292" width="18" style="34" customWidth="1"/>
    <col min="12293" max="12293" width="8" style="34" customWidth="1"/>
    <col min="12294" max="12294" width="9.90625" style="34" customWidth="1"/>
    <col min="12295" max="12295" width="7.90625" style="34" bestFit="1" customWidth="1"/>
    <col min="12296" max="12296" width="13.26953125" style="34" bestFit="1" customWidth="1"/>
    <col min="12297" max="12297" width="9" style="34" customWidth="1"/>
    <col min="12298" max="12544" width="9" style="34"/>
    <col min="12545" max="12545" width="2.90625" style="34" customWidth="1"/>
    <col min="12546" max="12546" width="3" style="34" customWidth="1"/>
    <col min="12547" max="12547" width="12.08984375" style="34" customWidth="1"/>
    <col min="12548" max="12548" width="18" style="34" customWidth="1"/>
    <col min="12549" max="12549" width="8" style="34" customWidth="1"/>
    <col min="12550" max="12550" width="9.90625" style="34" customWidth="1"/>
    <col min="12551" max="12551" width="7.90625" style="34" bestFit="1" customWidth="1"/>
    <col min="12552" max="12552" width="13.26953125" style="34" bestFit="1" customWidth="1"/>
    <col min="12553" max="12553" width="9" style="34" customWidth="1"/>
    <col min="12554" max="12800" width="9" style="34"/>
    <col min="12801" max="12801" width="2.90625" style="34" customWidth="1"/>
    <col min="12802" max="12802" width="3" style="34" customWidth="1"/>
    <col min="12803" max="12803" width="12.08984375" style="34" customWidth="1"/>
    <col min="12804" max="12804" width="18" style="34" customWidth="1"/>
    <col min="12805" max="12805" width="8" style="34" customWidth="1"/>
    <col min="12806" max="12806" width="9.90625" style="34" customWidth="1"/>
    <col min="12807" max="12807" width="7.90625" style="34" bestFit="1" customWidth="1"/>
    <col min="12808" max="12808" width="13.26953125" style="34" bestFit="1" customWidth="1"/>
    <col min="12809" max="12809" width="9" style="34" customWidth="1"/>
    <col min="12810" max="13056" width="9" style="34"/>
    <col min="13057" max="13057" width="2.90625" style="34" customWidth="1"/>
    <col min="13058" max="13058" width="3" style="34" customWidth="1"/>
    <col min="13059" max="13059" width="12.08984375" style="34" customWidth="1"/>
    <col min="13060" max="13060" width="18" style="34" customWidth="1"/>
    <col min="13061" max="13061" width="8" style="34" customWidth="1"/>
    <col min="13062" max="13062" width="9.90625" style="34" customWidth="1"/>
    <col min="13063" max="13063" width="7.90625" style="34" bestFit="1" customWidth="1"/>
    <col min="13064" max="13064" width="13.26953125" style="34" bestFit="1" customWidth="1"/>
    <col min="13065" max="13065" width="9" style="34" customWidth="1"/>
    <col min="13066" max="13312" width="9" style="34"/>
    <col min="13313" max="13313" width="2.90625" style="34" customWidth="1"/>
    <col min="13314" max="13314" width="3" style="34" customWidth="1"/>
    <col min="13315" max="13315" width="12.08984375" style="34" customWidth="1"/>
    <col min="13316" max="13316" width="18" style="34" customWidth="1"/>
    <col min="13317" max="13317" width="8" style="34" customWidth="1"/>
    <col min="13318" max="13318" width="9.90625" style="34" customWidth="1"/>
    <col min="13319" max="13319" width="7.90625" style="34" bestFit="1" customWidth="1"/>
    <col min="13320" max="13320" width="13.26953125" style="34" bestFit="1" customWidth="1"/>
    <col min="13321" max="13321" width="9" style="34" customWidth="1"/>
    <col min="13322" max="13568" width="9" style="34"/>
    <col min="13569" max="13569" width="2.90625" style="34" customWidth="1"/>
    <col min="13570" max="13570" width="3" style="34" customWidth="1"/>
    <col min="13571" max="13571" width="12.08984375" style="34" customWidth="1"/>
    <col min="13572" max="13572" width="18" style="34" customWidth="1"/>
    <col min="13573" max="13573" width="8" style="34" customWidth="1"/>
    <col min="13574" max="13574" width="9.90625" style="34" customWidth="1"/>
    <col min="13575" max="13575" width="7.90625" style="34" bestFit="1" customWidth="1"/>
    <col min="13576" max="13576" width="13.26953125" style="34" bestFit="1" customWidth="1"/>
    <col min="13577" max="13577" width="9" style="34" customWidth="1"/>
    <col min="13578" max="13824" width="9" style="34"/>
    <col min="13825" max="13825" width="2.90625" style="34" customWidth="1"/>
    <col min="13826" max="13826" width="3" style="34" customWidth="1"/>
    <col min="13827" max="13827" width="12.08984375" style="34" customWidth="1"/>
    <col min="13828" max="13828" width="18" style="34" customWidth="1"/>
    <col min="13829" max="13829" width="8" style="34" customWidth="1"/>
    <col min="13830" max="13830" width="9.90625" style="34" customWidth="1"/>
    <col min="13831" max="13831" width="7.90625" style="34" bestFit="1" customWidth="1"/>
    <col min="13832" max="13832" width="13.26953125" style="34" bestFit="1" customWidth="1"/>
    <col min="13833" max="13833" width="9" style="34" customWidth="1"/>
    <col min="13834" max="14080" width="9" style="34"/>
    <col min="14081" max="14081" width="2.90625" style="34" customWidth="1"/>
    <col min="14082" max="14082" width="3" style="34" customWidth="1"/>
    <col min="14083" max="14083" width="12.08984375" style="34" customWidth="1"/>
    <col min="14084" max="14084" width="18" style="34" customWidth="1"/>
    <col min="14085" max="14085" width="8" style="34" customWidth="1"/>
    <col min="14086" max="14086" width="9.90625" style="34" customWidth="1"/>
    <col min="14087" max="14087" width="7.90625" style="34" bestFit="1" customWidth="1"/>
    <col min="14088" max="14088" width="13.26953125" style="34" bestFit="1" customWidth="1"/>
    <col min="14089" max="14089" width="9" style="34" customWidth="1"/>
    <col min="14090" max="14336" width="9" style="34"/>
    <col min="14337" max="14337" width="2.90625" style="34" customWidth="1"/>
    <col min="14338" max="14338" width="3" style="34" customWidth="1"/>
    <col min="14339" max="14339" width="12.08984375" style="34" customWidth="1"/>
    <col min="14340" max="14340" width="18" style="34" customWidth="1"/>
    <col min="14341" max="14341" width="8" style="34" customWidth="1"/>
    <col min="14342" max="14342" width="9.90625" style="34" customWidth="1"/>
    <col min="14343" max="14343" width="7.90625" style="34" bestFit="1" customWidth="1"/>
    <col min="14344" max="14344" width="13.26953125" style="34" bestFit="1" customWidth="1"/>
    <col min="14345" max="14345" width="9" style="34" customWidth="1"/>
    <col min="14346" max="14592" width="9" style="34"/>
    <col min="14593" max="14593" width="2.90625" style="34" customWidth="1"/>
    <col min="14594" max="14594" width="3" style="34" customWidth="1"/>
    <col min="14595" max="14595" width="12.08984375" style="34" customWidth="1"/>
    <col min="14596" max="14596" width="18" style="34" customWidth="1"/>
    <col min="14597" max="14597" width="8" style="34" customWidth="1"/>
    <col min="14598" max="14598" width="9.90625" style="34" customWidth="1"/>
    <col min="14599" max="14599" width="7.90625" style="34" bestFit="1" customWidth="1"/>
    <col min="14600" max="14600" width="13.26953125" style="34" bestFit="1" customWidth="1"/>
    <col min="14601" max="14601" width="9" style="34" customWidth="1"/>
    <col min="14602" max="14848" width="9" style="34"/>
    <col min="14849" max="14849" width="2.90625" style="34" customWidth="1"/>
    <col min="14850" max="14850" width="3" style="34" customWidth="1"/>
    <col min="14851" max="14851" width="12.08984375" style="34" customWidth="1"/>
    <col min="14852" max="14852" width="18" style="34" customWidth="1"/>
    <col min="14853" max="14853" width="8" style="34" customWidth="1"/>
    <col min="14854" max="14854" width="9.90625" style="34" customWidth="1"/>
    <col min="14855" max="14855" width="7.90625" style="34" bestFit="1" customWidth="1"/>
    <col min="14856" max="14856" width="13.26953125" style="34" bestFit="1" customWidth="1"/>
    <col min="14857" max="14857" width="9" style="34" customWidth="1"/>
    <col min="14858" max="15104" width="9" style="34"/>
    <col min="15105" max="15105" width="2.90625" style="34" customWidth="1"/>
    <col min="15106" max="15106" width="3" style="34" customWidth="1"/>
    <col min="15107" max="15107" width="12.08984375" style="34" customWidth="1"/>
    <col min="15108" max="15108" width="18" style="34" customWidth="1"/>
    <col min="15109" max="15109" width="8" style="34" customWidth="1"/>
    <col min="15110" max="15110" width="9.90625" style="34" customWidth="1"/>
    <col min="15111" max="15111" width="7.90625" style="34" bestFit="1" customWidth="1"/>
    <col min="15112" max="15112" width="13.26953125" style="34" bestFit="1" customWidth="1"/>
    <col min="15113" max="15113" width="9" style="34" customWidth="1"/>
    <col min="15114" max="15360" width="9" style="34"/>
    <col min="15361" max="15361" width="2.90625" style="34" customWidth="1"/>
    <col min="15362" max="15362" width="3" style="34" customWidth="1"/>
    <col min="15363" max="15363" width="12.08984375" style="34" customWidth="1"/>
    <col min="15364" max="15364" width="18" style="34" customWidth="1"/>
    <col min="15365" max="15365" width="8" style="34" customWidth="1"/>
    <col min="15366" max="15366" width="9.90625" style="34" customWidth="1"/>
    <col min="15367" max="15367" width="7.90625" style="34" bestFit="1" customWidth="1"/>
    <col min="15368" max="15368" width="13.26953125" style="34" bestFit="1" customWidth="1"/>
    <col min="15369" max="15369" width="9" style="34" customWidth="1"/>
    <col min="15370" max="15616" width="9" style="34"/>
    <col min="15617" max="15617" width="2.90625" style="34" customWidth="1"/>
    <col min="15618" max="15618" width="3" style="34" customWidth="1"/>
    <col min="15619" max="15619" width="12.08984375" style="34" customWidth="1"/>
    <col min="15620" max="15620" width="18" style="34" customWidth="1"/>
    <col min="15621" max="15621" width="8" style="34" customWidth="1"/>
    <col min="15622" max="15622" width="9.90625" style="34" customWidth="1"/>
    <col min="15623" max="15623" width="7.90625" style="34" bestFit="1" customWidth="1"/>
    <col min="15624" max="15624" width="13.26953125" style="34" bestFit="1" customWidth="1"/>
    <col min="15625" max="15625" width="9" style="34" customWidth="1"/>
    <col min="15626" max="15872" width="9" style="34"/>
    <col min="15873" max="15873" width="2.90625" style="34" customWidth="1"/>
    <col min="15874" max="15874" width="3" style="34" customWidth="1"/>
    <col min="15875" max="15875" width="12.08984375" style="34" customWidth="1"/>
    <col min="15876" max="15876" width="18" style="34" customWidth="1"/>
    <col min="15877" max="15877" width="8" style="34" customWidth="1"/>
    <col min="15878" max="15878" width="9.90625" style="34" customWidth="1"/>
    <col min="15879" max="15879" width="7.90625" style="34" bestFit="1" customWidth="1"/>
    <col min="15880" max="15880" width="13.26953125" style="34" bestFit="1" customWidth="1"/>
    <col min="15881" max="15881" width="9" style="34" customWidth="1"/>
    <col min="15882" max="16128" width="9" style="34"/>
    <col min="16129" max="16129" width="2.90625" style="34" customWidth="1"/>
    <col min="16130" max="16130" width="3" style="34" customWidth="1"/>
    <col min="16131" max="16131" width="12.08984375" style="34" customWidth="1"/>
    <col min="16132" max="16132" width="18" style="34" customWidth="1"/>
    <col min="16133" max="16133" width="8" style="34" customWidth="1"/>
    <col min="16134" max="16134" width="9.90625" style="34" customWidth="1"/>
    <col min="16135" max="16135" width="7.90625" style="34" bestFit="1" customWidth="1"/>
    <col min="16136" max="16136" width="13.26953125" style="34" bestFit="1" customWidth="1"/>
    <col min="16137" max="16137" width="9" style="34" customWidth="1"/>
    <col min="16138" max="16384" width="9" style="34"/>
  </cols>
  <sheetData>
    <row r="1" spans="1:15" ht="14">
      <c r="A1" s="1044" t="s">
        <v>379</v>
      </c>
      <c r="B1" s="1044"/>
      <c r="C1" s="1044"/>
      <c r="D1" s="36"/>
      <c r="E1" s="36"/>
      <c r="F1" s="168"/>
      <c r="G1" s="168"/>
      <c r="H1" s="168"/>
      <c r="I1" s="168"/>
      <c r="J1" s="1045" t="e">
        <f>CONCATENATE(#REF!,"/",#REF!,"/",#REF!)</f>
        <v>#REF!</v>
      </c>
      <c r="K1" s="1045"/>
      <c r="L1" s="1045"/>
    </row>
    <row r="2" spans="1:15" s="68" customFormat="1" ht="23.25" customHeight="1">
      <c r="A2" s="1046" t="str">
        <f>"【試算用】加算算定対象人数等認定申請書（処遇改善等加算Ⅱ）(保育所)"</f>
        <v>【試算用】加算算定対象人数等認定申請書（処遇改善等加算Ⅱ）(保育所)</v>
      </c>
      <c r="B2" s="1046"/>
      <c r="C2" s="1046"/>
      <c r="D2" s="1046"/>
      <c r="E2" s="1046"/>
      <c r="F2" s="1046"/>
      <c r="G2" s="1046"/>
      <c r="H2" s="1046"/>
      <c r="I2" s="1046"/>
      <c r="J2" s="1046"/>
      <c r="K2" s="1046"/>
      <c r="L2" s="1046"/>
      <c r="O2" s="67" t="s">
        <v>82</v>
      </c>
    </row>
    <row r="3" spans="1:15" ht="19.5" customHeight="1">
      <c r="A3" s="36"/>
      <c r="B3" s="36"/>
      <c r="C3" s="36"/>
      <c r="D3" s="36"/>
      <c r="E3" s="39"/>
      <c r="F3" s="39"/>
      <c r="G3" s="39"/>
      <c r="H3" s="39"/>
      <c r="I3" s="168"/>
      <c r="J3" s="36"/>
      <c r="K3" s="36"/>
      <c r="L3" s="36"/>
      <c r="O3" s="35"/>
    </row>
    <row r="4" spans="1:15" ht="19.5" customHeight="1" thickBot="1">
      <c r="A4" s="169" t="s">
        <v>190</v>
      </c>
      <c r="B4" s="36"/>
      <c r="C4" s="36"/>
      <c r="D4" s="36"/>
      <c r="E4" s="39"/>
      <c r="F4" s="39"/>
      <c r="G4" s="39"/>
      <c r="H4" s="39"/>
      <c r="I4" s="1034" t="s">
        <v>370</v>
      </c>
      <c r="J4" s="1036" t="e">
        <f>CONCATENATE(#REF!)</f>
        <v>#REF!</v>
      </c>
      <c r="K4" s="1037"/>
      <c r="L4" s="1038"/>
      <c r="O4" s="35" t="s">
        <v>186</v>
      </c>
    </row>
    <row r="5" spans="1:15" ht="19.5" customHeight="1" thickBot="1">
      <c r="A5" s="170"/>
      <c r="B5" s="999"/>
      <c r="C5" s="1000"/>
      <c r="D5" s="1000"/>
      <c r="E5" s="1000"/>
      <c r="F5" s="171" t="s">
        <v>46</v>
      </c>
      <c r="G5" s="172" t="s">
        <v>47</v>
      </c>
      <c r="H5" s="39"/>
      <c r="I5" s="1035"/>
      <c r="J5" s="1039"/>
      <c r="K5" s="1040"/>
      <c r="L5" s="1041"/>
      <c r="O5" s="35" t="s">
        <v>188</v>
      </c>
    </row>
    <row r="6" spans="1:15" ht="19.5" customHeight="1" thickBot="1">
      <c r="A6" s="170"/>
      <c r="B6" s="1029" t="s">
        <v>235</v>
      </c>
      <c r="C6" s="1030"/>
      <c r="D6" s="1030"/>
      <c r="E6" s="1031"/>
      <c r="F6" s="1032" t="str">
        <f>IF(G7&gt;0,"あり","なし")</f>
        <v>なし</v>
      </c>
      <c r="G6" s="1033"/>
      <c r="H6" s="39"/>
      <c r="I6" s="706"/>
      <c r="J6" s="706"/>
      <c r="K6" s="706"/>
      <c r="L6" s="706"/>
    </row>
    <row r="7" spans="1:15" ht="19.5" customHeight="1" thickBot="1">
      <c r="A7" s="169"/>
      <c r="B7" s="1029" t="s">
        <v>192</v>
      </c>
      <c r="C7" s="1030"/>
      <c r="D7" s="1030"/>
      <c r="E7" s="1030"/>
      <c r="F7" s="818">
        <f>SUM('入力（加算）保'!D7:E8)</f>
        <v>0</v>
      </c>
      <c r="G7" s="818">
        <f>SUM('入力（加算）保'!D10:E11)</f>
        <v>0</v>
      </c>
      <c r="H7" s="39"/>
      <c r="I7" s="706"/>
      <c r="J7" s="706"/>
      <c r="K7" s="706"/>
      <c r="L7" s="706"/>
    </row>
    <row r="8" spans="1:15" ht="19.5" customHeight="1" thickBot="1">
      <c r="A8" s="169"/>
      <c r="B8" s="1048" t="s">
        <v>236</v>
      </c>
      <c r="C8" s="1049"/>
      <c r="D8" s="1049"/>
      <c r="E8" s="1050"/>
      <c r="F8" s="173">
        <f>F9+F10+F11+F12</f>
        <v>0</v>
      </c>
      <c r="G8" s="174">
        <f>G9+G10+G11+G12</f>
        <v>0</v>
      </c>
      <c r="H8" s="39"/>
      <c r="I8" s="39"/>
      <c r="J8" s="168"/>
      <c r="K8" s="36"/>
      <c r="L8" s="36"/>
    </row>
    <row r="9" spans="1:15" ht="19.5" customHeight="1">
      <c r="A9" s="169"/>
      <c r="B9" s="175"/>
      <c r="C9" s="1051" t="s">
        <v>194</v>
      </c>
      <c r="D9" s="1052"/>
      <c r="E9" s="176"/>
      <c r="F9" s="177">
        <f>'入力（児童数-本園)'!AB3</f>
        <v>0</v>
      </c>
      <c r="G9" s="178">
        <f>'入力（児童数-分園)'!Z3</f>
        <v>0</v>
      </c>
      <c r="H9" s="1053" t="str">
        <f>IF(OR(F8&gt;F7*1.2,G8&gt;G7*1.2),"←警告：定員の120％を超過しています。","")</f>
        <v/>
      </c>
      <c r="I9" s="1054"/>
      <c r="J9" s="1054"/>
      <c r="K9" s="1054"/>
      <c r="L9" s="1054"/>
    </row>
    <row r="10" spans="1:15" ht="19.5" customHeight="1">
      <c r="A10" s="169"/>
      <c r="B10" s="175"/>
      <c r="C10" s="1051" t="s">
        <v>237</v>
      </c>
      <c r="D10" s="1052"/>
      <c r="E10" s="176"/>
      <c r="F10" s="179">
        <f>'入力（児童数-本園)'!AB4</f>
        <v>0</v>
      </c>
      <c r="G10" s="180">
        <f>'入力（児童数-分園)'!Z4</f>
        <v>0</v>
      </c>
      <c r="H10" s="1053"/>
      <c r="I10" s="1054"/>
      <c r="J10" s="1054"/>
      <c r="K10" s="1054"/>
      <c r="L10" s="1054"/>
    </row>
    <row r="11" spans="1:15" ht="19.5" customHeight="1">
      <c r="A11" s="169"/>
      <c r="B11" s="175"/>
      <c r="C11" s="1052" t="s">
        <v>238</v>
      </c>
      <c r="D11" s="1055"/>
      <c r="E11" s="176"/>
      <c r="F11" s="179">
        <f>'入力（児童数-本園)'!AB6</f>
        <v>0</v>
      </c>
      <c r="G11" s="180">
        <f>'入力（児童数-分園)'!Z5</f>
        <v>0</v>
      </c>
      <c r="H11" s="1053"/>
      <c r="I11" s="1054"/>
      <c r="J11" s="1054"/>
      <c r="K11" s="1054"/>
      <c r="L11" s="1054"/>
    </row>
    <row r="12" spans="1:15" ht="19.5" customHeight="1" thickBot="1">
      <c r="A12" s="36"/>
      <c r="B12" s="181"/>
      <c r="C12" s="1056" t="s">
        <v>239</v>
      </c>
      <c r="D12" s="1057"/>
      <c r="E12" s="182"/>
      <c r="F12" s="183">
        <f>'入力（児童数-本園)'!AB7</f>
        <v>0</v>
      </c>
      <c r="G12" s="184">
        <f>'入力（児童数-分園)'!Z6</f>
        <v>0</v>
      </c>
      <c r="H12" s="1053"/>
      <c r="I12" s="1054"/>
      <c r="J12" s="1054"/>
      <c r="K12" s="1054"/>
      <c r="L12" s="1054"/>
    </row>
    <row r="13" spans="1:15" ht="19.5" customHeight="1">
      <c r="A13" s="36"/>
      <c r="B13" s="185" t="s">
        <v>197</v>
      </c>
      <c r="C13" s="1058" t="s">
        <v>240</v>
      </c>
      <c r="D13" s="1058"/>
      <c r="E13" s="1058"/>
      <c r="F13" s="1058"/>
      <c r="G13" s="1058"/>
      <c r="H13" s="1058"/>
      <c r="I13" s="1058"/>
      <c r="J13" s="1058"/>
      <c r="K13" s="1058"/>
      <c r="L13" s="1058"/>
    </row>
    <row r="14" spans="1:15" ht="19.5" customHeight="1">
      <c r="A14" s="36"/>
      <c r="B14" s="185"/>
      <c r="C14" s="1058"/>
      <c r="D14" s="1058"/>
      <c r="E14" s="1058"/>
      <c r="F14" s="1058"/>
      <c r="G14" s="1058"/>
      <c r="H14" s="1058"/>
      <c r="I14" s="1058"/>
      <c r="J14" s="1058"/>
      <c r="K14" s="1058"/>
      <c r="L14" s="1058"/>
    </row>
    <row r="15" spans="1:15" ht="22.5" customHeight="1">
      <c r="A15" s="36"/>
      <c r="B15" s="1016"/>
      <c r="C15" s="1016"/>
      <c r="D15" s="1016"/>
      <c r="E15" s="1016"/>
      <c r="F15" s="1016"/>
      <c r="G15" s="1016"/>
      <c r="H15" s="1016"/>
      <c r="I15" s="185"/>
      <c r="J15" s="186"/>
      <c r="K15" s="187" t="s">
        <v>374</v>
      </c>
      <c r="L15" s="188">
        <v>12</v>
      </c>
    </row>
    <row r="16" spans="1:15" ht="19.5" customHeight="1">
      <c r="A16" s="36"/>
      <c r="B16" s="185"/>
      <c r="C16" s="186"/>
      <c r="D16" s="186"/>
      <c r="E16" s="186"/>
      <c r="F16" s="186"/>
      <c r="G16" s="186"/>
      <c r="H16" s="186"/>
      <c r="I16" s="186"/>
      <c r="J16" s="186"/>
      <c r="K16" s="186"/>
      <c r="L16" s="186"/>
    </row>
    <row r="17" spans="1:12" ht="19.5" customHeight="1" thickBot="1">
      <c r="A17" s="169" t="s">
        <v>198</v>
      </c>
      <c r="B17" s="36"/>
      <c r="C17" s="36"/>
      <c r="D17" s="36"/>
      <c r="E17" s="36"/>
      <c r="F17" s="168"/>
      <c r="G17" s="168"/>
      <c r="H17" s="168"/>
      <c r="I17" s="168"/>
      <c r="J17" s="36"/>
      <c r="K17" s="36"/>
      <c r="L17" s="36"/>
    </row>
    <row r="18" spans="1:12" ht="19.5" customHeight="1" thickBot="1">
      <c r="A18" s="169"/>
      <c r="B18" s="36"/>
      <c r="C18" s="36"/>
      <c r="D18" s="36"/>
      <c r="E18" s="1059" t="s">
        <v>241</v>
      </c>
      <c r="F18" s="1060"/>
      <c r="G18" s="1060"/>
      <c r="H18" s="1061"/>
      <c r="I18" s="1062" t="s">
        <v>242</v>
      </c>
      <c r="J18" s="1063"/>
      <c r="K18" s="1063"/>
      <c r="L18" s="1064"/>
    </row>
    <row r="19" spans="1:12" ht="24">
      <c r="A19" s="36"/>
      <c r="B19" s="189"/>
      <c r="C19" s="190"/>
      <c r="D19" s="190"/>
      <c r="E19" s="191" t="s">
        <v>199</v>
      </c>
      <c r="F19" s="719" t="s">
        <v>479</v>
      </c>
      <c r="G19" s="1065" t="s">
        <v>201</v>
      </c>
      <c r="H19" s="1066"/>
      <c r="I19" s="192" t="s">
        <v>199</v>
      </c>
      <c r="J19" s="719" t="s">
        <v>479</v>
      </c>
      <c r="K19" s="1005" t="s">
        <v>201</v>
      </c>
      <c r="L19" s="1006"/>
    </row>
    <row r="20" spans="1:12" ht="19.5" customHeight="1">
      <c r="A20" s="47"/>
      <c r="B20" s="310" t="s">
        <v>202</v>
      </c>
      <c r="C20" s="1047" t="s">
        <v>243</v>
      </c>
      <c r="D20" s="1047"/>
      <c r="E20" s="193"/>
      <c r="F20" s="720"/>
      <c r="G20" s="715"/>
      <c r="H20" s="194"/>
      <c r="I20" s="189"/>
      <c r="J20" s="720"/>
      <c r="K20" s="715"/>
      <c r="L20" s="194"/>
    </row>
    <row r="21" spans="1:12" ht="19.5" customHeight="1">
      <c r="A21" s="47"/>
      <c r="B21" s="311"/>
      <c r="C21" s="196" t="s">
        <v>244</v>
      </c>
      <c r="D21" s="197"/>
      <c r="E21" s="198"/>
      <c r="F21" s="721">
        <f>F9</f>
        <v>0</v>
      </c>
      <c r="G21" s="716">
        <f>IF(E22="なし",F21/30,F21/25)</f>
        <v>0</v>
      </c>
      <c r="H21" s="199">
        <f>ROUNDDOWN(G21,1)</f>
        <v>0</v>
      </c>
      <c r="I21" s="196"/>
      <c r="J21" s="721">
        <f>G9</f>
        <v>0</v>
      </c>
      <c r="K21" s="716">
        <f>IF(I22="なし",J21/30,J21/25)</f>
        <v>0</v>
      </c>
      <c r="L21" s="199">
        <f>ROUNDDOWN(K21,1)</f>
        <v>0</v>
      </c>
    </row>
    <row r="22" spans="1:12" ht="19.5" customHeight="1">
      <c r="A22" s="841"/>
      <c r="B22" s="311"/>
      <c r="C22" s="196" t="s">
        <v>541</v>
      </c>
      <c r="D22" s="197"/>
      <c r="E22" s="379" t="str">
        <f>CONCATENATE('入力（加算）保'!F19)</f>
        <v/>
      </c>
      <c r="F22" s="721"/>
      <c r="G22" s="716"/>
      <c r="H22" s="199"/>
      <c r="I22" s="333" t="str">
        <f>E22</f>
        <v/>
      </c>
      <c r="J22" s="721"/>
      <c r="K22" s="716"/>
      <c r="L22" s="199"/>
    </row>
    <row r="23" spans="1:12" ht="19.5" customHeight="1">
      <c r="A23" s="47"/>
      <c r="B23" s="311"/>
      <c r="C23" s="200" t="s">
        <v>245</v>
      </c>
      <c r="D23" s="201"/>
      <c r="E23" s="202"/>
      <c r="F23" s="722">
        <f>F10</f>
        <v>0</v>
      </c>
      <c r="G23" s="717">
        <f>IF(E24="なし",F23/20,F23/15)</f>
        <v>0</v>
      </c>
      <c r="H23" s="204">
        <f>ROUNDDOWN(G23,1)</f>
        <v>0</v>
      </c>
      <c r="I23" s="36"/>
      <c r="J23" s="722">
        <f>G10</f>
        <v>0</v>
      </c>
      <c r="K23" s="717">
        <f>IF(F6="あり",IF(I24="なし",J23/20,J23/15),0)</f>
        <v>0</v>
      </c>
      <c r="L23" s="204">
        <f>ROUNDDOWN(K23,1)</f>
        <v>0</v>
      </c>
    </row>
    <row r="24" spans="1:12" ht="19.5" customHeight="1">
      <c r="A24" s="47"/>
      <c r="B24" s="311"/>
      <c r="C24" s="200" t="s">
        <v>246</v>
      </c>
      <c r="D24" s="201"/>
      <c r="E24" s="379" t="str">
        <f>CONCATENATE('入力（加算）保'!E19)</f>
        <v/>
      </c>
      <c r="F24" s="723"/>
      <c r="G24" s="717"/>
      <c r="H24" s="204"/>
      <c r="I24" s="333" t="str">
        <f>E24</f>
        <v/>
      </c>
      <c r="J24" s="723"/>
      <c r="K24" s="717"/>
      <c r="L24" s="204"/>
    </row>
    <row r="25" spans="1:12" ht="19.5" customHeight="1">
      <c r="A25" s="47"/>
      <c r="B25" s="311"/>
      <c r="C25" s="200" t="s">
        <v>238</v>
      </c>
      <c r="D25" s="201"/>
      <c r="E25" s="711"/>
      <c r="F25" s="722">
        <f>F11</f>
        <v>0</v>
      </c>
      <c r="G25" s="717">
        <f>F25*1/6</f>
        <v>0</v>
      </c>
      <c r="H25" s="204">
        <f>ROUNDDOWN(G25,1)</f>
        <v>0</v>
      </c>
      <c r="I25" s="200"/>
      <c r="J25" s="722">
        <f>G11</f>
        <v>0</v>
      </c>
      <c r="K25" s="717">
        <f>IF(F6="あり",J25*1/6,0)</f>
        <v>0</v>
      </c>
      <c r="L25" s="204">
        <f>ROUNDDOWN(K25,1)</f>
        <v>0</v>
      </c>
    </row>
    <row r="26" spans="1:12" ht="19.5" customHeight="1" thickBot="1">
      <c r="A26" s="47"/>
      <c r="B26" s="311"/>
      <c r="C26" s="205" t="s">
        <v>239</v>
      </c>
      <c r="D26" s="206"/>
      <c r="E26" s="712"/>
      <c r="F26" s="724">
        <f>F12</f>
        <v>0</v>
      </c>
      <c r="G26" s="718">
        <f>F26*1/3</f>
        <v>0</v>
      </c>
      <c r="H26" s="208">
        <f>ROUNDDOWN(G26,1)</f>
        <v>0</v>
      </c>
      <c r="I26" s="205"/>
      <c r="J26" s="724">
        <f>G12</f>
        <v>0</v>
      </c>
      <c r="K26" s="718">
        <f>IF(F6="あり",J26*1/3,0)</f>
        <v>0</v>
      </c>
      <c r="L26" s="208">
        <f>ROUNDDOWN(K26,1)</f>
        <v>0</v>
      </c>
    </row>
    <row r="27" spans="1:12" ht="19.5" customHeight="1" thickTop="1">
      <c r="A27" s="47"/>
      <c r="B27" s="312"/>
      <c r="C27" s="181" t="s">
        <v>247</v>
      </c>
      <c r="D27" s="209"/>
      <c r="E27" s="1017">
        <f>ROUND(SUM(H21:H26),0)</f>
        <v>0</v>
      </c>
      <c r="F27" s="1018"/>
      <c r="G27" s="1018"/>
      <c r="H27" s="1019"/>
      <c r="I27" s="1017">
        <f>ROUND(SUM(L21:L26),0)</f>
        <v>0</v>
      </c>
      <c r="J27" s="1018"/>
      <c r="K27" s="1018"/>
      <c r="L27" s="1019"/>
    </row>
    <row r="28" spans="1:12" ht="19.5" customHeight="1">
      <c r="A28" s="47"/>
      <c r="B28" s="313" t="s">
        <v>248</v>
      </c>
      <c r="C28" s="1007" t="s">
        <v>249</v>
      </c>
      <c r="D28" s="1007"/>
      <c r="E28" s="380" t="str">
        <f>IF(SUM('入力（児童数-本園)'!Y3:Y6)&gt;0,"あり","なし")</f>
        <v>なし</v>
      </c>
      <c r="F28" s="727"/>
      <c r="G28" s="725"/>
      <c r="H28" s="213">
        <f>IF(E28="あり",1.4,0)</f>
        <v>0</v>
      </c>
      <c r="I28" s="380" t="str">
        <f>IF(SUM('入力（児童数-分園)'!W3:W6)&gt;0,"あり","なし")</f>
        <v>なし</v>
      </c>
      <c r="J28" s="730"/>
      <c r="K28" s="725"/>
      <c r="L28" s="213">
        <f>IF(F6="あり",IF(I28="あり",1.4,0),0)</f>
        <v>0</v>
      </c>
    </row>
    <row r="29" spans="1:12" ht="19.5" customHeight="1">
      <c r="A29" s="47"/>
      <c r="B29" s="313" t="s">
        <v>250</v>
      </c>
      <c r="C29" s="852" t="s">
        <v>251</v>
      </c>
      <c r="D29" s="215"/>
      <c r="E29" s="380" t="str">
        <f>CONCATENATE('入力（加算）保'!N19)</f>
        <v/>
      </c>
      <c r="F29" s="727"/>
      <c r="G29" s="725"/>
      <c r="H29" s="213">
        <f>IF(E29="あり",1,0)</f>
        <v>0</v>
      </c>
      <c r="I29" s="1008" t="s">
        <v>252</v>
      </c>
      <c r="J29" s="1009"/>
      <c r="K29" s="725"/>
      <c r="L29" s="213"/>
    </row>
    <row r="30" spans="1:12" ht="19.5" customHeight="1">
      <c r="A30" s="47"/>
      <c r="B30" s="313" t="s">
        <v>253</v>
      </c>
      <c r="C30" s="852" t="s">
        <v>254</v>
      </c>
      <c r="D30" s="215"/>
      <c r="E30" s="380" t="str">
        <f>CONCATENATE('入力（加算）保'!P19)</f>
        <v/>
      </c>
      <c r="F30" s="727"/>
      <c r="G30" s="725"/>
      <c r="H30" s="213">
        <f>IF(E30="あり",0.3,0)</f>
        <v>0</v>
      </c>
      <c r="I30" s="1010"/>
      <c r="J30" s="1011"/>
      <c r="K30" s="725"/>
      <c r="L30" s="213"/>
    </row>
    <row r="31" spans="1:12" ht="19.5" customHeight="1">
      <c r="A31" s="47"/>
      <c r="B31" s="313" t="s">
        <v>255</v>
      </c>
      <c r="C31" s="852" t="s">
        <v>256</v>
      </c>
      <c r="D31" s="215"/>
      <c r="E31" s="380" t="str">
        <f>IF(AND('入力（加算）保'!G19&gt;0,ISNUMBER('入力（加算）保'!G19)),"あり","なし")</f>
        <v>なし</v>
      </c>
      <c r="F31" s="727"/>
      <c r="G31" s="725"/>
      <c r="H31" s="213">
        <f>IF(E31="あり",0.5,0)</f>
        <v>0</v>
      </c>
      <c r="I31" s="1010"/>
      <c r="J31" s="1011"/>
      <c r="K31" s="725"/>
      <c r="L31" s="213"/>
    </row>
    <row r="32" spans="1:12" ht="19.5" customHeight="1">
      <c r="A32" s="47"/>
      <c r="B32" s="313" t="s">
        <v>257</v>
      </c>
      <c r="C32" s="852" t="s">
        <v>258</v>
      </c>
      <c r="D32" s="215"/>
      <c r="E32" s="380" t="str">
        <f>IF(AND('入力（加算）保'!I19&lt;&gt;"",'入力（加算）保'!I19&lt;&gt;"なし"),"あり","なし")</f>
        <v>なし</v>
      </c>
      <c r="F32" s="727">
        <f>'入力（加算）保'!I19</f>
        <v>0</v>
      </c>
      <c r="G32" s="725"/>
      <c r="H32" s="817">
        <f>IF(E32="あり",F32,0)</f>
        <v>0</v>
      </c>
      <c r="I32" s="1012"/>
      <c r="J32" s="1013"/>
      <c r="K32" s="725"/>
      <c r="L32" s="213"/>
    </row>
    <row r="33" spans="1:15" ht="19.5" customHeight="1">
      <c r="A33" s="47"/>
      <c r="B33" s="313" t="s">
        <v>259</v>
      </c>
      <c r="C33" s="852" t="s">
        <v>222</v>
      </c>
      <c r="D33" s="215"/>
      <c r="E33" s="380" t="str">
        <f>IF('入力（加算）保'!Q19="配置","あり","なし")</f>
        <v>なし</v>
      </c>
      <c r="F33" s="728"/>
      <c r="G33" s="725"/>
      <c r="H33" s="851">
        <f>IF(E33="あり",0.6,0)</f>
        <v>0</v>
      </c>
      <c r="I33" s="714"/>
      <c r="J33" s="701"/>
      <c r="K33" s="725"/>
      <c r="L33" s="213"/>
    </row>
    <row r="34" spans="1:15" ht="19.5" customHeight="1" thickBot="1">
      <c r="A34" s="47"/>
      <c r="B34" s="216" t="s">
        <v>260</v>
      </c>
      <c r="C34" s="217"/>
      <c r="D34" s="217"/>
      <c r="E34" s="218"/>
      <c r="F34" s="729"/>
      <c r="G34" s="726"/>
      <c r="H34" s="219">
        <f>IF(F7&lt;=40,1.5,IF(F7&lt;=90,2.5,IF(F7&lt;=150,2.3,IF(F7&gt;=151,3.3,0))))</f>
        <v>1.5</v>
      </c>
      <c r="I34" s="713"/>
      <c r="J34" s="731"/>
      <c r="K34" s="726"/>
      <c r="L34" s="219">
        <f>IF(F6="あり",IF(G7&lt;=40,1.5,IF(G7&lt;=90,2.5,IF(G7&lt;=150,2.3,IF(G7&gt;=151,3.3,0)))),0)</f>
        <v>0</v>
      </c>
    </row>
    <row r="35" spans="1:15" ht="19.5" customHeight="1" thickTop="1" thickBot="1">
      <c r="A35" s="47"/>
      <c r="B35" s="220" t="s">
        <v>228</v>
      </c>
      <c r="C35" s="53"/>
      <c r="D35" s="53"/>
      <c r="E35" s="1020">
        <f>SUM(E27,H28:H33,H34)</f>
        <v>1.5</v>
      </c>
      <c r="F35" s="1021"/>
      <c r="G35" s="1021"/>
      <c r="H35" s="1022"/>
      <c r="I35" s="1020">
        <f>SUM(I27,L28:L32,L34)</f>
        <v>0</v>
      </c>
      <c r="J35" s="1021"/>
      <c r="K35" s="1021"/>
      <c r="L35" s="1022"/>
      <c r="N35" s="35" t="s">
        <v>375</v>
      </c>
      <c r="O35" s="122">
        <v>40000</v>
      </c>
    </row>
    <row r="36" spans="1:15" ht="19.5" customHeight="1" thickBot="1">
      <c r="A36" s="47"/>
      <c r="B36" s="1014" t="s">
        <v>229</v>
      </c>
      <c r="C36" s="1015"/>
      <c r="D36" s="1015"/>
      <c r="E36" s="1023" t="str">
        <f>IF(F7=0,"定員未入力",ROUND(E35,0))</f>
        <v>定員未入力</v>
      </c>
      <c r="F36" s="1024"/>
      <c r="G36" s="1024"/>
      <c r="H36" s="1025"/>
      <c r="I36" s="1026">
        <f>IF(F6="あり",IF(G7=0,"定員未入力",ROUND(I35,0)),0)</f>
        <v>0</v>
      </c>
      <c r="J36" s="1027"/>
      <c r="K36" s="1027"/>
      <c r="L36" s="1028"/>
      <c r="N36" s="35" t="s">
        <v>376</v>
      </c>
      <c r="O36" s="122">
        <v>5000</v>
      </c>
    </row>
    <row r="37" spans="1:15" ht="19.5" customHeight="1">
      <c r="A37" s="699"/>
      <c r="B37" s="53"/>
      <c r="C37" s="53"/>
      <c r="D37" s="53"/>
      <c r="E37" s="699"/>
      <c r="F37" s="168"/>
      <c r="G37" s="225"/>
      <c r="H37" s="226"/>
      <c r="I37" s="227"/>
      <c r="J37" s="36"/>
      <c r="K37" s="36"/>
      <c r="L37" s="36"/>
      <c r="N37" s="35" t="s">
        <v>486</v>
      </c>
      <c r="O37" s="122">
        <v>49010</v>
      </c>
    </row>
    <row r="38" spans="1:15" ht="19.5" customHeight="1" thickBot="1">
      <c r="A38" s="170" t="s">
        <v>476</v>
      </c>
      <c r="B38" s="699"/>
      <c r="C38" s="699"/>
      <c r="D38" s="699"/>
      <c r="E38" s="699"/>
      <c r="F38" s="168"/>
      <c r="G38" s="168"/>
      <c r="H38" s="168"/>
      <c r="I38" s="168"/>
      <c r="J38" s="36"/>
      <c r="K38" s="36"/>
      <c r="L38" s="36"/>
      <c r="N38" s="35" t="s">
        <v>487</v>
      </c>
      <c r="O38" s="122">
        <v>6130</v>
      </c>
    </row>
    <row r="39" spans="1:15" ht="19.5" customHeight="1" thickBot="1">
      <c r="A39" s="699"/>
      <c r="B39" s="229" t="s">
        <v>232</v>
      </c>
      <c r="C39" s="230"/>
      <c r="D39" s="230"/>
      <c r="E39" s="785">
        <f>SUM(E36,I36)/3</f>
        <v>0</v>
      </c>
      <c r="F39" s="375">
        <f>IF(ROUND(E39,0)=0,1,ROUND(E39,0))</f>
        <v>1</v>
      </c>
      <c r="G39" s="168"/>
      <c r="H39" s="168"/>
      <c r="I39" s="168"/>
      <c r="J39" s="168"/>
      <c r="K39" s="36"/>
      <c r="L39" s="36"/>
    </row>
    <row r="40" spans="1:15" ht="19.5" customHeight="1" thickBot="1">
      <c r="A40" s="699"/>
      <c r="B40" s="231" t="s">
        <v>233</v>
      </c>
      <c r="C40" s="230"/>
      <c r="D40" s="230"/>
      <c r="E40" s="782">
        <f>SUM(E36,I36)/5</f>
        <v>0</v>
      </c>
      <c r="F40" s="375">
        <f>IF(ROUND(E40,0)=0,1,ROUND(E40,0))</f>
        <v>1</v>
      </c>
      <c r="G40" s="168"/>
      <c r="H40" s="168"/>
      <c r="I40" s="168"/>
      <c r="J40" s="36"/>
      <c r="K40" s="36"/>
      <c r="L40" s="36"/>
    </row>
    <row r="41" spans="1:15" ht="19.5" customHeight="1">
      <c r="A41" s="699"/>
      <c r="B41" s="170"/>
      <c r="C41" s="170"/>
      <c r="D41" s="170"/>
      <c r="E41" s="732"/>
      <c r="F41" s="378"/>
      <c r="G41" s="168"/>
      <c r="H41" s="168"/>
      <c r="I41" s="168"/>
      <c r="J41" s="36"/>
      <c r="K41" s="36"/>
      <c r="L41" s="36"/>
    </row>
    <row r="42" spans="1:15" ht="19.5" customHeight="1">
      <c r="A42" s="699"/>
      <c r="B42" s="699"/>
      <c r="C42" s="699"/>
      <c r="D42" s="36"/>
      <c r="E42" s="170"/>
      <c r="F42" s="168"/>
      <c r="G42" s="168"/>
      <c r="H42" s="168"/>
      <c r="I42" s="168"/>
      <c r="J42" s="36"/>
      <c r="K42" s="36"/>
      <c r="L42" s="36"/>
    </row>
    <row r="43" spans="1:15" ht="19.5" customHeight="1">
      <c r="A43" s="170" t="s">
        <v>481</v>
      </c>
      <c r="B43" s="36"/>
      <c r="C43" s="36"/>
      <c r="D43" s="36"/>
      <c r="E43" s="36"/>
      <c r="F43" s="168"/>
      <c r="G43" s="168"/>
      <c r="H43" s="168"/>
      <c r="I43" s="168"/>
      <c r="J43" s="36"/>
      <c r="K43" s="36"/>
      <c r="L43" s="36"/>
    </row>
    <row r="44" spans="1:15" ht="19.5" customHeight="1">
      <c r="A44" s="36"/>
      <c r="B44" s="36"/>
      <c r="C44" s="36"/>
      <c r="D44" s="735" t="s">
        <v>497</v>
      </c>
      <c r="E44" s="784" t="s">
        <v>480</v>
      </c>
      <c r="F44" s="999" t="s">
        <v>482</v>
      </c>
      <c r="G44" s="1000"/>
      <c r="H44" s="1001"/>
      <c r="I44" s="784" t="s">
        <v>475</v>
      </c>
      <c r="J44" s="36"/>
      <c r="K44" s="36"/>
      <c r="L44" s="36"/>
    </row>
    <row r="45" spans="1:15" ht="19.5" customHeight="1">
      <c r="A45" s="36"/>
      <c r="B45" s="997" t="s">
        <v>477</v>
      </c>
      <c r="C45" s="998"/>
      <c r="D45" s="733">
        <f>L15*F39*O35</f>
        <v>480000</v>
      </c>
      <c r="E45" s="709">
        <f>O35</f>
        <v>40000</v>
      </c>
      <c r="F45" s="1002">
        <f>L15*F39*O37</f>
        <v>588120</v>
      </c>
      <c r="G45" s="1003"/>
      <c r="H45" s="1004"/>
      <c r="I45" s="709">
        <f>O37</f>
        <v>49010</v>
      </c>
      <c r="J45" s="36"/>
      <c r="K45" s="36"/>
      <c r="L45" s="36"/>
    </row>
    <row r="46" spans="1:15" ht="19.5" customHeight="1">
      <c r="A46" s="36"/>
      <c r="B46" s="997" t="s">
        <v>478</v>
      </c>
      <c r="C46" s="998"/>
      <c r="D46" s="733">
        <f>L15*F40*O36</f>
        <v>60000</v>
      </c>
      <c r="E46" s="709">
        <f>O36</f>
        <v>5000</v>
      </c>
      <c r="F46" s="1002">
        <f>L15*F40*O38</f>
        <v>73560</v>
      </c>
      <c r="G46" s="1003"/>
      <c r="H46" s="1004"/>
      <c r="I46" s="709">
        <f>O38</f>
        <v>6130</v>
      </c>
      <c r="J46" s="36"/>
      <c r="K46" s="36"/>
      <c r="L46" s="36"/>
    </row>
    <row r="47" spans="1:15" ht="19.5" customHeight="1">
      <c r="A47" s="36"/>
      <c r="B47" s="997" t="s">
        <v>377</v>
      </c>
      <c r="C47" s="998"/>
      <c r="D47" s="734">
        <f>SUM(D45:D46)</f>
        <v>540000</v>
      </c>
      <c r="E47" s="740"/>
      <c r="F47" s="1003">
        <f>SUM(F45:G46)</f>
        <v>661680</v>
      </c>
      <c r="G47" s="1003"/>
      <c r="H47" s="1004"/>
      <c r="I47" s="720"/>
      <c r="J47" s="699"/>
      <c r="K47" s="699"/>
      <c r="L47" s="36"/>
    </row>
    <row r="48" spans="1:15" ht="19.5" customHeight="1">
      <c r="A48" s="36"/>
      <c r="B48" s="36"/>
      <c r="C48" s="36"/>
      <c r="D48" s="36"/>
      <c r="E48" s="736"/>
      <c r="F48" s="36"/>
      <c r="G48" s="36"/>
      <c r="H48" s="36"/>
      <c r="I48" s="1042" t="s">
        <v>488</v>
      </c>
      <c r="J48" s="1043"/>
      <c r="K48" s="738">
        <f>ROUNDDOWN(F47*0.2,-1)</f>
        <v>132330</v>
      </c>
      <c r="L48" s="36"/>
    </row>
    <row r="49" spans="1:12" ht="19.5" customHeight="1">
      <c r="A49" s="36"/>
      <c r="B49" s="36"/>
      <c r="C49" s="36"/>
      <c r="D49" s="36"/>
      <c r="E49" s="36"/>
      <c r="F49" s="36"/>
      <c r="G49" s="36"/>
      <c r="H49" s="36"/>
      <c r="I49" s="739" t="s">
        <v>484</v>
      </c>
      <c r="J49" s="36"/>
      <c r="K49" s="36"/>
      <c r="L49" s="36"/>
    </row>
    <row r="50" spans="1:12" ht="19.5" customHeight="1">
      <c r="A50" s="36"/>
      <c r="B50" s="36"/>
      <c r="C50" s="36"/>
      <c r="D50" s="737"/>
      <c r="E50" s="737"/>
      <c r="F50" s="737"/>
      <c r="G50" s="737"/>
      <c r="H50" s="36"/>
      <c r="I50" s="168"/>
      <c r="J50" s="36"/>
      <c r="K50" s="36"/>
      <c r="L50" s="36"/>
    </row>
    <row r="51" spans="1:12" ht="19.5" customHeight="1"/>
    <row r="52" spans="1:12" ht="19.5" customHeight="1">
      <c r="F52" s="34"/>
      <c r="G52" s="34"/>
      <c r="H52" s="34"/>
    </row>
    <row r="53" spans="1:12" ht="33.75" customHeight="1">
      <c r="F53" s="34"/>
      <c r="G53" s="34"/>
      <c r="H53" s="34"/>
    </row>
    <row r="54" spans="1:12" ht="33.75" customHeight="1"/>
    <row r="55" spans="1:12" ht="33.75" customHeight="1"/>
    <row r="56" spans="1:12" ht="33.75" customHeight="1"/>
    <row r="57" spans="1:12" ht="33.75" customHeight="1">
      <c r="I57" s="34"/>
    </row>
    <row r="58" spans="1:12" ht="33.75" customHeight="1">
      <c r="F58" s="34"/>
      <c r="G58" s="34"/>
      <c r="H58" s="34"/>
      <c r="I58" s="34"/>
    </row>
    <row r="59" spans="1:12" ht="33.75" customHeight="1">
      <c r="F59" s="34"/>
      <c r="G59" s="34"/>
      <c r="H59" s="34"/>
      <c r="I59" s="34"/>
    </row>
    <row r="60" spans="1:12" ht="33.75" customHeight="1">
      <c r="F60" s="34"/>
      <c r="G60" s="34"/>
      <c r="H60" s="34"/>
      <c r="I60" s="34"/>
    </row>
    <row r="61" spans="1:12" ht="33.75" customHeight="1">
      <c r="F61" s="34"/>
      <c r="G61" s="34"/>
      <c r="H61" s="34"/>
      <c r="I61" s="34"/>
    </row>
    <row r="62" spans="1:12" ht="33.75" customHeight="1">
      <c r="F62" s="34"/>
      <c r="G62" s="34"/>
      <c r="H62" s="34"/>
      <c r="I62" s="34"/>
    </row>
    <row r="63" spans="1:12" ht="33.75" customHeight="1">
      <c r="F63" s="34"/>
      <c r="G63" s="34"/>
      <c r="H63" s="34"/>
      <c r="I63" s="34"/>
    </row>
    <row r="64" spans="1:12" ht="20.25" customHeight="1">
      <c r="F64" s="34"/>
      <c r="G64" s="34"/>
      <c r="H64" s="34"/>
      <c r="I64" s="34"/>
    </row>
    <row r="65" s="34" customFormat="1" ht="20.25" customHeight="1"/>
    <row r="66" s="34" customFormat="1" ht="20.25" customHeight="1"/>
    <row r="67" s="34" customFormat="1" ht="20.25" customHeight="1"/>
    <row r="68" s="34" customFormat="1" ht="20.25" customHeight="1"/>
    <row r="69" s="34" customFormat="1" ht="20.25" customHeight="1"/>
    <row r="70" s="34" customFormat="1" ht="20.25" customHeight="1"/>
    <row r="71" s="34" customFormat="1" ht="20.25" customHeight="1"/>
    <row r="72" s="34" customFormat="1" ht="20.25" customHeight="1"/>
    <row r="73" s="34" customFormat="1" ht="20.25" customHeight="1"/>
    <row r="74" s="34" customFormat="1" ht="20.25" customHeight="1"/>
    <row r="75" s="34" customFormat="1" ht="20.25" customHeight="1"/>
    <row r="76" s="34" customFormat="1" ht="20.25" customHeight="1"/>
    <row r="77" s="34" customFormat="1" ht="20.25" customHeight="1"/>
    <row r="78" s="34" customFormat="1" ht="20.25" customHeight="1"/>
    <row r="79" s="34" customFormat="1" ht="20.25" customHeight="1"/>
    <row r="80" s="34" customFormat="1" ht="20.25" customHeight="1"/>
    <row r="81" s="34" customFormat="1" ht="20.25" customHeight="1"/>
    <row r="82" s="34" customFormat="1" ht="20.25" customHeight="1"/>
    <row r="83" s="34" customFormat="1" ht="20.25" customHeight="1"/>
    <row r="84" s="34" customFormat="1" ht="20.25" customHeight="1"/>
    <row r="85" s="34" customFormat="1" ht="20.25" customHeight="1"/>
    <row r="86" s="34" customFormat="1" ht="20.25" customHeight="1"/>
    <row r="87" s="34" customFormat="1" ht="20.25" customHeight="1"/>
    <row r="88" s="34" customFormat="1" ht="20.25" customHeight="1"/>
    <row r="89" s="34" customFormat="1" ht="20.25" customHeight="1"/>
    <row r="90" s="34" customFormat="1" ht="20.25" customHeight="1"/>
    <row r="91" s="34" customFormat="1" ht="20.25" customHeight="1"/>
    <row r="92" s="34" customFormat="1" ht="20.25" customHeight="1"/>
    <row r="93" s="34" customFormat="1" ht="20.25" customHeight="1"/>
    <row r="94" s="34" customFormat="1" ht="20.25" customHeight="1"/>
    <row r="95" s="34" customFormat="1" ht="20.25" customHeight="1"/>
    <row r="96" s="34" customFormat="1" ht="20.25" customHeight="1"/>
    <row r="97" s="34" customFormat="1" ht="20.25" customHeight="1"/>
    <row r="98" s="34" customFormat="1" ht="20.25" customHeight="1"/>
    <row r="99" s="34" customFormat="1" ht="20.25" customHeight="1"/>
    <row r="100" s="34" customFormat="1" ht="20.25" customHeight="1"/>
    <row r="101" s="34" customFormat="1" ht="20.25" customHeight="1"/>
    <row r="102" s="34" customFormat="1" ht="20.25" customHeight="1"/>
    <row r="103" s="34" customFormat="1" ht="20.25" customHeight="1"/>
    <row r="104" s="34" customFormat="1" ht="20.25" customHeight="1"/>
    <row r="105" s="34" customFormat="1" ht="20.25" customHeight="1"/>
    <row r="106" s="34" customFormat="1" ht="20.25" customHeight="1"/>
    <row r="107" s="34" customFormat="1" ht="20.25" customHeight="1"/>
    <row r="108" s="34" customFormat="1" ht="20.25" customHeight="1"/>
    <row r="109" s="34" customFormat="1" ht="20.25" customHeight="1"/>
    <row r="110" s="34" customFormat="1" ht="20.25" customHeight="1"/>
    <row r="111" s="34" customFormat="1" ht="20.25" customHeight="1"/>
    <row r="112" s="34" customFormat="1" ht="20.25" customHeight="1"/>
    <row r="113" spans="6:9" ht="20.25" customHeight="1">
      <c r="F113" s="34"/>
      <c r="G113" s="34"/>
      <c r="H113" s="34"/>
      <c r="I113" s="34"/>
    </row>
    <row r="114" spans="6:9" ht="20.25" customHeight="1">
      <c r="F114" s="34"/>
      <c r="G114" s="34"/>
      <c r="H114" s="34"/>
      <c r="I114" s="34"/>
    </row>
    <row r="115" spans="6:9" ht="20.25" customHeight="1">
      <c r="F115" s="34"/>
      <c r="G115" s="34"/>
      <c r="H115" s="34"/>
      <c r="I115" s="34"/>
    </row>
    <row r="116" spans="6:9" ht="20.25" customHeight="1">
      <c r="F116" s="34"/>
      <c r="G116" s="34"/>
      <c r="H116" s="34"/>
      <c r="I116" s="34"/>
    </row>
    <row r="117" spans="6:9" ht="20.25" customHeight="1">
      <c r="F117" s="34"/>
      <c r="G117" s="34"/>
      <c r="H117" s="34"/>
      <c r="I117" s="34"/>
    </row>
    <row r="118" spans="6:9" ht="20.25" customHeight="1">
      <c r="F118" s="34"/>
      <c r="G118" s="34"/>
      <c r="H118" s="34"/>
      <c r="I118" s="34"/>
    </row>
    <row r="119" spans="6:9" ht="20.25" customHeight="1">
      <c r="F119" s="34"/>
      <c r="G119" s="34"/>
      <c r="H119" s="34"/>
      <c r="I119" s="34"/>
    </row>
    <row r="120" spans="6:9" ht="20.25" customHeight="1">
      <c r="F120" s="34"/>
      <c r="G120" s="34"/>
      <c r="H120" s="34"/>
      <c r="I120" s="34"/>
    </row>
    <row r="121" spans="6:9" ht="20.25" customHeight="1">
      <c r="F121" s="34"/>
      <c r="G121" s="34"/>
      <c r="H121" s="34"/>
      <c r="I121" s="34"/>
    </row>
    <row r="122" spans="6:9" ht="20.25" customHeight="1">
      <c r="F122" s="34"/>
      <c r="G122" s="34"/>
      <c r="H122" s="34"/>
      <c r="I122" s="34"/>
    </row>
    <row r="123" spans="6:9" ht="20.25" customHeight="1"/>
    <row r="124" spans="6:9" ht="20.25" customHeight="1"/>
  </sheetData>
  <sheetProtection algorithmName="SHA-512" hashValue="Kz3hkkXhonepe7uQOht6lLMeIwGOx5uyZg9iYJYA8fQArCquKCC+C3jzY3cDZQxYByK1tqibCUlJRW9R47viRw==" saltValue="JCIViWRBWLbeQHlfBskPfg==" spinCount="100000" sheet="1" objects="1" scenarios="1"/>
  <customSheetViews>
    <customSheetView guid="{2E52E5FF-9846-4DC5-A671-268FE925398C}" scale="85" showPageBreaks="1" printArea="1" view="pageBreakPreview" topLeftCell="A22">
      <selection activeCell="E23" sqref="E23"/>
      <pageMargins left="0.7" right="0.7" top="0.75" bottom="0.75" header="0.3" footer="0.3"/>
      <pageSetup paperSize="9" scale="69" orientation="portrait" r:id="rId1"/>
    </customSheetView>
    <customSheetView guid="{BADA99B3-B36A-4925-87A7-F72FC97D3DBA}" scale="85" showPageBreaks="1" printArea="1" view="pageBreakPreview" topLeftCell="A16">
      <selection activeCell="J38" sqref="J38:K38"/>
      <pageMargins left="0.7" right="0.7" top="0.75" bottom="0.75" header="0.3" footer="0.3"/>
      <pageSetup paperSize="9" scale="69" orientation="portrait" r:id="rId2"/>
    </customSheetView>
  </customSheetViews>
  <mergeCells count="39">
    <mergeCell ref="I48:J48"/>
    <mergeCell ref="A1:C1"/>
    <mergeCell ref="J1:L1"/>
    <mergeCell ref="A2:L2"/>
    <mergeCell ref="C20:D20"/>
    <mergeCell ref="B7:E7"/>
    <mergeCell ref="B8:E8"/>
    <mergeCell ref="C9:D9"/>
    <mergeCell ref="H9:L12"/>
    <mergeCell ref="C10:D10"/>
    <mergeCell ref="C11:D11"/>
    <mergeCell ref="C12:D12"/>
    <mergeCell ref="C13:L14"/>
    <mergeCell ref="E18:H18"/>
    <mergeCell ref="I18:L18"/>
    <mergeCell ref="G19:H19"/>
    <mergeCell ref="B5:E5"/>
    <mergeCell ref="B6:E6"/>
    <mergeCell ref="F6:G6"/>
    <mergeCell ref="I4:I5"/>
    <mergeCell ref="J4:L5"/>
    <mergeCell ref="K19:L19"/>
    <mergeCell ref="C28:D28"/>
    <mergeCell ref="I29:J32"/>
    <mergeCell ref="B36:D36"/>
    <mergeCell ref="B15:H15"/>
    <mergeCell ref="E27:H27"/>
    <mergeCell ref="I27:L27"/>
    <mergeCell ref="E35:H35"/>
    <mergeCell ref="I35:L35"/>
    <mergeCell ref="E36:H36"/>
    <mergeCell ref="I36:L36"/>
    <mergeCell ref="B45:C45"/>
    <mergeCell ref="B46:C46"/>
    <mergeCell ref="B47:C47"/>
    <mergeCell ref="F44:H44"/>
    <mergeCell ref="F45:H45"/>
    <mergeCell ref="F46:H46"/>
    <mergeCell ref="F47:H47"/>
  </mergeCells>
  <phoneticPr fontId="36"/>
  <dataValidations disablePrompts="1" count="2">
    <dataValidation type="list" errorStyle="warning" allowBlank="1" showInputMessage="1" showErrorMessage="1" sqref="E28:E33 E24 I24 I28" xr:uid="{00000000-0002-0000-2800-000000000000}">
      <formula1>$O$3:$O$5</formula1>
    </dataValidation>
    <dataValidation type="list" allowBlank="1" showInputMessage="1" showErrorMessage="1" sqref="WLQ983067 E65565:E65569 JA65567:JA65571 SW65567:SW65571 ACS65567:ACS65571 AMO65567:AMO65571 AWK65567:AWK65571 BGG65567:BGG65571 BQC65567:BQC65571 BZY65567:BZY65571 CJU65567:CJU65571 CTQ65567:CTQ65571 DDM65567:DDM65571 DNI65567:DNI65571 DXE65567:DXE65571 EHA65567:EHA65571 EQW65567:EQW65571 FAS65567:FAS65571 FKO65567:FKO65571 FUK65567:FUK65571 GEG65567:GEG65571 GOC65567:GOC65571 GXY65567:GXY65571 HHU65567:HHU65571 HRQ65567:HRQ65571 IBM65567:IBM65571 ILI65567:ILI65571 IVE65567:IVE65571 JFA65567:JFA65571 JOW65567:JOW65571 JYS65567:JYS65571 KIO65567:KIO65571 KSK65567:KSK65571 LCG65567:LCG65571 LMC65567:LMC65571 LVY65567:LVY65571 MFU65567:MFU65571 MPQ65567:MPQ65571 MZM65567:MZM65571 NJI65567:NJI65571 NTE65567:NTE65571 ODA65567:ODA65571 OMW65567:OMW65571 OWS65567:OWS65571 PGO65567:PGO65571 PQK65567:PQK65571 QAG65567:QAG65571 QKC65567:QKC65571 QTY65567:QTY65571 RDU65567:RDU65571 RNQ65567:RNQ65571 RXM65567:RXM65571 SHI65567:SHI65571 SRE65567:SRE65571 TBA65567:TBA65571 TKW65567:TKW65571 TUS65567:TUS65571 UEO65567:UEO65571 UOK65567:UOK65571 UYG65567:UYG65571 VIC65567:VIC65571 VRY65567:VRY65571 WBU65567:WBU65571 WLQ65567:WLQ65571 WVM65567:WVM65571 E131101:E131105 JA131103:JA131107 SW131103:SW131107 ACS131103:ACS131107 AMO131103:AMO131107 AWK131103:AWK131107 BGG131103:BGG131107 BQC131103:BQC131107 BZY131103:BZY131107 CJU131103:CJU131107 CTQ131103:CTQ131107 DDM131103:DDM131107 DNI131103:DNI131107 DXE131103:DXE131107 EHA131103:EHA131107 EQW131103:EQW131107 FAS131103:FAS131107 FKO131103:FKO131107 FUK131103:FUK131107 GEG131103:GEG131107 GOC131103:GOC131107 GXY131103:GXY131107 HHU131103:HHU131107 HRQ131103:HRQ131107 IBM131103:IBM131107 ILI131103:ILI131107 IVE131103:IVE131107 JFA131103:JFA131107 JOW131103:JOW131107 JYS131103:JYS131107 KIO131103:KIO131107 KSK131103:KSK131107 LCG131103:LCG131107 LMC131103:LMC131107 LVY131103:LVY131107 MFU131103:MFU131107 MPQ131103:MPQ131107 MZM131103:MZM131107 NJI131103:NJI131107 NTE131103:NTE131107 ODA131103:ODA131107 OMW131103:OMW131107 OWS131103:OWS131107 PGO131103:PGO131107 PQK131103:PQK131107 QAG131103:QAG131107 QKC131103:QKC131107 QTY131103:QTY131107 RDU131103:RDU131107 RNQ131103:RNQ131107 RXM131103:RXM131107 SHI131103:SHI131107 SRE131103:SRE131107 TBA131103:TBA131107 TKW131103:TKW131107 TUS131103:TUS131107 UEO131103:UEO131107 UOK131103:UOK131107 UYG131103:UYG131107 VIC131103:VIC131107 VRY131103:VRY131107 WBU131103:WBU131107 WLQ131103:WLQ131107 WVM131103:WVM131107 E196637:E196641 JA196639:JA196643 SW196639:SW196643 ACS196639:ACS196643 AMO196639:AMO196643 AWK196639:AWK196643 BGG196639:BGG196643 BQC196639:BQC196643 BZY196639:BZY196643 CJU196639:CJU196643 CTQ196639:CTQ196643 DDM196639:DDM196643 DNI196639:DNI196643 DXE196639:DXE196643 EHA196639:EHA196643 EQW196639:EQW196643 FAS196639:FAS196643 FKO196639:FKO196643 FUK196639:FUK196643 GEG196639:GEG196643 GOC196639:GOC196643 GXY196639:GXY196643 HHU196639:HHU196643 HRQ196639:HRQ196643 IBM196639:IBM196643 ILI196639:ILI196643 IVE196639:IVE196643 JFA196639:JFA196643 JOW196639:JOW196643 JYS196639:JYS196643 KIO196639:KIO196643 KSK196639:KSK196643 LCG196639:LCG196643 LMC196639:LMC196643 LVY196639:LVY196643 MFU196639:MFU196643 MPQ196639:MPQ196643 MZM196639:MZM196643 NJI196639:NJI196643 NTE196639:NTE196643 ODA196639:ODA196643 OMW196639:OMW196643 OWS196639:OWS196643 PGO196639:PGO196643 PQK196639:PQK196643 QAG196639:QAG196643 QKC196639:QKC196643 QTY196639:QTY196643 RDU196639:RDU196643 RNQ196639:RNQ196643 RXM196639:RXM196643 SHI196639:SHI196643 SRE196639:SRE196643 TBA196639:TBA196643 TKW196639:TKW196643 TUS196639:TUS196643 UEO196639:UEO196643 UOK196639:UOK196643 UYG196639:UYG196643 VIC196639:VIC196643 VRY196639:VRY196643 WBU196639:WBU196643 WLQ196639:WLQ196643 WVM196639:WVM196643 E262173:E262177 JA262175:JA262179 SW262175:SW262179 ACS262175:ACS262179 AMO262175:AMO262179 AWK262175:AWK262179 BGG262175:BGG262179 BQC262175:BQC262179 BZY262175:BZY262179 CJU262175:CJU262179 CTQ262175:CTQ262179 DDM262175:DDM262179 DNI262175:DNI262179 DXE262175:DXE262179 EHA262175:EHA262179 EQW262175:EQW262179 FAS262175:FAS262179 FKO262175:FKO262179 FUK262175:FUK262179 GEG262175:GEG262179 GOC262175:GOC262179 GXY262175:GXY262179 HHU262175:HHU262179 HRQ262175:HRQ262179 IBM262175:IBM262179 ILI262175:ILI262179 IVE262175:IVE262179 JFA262175:JFA262179 JOW262175:JOW262179 JYS262175:JYS262179 KIO262175:KIO262179 KSK262175:KSK262179 LCG262175:LCG262179 LMC262175:LMC262179 LVY262175:LVY262179 MFU262175:MFU262179 MPQ262175:MPQ262179 MZM262175:MZM262179 NJI262175:NJI262179 NTE262175:NTE262179 ODA262175:ODA262179 OMW262175:OMW262179 OWS262175:OWS262179 PGO262175:PGO262179 PQK262175:PQK262179 QAG262175:QAG262179 QKC262175:QKC262179 QTY262175:QTY262179 RDU262175:RDU262179 RNQ262175:RNQ262179 RXM262175:RXM262179 SHI262175:SHI262179 SRE262175:SRE262179 TBA262175:TBA262179 TKW262175:TKW262179 TUS262175:TUS262179 UEO262175:UEO262179 UOK262175:UOK262179 UYG262175:UYG262179 VIC262175:VIC262179 VRY262175:VRY262179 WBU262175:WBU262179 WLQ262175:WLQ262179 WVM262175:WVM262179 E327709:E327713 JA327711:JA327715 SW327711:SW327715 ACS327711:ACS327715 AMO327711:AMO327715 AWK327711:AWK327715 BGG327711:BGG327715 BQC327711:BQC327715 BZY327711:BZY327715 CJU327711:CJU327715 CTQ327711:CTQ327715 DDM327711:DDM327715 DNI327711:DNI327715 DXE327711:DXE327715 EHA327711:EHA327715 EQW327711:EQW327715 FAS327711:FAS327715 FKO327711:FKO327715 FUK327711:FUK327715 GEG327711:GEG327715 GOC327711:GOC327715 GXY327711:GXY327715 HHU327711:HHU327715 HRQ327711:HRQ327715 IBM327711:IBM327715 ILI327711:ILI327715 IVE327711:IVE327715 JFA327711:JFA327715 JOW327711:JOW327715 JYS327711:JYS327715 KIO327711:KIO327715 KSK327711:KSK327715 LCG327711:LCG327715 LMC327711:LMC327715 LVY327711:LVY327715 MFU327711:MFU327715 MPQ327711:MPQ327715 MZM327711:MZM327715 NJI327711:NJI327715 NTE327711:NTE327715 ODA327711:ODA327715 OMW327711:OMW327715 OWS327711:OWS327715 PGO327711:PGO327715 PQK327711:PQK327715 QAG327711:QAG327715 QKC327711:QKC327715 QTY327711:QTY327715 RDU327711:RDU327715 RNQ327711:RNQ327715 RXM327711:RXM327715 SHI327711:SHI327715 SRE327711:SRE327715 TBA327711:TBA327715 TKW327711:TKW327715 TUS327711:TUS327715 UEO327711:UEO327715 UOK327711:UOK327715 UYG327711:UYG327715 VIC327711:VIC327715 VRY327711:VRY327715 WBU327711:WBU327715 WLQ327711:WLQ327715 WVM327711:WVM327715 E393245:E393249 JA393247:JA393251 SW393247:SW393251 ACS393247:ACS393251 AMO393247:AMO393251 AWK393247:AWK393251 BGG393247:BGG393251 BQC393247:BQC393251 BZY393247:BZY393251 CJU393247:CJU393251 CTQ393247:CTQ393251 DDM393247:DDM393251 DNI393247:DNI393251 DXE393247:DXE393251 EHA393247:EHA393251 EQW393247:EQW393251 FAS393247:FAS393251 FKO393247:FKO393251 FUK393247:FUK393251 GEG393247:GEG393251 GOC393247:GOC393251 GXY393247:GXY393251 HHU393247:HHU393251 HRQ393247:HRQ393251 IBM393247:IBM393251 ILI393247:ILI393251 IVE393247:IVE393251 JFA393247:JFA393251 JOW393247:JOW393251 JYS393247:JYS393251 KIO393247:KIO393251 KSK393247:KSK393251 LCG393247:LCG393251 LMC393247:LMC393251 LVY393247:LVY393251 MFU393247:MFU393251 MPQ393247:MPQ393251 MZM393247:MZM393251 NJI393247:NJI393251 NTE393247:NTE393251 ODA393247:ODA393251 OMW393247:OMW393251 OWS393247:OWS393251 PGO393247:PGO393251 PQK393247:PQK393251 QAG393247:QAG393251 QKC393247:QKC393251 QTY393247:QTY393251 RDU393247:RDU393251 RNQ393247:RNQ393251 RXM393247:RXM393251 SHI393247:SHI393251 SRE393247:SRE393251 TBA393247:TBA393251 TKW393247:TKW393251 TUS393247:TUS393251 UEO393247:UEO393251 UOK393247:UOK393251 UYG393247:UYG393251 VIC393247:VIC393251 VRY393247:VRY393251 WBU393247:WBU393251 WLQ393247:WLQ393251 WVM393247:WVM393251 E458781:E458785 JA458783:JA458787 SW458783:SW458787 ACS458783:ACS458787 AMO458783:AMO458787 AWK458783:AWK458787 BGG458783:BGG458787 BQC458783:BQC458787 BZY458783:BZY458787 CJU458783:CJU458787 CTQ458783:CTQ458787 DDM458783:DDM458787 DNI458783:DNI458787 DXE458783:DXE458787 EHA458783:EHA458787 EQW458783:EQW458787 FAS458783:FAS458787 FKO458783:FKO458787 FUK458783:FUK458787 GEG458783:GEG458787 GOC458783:GOC458787 GXY458783:GXY458787 HHU458783:HHU458787 HRQ458783:HRQ458787 IBM458783:IBM458787 ILI458783:ILI458787 IVE458783:IVE458787 JFA458783:JFA458787 JOW458783:JOW458787 JYS458783:JYS458787 KIO458783:KIO458787 KSK458783:KSK458787 LCG458783:LCG458787 LMC458783:LMC458787 LVY458783:LVY458787 MFU458783:MFU458787 MPQ458783:MPQ458787 MZM458783:MZM458787 NJI458783:NJI458787 NTE458783:NTE458787 ODA458783:ODA458787 OMW458783:OMW458787 OWS458783:OWS458787 PGO458783:PGO458787 PQK458783:PQK458787 QAG458783:QAG458787 QKC458783:QKC458787 QTY458783:QTY458787 RDU458783:RDU458787 RNQ458783:RNQ458787 RXM458783:RXM458787 SHI458783:SHI458787 SRE458783:SRE458787 TBA458783:TBA458787 TKW458783:TKW458787 TUS458783:TUS458787 UEO458783:UEO458787 UOK458783:UOK458787 UYG458783:UYG458787 VIC458783:VIC458787 VRY458783:VRY458787 WBU458783:WBU458787 WLQ458783:WLQ458787 WVM458783:WVM458787 E524317:E524321 JA524319:JA524323 SW524319:SW524323 ACS524319:ACS524323 AMO524319:AMO524323 AWK524319:AWK524323 BGG524319:BGG524323 BQC524319:BQC524323 BZY524319:BZY524323 CJU524319:CJU524323 CTQ524319:CTQ524323 DDM524319:DDM524323 DNI524319:DNI524323 DXE524319:DXE524323 EHA524319:EHA524323 EQW524319:EQW524323 FAS524319:FAS524323 FKO524319:FKO524323 FUK524319:FUK524323 GEG524319:GEG524323 GOC524319:GOC524323 GXY524319:GXY524323 HHU524319:HHU524323 HRQ524319:HRQ524323 IBM524319:IBM524323 ILI524319:ILI524323 IVE524319:IVE524323 JFA524319:JFA524323 JOW524319:JOW524323 JYS524319:JYS524323 KIO524319:KIO524323 KSK524319:KSK524323 LCG524319:LCG524323 LMC524319:LMC524323 LVY524319:LVY524323 MFU524319:MFU524323 MPQ524319:MPQ524323 MZM524319:MZM524323 NJI524319:NJI524323 NTE524319:NTE524323 ODA524319:ODA524323 OMW524319:OMW524323 OWS524319:OWS524323 PGO524319:PGO524323 PQK524319:PQK524323 QAG524319:QAG524323 QKC524319:QKC524323 QTY524319:QTY524323 RDU524319:RDU524323 RNQ524319:RNQ524323 RXM524319:RXM524323 SHI524319:SHI524323 SRE524319:SRE524323 TBA524319:TBA524323 TKW524319:TKW524323 TUS524319:TUS524323 UEO524319:UEO524323 UOK524319:UOK524323 UYG524319:UYG524323 VIC524319:VIC524323 VRY524319:VRY524323 WBU524319:WBU524323 WLQ524319:WLQ524323 WVM524319:WVM524323 E589853:E589857 JA589855:JA589859 SW589855:SW589859 ACS589855:ACS589859 AMO589855:AMO589859 AWK589855:AWK589859 BGG589855:BGG589859 BQC589855:BQC589859 BZY589855:BZY589859 CJU589855:CJU589859 CTQ589855:CTQ589859 DDM589855:DDM589859 DNI589855:DNI589859 DXE589855:DXE589859 EHA589855:EHA589859 EQW589855:EQW589859 FAS589855:FAS589859 FKO589855:FKO589859 FUK589855:FUK589859 GEG589855:GEG589859 GOC589855:GOC589859 GXY589855:GXY589859 HHU589855:HHU589859 HRQ589855:HRQ589859 IBM589855:IBM589859 ILI589855:ILI589859 IVE589855:IVE589859 JFA589855:JFA589859 JOW589855:JOW589859 JYS589855:JYS589859 KIO589855:KIO589859 KSK589855:KSK589859 LCG589855:LCG589859 LMC589855:LMC589859 LVY589855:LVY589859 MFU589855:MFU589859 MPQ589855:MPQ589859 MZM589855:MZM589859 NJI589855:NJI589859 NTE589855:NTE589859 ODA589855:ODA589859 OMW589855:OMW589859 OWS589855:OWS589859 PGO589855:PGO589859 PQK589855:PQK589859 QAG589855:QAG589859 QKC589855:QKC589859 QTY589855:QTY589859 RDU589855:RDU589859 RNQ589855:RNQ589859 RXM589855:RXM589859 SHI589855:SHI589859 SRE589855:SRE589859 TBA589855:TBA589859 TKW589855:TKW589859 TUS589855:TUS589859 UEO589855:UEO589859 UOK589855:UOK589859 UYG589855:UYG589859 VIC589855:VIC589859 VRY589855:VRY589859 WBU589855:WBU589859 WLQ589855:WLQ589859 WVM589855:WVM589859 E655389:E655393 JA655391:JA655395 SW655391:SW655395 ACS655391:ACS655395 AMO655391:AMO655395 AWK655391:AWK655395 BGG655391:BGG655395 BQC655391:BQC655395 BZY655391:BZY655395 CJU655391:CJU655395 CTQ655391:CTQ655395 DDM655391:DDM655395 DNI655391:DNI655395 DXE655391:DXE655395 EHA655391:EHA655395 EQW655391:EQW655395 FAS655391:FAS655395 FKO655391:FKO655395 FUK655391:FUK655395 GEG655391:GEG655395 GOC655391:GOC655395 GXY655391:GXY655395 HHU655391:HHU655395 HRQ655391:HRQ655395 IBM655391:IBM655395 ILI655391:ILI655395 IVE655391:IVE655395 JFA655391:JFA655395 JOW655391:JOW655395 JYS655391:JYS655395 KIO655391:KIO655395 KSK655391:KSK655395 LCG655391:LCG655395 LMC655391:LMC655395 LVY655391:LVY655395 MFU655391:MFU655395 MPQ655391:MPQ655395 MZM655391:MZM655395 NJI655391:NJI655395 NTE655391:NTE655395 ODA655391:ODA655395 OMW655391:OMW655395 OWS655391:OWS655395 PGO655391:PGO655395 PQK655391:PQK655395 QAG655391:QAG655395 QKC655391:QKC655395 QTY655391:QTY655395 RDU655391:RDU655395 RNQ655391:RNQ655395 RXM655391:RXM655395 SHI655391:SHI655395 SRE655391:SRE655395 TBA655391:TBA655395 TKW655391:TKW655395 TUS655391:TUS655395 UEO655391:UEO655395 UOK655391:UOK655395 UYG655391:UYG655395 VIC655391:VIC655395 VRY655391:VRY655395 WBU655391:WBU655395 WLQ655391:WLQ655395 WVM655391:WVM655395 E720925:E720929 JA720927:JA720931 SW720927:SW720931 ACS720927:ACS720931 AMO720927:AMO720931 AWK720927:AWK720931 BGG720927:BGG720931 BQC720927:BQC720931 BZY720927:BZY720931 CJU720927:CJU720931 CTQ720927:CTQ720931 DDM720927:DDM720931 DNI720927:DNI720931 DXE720927:DXE720931 EHA720927:EHA720931 EQW720927:EQW720931 FAS720927:FAS720931 FKO720927:FKO720931 FUK720927:FUK720931 GEG720927:GEG720931 GOC720927:GOC720931 GXY720927:GXY720931 HHU720927:HHU720931 HRQ720927:HRQ720931 IBM720927:IBM720931 ILI720927:ILI720931 IVE720927:IVE720931 JFA720927:JFA720931 JOW720927:JOW720931 JYS720927:JYS720931 KIO720927:KIO720931 KSK720927:KSK720931 LCG720927:LCG720931 LMC720927:LMC720931 LVY720927:LVY720931 MFU720927:MFU720931 MPQ720927:MPQ720931 MZM720927:MZM720931 NJI720927:NJI720931 NTE720927:NTE720931 ODA720927:ODA720931 OMW720927:OMW720931 OWS720927:OWS720931 PGO720927:PGO720931 PQK720927:PQK720931 QAG720927:QAG720931 QKC720927:QKC720931 QTY720927:QTY720931 RDU720927:RDU720931 RNQ720927:RNQ720931 RXM720927:RXM720931 SHI720927:SHI720931 SRE720927:SRE720931 TBA720927:TBA720931 TKW720927:TKW720931 TUS720927:TUS720931 UEO720927:UEO720931 UOK720927:UOK720931 UYG720927:UYG720931 VIC720927:VIC720931 VRY720927:VRY720931 WBU720927:WBU720931 WLQ720927:WLQ720931 WVM720927:WVM720931 E786461:E786465 JA786463:JA786467 SW786463:SW786467 ACS786463:ACS786467 AMO786463:AMO786467 AWK786463:AWK786467 BGG786463:BGG786467 BQC786463:BQC786467 BZY786463:BZY786467 CJU786463:CJU786467 CTQ786463:CTQ786467 DDM786463:DDM786467 DNI786463:DNI786467 DXE786463:DXE786467 EHA786463:EHA786467 EQW786463:EQW786467 FAS786463:FAS786467 FKO786463:FKO786467 FUK786463:FUK786467 GEG786463:GEG786467 GOC786463:GOC786467 GXY786463:GXY786467 HHU786463:HHU786467 HRQ786463:HRQ786467 IBM786463:IBM786467 ILI786463:ILI786467 IVE786463:IVE786467 JFA786463:JFA786467 JOW786463:JOW786467 JYS786463:JYS786467 KIO786463:KIO786467 KSK786463:KSK786467 LCG786463:LCG786467 LMC786463:LMC786467 LVY786463:LVY786467 MFU786463:MFU786467 MPQ786463:MPQ786467 MZM786463:MZM786467 NJI786463:NJI786467 NTE786463:NTE786467 ODA786463:ODA786467 OMW786463:OMW786467 OWS786463:OWS786467 PGO786463:PGO786467 PQK786463:PQK786467 QAG786463:QAG786467 QKC786463:QKC786467 QTY786463:QTY786467 RDU786463:RDU786467 RNQ786463:RNQ786467 RXM786463:RXM786467 SHI786463:SHI786467 SRE786463:SRE786467 TBA786463:TBA786467 TKW786463:TKW786467 TUS786463:TUS786467 UEO786463:UEO786467 UOK786463:UOK786467 UYG786463:UYG786467 VIC786463:VIC786467 VRY786463:VRY786467 WBU786463:WBU786467 WLQ786463:WLQ786467 WVM786463:WVM786467 E851997:E852001 JA851999:JA852003 SW851999:SW852003 ACS851999:ACS852003 AMO851999:AMO852003 AWK851999:AWK852003 BGG851999:BGG852003 BQC851999:BQC852003 BZY851999:BZY852003 CJU851999:CJU852003 CTQ851999:CTQ852003 DDM851999:DDM852003 DNI851999:DNI852003 DXE851999:DXE852003 EHA851999:EHA852003 EQW851999:EQW852003 FAS851999:FAS852003 FKO851999:FKO852003 FUK851999:FUK852003 GEG851999:GEG852003 GOC851999:GOC852003 GXY851999:GXY852003 HHU851999:HHU852003 HRQ851999:HRQ852003 IBM851999:IBM852003 ILI851999:ILI852003 IVE851999:IVE852003 JFA851999:JFA852003 JOW851999:JOW852003 JYS851999:JYS852003 KIO851999:KIO852003 KSK851999:KSK852003 LCG851999:LCG852003 LMC851999:LMC852003 LVY851999:LVY852003 MFU851999:MFU852003 MPQ851999:MPQ852003 MZM851999:MZM852003 NJI851999:NJI852003 NTE851999:NTE852003 ODA851999:ODA852003 OMW851999:OMW852003 OWS851999:OWS852003 PGO851999:PGO852003 PQK851999:PQK852003 QAG851999:QAG852003 QKC851999:QKC852003 QTY851999:QTY852003 RDU851999:RDU852003 RNQ851999:RNQ852003 RXM851999:RXM852003 SHI851999:SHI852003 SRE851999:SRE852003 TBA851999:TBA852003 TKW851999:TKW852003 TUS851999:TUS852003 UEO851999:UEO852003 UOK851999:UOK852003 UYG851999:UYG852003 VIC851999:VIC852003 VRY851999:VRY852003 WBU851999:WBU852003 WLQ851999:WLQ852003 WVM851999:WVM852003 E917533:E917537 JA917535:JA917539 SW917535:SW917539 ACS917535:ACS917539 AMO917535:AMO917539 AWK917535:AWK917539 BGG917535:BGG917539 BQC917535:BQC917539 BZY917535:BZY917539 CJU917535:CJU917539 CTQ917535:CTQ917539 DDM917535:DDM917539 DNI917535:DNI917539 DXE917535:DXE917539 EHA917535:EHA917539 EQW917535:EQW917539 FAS917535:FAS917539 FKO917535:FKO917539 FUK917535:FUK917539 GEG917535:GEG917539 GOC917535:GOC917539 GXY917535:GXY917539 HHU917535:HHU917539 HRQ917535:HRQ917539 IBM917535:IBM917539 ILI917535:ILI917539 IVE917535:IVE917539 JFA917535:JFA917539 JOW917535:JOW917539 JYS917535:JYS917539 KIO917535:KIO917539 KSK917535:KSK917539 LCG917535:LCG917539 LMC917535:LMC917539 LVY917535:LVY917539 MFU917535:MFU917539 MPQ917535:MPQ917539 MZM917535:MZM917539 NJI917535:NJI917539 NTE917535:NTE917539 ODA917535:ODA917539 OMW917535:OMW917539 OWS917535:OWS917539 PGO917535:PGO917539 PQK917535:PQK917539 QAG917535:QAG917539 QKC917535:QKC917539 QTY917535:QTY917539 RDU917535:RDU917539 RNQ917535:RNQ917539 RXM917535:RXM917539 SHI917535:SHI917539 SRE917535:SRE917539 TBA917535:TBA917539 TKW917535:TKW917539 TUS917535:TUS917539 UEO917535:UEO917539 UOK917535:UOK917539 UYG917535:UYG917539 VIC917535:VIC917539 VRY917535:VRY917539 WBU917535:WBU917539 WLQ917535:WLQ917539 WVM917535:WVM917539 E983069:E983073 JA983071:JA983075 SW983071:SW983075 ACS983071:ACS983075 AMO983071:AMO983075 AWK983071:AWK983075 BGG983071:BGG983075 BQC983071:BQC983075 BZY983071:BZY983075 CJU983071:CJU983075 CTQ983071:CTQ983075 DDM983071:DDM983075 DNI983071:DNI983075 DXE983071:DXE983075 EHA983071:EHA983075 EQW983071:EQW983075 FAS983071:FAS983075 FKO983071:FKO983075 FUK983071:FUK983075 GEG983071:GEG983075 GOC983071:GOC983075 GXY983071:GXY983075 HHU983071:HHU983075 HRQ983071:HRQ983075 IBM983071:IBM983075 ILI983071:ILI983075 IVE983071:IVE983075 JFA983071:JFA983075 JOW983071:JOW983075 JYS983071:JYS983075 KIO983071:KIO983075 KSK983071:KSK983075 LCG983071:LCG983075 LMC983071:LMC983075 LVY983071:LVY983075 MFU983071:MFU983075 MPQ983071:MPQ983075 MZM983071:MZM983075 NJI983071:NJI983075 NTE983071:NTE983075 ODA983071:ODA983075 OMW983071:OMW983075 OWS983071:OWS983075 PGO983071:PGO983075 PQK983071:PQK983075 QAG983071:QAG983075 QKC983071:QKC983075 QTY983071:QTY983075 RDU983071:RDU983075 RNQ983071:RNQ983075 RXM983071:RXM983075 SHI983071:SHI983075 SRE983071:SRE983075 TBA983071:TBA983075 TKW983071:TKW983075 TUS983071:TUS983075 UEO983071:UEO983075 UOK983071:UOK983075 UYG983071:UYG983075 VIC983071:VIC983075 VRY983071:VRY983075 WBU983071:WBU983075 WLQ983071:WLQ983075 WVM983071:WVM983075 WVM983067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1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7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3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69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5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1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7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3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49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5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1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7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3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29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5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JA30:JA35 SW30:SW35 ACS30:ACS35 AMO30:AMO35 AWK30:AWK35 BGG30:BGG35 BQC30:BQC35 BZY30:BZY35 CJU30:CJU35 CTQ30:CTQ35 DDM30:DDM35 DNI30:DNI35 DXE30:DXE35 EHA30:EHA35 EQW30:EQW35 FAS30:FAS35 FKO30:FKO35 FUK30:FUK35 GEG30:GEG35 GOC30:GOC35 GXY30:GXY35 HHU30:HHU35 HRQ30:HRQ35 IBM30:IBM35 ILI30:ILI35 IVE30:IVE35 JFA30:JFA35 JOW30:JOW35 JYS30:JYS35 KIO30:KIO35 KSK30:KSK35 LCG30:LCG35 LMC30:LMC35 LVY30:LVY35 MFU30:MFU35 MPQ30:MPQ35 MZM30:MZM35 NJI30:NJI35 NTE30:NTE35 ODA30:ODA35 OMW30:OMW35 OWS30:OWS35 PGO30:PGO35 PQK30:PQK35 QAG30:QAG35 QKC30:QKC35 QTY30:QTY35 RDU30:RDU35 RNQ30:RNQ35 RXM30:RXM35 SHI30:SHI35 SRE30:SRE35 TBA30:TBA35 TKW30:TKW35 TUS30:TUS35 UEO30:UEO35 UOK30:UOK35 UYG30:UYG35 VIC30:VIC35 VRY30:VRY35 WBU30:WBU35 WLQ30:WLQ35 WVM30:WVM35" xr:uid="{00000000-0002-0000-2800-000001000000}">
      <formula1>"　,あり,なし"</formula1>
    </dataValidation>
  </dataValidations>
  <pageMargins left="0.7" right="0.7" top="0.75" bottom="0.75" header="0.3" footer="0.3"/>
  <pageSetup paperSize="9" scale="6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58EA-CB02-4F5E-A216-92D1F3676A1D}">
  <sheetPr>
    <tabColor theme="1"/>
  </sheetPr>
  <dimension ref="A1"/>
  <sheetViews>
    <sheetView workbookViewId="0"/>
  </sheetViews>
  <sheetFormatPr defaultRowHeight="13"/>
  <sheetData/>
  <sheetProtection algorithmName="SHA-512" hashValue="53IaXBBbSJ3KbnqRJSFGZmyLOLmonGq03WefdD+3rN/PHX1goyy0v0ox/vk9MnR3mN1pgkMoJJFMOs+dIMD0jQ==" saltValue="NiyjQDAYpkUuTAkEEjLOxQ==" spinCount="100000" sheet="1" objects="1" scenarios="1"/>
  <phoneticPr fontId="3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6" tint="0.59999389629810485"/>
    <pageSetUpPr fitToPage="1"/>
  </sheetPr>
  <dimension ref="A1:AO58"/>
  <sheetViews>
    <sheetView view="pageBreakPreview" zoomScale="55" zoomScaleNormal="70" zoomScaleSheetLayoutView="55" workbookViewId="0">
      <selection activeCell="D8" sqref="D8:E8"/>
    </sheetView>
  </sheetViews>
  <sheetFormatPr defaultColWidth="8.90625" defaultRowHeight="16.5" outlineLevelCol="1"/>
  <cols>
    <col min="1" max="1" width="8.90625" style="390"/>
    <col min="2" max="3" width="11.90625" style="390" customWidth="1"/>
    <col min="4" max="10" width="15.7265625" style="390" customWidth="1"/>
    <col min="11" max="11" width="17.08984375" style="390" customWidth="1"/>
    <col min="12" max="12" width="15.7265625" style="390" customWidth="1"/>
    <col min="13" max="13" width="16.36328125" style="390" customWidth="1"/>
    <col min="14" max="14" width="17" style="390" customWidth="1"/>
    <col min="15" max="17" width="15.7265625" style="390" customWidth="1"/>
    <col min="18" max="18" width="15.90625" style="390" customWidth="1"/>
    <col min="19" max="22" width="15.6328125" style="390" customWidth="1"/>
    <col min="23" max="40" width="8.90625" style="390" hidden="1" customWidth="1" outlineLevel="1"/>
    <col min="41" max="41" width="8.90625" style="390" collapsed="1"/>
    <col min="42" max="16384" width="8.90625" style="390"/>
  </cols>
  <sheetData>
    <row r="1" spans="1:40" ht="20.149999999999999" customHeight="1" thickBot="1">
      <c r="A1" s="522" t="str">
        <f ca="1">RIGHT(CELL("filename",A4),LEN(CELL("filename",A4))-FIND("]",CELL("filename",A4)))</f>
        <v>入力（加算）幼</v>
      </c>
      <c r="B1" s="389"/>
      <c r="C1" s="389"/>
      <c r="D1" s="389"/>
      <c r="E1" s="389"/>
      <c r="F1" s="389"/>
      <c r="G1" s="389"/>
      <c r="H1" s="389"/>
      <c r="I1" s="389"/>
      <c r="J1" s="389"/>
      <c r="K1" s="389"/>
      <c r="L1" s="389"/>
      <c r="M1" s="389"/>
      <c r="N1" s="389"/>
      <c r="O1" s="389"/>
      <c r="P1" s="389"/>
      <c r="Q1" s="389"/>
      <c r="R1" s="389"/>
      <c r="S1" s="1103" t="e">
        <f>CONCATENATE(#REF!,"/",#REF!,"/",#REF!)</f>
        <v>#REF!</v>
      </c>
      <c r="T1" s="1103"/>
      <c r="U1" s="1103"/>
      <c r="V1" s="1103"/>
      <c r="W1" s="523"/>
      <c r="X1" s="523"/>
      <c r="Y1" s="389"/>
      <c r="AB1" s="394" t="s">
        <v>83</v>
      </c>
      <c r="AC1" s="524" t="s">
        <v>84</v>
      </c>
      <c r="AD1" s="393" t="s">
        <v>82</v>
      </c>
      <c r="AE1" s="394" t="s">
        <v>81</v>
      </c>
      <c r="AF1" s="393" t="s">
        <v>80</v>
      </c>
      <c r="AG1" s="394" t="s">
        <v>78</v>
      </c>
      <c r="AH1" s="1094" t="s">
        <v>79</v>
      </c>
      <c r="AI1" s="1095"/>
      <c r="AJ1" s="394" t="s">
        <v>143</v>
      </c>
      <c r="AK1" s="394" t="s">
        <v>85</v>
      </c>
      <c r="AL1" s="1087" t="s">
        <v>88</v>
      </c>
      <c r="AM1" s="1088"/>
      <c r="AN1" s="394" t="s">
        <v>150</v>
      </c>
    </row>
    <row r="2" spans="1:40" ht="20.149999999999999" customHeight="1" thickBot="1">
      <c r="A2" s="525"/>
      <c r="B2" s="1104" t="s">
        <v>437</v>
      </c>
      <c r="C2" s="1104"/>
      <c r="D2" s="1104"/>
      <c r="E2" s="1104"/>
      <c r="F2" s="1104"/>
      <c r="G2" s="1104"/>
      <c r="H2" s="1104"/>
      <c r="I2" s="1104"/>
      <c r="J2" s="1104"/>
      <c r="K2" s="1104"/>
      <c r="L2" s="1104"/>
      <c r="M2" s="1104"/>
      <c r="N2" s="1104"/>
      <c r="O2" s="1104"/>
      <c r="P2" s="1104"/>
      <c r="Q2" s="1104"/>
      <c r="R2" s="1104"/>
      <c r="S2" s="1104"/>
      <c r="T2" s="1104"/>
      <c r="U2" s="1104"/>
      <c r="V2" s="523"/>
      <c r="W2" s="389"/>
      <c r="AB2" s="526"/>
      <c r="AC2" s="527">
        <f>IF(ISERROR(VLOOKUP($D$10,$AB$3:$AC$14,2,FALSE)+1-VLOOKUP($D$9,$AB$3:$AC$14,2,FALSE)),0,VLOOKUP($D$10,$AB$3:$AC$14,2,FALSE)+1-VLOOKUP($D$9,$AB$3:$AC$14,2,FALSE))</f>
        <v>12</v>
      </c>
      <c r="AD2" s="393"/>
      <c r="AE2" s="394"/>
      <c r="AF2" s="393"/>
      <c r="AG2" s="394"/>
      <c r="AH2" s="394"/>
      <c r="AI2" s="394"/>
      <c r="AJ2" s="394"/>
      <c r="AK2" s="394"/>
      <c r="AL2" s="528">
        <v>1</v>
      </c>
      <c r="AM2" s="529">
        <v>1</v>
      </c>
      <c r="AN2" s="530">
        <f>IF(E25="あり",VLOOKUP($D$8,#REF!,53,TRUE),1)</f>
        <v>1</v>
      </c>
    </row>
    <row r="3" spans="1:40" ht="20.149999999999999" customHeight="1">
      <c r="A3" s="525"/>
      <c r="B3" s="1104"/>
      <c r="C3" s="1104"/>
      <c r="D3" s="1104"/>
      <c r="E3" s="1104"/>
      <c r="F3" s="1104"/>
      <c r="G3" s="1104"/>
      <c r="H3" s="1104"/>
      <c r="I3" s="1104"/>
      <c r="J3" s="1104"/>
      <c r="K3" s="1104"/>
      <c r="L3" s="1104"/>
      <c r="M3" s="1104"/>
      <c r="N3" s="1104"/>
      <c r="O3" s="1104"/>
      <c r="P3" s="1104"/>
      <c r="Q3" s="1104"/>
      <c r="R3" s="1104"/>
      <c r="S3" s="1104"/>
      <c r="T3" s="1104"/>
      <c r="U3" s="1104"/>
      <c r="V3" s="523"/>
      <c r="W3" s="389"/>
      <c r="AB3" s="391">
        <v>4</v>
      </c>
      <c r="AC3" s="392">
        <v>1</v>
      </c>
      <c r="AD3" s="393" t="s">
        <v>18</v>
      </c>
      <c r="AE3" s="1">
        <v>3</v>
      </c>
      <c r="AF3" s="2">
        <v>6.3</v>
      </c>
      <c r="AG3" s="394" t="s">
        <v>19</v>
      </c>
      <c r="AH3" s="395" t="s">
        <v>87</v>
      </c>
      <c r="AI3" s="395"/>
      <c r="AJ3" s="394" t="s">
        <v>141</v>
      </c>
      <c r="AK3" s="393">
        <v>1</v>
      </c>
      <c r="AL3" s="528">
        <v>46</v>
      </c>
      <c r="AM3" s="529">
        <v>2</v>
      </c>
    </row>
    <row r="4" spans="1:40" ht="20.149999999999999" customHeight="1">
      <c r="A4" s="389"/>
      <c r="B4" s="125"/>
      <c r="C4" s="125"/>
      <c r="D4" s="125"/>
      <c r="E4" s="125"/>
      <c r="F4" s="125"/>
      <c r="G4" s="125"/>
      <c r="H4" s="389"/>
      <c r="I4" s="389"/>
      <c r="J4" s="389"/>
      <c r="K4" s="389"/>
      <c r="L4" s="389"/>
      <c r="M4" s="389"/>
      <c r="N4" s="389"/>
      <c r="O4" s="389"/>
      <c r="P4" s="389"/>
      <c r="Q4" s="389"/>
      <c r="R4" s="389"/>
      <c r="S4" s="389"/>
      <c r="T4" s="389"/>
      <c r="U4" s="389"/>
      <c r="V4" s="389"/>
      <c r="W4" s="389"/>
      <c r="AB4" s="391">
        <v>5</v>
      </c>
      <c r="AC4" s="392">
        <v>2</v>
      </c>
      <c r="AD4" s="393" t="s">
        <v>19</v>
      </c>
      <c r="AE4" s="1">
        <v>4</v>
      </c>
      <c r="AF4" s="2">
        <v>4.3</v>
      </c>
      <c r="AG4" s="394" t="s">
        <v>76</v>
      </c>
      <c r="AH4" s="395">
        <f>1</f>
        <v>1</v>
      </c>
      <c r="AI4" s="395">
        <v>1</v>
      </c>
      <c r="AJ4" s="394" t="s">
        <v>144</v>
      </c>
      <c r="AK4" s="393">
        <v>2</v>
      </c>
      <c r="AL4" s="531">
        <v>151</v>
      </c>
      <c r="AM4" s="532">
        <v>3</v>
      </c>
    </row>
    <row r="5" spans="1:40" ht="20.149999999999999" customHeight="1">
      <c r="A5" s="389"/>
      <c r="B5" s="1092" t="s">
        <v>397</v>
      </c>
      <c r="C5" s="1092"/>
      <c r="D5" s="1092"/>
      <c r="E5" s="126"/>
      <c r="F5" s="690"/>
      <c r="G5" s="690"/>
      <c r="H5" s="690"/>
      <c r="I5" s="690"/>
      <c r="J5" s="690"/>
      <c r="K5" s="690"/>
      <c r="L5" s="690"/>
      <c r="M5" s="690"/>
      <c r="N5" s="690"/>
      <c r="O5" s="690"/>
      <c r="P5" s="690"/>
      <c r="Q5" s="690"/>
      <c r="R5" s="690"/>
      <c r="S5" s="533" t="s">
        <v>56</v>
      </c>
      <c r="T5" s="389"/>
      <c r="U5" s="389"/>
      <c r="V5" s="389"/>
      <c r="W5" s="389"/>
      <c r="AB5" s="391">
        <v>6</v>
      </c>
      <c r="AC5" s="392">
        <v>3</v>
      </c>
      <c r="AE5" s="3">
        <v>5</v>
      </c>
      <c r="AF5" s="4">
        <v>2.4</v>
      </c>
      <c r="AG5" s="394" t="s">
        <v>77</v>
      </c>
      <c r="AH5" s="395" t="str">
        <f t="shared" ref="AH5:AH16" si="0">IF($K$21&gt;=AI5,AI5,"")</f>
        <v/>
      </c>
      <c r="AI5" s="395">
        <v>2</v>
      </c>
      <c r="AJ5" s="394" t="s">
        <v>142</v>
      </c>
      <c r="AK5" s="393">
        <v>3</v>
      </c>
      <c r="AL5" s="531">
        <v>241</v>
      </c>
      <c r="AM5" s="534">
        <v>3.5</v>
      </c>
    </row>
    <row r="6" spans="1:40" ht="30" customHeight="1">
      <c r="A6" s="389"/>
      <c r="B6" s="1093" t="s">
        <v>3</v>
      </c>
      <c r="C6" s="1093"/>
      <c r="D6" s="1089"/>
      <c r="E6" s="1089"/>
      <c r="F6" s="690"/>
      <c r="G6" s="690"/>
      <c r="H6" s="690"/>
      <c r="I6" s="690"/>
      <c r="J6" s="690"/>
      <c r="K6" s="690"/>
      <c r="L6" s="690"/>
      <c r="M6" s="690"/>
      <c r="N6" s="690"/>
      <c r="O6" s="690"/>
      <c r="P6" s="690"/>
      <c r="Q6" s="690"/>
      <c r="R6" s="690"/>
      <c r="S6" s="535" t="s">
        <v>57</v>
      </c>
      <c r="T6" s="389" t="s">
        <v>54</v>
      </c>
      <c r="U6" s="389"/>
      <c r="V6" s="389"/>
      <c r="W6" s="389"/>
      <c r="AB6" s="391">
        <v>7</v>
      </c>
      <c r="AC6" s="392">
        <v>4</v>
      </c>
      <c r="AE6" s="1">
        <v>6</v>
      </c>
      <c r="AF6" s="2">
        <v>1.1000000000000001</v>
      </c>
      <c r="AH6" s="395" t="str">
        <f t="shared" si="0"/>
        <v/>
      </c>
      <c r="AI6" s="395">
        <v>3</v>
      </c>
      <c r="AJ6" s="110"/>
      <c r="AK6" s="393">
        <v>4</v>
      </c>
      <c r="AL6" s="528">
        <v>271</v>
      </c>
      <c r="AM6" s="529">
        <v>5</v>
      </c>
    </row>
    <row r="7" spans="1:40" ht="30" customHeight="1">
      <c r="A7" s="389"/>
      <c r="B7" s="1093" t="s">
        <v>4</v>
      </c>
      <c r="C7" s="1093"/>
      <c r="D7" s="1089" t="s">
        <v>5</v>
      </c>
      <c r="E7" s="1089"/>
      <c r="F7" s="690"/>
      <c r="G7" s="690"/>
      <c r="H7" s="690"/>
      <c r="I7" s="690"/>
      <c r="J7" s="690"/>
      <c r="K7" s="690"/>
      <c r="L7" s="690"/>
      <c r="M7" s="690"/>
      <c r="N7" s="690"/>
      <c r="O7" s="690"/>
      <c r="P7" s="690"/>
      <c r="Q7" s="690"/>
      <c r="R7" s="690"/>
      <c r="S7" s="536" t="s">
        <v>58</v>
      </c>
      <c r="T7" s="525" t="s">
        <v>59</v>
      </c>
      <c r="U7" s="389"/>
      <c r="V7" s="389"/>
      <c r="W7" s="389"/>
      <c r="AB7" s="391">
        <v>8</v>
      </c>
      <c r="AC7" s="392">
        <v>5</v>
      </c>
      <c r="AH7" s="395" t="str">
        <f t="shared" si="0"/>
        <v/>
      </c>
      <c r="AI7" s="395">
        <v>3.5</v>
      </c>
      <c r="AJ7" s="110"/>
      <c r="AK7" s="393">
        <v>5</v>
      </c>
      <c r="AL7" s="528">
        <v>301</v>
      </c>
      <c r="AM7" s="529">
        <v>6</v>
      </c>
    </row>
    <row r="8" spans="1:40" ht="30" customHeight="1">
      <c r="A8" s="389"/>
      <c r="B8" s="820" t="s">
        <v>2</v>
      </c>
      <c r="C8" s="820" t="s">
        <v>73</v>
      </c>
      <c r="D8" s="1090"/>
      <c r="E8" s="1090"/>
      <c r="F8" s="690"/>
      <c r="G8" s="690"/>
      <c r="H8" s="690"/>
      <c r="I8" s="690"/>
      <c r="J8" s="690"/>
      <c r="K8" s="690"/>
      <c r="L8" s="690"/>
      <c r="M8" s="690"/>
      <c r="N8" s="690"/>
      <c r="O8" s="690"/>
      <c r="P8" s="690"/>
      <c r="Q8" s="690"/>
      <c r="R8" s="690"/>
      <c r="S8" s="389"/>
      <c r="T8" s="389"/>
      <c r="U8" s="389"/>
      <c r="V8" s="389"/>
      <c r="W8" s="389"/>
      <c r="AB8" s="391">
        <v>9</v>
      </c>
      <c r="AC8" s="392">
        <v>6</v>
      </c>
      <c r="AH8" s="395" t="str">
        <f t="shared" si="0"/>
        <v/>
      </c>
      <c r="AI8" s="395">
        <v>4</v>
      </c>
      <c r="AJ8" s="110"/>
      <c r="AL8" s="537">
        <v>451</v>
      </c>
      <c r="AM8" s="538">
        <v>8</v>
      </c>
    </row>
    <row r="9" spans="1:40" ht="30" customHeight="1">
      <c r="A9" s="389"/>
      <c r="B9" s="1093" t="s">
        <v>66</v>
      </c>
      <c r="C9" s="1093"/>
      <c r="D9" s="1091">
        <v>4</v>
      </c>
      <c r="E9" s="1091"/>
      <c r="F9" s="690"/>
      <c r="G9" s="690"/>
      <c r="H9" s="690"/>
      <c r="I9" s="690"/>
      <c r="J9" s="690"/>
      <c r="K9" s="690"/>
      <c r="L9" s="690"/>
      <c r="M9" s="690"/>
      <c r="N9" s="690"/>
      <c r="O9" s="690"/>
      <c r="P9" s="690"/>
      <c r="Q9" s="690"/>
      <c r="R9" s="690"/>
      <c r="S9" s="389"/>
      <c r="T9" s="389"/>
      <c r="U9" s="389"/>
      <c r="V9" s="389"/>
      <c r="W9" s="389"/>
      <c r="AB9" s="391">
        <v>10</v>
      </c>
      <c r="AC9" s="392">
        <v>7</v>
      </c>
      <c r="AH9" s="395" t="str">
        <f t="shared" si="0"/>
        <v/>
      </c>
      <c r="AI9" s="395">
        <v>4.5</v>
      </c>
    </row>
    <row r="10" spans="1:40" ht="30" customHeight="1">
      <c r="A10" s="389"/>
      <c r="B10" s="1093" t="s">
        <v>108</v>
      </c>
      <c r="C10" s="1093"/>
      <c r="D10" s="1091">
        <v>3</v>
      </c>
      <c r="E10" s="1091"/>
      <c r="F10" s="690"/>
      <c r="G10" s="690"/>
      <c r="H10" s="690"/>
      <c r="I10" s="690"/>
      <c r="J10" s="690"/>
      <c r="K10" s="690"/>
      <c r="L10" s="690"/>
      <c r="M10" s="690"/>
      <c r="N10" s="690"/>
      <c r="O10" s="690"/>
      <c r="P10" s="690"/>
      <c r="Q10" s="690"/>
      <c r="R10" s="690"/>
      <c r="S10" s="389"/>
      <c r="T10" s="389"/>
      <c r="U10" s="389"/>
      <c r="V10" s="389"/>
      <c r="W10" s="389"/>
      <c r="AB10" s="391">
        <v>11</v>
      </c>
      <c r="AC10" s="392">
        <v>8</v>
      </c>
      <c r="AH10" s="395" t="str">
        <f t="shared" si="0"/>
        <v/>
      </c>
      <c r="AI10" s="395">
        <v>5</v>
      </c>
    </row>
    <row r="11" spans="1:40" ht="20.149999999999999" customHeight="1">
      <c r="A11" s="389"/>
      <c r="B11" s="389"/>
      <c r="C11" s="389"/>
      <c r="D11" s="389"/>
      <c r="E11" s="389"/>
      <c r="F11" s="690"/>
      <c r="G11" s="690"/>
      <c r="H11" s="690"/>
      <c r="I11" s="690"/>
      <c r="J11" s="690"/>
      <c r="K11" s="690"/>
      <c r="L11" s="690"/>
      <c r="M11" s="690"/>
      <c r="N11" s="690"/>
      <c r="O11" s="690"/>
      <c r="P11" s="690"/>
      <c r="Q11" s="690"/>
      <c r="R11" s="690"/>
      <c r="S11" s="389"/>
      <c r="T11" s="389"/>
      <c r="U11" s="389"/>
      <c r="V11" s="389"/>
      <c r="W11" s="389"/>
      <c r="AB11" s="391">
        <v>12</v>
      </c>
      <c r="AC11" s="392">
        <v>9</v>
      </c>
      <c r="AH11" s="395" t="str">
        <f t="shared" si="0"/>
        <v/>
      </c>
      <c r="AI11" s="395">
        <v>5.5</v>
      </c>
    </row>
    <row r="12" spans="1:40" ht="20.149999999999999" customHeight="1">
      <c r="A12" s="389"/>
      <c r="B12" s="389"/>
      <c r="C12" s="389"/>
      <c r="D12" s="389"/>
      <c r="E12" s="389"/>
      <c r="F12" s="690"/>
      <c r="G12" s="690"/>
      <c r="H12" s="690"/>
      <c r="I12" s="690"/>
      <c r="J12" s="690"/>
      <c r="K12" s="690"/>
      <c r="L12" s="690"/>
      <c r="M12" s="690"/>
      <c r="N12" s="690"/>
      <c r="O12" s="690"/>
      <c r="P12" s="690"/>
      <c r="Q12" s="690"/>
      <c r="R12" s="690"/>
      <c r="S12" s="389"/>
      <c r="T12" s="389"/>
      <c r="U12" s="389"/>
      <c r="V12" s="389"/>
      <c r="W12" s="389"/>
      <c r="AB12" s="391">
        <v>1</v>
      </c>
      <c r="AC12" s="392">
        <v>10</v>
      </c>
      <c r="AH12" s="395" t="str">
        <f t="shared" si="0"/>
        <v/>
      </c>
      <c r="AI12" s="395">
        <v>6</v>
      </c>
    </row>
    <row r="13" spans="1:40" ht="19.5" customHeight="1">
      <c r="A13" s="389"/>
      <c r="B13" s="389"/>
      <c r="C13" s="389"/>
      <c r="D13" s="389"/>
      <c r="E13" s="389"/>
      <c r="F13" s="690"/>
      <c r="G13" s="690"/>
      <c r="H13" s="690"/>
      <c r="I13" s="690"/>
      <c r="J13" s="690"/>
      <c r="K13" s="690"/>
      <c r="L13" s="690"/>
      <c r="M13" s="690"/>
      <c r="N13" s="690"/>
      <c r="O13" s="690"/>
      <c r="P13" s="690"/>
      <c r="Q13" s="690"/>
      <c r="R13" s="690"/>
      <c r="S13" s="389"/>
      <c r="T13" s="389"/>
      <c r="U13" s="389"/>
      <c r="V13" s="389"/>
      <c r="W13" s="389"/>
      <c r="AB13" s="391">
        <v>2</v>
      </c>
      <c r="AC13" s="392">
        <v>11</v>
      </c>
      <c r="AH13" s="395" t="str">
        <f t="shared" si="0"/>
        <v/>
      </c>
      <c r="AI13" s="395">
        <v>6.5</v>
      </c>
    </row>
    <row r="14" spans="1:40" ht="20.149999999999999" customHeight="1">
      <c r="A14" s="389"/>
      <c r="B14" s="389"/>
      <c r="C14" s="389"/>
      <c r="D14" s="389"/>
      <c r="E14" s="389"/>
      <c r="F14" s="690"/>
      <c r="G14" s="690"/>
      <c r="H14" s="690"/>
      <c r="I14" s="690"/>
      <c r="J14" s="690"/>
      <c r="K14" s="690"/>
      <c r="L14" s="690"/>
      <c r="M14" s="690"/>
      <c r="N14" s="690"/>
      <c r="O14" s="690"/>
      <c r="P14" s="690"/>
      <c r="Q14" s="690"/>
      <c r="R14" s="690"/>
      <c r="S14" s="389"/>
      <c r="T14" s="389"/>
      <c r="U14" s="389"/>
      <c r="V14" s="389"/>
      <c r="W14" s="389"/>
      <c r="AB14" s="391">
        <v>3</v>
      </c>
      <c r="AC14" s="392">
        <v>12</v>
      </c>
      <c r="AH14" s="395" t="str">
        <f t="shared" si="0"/>
        <v/>
      </c>
      <c r="AI14" s="395">
        <v>7</v>
      </c>
    </row>
    <row r="15" spans="1:40" ht="20.149999999999999" customHeight="1">
      <c r="A15" s="389"/>
      <c r="B15" s="389"/>
      <c r="C15" s="389"/>
      <c r="D15" s="389"/>
      <c r="E15" s="389"/>
      <c r="F15" s="690"/>
      <c r="G15" s="690"/>
      <c r="H15" s="690"/>
      <c r="I15" s="690"/>
      <c r="J15" s="690"/>
      <c r="K15" s="690"/>
      <c r="L15" s="690"/>
      <c r="M15" s="690"/>
      <c r="N15" s="690"/>
      <c r="O15" s="690"/>
      <c r="P15" s="690"/>
      <c r="Q15" s="690"/>
      <c r="R15" s="690"/>
      <c r="S15" s="389"/>
      <c r="T15" s="389"/>
      <c r="U15" s="389"/>
      <c r="V15" s="389"/>
      <c r="W15" s="389"/>
      <c r="AB15" s="688"/>
      <c r="AC15" s="572"/>
      <c r="AH15" s="395" t="str">
        <f t="shared" si="0"/>
        <v/>
      </c>
      <c r="AI15" s="395">
        <v>7.5</v>
      </c>
    </row>
    <row r="16" spans="1:40" ht="29.25" customHeight="1">
      <c r="A16" s="389"/>
      <c r="B16" s="389"/>
      <c r="C16" s="389"/>
      <c r="D16" s="389"/>
      <c r="E16" s="389"/>
      <c r="F16" s="690"/>
      <c r="G16" s="690"/>
      <c r="H16" s="690"/>
      <c r="I16" s="690"/>
      <c r="J16" s="690"/>
      <c r="K16" s="690"/>
      <c r="L16" s="690"/>
      <c r="M16" s="690"/>
      <c r="N16" s="690"/>
      <c r="O16" s="690"/>
      <c r="P16" s="690"/>
      <c r="Q16" s="690"/>
      <c r="R16" s="690"/>
      <c r="S16" s="389"/>
      <c r="T16" s="389"/>
      <c r="U16" s="389"/>
      <c r="V16" s="389"/>
      <c r="W16" s="389"/>
      <c r="AH16" s="395" t="str">
        <f t="shared" si="0"/>
        <v/>
      </c>
      <c r="AI16" s="395">
        <v>8</v>
      </c>
    </row>
    <row r="17" spans="1:35" ht="20.149999999999999" customHeight="1">
      <c r="A17" s="389"/>
      <c r="B17" s="1092" t="s">
        <v>55</v>
      </c>
      <c r="C17" s="1092"/>
      <c r="D17" s="389"/>
      <c r="E17" s="389"/>
      <c r="F17" s="389"/>
      <c r="G17" s="389"/>
      <c r="H17" s="389"/>
      <c r="I17" s="389"/>
      <c r="J17" s="389"/>
      <c r="K17" s="389"/>
      <c r="L17" s="389"/>
      <c r="M17" s="389"/>
      <c r="N17" s="389"/>
      <c r="O17" s="389"/>
      <c r="P17" s="389"/>
      <c r="Q17" s="389"/>
      <c r="R17" s="389"/>
      <c r="S17" s="389"/>
      <c r="T17" s="389"/>
      <c r="U17" s="389"/>
      <c r="V17" s="389"/>
      <c r="W17" s="389"/>
    </row>
    <row r="18" spans="1:35" ht="20.149999999999999" customHeight="1">
      <c r="A18" s="389"/>
      <c r="B18" s="1105" t="s">
        <v>74</v>
      </c>
      <c r="C18" s="879"/>
      <c r="D18" s="129" t="s">
        <v>153</v>
      </c>
      <c r="E18" s="130"/>
      <c r="F18" s="130"/>
      <c r="G18" s="130"/>
      <c r="H18" s="130"/>
      <c r="I18" s="130"/>
      <c r="J18" s="130"/>
      <c r="K18" s="130"/>
      <c r="L18" s="130"/>
      <c r="M18" s="129"/>
      <c r="N18" s="131"/>
      <c r="O18" s="540">
        <f>COUNT(M21:N21)</f>
        <v>0</v>
      </c>
      <c r="P18" s="109"/>
      <c r="Q18" s="109"/>
      <c r="R18" s="389"/>
      <c r="S18" s="389"/>
      <c r="T18" s="389"/>
      <c r="U18" s="389"/>
      <c r="V18" s="389"/>
    </row>
    <row r="19" spans="1:35" ht="31.5" customHeight="1">
      <c r="A19" s="389"/>
      <c r="B19" s="1106"/>
      <c r="C19" s="1107"/>
      <c r="D19" s="1067" t="s">
        <v>9</v>
      </c>
      <c r="E19" s="1067" t="s">
        <v>10</v>
      </c>
      <c r="F19" s="1067" t="s">
        <v>11</v>
      </c>
      <c r="G19" s="1067" t="s">
        <v>540</v>
      </c>
      <c r="H19" s="1067" t="s">
        <v>12</v>
      </c>
      <c r="I19" s="1067" t="s">
        <v>352</v>
      </c>
      <c r="J19" s="1067" t="s">
        <v>13</v>
      </c>
      <c r="K19" s="1067" t="s">
        <v>89</v>
      </c>
      <c r="L19" s="1067" t="s">
        <v>14</v>
      </c>
      <c r="M19" s="1072" t="s">
        <v>146</v>
      </c>
      <c r="N19" s="1074" t="s">
        <v>147</v>
      </c>
      <c r="O19" s="541" t="str">
        <f>IF(O18&gt;1,"【注意】　給食実施加算は「調理・搬入」 のどちらか一方しか選択できません！","")</f>
        <v/>
      </c>
      <c r="P19" s="109"/>
      <c r="Q19" s="109"/>
      <c r="R19" s="109"/>
      <c r="S19" s="109"/>
      <c r="T19" s="389"/>
      <c r="U19" s="389"/>
      <c r="V19" s="389"/>
      <c r="AB19" s="110"/>
    </row>
    <row r="20" spans="1:35" ht="20.149999999999999" customHeight="1">
      <c r="A20" s="389"/>
      <c r="B20" s="1106"/>
      <c r="C20" s="1107"/>
      <c r="D20" s="1068"/>
      <c r="E20" s="1068"/>
      <c r="F20" s="1068"/>
      <c r="G20" s="1068"/>
      <c r="H20" s="1068"/>
      <c r="I20" s="1068"/>
      <c r="J20" s="1068"/>
      <c r="K20" s="1068"/>
      <c r="L20" s="1068"/>
      <c r="M20" s="1073"/>
      <c r="N20" s="1075"/>
      <c r="O20" s="541"/>
      <c r="P20" s="109"/>
      <c r="Q20" s="109"/>
      <c r="R20" s="109"/>
      <c r="S20" s="109"/>
      <c r="T20" s="389"/>
      <c r="U20" s="389"/>
      <c r="V20" s="389"/>
      <c r="AA20" s="110"/>
    </row>
    <row r="21" spans="1:35" ht="31.5" customHeight="1">
      <c r="A21" s="389"/>
      <c r="B21" s="1106"/>
      <c r="C21" s="1107"/>
      <c r="D21" s="445" t="s">
        <v>53</v>
      </c>
      <c r="E21" s="14"/>
      <c r="F21" s="14"/>
      <c r="G21" s="14"/>
      <c r="H21" s="14"/>
      <c r="I21" s="457"/>
      <c r="J21" s="457"/>
      <c r="K21" s="167">
        <f>IFERROR(VLOOKUP($D$8,AL2:AM8,2,TRUE),0)</f>
        <v>0</v>
      </c>
      <c r="L21" s="857"/>
      <c r="M21" s="385"/>
      <c r="N21" s="458"/>
      <c r="O21" s="541"/>
      <c r="P21" s="542"/>
      <c r="Q21" s="542"/>
      <c r="R21" s="542"/>
      <c r="S21" s="389"/>
      <c r="T21" s="543"/>
      <c r="U21" s="543"/>
      <c r="V21" s="543"/>
    </row>
    <row r="22" spans="1:35" ht="31.5" customHeight="1">
      <c r="A22" s="543"/>
      <c r="B22" s="1106"/>
      <c r="C22" s="1107"/>
      <c r="D22" s="150" t="s">
        <v>112</v>
      </c>
      <c r="E22" s="150" t="s">
        <v>113</v>
      </c>
      <c r="F22" s="130" t="s">
        <v>114</v>
      </c>
      <c r="G22" s="130"/>
      <c r="H22" s="130"/>
      <c r="I22" s="130"/>
      <c r="J22" s="130"/>
      <c r="K22" s="130"/>
      <c r="L22" s="131"/>
      <c r="M22" s="859"/>
      <c r="N22" s="109"/>
      <c r="O22" s="109"/>
      <c r="P22" s="109"/>
      <c r="Q22" s="109"/>
      <c r="R22" s="109"/>
      <c r="S22" s="389"/>
      <c r="T22" s="389"/>
      <c r="U22" s="389"/>
      <c r="V22" s="389"/>
    </row>
    <row r="23" spans="1:35" ht="31.5" customHeight="1">
      <c r="A23" s="543"/>
      <c r="B23" s="1106"/>
      <c r="C23" s="1107"/>
      <c r="D23" s="1069" t="s">
        <v>26</v>
      </c>
      <c r="E23" s="1069" t="s">
        <v>140</v>
      </c>
      <c r="F23" s="1069" t="s">
        <v>15</v>
      </c>
      <c r="G23" s="1069" t="s">
        <v>16</v>
      </c>
      <c r="H23" s="1069" t="s">
        <v>17</v>
      </c>
      <c r="I23" s="1069" t="s">
        <v>75</v>
      </c>
      <c r="J23" s="1069" t="s">
        <v>50</v>
      </c>
      <c r="K23" s="1069" t="s">
        <v>51</v>
      </c>
      <c r="L23" s="1071" t="s">
        <v>139</v>
      </c>
      <c r="M23" s="1102"/>
      <c r="N23" s="543"/>
      <c r="O23" s="543"/>
      <c r="P23" s="543"/>
      <c r="Q23" s="543"/>
      <c r="R23" s="543"/>
      <c r="S23" s="543"/>
      <c r="T23" s="543"/>
      <c r="U23" s="543"/>
      <c r="V23" s="543"/>
    </row>
    <row r="24" spans="1:35" ht="31.5" customHeight="1">
      <c r="A24" s="543"/>
      <c r="B24" s="1106"/>
      <c r="C24" s="1107"/>
      <c r="D24" s="1070"/>
      <c r="E24" s="1070"/>
      <c r="F24" s="1070"/>
      <c r="G24" s="1070"/>
      <c r="H24" s="1070"/>
      <c r="I24" s="1070"/>
      <c r="J24" s="1070"/>
      <c r="K24" s="1070"/>
      <c r="L24" s="1070"/>
      <c r="M24" s="1102"/>
      <c r="N24" s="543"/>
      <c r="O24" s="543"/>
      <c r="P24" s="543"/>
      <c r="Q24" s="543"/>
      <c r="R24" s="543"/>
      <c r="S24" s="543"/>
      <c r="T24" s="543"/>
      <c r="U24" s="543"/>
      <c r="V24" s="543"/>
    </row>
    <row r="25" spans="1:35" ht="30.75" customHeight="1">
      <c r="A25" s="389"/>
      <c r="B25" s="1108"/>
      <c r="C25" s="881"/>
      <c r="D25" s="14"/>
      <c r="E25" s="14"/>
      <c r="F25" s="14"/>
      <c r="G25" s="14"/>
      <c r="H25" s="14"/>
      <c r="I25" s="14"/>
      <c r="J25" s="14"/>
      <c r="K25" s="14"/>
      <c r="L25" s="14"/>
      <c r="M25" s="870"/>
      <c r="N25" s="543"/>
      <c r="O25" s="543"/>
      <c r="P25" s="543"/>
      <c r="Q25" s="543"/>
      <c r="R25" s="543"/>
      <c r="S25" s="543"/>
      <c r="T25" s="389"/>
      <c r="U25" s="389"/>
      <c r="V25" s="389"/>
      <c r="W25" s="25"/>
      <c r="X25" s="25"/>
      <c r="AB25" s="25"/>
      <c r="AC25" s="25"/>
      <c r="AH25" s="25"/>
      <c r="AI25" s="25"/>
    </row>
    <row r="26" spans="1:35" s="25" customFormat="1" ht="21.75" customHeight="1">
      <c r="A26" s="389"/>
      <c r="B26" s="128"/>
      <c r="C26" s="128"/>
      <c r="D26" s="128"/>
      <c r="E26" s="128"/>
      <c r="F26" s="128"/>
      <c r="G26" s="844"/>
      <c r="H26" s="128"/>
      <c r="I26" s="128"/>
      <c r="J26" s="128"/>
      <c r="K26" s="128"/>
      <c r="L26" s="128"/>
      <c r="M26" s="128"/>
      <c r="N26" s="543"/>
      <c r="O26" s="543"/>
      <c r="P26" s="543"/>
      <c r="Q26" s="543"/>
      <c r="R26" s="543"/>
      <c r="S26" s="543"/>
      <c r="T26" s="544"/>
      <c r="U26" s="544"/>
      <c r="V26" s="545"/>
      <c r="W26" s="390"/>
      <c r="X26" s="1111"/>
      <c r="Y26" s="1111"/>
      <c r="Z26" s="652"/>
      <c r="AA26" s="390"/>
      <c r="AB26" s="390"/>
      <c r="AC26" s="390"/>
      <c r="AH26" s="390"/>
      <c r="AI26" s="390"/>
    </row>
    <row r="27" spans="1:35" ht="19.5" hidden="1" customHeight="1" thickBot="1">
      <c r="A27" s="389"/>
      <c r="B27" s="1084" t="s">
        <v>63</v>
      </c>
      <c r="C27" s="1084"/>
      <c r="D27" s="128"/>
      <c r="E27" s="128"/>
      <c r="F27" s="128"/>
      <c r="G27" s="844"/>
      <c r="H27" s="128"/>
      <c r="I27" s="128"/>
      <c r="J27" s="128"/>
      <c r="K27" s="128"/>
      <c r="L27" s="128"/>
      <c r="M27" s="128"/>
      <c r="N27" s="543"/>
      <c r="O27" s="543"/>
      <c r="P27" s="543"/>
      <c r="Q27" s="543"/>
      <c r="R27" s="543"/>
      <c r="S27" s="543"/>
      <c r="T27" s="544"/>
      <c r="U27" s="544"/>
      <c r="V27" s="545"/>
      <c r="W27" s="25"/>
      <c r="X27" s="1110"/>
      <c r="Y27" s="1110"/>
      <c r="Z27" s="572"/>
      <c r="AB27" s="25"/>
      <c r="AC27" s="25"/>
      <c r="AH27" s="25"/>
      <c r="AI27" s="25"/>
    </row>
    <row r="28" spans="1:35" s="25" customFormat="1" ht="20.149999999999999" hidden="1" customHeight="1" thickBot="1">
      <c r="A28" s="389"/>
      <c r="B28" s="389"/>
      <c r="C28" s="389"/>
      <c r="D28" s="1096" t="s">
        <v>68</v>
      </c>
      <c r="E28" s="1097"/>
      <c r="F28" s="1097"/>
      <c r="G28" s="1097"/>
      <c r="H28" s="1097"/>
      <c r="I28" s="1097"/>
      <c r="J28" s="1097"/>
      <c r="K28" s="1097"/>
      <c r="L28" s="1097"/>
      <c r="M28" s="1097"/>
      <c r="N28" s="1097"/>
      <c r="O28" s="1097"/>
      <c r="P28" s="1097"/>
      <c r="Q28" s="1097"/>
      <c r="R28" s="1097"/>
      <c r="S28" s="1097"/>
      <c r="T28" s="1097"/>
      <c r="U28" s="1097"/>
      <c r="V28" s="1098"/>
      <c r="W28" s="390"/>
      <c r="X28" s="1110"/>
      <c r="Y28" s="1110"/>
      <c r="Z28" s="110"/>
      <c r="AA28" s="390"/>
      <c r="AB28" s="390"/>
      <c r="AC28" s="390"/>
      <c r="AH28" s="390"/>
      <c r="AI28" s="390"/>
    </row>
    <row r="29" spans="1:35" ht="20.149999999999999" hidden="1" customHeight="1">
      <c r="A29" s="389"/>
      <c r="B29" s="1080" t="s">
        <v>86</v>
      </c>
      <c r="C29" s="1081"/>
      <c r="D29" s="1085" t="s">
        <v>9</v>
      </c>
      <c r="E29" s="1071" t="s">
        <v>10</v>
      </c>
      <c r="F29" s="1071" t="s">
        <v>11</v>
      </c>
      <c r="G29" s="842"/>
      <c r="H29" s="1071" t="s">
        <v>12</v>
      </c>
      <c r="I29" s="1071" t="s">
        <v>126</v>
      </c>
      <c r="J29" s="1071" t="s">
        <v>13</v>
      </c>
      <c r="K29" s="1071" t="s">
        <v>14</v>
      </c>
      <c r="L29" s="1071" t="s">
        <v>146</v>
      </c>
      <c r="M29" s="1071" t="s">
        <v>147</v>
      </c>
      <c r="N29" s="1099" t="s">
        <v>26</v>
      </c>
      <c r="O29" s="28" t="s">
        <v>148</v>
      </c>
      <c r="P29" s="1071" t="s">
        <v>15</v>
      </c>
      <c r="Q29" s="1071" t="s">
        <v>16</v>
      </c>
      <c r="R29" s="1071" t="s">
        <v>17</v>
      </c>
      <c r="S29" s="1071" t="s">
        <v>75</v>
      </c>
      <c r="T29" s="1071" t="s">
        <v>50</v>
      </c>
      <c r="U29" s="1071" t="s">
        <v>51</v>
      </c>
      <c r="V29" s="1071" t="s">
        <v>172</v>
      </c>
      <c r="W29" s="545"/>
      <c r="X29" s="1110"/>
      <c r="Y29" s="1110"/>
      <c r="Z29" s="572"/>
    </row>
    <row r="30" spans="1:35" ht="20.149999999999999" hidden="1" customHeight="1">
      <c r="A30" s="389"/>
      <c r="B30" s="1082"/>
      <c r="C30" s="1083"/>
      <c r="D30" s="1086"/>
      <c r="E30" s="1070"/>
      <c r="F30" s="1070"/>
      <c r="G30" s="843"/>
      <c r="H30" s="1070"/>
      <c r="I30" s="1070"/>
      <c r="J30" s="1070"/>
      <c r="K30" s="1070"/>
      <c r="L30" s="1070"/>
      <c r="M30" s="1070"/>
      <c r="N30" s="1100"/>
      <c r="O30" s="29" t="str">
        <f>IF($AN$2=1,"",CONCATENATE("（乗除調整",TEXT(AN2,"##/100"),")"))</f>
        <v/>
      </c>
      <c r="P30" s="1109"/>
      <c r="Q30" s="1070"/>
      <c r="R30" s="1070"/>
      <c r="S30" s="1070"/>
      <c r="T30" s="1070"/>
      <c r="U30" s="1070"/>
      <c r="V30" s="1070"/>
      <c r="W30" s="545"/>
      <c r="X30" s="1110"/>
      <c r="Y30" s="1110"/>
      <c r="Z30" s="572"/>
    </row>
    <row r="31" spans="1:35" ht="20.149999999999999" hidden="1" customHeight="1">
      <c r="A31" s="389"/>
      <c r="B31" s="896" t="s">
        <v>6</v>
      </c>
      <c r="C31" s="1079"/>
      <c r="D31" s="546" t="e">
        <f>IF($D$21="あり",VLOOKUP($D$8,#REF!,8,TRUE),0)</f>
        <v>#REF!</v>
      </c>
      <c r="E31" s="546">
        <f>IF($E$21="あり",VLOOKUP($D$8,#REF!,14,TRUE),0)</f>
        <v>0</v>
      </c>
      <c r="F31" s="546">
        <f>IF($F$21="あり",VLOOKUP($D$8,#REF!,17,TRUE),0)</f>
        <v>0</v>
      </c>
      <c r="G31" s="546"/>
      <c r="H31" s="546">
        <f>IF(AND(OR($F$21="なし",$F$21=""),$H$21="あり"),VLOOKUP($D$8,#REF!,21,TRUE),IF(AND($F$21="あり",$H$21="あり"),VLOOKUP($D$8,#REF!,25,TRUE),0))</f>
        <v>0</v>
      </c>
      <c r="I31" s="546">
        <f>IF(OR($D$8&lt;=35,$D$8&gt;=121),IF($I$21="あり",VLOOKUP($D$8,#REF!,29,TRUE),0),0)</f>
        <v>0</v>
      </c>
      <c r="J31" s="546">
        <f>IF(AND($J$21&lt;&gt;"なし",$J$21&lt;&gt;""),VLOOKUP($D$8,#REF!,33,TRUE)*$J$21,0)</f>
        <v>0</v>
      </c>
      <c r="K31" s="546">
        <f>IF(L$21="あり",VLOOKUP($D$8,#REF!,37,TRUE),0)</f>
        <v>0</v>
      </c>
      <c r="L31" s="546" t="e">
        <f>IF($M$21&lt;&gt;"なし",VLOOKUP($D$8,#REF!,41,TRUE)*$M$21,0)</f>
        <v>#REF!</v>
      </c>
      <c r="M31" s="546" t="e">
        <f>IF(AND($N$21&lt;&gt;"なし",$O$18&lt;=1),VLOOKUP($D$8,#REF!,45,TRUE)*$N$21,0)</f>
        <v>#REF!</v>
      </c>
      <c r="N31" s="547" t="e">
        <f>-IF($D$25&lt;&gt;"なし",VLOOKUP($D$8,#REF!,51,TRUE)*$D$25,0)</f>
        <v>#REF!</v>
      </c>
      <c r="O31" s="548" t="e">
        <f>IF($AN$2=1,SUM(D31:N31),IF(ROUNDDOWN(SUM(D31:N31)*$AN$2,-1)&lt;10,ROUNDDOWN(SUM(D31:N31)*$AN$2,0),(ROUNDDOWN(SUM(D31:N31)*$AN$2,-1))))</f>
        <v>#REF!</v>
      </c>
      <c r="P31" s="549">
        <f>IF($F$25="あり",IF(ROUNDDOWN(#REF!/$L$41,-1)&lt;10,ROUNDDOWN(#REF!/$L$41,0),ROUNDDOWN(#REF!/$L$41,-1)),0)</f>
        <v>0</v>
      </c>
      <c r="Q31" s="546">
        <f>IF($H$25="あり",IF(ROUNDDOWN(#REF!/$L$41,-1)&lt;10,ROUNDDOWN(#REF!/$L$41,0),ROUNDDOWN(#REF!/$L$41,-1)),0)</f>
        <v>0</v>
      </c>
      <c r="R31" s="546">
        <f>IF($I$25="特児",IF(ROUNDDOWN(#REF!/$L$41,-1)&lt;10,ROUNDDOWN(#REF!/$L$41,0),ROUNDDOWN(#REF!/$L$41,-1)),IF($I$25="その他",IF(ROUNDDOWN(#REF!/$L$41,-1)&lt;10,ROUNDDOWN(#REF!/$L$41,0),ROUNDDOWN(#REF!/$L$41,-1)),0))</f>
        <v>0</v>
      </c>
      <c r="S31" s="546">
        <f>IF($D$8&gt;=91,IF($J$25="あり",IF(ROUNDDOWN(#REF!/$L$41,-1)&lt;10,ROUNDDOWN(#REF!/$L$41,0),ROUNDDOWN(#REF!/$L$41,-1)),0),0)</f>
        <v>0</v>
      </c>
      <c r="T31" s="546">
        <f>IF($D$8&gt;=271,IF($K$25="あり",IF(ROUNDDOWN(#REF!/$L$41,-1)&lt;10,ROUNDDOWN(#REF!/$L$41,0),ROUNDDOWN(#REF!/$L$41,-1)),0),0)</f>
        <v>0</v>
      </c>
      <c r="U31" s="546">
        <f>IF($D$8&gt;=271,IF($L$25="あり",IF(ROUNDDOWN(#REF!/$L$41,-1)&lt;10,ROUNDDOWN(#REF!/$L$41,0),ROUNDDOWN(#REF!/$L$41,-1)),0),0)</f>
        <v>0</v>
      </c>
      <c r="V31" s="546">
        <f>IF(M$25="配置",IF(ROUNDDOWN(#REF!/$L$41,-1)&lt;10,ROUNDDOWN(#REF!/$L$41,0),ROUNDDOWN(#REF!/$L$41,-1)),IF(M$25="兼務",IF(ROUNDDOWN(#REF!/$L$41,-1)&lt;10,ROUNDDOWN(#REF!/$L$41,0),ROUNDDOWN(#REF!/$L$41,-1)),0))</f>
        <v>0</v>
      </c>
      <c r="W31" s="7"/>
    </row>
    <row r="32" spans="1:35" ht="20.149999999999999" hidden="1" customHeight="1">
      <c r="A32" s="389"/>
      <c r="B32" s="896" t="s">
        <v>7</v>
      </c>
      <c r="C32" s="1079"/>
      <c r="D32" s="546" t="e">
        <f>D31</f>
        <v>#REF!</v>
      </c>
      <c r="E32" s="546">
        <f>E31</f>
        <v>0</v>
      </c>
      <c r="F32" s="546">
        <f>F31</f>
        <v>0</v>
      </c>
      <c r="G32" s="546"/>
      <c r="H32" s="550"/>
      <c r="I32" s="546">
        <f t="shared" ref="I32:M33" si="1">I31</f>
        <v>0</v>
      </c>
      <c r="J32" s="546">
        <f>J31</f>
        <v>0</v>
      </c>
      <c r="K32" s="546">
        <f t="shared" si="1"/>
        <v>0</v>
      </c>
      <c r="L32" s="546" t="e">
        <f t="shared" si="1"/>
        <v>#REF!</v>
      </c>
      <c r="M32" s="546" t="e">
        <f t="shared" si="1"/>
        <v>#REF!</v>
      </c>
      <c r="N32" s="547" t="e">
        <f>-IF($D$25&lt;&gt;"なし",VLOOKUP($D$8,#REF!,51,TRUE)*$D$25,0)</f>
        <v>#REF!</v>
      </c>
      <c r="O32" s="548" t="e">
        <f>IF($AN$2=1,SUM(D32:N32),IF(ROUNDDOWN(SUM(D32:N32)*$AN$2,-1)&lt;10,ROUNDDOWN(SUM(D32:N32)*$AN$2,0),(ROUNDDOWN(SUM(D32:N32)*$AN$2,-1))))</f>
        <v>#REF!</v>
      </c>
      <c r="P32" s="549">
        <f t="shared" ref="P32:V33" si="2">P31</f>
        <v>0</v>
      </c>
      <c r="Q32" s="546">
        <f t="shared" si="2"/>
        <v>0</v>
      </c>
      <c r="R32" s="546">
        <f t="shared" si="2"/>
        <v>0</v>
      </c>
      <c r="S32" s="546">
        <f t="shared" si="2"/>
        <v>0</v>
      </c>
      <c r="T32" s="546">
        <f t="shared" si="2"/>
        <v>0</v>
      </c>
      <c r="U32" s="546">
        <f>U31</f>
        <v>0</v>
      </c>
      <c r="V32" s="546">
        <f>V31</f>
        <v>0</v>
      </c>
      <c r="W32" s="551"/>
      <c r="X32" s="551"/>
    </row>
    <row r="33" spans="1:25" hidden="1">
      <c r="A33" s="389"/>
      <c r="B33" s="896" t="s">
        <v>8</v>
      </c>
      <c r="C33" s="1079"/>
      <c r="D33" s="546" t="e">
        <f>IF($D$21="あり",VLOOKUP($D$8,#REF!,8,TRUE),0)</f>
        <v>#REF!</v>
      </c>
      <c r="E33" s="546">
        <f>E32</f>
        <v>0</v>
      </c>
      <c r="F33" s="550"/>
      <c r="G33" s="550"/>
      <c r="H33" s="550"/>
      <c r="I33" s="546">
        <f t="shared" si="1"/>
        <v>0</v>
      </c>
      <c r="J33" s="546">
        <f>J32</f>
        <v>0</v>
      </c>
      <c r="K33" s="546">
        <f t="shared" si="1"/>
        <v>0</v>
      </c>
      <c r="L33" s="546" t="e">
        <f t="shared" si="1"/>
        <v>#REF!</v>
      </c>
      <c r="M33" s="546" t="e">
        <f t="shared" si="1"/>
        <v>#REF!</v>
      </c>
      <c r="N33" s="547" t="e">
        <f>-IF($D$25&lt;&gt;"なし",VLOOKUP($D$8,#REF!,51,TRUE)*$D$25,0)</f>
        <v>#REF!</v>
      </c>
      <c r="O33" s="548" t="e">
        <f>IF($AN$2=1,SUM(D33:N33),IF(ROUNDDOWN(SUM(D33:N33)*$AN$2,-1)&lt;10,ROUNDDOWN(SUM(D33:N33)*$AN$2,0),(ROUNDDOWN(SUM(D33:N33)*$AN$2,-1))))</f>
        <v>#REF!</v>
      </c>
      <c r="P33" s="549">
        <f t="shared" si="2"/>
        <v>0</v>
      </c>
      <c r="Q33" s="546">
        <f t="shared" si="2"/>
        <v>0</v>
      </c>
      <c r="R33" s="546">
        <f t="shared" si="2"/>
        <v>0</v>
      </c>
      <c r="S33" s="546">
        <f t="shared" si="2"/>
        <v>0</v>
      </c>
      <c r="T33" s="546">
        <f t="shared" si="2"/>
        <v>0</v>
      </c>
      <c r="U33" s="546">
        <f>U32</f>
        <v>0</v>
      </c>
      <c r="V33" s="546">
        <f t="shared" si="2"/>
        <v>0</v>
      </c>
      <c r="W33" s="551"/>
      <c r="X33" s="1101"/>
      <c r="Y33" s="1101"/>
    </row>
    <row r="34" spans="1:25" ht="20.149999999999999" hidden="1" customHeight="1">
      <c r="A34" s="389"/>
      <c r="B34" s="389"/>
      <c r="C34" s="389"/>
      <c r="D34" s="389"/>
      <c r="E34" s="389"/>
      <c r="F34" s="389"/>
      <c r="G34" s="389"/>
      <c r="H34" s="389"/>
      <c r="I34" s="389"/>
      <c r="J34" s="389"/>
      <c r="K34" s="389"/>
      <c r="L34" s="389"/>
      <c r="M34" s="454"/>
      <c r="N34" s="543"/>
      <c r="O34" s="543"/>
      <c r="P34" s="543"/>
      <c r="Q34" s="543"/>
      <c r="R34" s="543"/>
      <c r="S34" s="543"/>
      <c r="T34" s="551"/>
      <c r="U34" s="551"/>
      <c r="V34" s="551"/>
      <c r="W34" s="551"/>
      <c r="X34" s="552"/>
      <c r="Y34" s="552"/>
    </row>
    <row r="35" spans="1:25" ht="20.149999999999999" hidden="1" customHeight="1" thickBot="1">
      <c r="A35" s="389"/>
      <c r="B35" s="389"/>
      <c r="C35" s="389"/>
      <c r="D35" s="389"/>
      <c r="E35" s="551"/>
      <c r="F35" s="551"/>
      <c r="G35" s="551"/>
      <c r="H35" s="551"/>
      <c r="I35" s="389"/>
      <c r="J35" s="551"/>
      <c r="L35" s="389"/>
      <c r="M35" s="551"/>
      <c r="N35" s="551"/>
      <c r="O35" s="551"/>
      <c r="P35" s="551"/>
      <c r="Q35" s="551"/>
      <c r="R35" s="454"/>
      <c r="S35" s="454"/>
      <c r="T35" s="551"/>
      <c r="U35" s="551"/>
      <c r="V35" s="551"/>
      <c r="W35" s="551"/>
      <c r="X35" s="552"/>
      <c r="Y35" s="552"/>
    </row>
    <row r="36" spans="1:25" ht="54.75" hidden="1" customHeight="1" thickBot="1">
      <c r="A36" s="389"/>
      <c r="B36" s="553" t="s">
        <v>62</v>
      </c>
      <c r="C36" s="389"/>
      <c r="D36" s="389"/>
      <c r="E36" s="389"/>
      <c r="F36" s="389"/>
      <c r="G36" s="389"/>
      <c r="H36" s="389"/>
      <c r="I36" s="389"/>
      <c r="J36" s="551"/>
      <c r="K36" s="553" t="s">
        <v>386</v>
      </c>
      <c r="L36" s="652"/>
      <c r="M36" s="396" t="s">
        <v>151</v>
      </c>
      <c r="N36" s="936" t="s">
        <v>384</v>
      </c>
      <c r="O36" s="937"/>
      <c r="P36" s="938" t="s">
        <v>385</v>
      </c>
      <c r="Q36" s="939"/>
      <c r="R36" s="940" t="s">
        <v>435</v>
      </c>
      <c r="S36" s="941"/>
      <c r="T36" s="940" t="s">
        <v>436</v>
      </c>
      <c r="U36" s="941"/>
      <c r="V36" s="7"/>
      <c r="W36" s="551"/>
      <c r="X36" s="552"/>
      <c r="Y36" s="552"/>
    </row>
    <row r="37" spans="1:25" ht="63.75" hidden="1" customHeight="1">
      <c r="A37" s="389"/>
      <c r="B37" s="389"/>
      <c r="C37" s="389"/>
      <c r="D37" s="389"/>
      <c r="E37" s="389"/>
      <c r="F37" s="389"/>
      <c r="G37" s="389"/>
      <c r="H37" s="389"/>
      <c r="I37" s="389"/>
      <c r="J37" s="11"/>
      <c r="K37" s="664" t="s">
        <v>86</v>
      </c>
      <c r="L37" s="668" t="s">
        <v>458</v>
      </c>
      <c r="M37" s="33" t="s">
        <v>60</v>
      </c>
      <c r="N37" s="8" t="str">
        <f>"A×賃金改善率（"&amp;$J$6&amp;"％）"</f>
        <v>A×賃金改善率（％）</v>
      </c>
      <c r="O37" s="9" t="str">
        <f>CONCATENATE("×利用児童数×",$AC$2,"月")</f>
        <v>×利用児童数×12月</v>
      </c>
      <c r="P37" s="8" t="str">
        <f>"A×加算Ⅰ新規事由に係る率（"&amp;$J$7&amp;"％）"</f>
        <v>A×加算Ⅰ新規事由に係る率（％）</v>
      </c>
      <c r="Q37" s="10" t="str">
        <f>CONCATENATE("×利用児童数×",$AC$2,"月")</f>
        <v>×利用児童数×12月</v>
      </c>
      <c r="R37" s="8" t="str">
        <f>"A×人勧影響率（"&amp;$J$9&amp;"％）"</f>
        <v>A×人勧影響率（％）</v>
      </c>
      <c r="S37" s="10" t="str">
        <f>CONCATENATE("×利用児童数×",$AC$2,"月")</f>
        <v>×利用児童数×12月</v>
      </c>
      <c r="T37" s="8" t="str">
        <f>"A×人勧影響率（"&amp;$J$11&amp;"％）"</f>
        <v>A×人勧影響率（％）</v>
      </c>
      <c r="U37" s="10" t="str">
        <f>CONCATENATE("×利用児童数×",$AC$2,"月")</f>
        <v>×利用児童数×12月</v>
      </c>
      <c r="V37" s="551"/>
      <c r="W37" s="551"/>
      <c r="Y37" s="554"/>
    </row>
    <row r="38" spans="1:25" ht="20.149999999999999" hidden="1" customHeight="1">
      <c r="A38" s="389"/>
      <c r="B38" s="1078" t="s">
        <v>474</v>
      </c>
      <c r="C38" s="1078"/>
      <c r="D38" s="1078"/>
      <c r="E38" s="1076">
        <f>$O$41</f>
        <v>0</v>
      </c>
      <c r="F38" s="1077"/>
      <c r="G38" s="853"/>
      <c r="I38" s="389"/>
      <c r="J38" s="551"/>
      <c r="K38" s="665" t="s">
        <v>6</v>
      </c>
      <c r="L38" s="680">
        <f>'入力（児童数-本園)'!W3</f>
        <v>0</v>
      </c>
      <c r="M38" s="555">
        <f>IF(ISERROR(SUM($O31:$V31)),0,SUM($O31:$V31))</f>
        <v>0</v>
      </c>
      <c r="N38" s="556">
        <f>$M38*$J$6</f>
        <v>0</v>
      </c>
      <c r="O38" s="557">
        <f>N38*$L38*$AC$2</f>
        <v>0</v>
      </c>
      <c r="P38" s="556">
        <f>ROUNDDOWN($M38*$J$7,0)</f>
        <v>0</v>
      </c>
      <c r="Q38" s="557">
        <f>P38*$L38*$AC$2</f>
        <v>0</v>
      </c>
      <c r="R38" s="576">
        <f>ROUNDDOWN($M38*$J$9,0)</f>
        <v>0</v>
      </c>
      <c r="S38" s="577">
        <f>R38*$L38*$AC$2</f>
        <v>0</v>
      </c>
      <c r="T38" s="556">
        <f>ROUNDDOWN($M38*$J$11,0)</f>
        <v>0</v>
      </c>
      <c r="U38" s="557">
        <f>T38*$L38*$AC$2</f>
        <v>0</v>
      </c>
      <c r="V38" s="551"/>
      <c r="W38" s="551"/>
    </row>
    <row r="39" spans="1:25" ht="20.149999999999999" hidden="1" customHeight="1">
      <c r="A39" s="389"/>
      <c r="B39" s="1083" t="str">
        <f>CONCATENATE("（賃金改善要件（",J6,"％）分）")</f>
        <v>（賃金改善要件（％）分）</v>
      </c>
      <c r="C39" s="1083"/>
      <c r="D39" s="1083"/>
      <c r="E39" s="558"/>
      <c r="F39" s="558"/>
      <c r="G39" s="558"/>
      <c r="H39" s="389"/>
      <c r="I39" s="389"/>
      <c r="J39" s="551"/>
      <c r="K39" s="665" t="s">
        <v>7</v>
      </c>
      <c r="L39" s="680">
        <f>'入力（児童数-本園)'!W4</f>
        <v>0</v>
      </c>
      <c r="M39" s="555">
        <f>IF(ISERROR(SUM($O32:$V32)),0,SUM($O32:$V32))</f>
        <v>0</v>
      </c>
      <c r="N39" s="556">
        <f>$M39*$J$6</f>
        <v>0</v>
      </c>
      <c r="O39" s="557">
        <f>N39*$L39*$AC$2</f>
        <v>0</v>
      </c>
      <c r="P39" s="556">
        <f>ROUNDDOWN($M39*$J$7,0)</f>
        <v>0</v>
      </c>
      <c r="Q39" s="557">
        <f>P39*$L39*$AC$2</f>
        <v>0</v>
      </c>
      <c r="R39" s="576">
        <f>ROUNDDOWN($M39*$J$9,0)</f>
        <v>0</v>
      </c>
      <c r="S39" s="577">
        <f>R39*$L39*$AC$2</f>
        <v>0</v>
      </c>
      <c r="T39" s="556">
        <f>ROUNDDOWN($M39*$J$11,0)</f>
        <v>0</v>
      </c>
      <c r="U39" s="557">
        <f>T39*$L39*$AC$2</f>
        <v>0</v>
      </c>
      <c r="V39" s="551"/>
      <c r="W39" s="7"/>
      <c r="X39" s="394">
        <v>2015</v>
      </c>
      <c r="Y39" s="394">
        <v>6.1</v>
      </c>
    </row>
    <row r="40" spans="1:25" ht="20.149999999999999" hidden="1" customHeight="1" thickBot="1">
      <c r="A40" s="389"/>
      <c r="B40" s="389"/>
      <c r="C40" s="1114" t="s">
        <v>489</v>
      </c>
      <c r="D40" s="1114"/>
      <c r="E40" s="1114"/>
      <c r="F40" s="1114"/>
      <c r="G40" s="1114"/>
      <c r="H40" s="1114"/>
      <c r="I40" s="1114"/>
      <c r="J40" s="551"/>
      <c r="K40" s="666" t="s">
        <v>8</v>
      </c>
      <c r="L40" s="683">
        <f>'入力（児童数-本園)'!W5</f>
        <v>0</v>
      </c>
      <c r="M40" s="559">
        <f>IF(ISERROR(SUM($O33:$V33)),0,SUM($O33:$V33))</f>
        <v>0</v>
      </c>
      <c r="N40" s="556">
        <f>$M40*$J$6</f>
        <v>0</v>
      </c>
      <c r="O40" s="557">
        <f>N40*$L40*$AC$2</f>
        <v>0</v>
      </c>
      <c r="P40" s="556">
        <f>ROUNDDOWN($M40*$J$7,0)</f>
        <v>0</v>
      </c>
      <c r="Q40" s="557">
        <f>P40*$L40*$AC$2</f>
        <v>0</v>
      </c>
      <c r="R40" s="576">
        <f>ROUNDDOWN($M40*$J$9,0)</f>
        <v>0</v>
      </c>
      <c r="S40" s="577">
        <f>R40*$L40*$AC$2</f>
        <v>0</v>
      </c>
      <c r="T40" s="556">
        <f>ROUNDDOWN($M40*$J$11,0)</f>
        <v>0</v>
      </c>
      <c r="U40" s="557">
        <f>T40*$L40*$AC$2</f>
        <v>0</v>
      </c>
      <c r="V40" s="128"/>
      <c r="W40" s="551"/>
      <c r="X40" s="394">
        <v>2016</v>
      </c>
      <c r="Y40" s="394">
        <v>4.2</v>
      </c>
    </row>
    <row r="41" spans="1:25" ht="20.149999999999999" hidden="1" customHeight="1" thickTop="1" thickBot="1">
      <c r="A41" s="389"/>
      <c r="B41" s="558"/>
      <c r="C41" s="558"/>
      <c r="D41" s="558"/>
      <c r="E41" s="558"/>
      <c r="F41" s="558"/>
      <c r="G41" s="558"/>
      <c r="H41" s="551"/>
      <c r="I41" s="389"/>
      <c r="J41" s="109"/>
      <c r="K41" s="667" t="s">
        <v>0</v>
      </c>
      <c r="L41" s="597">
        <f>SUM(L38:L40)</f>
        <v>0</v>
      </c>
      <c r="M41" s="560"/>
      <c r="N41" s="561" t="s">
        <v>67</v>
      </c>
      <c r="O41" s="562">
        <f>ROUNDDOWN(SUM(O38:O40),-3)</f>
        <v>0</v>
      </c>
      <c r="P41" s="563" t="s">
        <v>67</v>
      </c>
      <c r="Q41" s="562">
        <f>ROUNDDOWN(SUM(Q38:Q40),-3)</f>
        <v>0</v>
      </c>
      <c r="R41" s="563" t="s">
        <v>0</v>
      </c>
      <c r="S41" s="578">
        <f>ROUNDDOWN(SUM(S38:S40),-3)</f>
        <v>0</v>
      </c>
      <c r="T41" s="563" t="s">
        <v>0</v>
      </c>
      <c r="U41" s="562">
        <f>ROUNDDOWN(SUM(U38:U40),-3)</f>
        <v>0</v>
      </c>
      <c r="V41" s="389"/>
      <c r="W41" s="551"/>
      <c r="X41" s="394">
        <v>2017</v>
      </c>
      <c r="Y41" s="394">
        <v>2.9</v>
      </c>
    </row>
    <row r="42" spans="1:25" ht="20.149999999999999" hidden="1" customHeight="1">
      <c r="A42" s="389"/>
      <c r="B42" s="564"/>
      <c r="C42" s="564"/>
      <c r="D42" s="564"/>
      <c r="E42" s="564"/>
      <c r="F42" s="564"/>
      <c r="G42" s="845"/>
      <c r="H42" s="551"/>
      <c r="I42" s="389"/>
      <c r="J42" s="109"/>
      <c r="K42" s="109"/>
      <c r="L42" s="109"/>
      <c r="M42" s="565"/>
      <c r="N42" s="389"/>
      <c r="O42" s="389"/>
      <c r="P42" s="389"/>
      <c r="Q42" s="389"/>
      <c r="R42" s="389"/>
      <c r="S42" s="389"/>
      <c r="T42" s="389"/>
      <c r="U42" s="389"/>
      <c r="V42" s="389"/>
      <c r="W42" s="551"/>
      <c r="X42" s="394">
        <v>2018</v>
      </c>
      <c r="Y42" s="394">
        <v>1.8</v>
      </c>
    </row>
    <row r="43" spans="1:25" ht="20.149999999999999" hidden="1" customHeight="1">
      <c r="A43" s="389"/>
      <c r="B43" s="1078" t="s">
        <v>382</v>
      </c>
      <c r="C43" s="1078"/>
      <c r="D43" s="1078"/>
      <c r="E43" s="1115">
        <f>$Q$41</f>
        <v>0</v>
      </c>
      <c r="F43" s="1116"/>
      <c r="G43" s="854"/>
      <c r="I43" s="389"/>
      <c r="J43" s="389"/>
      <c r="K43" s="389"/>
      <c r="L43" s="566"/>
      <c r="M43" s="523"/>
      <c r="N43" s="567"/>
      <c r="O43" s="109"/>
      <c r="P43" s="389"/>
      <c r="Q43" s="389"/>
      <c r="R43" s="389"/>
      <c r="S43" s="389"/>
      <c r="T43" s="389"/>
      <c r="U43" s="389"/>
      <c r="V43" s="389"/>
      <c r="W43" s="568"/>
      <c r="X43" s="394">
        <v>2019</v>
      </c>
      <c r="Y43" s="394">
        <v>1</v>
      </c>
    </row>
    <row r="44" spans="1:25" ht="17.25" hidden="1" customHeight="1">
      <c r="A44" s="389"/>
      <c r="B44" s="1083" t="str">
        <f>CONCATENATE("（加算Ⅰ新規事由に係る加算率（",J7,"％）分）")</f>
        <v>（加算Ⅰ新規事由に係る加算率（％）分）</v>
      </c>
      <c r="C44" s="1083"/>
      <c r="D44" s="1083"/>
      <c r="E44" s="558"/>
      <c r="F44" s="558"/>
      <c r="G44" s="558"/>
      <c r="H44" s="389"/>
      <c r="I44" s="389"/>
      <c r="J44" s="389"/>
      <c r="K44" s="389"/>
      <c r="L44" s="389"/>
      <c r="M44" s="389"/>
      <c r="N44" s="389"/>
      <c r="O44" s="389"/>
      <c r="P44" s="389"/>
      <c r="Q44" s="389"/>
      <c r="R44" s="389"/>
      <c r="S44" s="389"/>
      <c r="T44" s="389"/>
      <c r="U44" s="389"/>
      <c r="V44" s="389"/>
    </row>
    <row r="45" spans="1:25" ht="19" hidden="1">
      <c r="A45" s="389"/>
      <c r="B45" s="1083"/>
      <c r="C45" s="1083"/>
      <c r="D45" s="1083"/>
      <c r="E45" s="558"/>
      <c r="F45" s="558"/>
      <c r="G45" s="558"/>
      <c r="H45" s="551"/>
      <c r="I45" s="389"/>
      <c r="J45" s="389"/>
      <c r="K45" s="389"/>
      <c r="L45" s="389"/>
      <c r="M45" s="389"/>
      <c r="N45" s="389"/>
      <c r="O45" s="389"/>
      <c r="P45" s="389"/>
      <c r="Q45" s="389"/>
      <c r="R45" s="389"/>
      <c r="S45" s="389"/>
      <c r="T45" s="389"/>
      <c r="U45" s="389"/>
      <c r="V45" s="389"/>
      <c r="W45" s="389"/>
      <c r="Y45" s="569"/>
    </row>
    <row r="46" spans="1:25" ht="24" hidden="1" customHeight="1">
      <c r="A46" s="389"/>
      <c r="B46" s="1112" t="s">
        <v>381</v>
      </c>
      <c r="C46" s="1112"/>
      <c r="D46" s="1112"/>
      <c r="E46" s="12"/>
      <c r="F46" s="389"/>
      <c r="G46" s="389"/>
      <c r="H46" s="389"/>
      <c r="I46" s="389"/>
      <c r="J46" s="389"/>
      <c r="K46" s="389"/>
      <c r="L46" s="389"/>
      <c r="M46" s="389"/>
      <c r="N46" s="389"/>
      <c r="O46" s="389"/>
      <c r="P46" s="389"/>
      <c r="Q46" s="389"/>
      <c r="R46" s="389"/>
      <c r="S46" s="389"/>
      <c r="T46" s="389"/>
      <c r="U46" s="389"/>
      <c r="V46" s="389"/>
      <c r="W46" s="389"/>
    </row>
    <row r="47" spans="1:25" ht="20.25" hidden="1" customHeight="1">
      <c r="A47" s="389"/>
      <c r="B47" s="1112"/>
      <c r="C47" s="1112"/>
      <c r="D47" s="1112"/>
      <c r="E47" s="1113">
        <f>$S$41</f>
        <v>0</v>
      </c>
      <c r="F47" s="1113"/>
      <c r="G47" s="855"/>
      <c r="H47" s="389"/>
      <c r="I47" s="389"/>
      <c r="J47" s="389"/>
      <c r="K47" s="389"/>
      <c r="L47" s="389"/>
      <c r="M47" s="389"/>
      <c r="N47" s="389"/>
      <c r="O47" s="389"/>
      <c r="P47" s="389"/>
      <c r="Q47" s="389"/>
      <c r="R47" s="389"/>
      <c r="S47" s="389"/>
      <c r="T47" s="389"/>
      <c r="U47" s="389"/>
      <c r="V47" s="389"/>
      <c r="W47" s="389"/>
    </row>
    <row r="48" spans="1:25" ht="17.25" hidden="1" customHeight="1">
      <c r="A48" s="389"/>
      <c r="B48" s="1083" t="str">
        <f>CONCATENATE("（処遇Ⅰの基準年度の翌年～当年度まで（",J9,"％）分）")</f>
        <v>（処遇Ⅰの基準年度の翌年～当年度まで（％）分）</v>
      </c>
      <c r="C48" s="1083"/>
      <c r="D48" s="1083"/>
      <c r="E48" s="558"/>
      <c r="F48" s="558"/>
      <c r="G48" s="558"/>
      <c r="H48" s="389"/>
      <c r="I48" s="389"/>
      <c r="J48" s="389"/>
      <c r="K48" s="389"/>
      <c r="L48" s="389"/>
      <c r="M48" s="389"/>
      <c r="N48" s="389"/>
      <c r="O48" s="389"/>
      <c r="P48" s="389"/>
      <c r="Q48" s="389"/>
      <c r="R48" s="389"/>
      <c r="S48" s="389"/>
      <c r="T48" s="389"/>
      <c r="U48" s="389"/>
      <c r="V48" s="389"/>
      <c r="W48" s="389"/>
    </row>
    <row r="49" spans="1:23" ht="19" hidden="1">
      <c r="A49" s="389"/>
      <c r="B49" s="1083"/>
      <c r="C49" s="1083"/>
      <c r="D49" s="1083"/>
      <c r="E49" s="558"/>
      <c r="F49" s="558"/>
      <c r="G49" s="558"/>
      <c r="H49" s="389"/>
      <c r="I49" s="570"/>
      <c r="J49" s="389"/>
      <c r="K49" s="389"/>
      <c r="L49" s="389"/>
      <c r="M49" s="389"/>
      <c r="N49" s="389"/>
      <c r="O49" s="389"/>
      <c r="P49" s="389"/>
      <c r="Q49" s="389"/>
      <c r="R49" s="389"/>
      <c r="S49" s="389"/>
      <c r="T49" s="389"/>
      <c r="U49" s="389"/>
      <c r="V49" s="389"/>
      <c r="W49" s="389"/>
    </row>
    <row r="50" spans="1:23" hidden="1">
      <c r="A50" s="389"/>
      <c r="B50" s="1112" t="s">
        <v>381</v>
      </c>
      <c r="C50" s="1112"/>
      <c r="D50" s="1112"/>
      <c r="E50" s="12"/>
      <c r="F50" s="389"/>
      <c r="G50" s="389"/>
      <c r="H50" s="389"/>
      <c r="I50" s="571"/>
      <c r="J50" s="389"/>
      <c r="K50" s="389"/>
      <c r="L50" s="389"/>
      <c r="M50" s="389"/>
      <c r="N50" s="389"/>
      <c r="O50" s="389"/>
      <c r="P50" s="389"/>
      <c r="Q50" s="389"/>
      <c r="R50" s="389"/>
      <c r="S50" s="389"/>
      <c r="T50" s="389"/>
      <c r="U50" s="389"/>
      <c r="V50" s="389"/>
      <c r="W50" s="389"/>
    </row>
    <row r="51" spans="1:23" ht="18.75" hidden="1" customHeight="1">
      <c r="A51" s="389"/>
      <c r="B51" s="1112"/>
      <c r="C51" s="1112"/>
      <c r="D51" s="1112"/>
      <c r="E51" s="1113">
        <f>$U$41</f>
        <v>0</v>
      </c>
      <c r="F51" s="1113"/>
      <c r="G51" s="855"/>
      <c r="H51" s="389"/>
      <c r="I51" s="389"/>
      <c r="J51" s="389"/>
      <c r="K51" s="389"/>
      <c r="L51" s="389"/>
      <c r="M51" s="389"/>
      <c r="N51" s="389"/>
      <c r="O51" s="389"/>
      <c r="P51" s="389"/>
      <c r="Q51" s="389"/>
      <c r="R51" s="389"/>
      <c r="S51" s="389"/>
      <c r="T51" s="389"/>
      <c r="U51" s="389"/>
      <c r="V51" s="389"/>
      <c r="W51" s="389"/>
    </row>
    <row r="52" spans="1:23" ht="19" hidden="1">
      <c r="A52" s="389"/>
      <c r="B52" s="1083" t="str">
        <f>CONCATENATE("（処遇Ⅱの基準年度の翌年～当年度まで（",J11,"％）分）")</f>
        <v>（処遇Ⅱの基準年度の翌年～当年度まで（％）分）</v>
      </c>
      <c r="C52" s="1083"/>
      <c r="D52" s="1083"/>
      <c r="E52" s="558"/>
      <c r="F52" s="558"/>
      <c r="G52" s="558"/>
      <c r="H52" s="389"/>
      <c r="I52" s="389"/>
      <c r="J52" s="389"/>
      <c r="K52" s="389"/>
      <c r="L52" s="389"/>
      <c r="M52" s="389"/>
      <c r="N52" s="389"/>
      <c r="O52" s="389"/>
      <c r="P52" s="389"/>
      <c r="Q52" s="389"/>
      <c r="R52" s="389"/>
      <c r="S52" s="389"/>
      <c r="T52" s="389"/>
      <c r="U52" s="389"/>
      <c r="V52" s="389"/>
    </row>
    <row r="53" spans="1:23" ht="19" hidden="1">
      <c r="A53" s="389"/>
      <c r="B53" s="1083"/>
      <c r="C53" s="1083"/>
      <c r="D53" s="1083"/>
      <c r="E53" s="558"/>
      <c r="F53" s="558"/>
      <c r="G53" s="558"/>
      <c r="H53" s="389"/>
      <c r="I53" s="389"/>
      <c r="J53" s="389"/>
      <c r="K53" s="389"/>
      <c r="L53" s="389"/>
      <c r="M53" s="389"/>
      <c r="N53" s="389"/>
      <c r="O53" s="389"/>
      <c r="P53" s="389"/>
      <c r="Q53" s="389"/>
      <c r="R53" s="389"/>
      <c r="S53" s="389"/>
      <c r="T53" s="389"/>
      <c r="U53" s="389"/>
      <c r="V53" s="389"/>
    </row>
    <row r="54" spans="1:23" hidden="1">
      <c r="A54" s="389"/>
      <c r="B54" s="389"/>
      <c r="C54" s="389"/>
      <c r="D54" s="389"/>
      <c r="E54" s="389"/>
      <c r="F54" s="389"/>
      <c r="G54" s="389"/>
      <c r="H54" s="389"/>
      <c r="I54" s="389"/>
      <c r="J54" s="389"/>
      <c r="K54" s="389"/>
      <c r="L54" s="389"/>
      <c r="M54" s="389"/>
      <c r="N54" s="389"/>
      <c r="O54" s="389"/>
      <c r="P54" s="389"/>
      <c r="Q54" s="389"/>
      <c r="R54" s="389"/>
      <c r="S54" s="389"/>
      <c r="T54" s="389"/>
      <c r="U54" s="389"/>
      <c r="V54" s="389"/>
    </row>
    <row r="56" spans="1:23">
      <c r="C56" s="572"/>
      <c r="D56" s="573"/>
      <c r="E56" s="574"/>
      <c r="I56" s="575"/>
    </row>
    <row r="57" spans="1:23">
      <c r="C57" s="572"/>
      <c r="D57" s="24"/>
      <c r="E57" s="574"/>
    </row>
    <row r="58" spans="1:23">
      <c r="C58" s="572"/>
      <c r="D58" s="24"/>
    </row>
  </sheetData>
  <sheetProtection algorithmName="SHA-512" hashValue="0tZIOoCyttzxTxfL/VPeti17G4SQyEhgx4thtokcGxvqp/fCsHvV198T0xnzxeIs9/1s0Lje9rcyXfZ6amBW1w==" saltValue="ERuBuEJjGiVk8wiMP51jCA==" spinCount="100000" sheet="1" objects="1" scenarios="1"/>
  <customSheetViews>
    <customSheetView guid="{2E52E5FF-9846-4DC5-A671-268FE925398C}" scale="70" showPageBreaks="1" fitToPage="1" printArea="1" view="pageBreakPreview">
      <selection activeCell="E16" sqref="E16"/>
      <pageMargins left="0.70866141732283472" right="0.70866141732283472" top="0.74803149606299213" bottom="0.74803149606299213" header="0.31496062992125984" footer="0.31496062992125984"/>
      <pageSetup paperSize="9" scale="41" orientation="landscape" r:id="rId1"/>
    </customSheetView>
    <customSheetView guid="{BADA99B3-B36A-4925-87A7-F72FC97D3DBA}" scale="70" showPageBreaks="1" fitToPage="1" printArea="1" view="pageBreakPreview" topLeftCell="A16">
      <selection activeCell="X36" sqref="X36"/>
      <pageMargins left="0.70866141732283472" right="0.70866141732283472" top="0.74803149606299213" bottom="0.74803149606299213" header="0.31496062992125984" footer="0.31496062992125984"/>
      <pageSetup paperSize="9" scale="41" orientation="landscape" r:id="rId2"/>
    </customSheetView>
  </customSheetViews>
  <mergeCells count="83">
    <mergeCell ref="B50:D51"/>
    <mergeCell ref="E51:F51"/>
    <mergeCell ref="B52:D53"/>
    <mergeCell ref="B46:D47"/>
    <mergeCell ref="B39:D39"/>
    <mergeCell ref="B44:D45"/>
    <mergeCell ref="B48:D49"/>
    <mergeCell ref="E47:F47"/>
    <mergeCell ref="C40:I40"/>
    <mergeCell ref="E43:F43"/>
    <mergeCell ref="B43:D43"/>
    <mergeCell ref="R29:R30"/>
    <mergeCell ref="S29:S30"/>
    <mergeCell ref="K23:K24"/>
    <mergeCell ref="U29:U30"/>
    <mergeCell ref="V29:V30"/>
    <mergeCell ref="X33:Y33"/>
    <mergeCell ref="L23:L24"/>
    <mergeCell ref="M23:M24"/>
    <mergeCell ref="S1:V1"/>
    <mergeCell ref="B2:U3"/>
    <mergeCell ref="B17:C17"/>
    <mergeCell ref="B9:C9"/>
    <mergeCell ref="B18:C25"/>
    <mergeCell ref="B32:C32"/>
    <mergeCell ref="P29:P30"/>
    <mergeCell ref="J23:J24"/>
    <mergeCell ref="X30:Y30"/>
    <mergeCell ref="X26:Y26"/>
    <mergeCell ref="X27:Y27"/>
    <mergeCell ref="X28:Y28"/>
    <mergeCell ref="X29:Y29"/>
    <mergeCell ref="T36:U36"/>
    <mergeCell ref="T29:T30"/>
    <mergeCell ref="I19:I20"/>
    <mergeCell ref="L29:L30"/>
    <mergeCell ref="K29:K30"/>
    <mergeCell ref="J29:J30"/>
    <mergeCell ref="R36:S36"/>
    <mergeCell ref="J19:J20"/>
    <mergeCell ref="D28:V28"/>
    <mergeCell ref="N29:N30"/>
    <mergeCell ref="E29:E30"/>
    <mergeCell ref="F29:F30"/>
    <mergeCell ref="Q29:Q30"/>
    <mergeCell ref="M29:M30"/>
    <mergeCell ref="I23:I24"/>
    <mergeCell ref="D19:D20"/>
    <mergeCell ref="D10:E10"/>
    <mergeCell ref="B5:D5"/>
    <mergeCell ref="B10:C10"/>
    <mergeCell ref="B6:C6"/>
    <mergeCell ref="AH1:AI1"/>
    <mergeCell ref="B7:C7"/>
    <mergeCell ref="AL1:AM1"/>
    <mergeCell ref="D6:E6"/>
    <mergeCell ref="D7:E7"/>
    <mergeCell ref="D8:E8"/>
    <mergeCell ref="D9:E9"/>
    <mergeCell ref="E38:F38"/>
    <mergeCell ref="B38:D38"/>
    <mergeCell ref="B33:C33"/>
    <mergeCell ref="E19:E20"/>
    <mergeCell ref="F19:F20"/>
    <mergeCell ref="D23:D24"/>
    <mergeCell ref="E23:E24"/>
    <mergeCell ref="F23:F24"/>
    <mergeCell ref="B29:C30"/>
    <mergeCell ref="B31:C31"/>
    <mergeCell ref="B27:C27"/>
    <mergeCell ref="D29:D30"/>
    <mergeCell ref="G19:G20"/>
    <mergeCell ref="G23:G24"/>
    <mergeCell ref="P36:Q36"/>
    <mergeCell ref="H29:H30"/>
    <mergeCell ref="I29:I30"/>
    <mergeCell ref="N36:O36"/>
    <mergeCell ref="M19:M20"/>
    <mergeCell ref="N19:N20"/>
    <mergeCell ref="H19:H20"/>
    <mergeCell ref="H23:H24"/>
    <mergeCell ref="K19:K20"/>
    <mergeCell ref="L19:L20"/>
  </mergeCells>
  <phoneticPr fontId="4"/>
  <dataValidations count="6">
    <dataValidation type="list" errorStyle="warning" showInputMessage="1" showErrorMessage="1" sqref="I25" xr:uid="{00000000-0002-0000-0B00-000000000000}">
      <formula1>$AD$2:$AD$4</formula1>
    </dataValidation>
    <dataValidation type="list" allowBlank="1" showInputMessage="1" showErrorMessage="1" sqref="E25:G25 L21 D21:I21 J25:K25" xr:uid="{00000000-0002-0000-0B00-000001000000}">
      <formula1>$AD$2:$AD$4</formula1>
    </dataValidation>
    <dataValidation type="list" allowBlank="1" showInputMessage="1" showErrorMessage="1" sqref="L25" xr:uid="{00000000-0002-0000-0B00-000002000000}">
      <formula1>$AJ$2:$AJ$5</formula1>
    </dataValidation>
    <dataValidation type="list" errorStyle="warning" showInputMessage="1" sqref="D25 M21:N21" xr:uid="{00000000-0002-0000-0B00-000003000000}">
      <formula1>$AK$2:$AK$7</formula1>
    </dataValidation>
    <dataValidation type="list" errorStyle="warning" allowBlank="1" showInputMessage="1" showErrorMessage="1" sqref="J21" xr:uid="{00000000-0002-0000-0B00-000004000000}">
      <formula1>$AH$2:$AH$16</formula1>
    </dataValidation>
    <dataValidation type="list" allowBlank="1" showInputMessage="1" showErrorMessage="1" sqref="H25" xr:uid="{9C9A1933-ECD8-497E-A0FD-1A9DC4B92063}">
      <formula1>$AG$2:$AG$5</formula1>
    </dataValidation>
  </dataValidations>
  <printOptions horizontalCentered="1"/>
  <pageMargins left="0.70866141732283472" right="0.70866141732283472" top="0.74803149606299213" bottom="0.74803149606299213" header="0.31496062992125984" footer="0.31496062992125984"/>
  <pageSetup paperSize="9" scale="4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5">
    <tabColor rgb="FFFFC000"/>
  </sheetPr>
  <dimension ref="A1:V126"/>
  <sheetViews>
    <sheetView view="pageBreakPreview" zoomScale="85" zoomScaleNormal="100" zoomScaleSheetLayoutView="85" workbookViewId="0">
      <selection sqref="A1:C1"/>
    </sheetView>
  </sheetViews>
  <sheetFormatPr defaultRowHeight="13" outlineLevelCol="1"/>
  <cols>
    <col min="1" max="1" width="2.90625" style="34" customWidth="1"/>
    <col min="2" max="2" width="3" style="34" customWidth="1"/>
    <col min="3" max="3" width="29.7265625" style="34" customWidth="1"/>
    <col min="4" max="4" width="12" style="34" customWidth="1"/>
    <col min="5" max="5" width="10.26953125" style="34" customWidth="1"/>
    <col min="6" max="8" width="15.453125" style="234" customWidth="1"/>
    <col min="9" max="9" width="16.26953125" style="234" customWidth="1"/>
    <col min="10" max="10" width="12.08984375" style="234" hidden="1" customWidth="1" outlineLevel="1"/>
    <col min="11" max="14" width="9" style="34" hidden="1" customWidth="1" outlineLevel="1"/>
    <col min="15" max="15" width="9" style="235" hidden="1" customWidth="1" outlineLevel="1"/>
    <col min="16" max="21" width="9" style="34" hidden="1" customWidth="1" outlineLevel="1"/>
    <col min="22" max="22" width="9" style="34" collapsed="1"/>
    <col min="23" max="261" width="9" style="34"/>
    <col min="262" max="262" width="2.90625" style="34" customWidth="1"/>
    <col min="263" max="263" width="3" style="34" customWidth="1"/>
    <col min="264" max="264" width="46.26953125" style="34" customWidth="1"/>
    <col min="265" max="265" width="12" style="34" customWidth="1"/>
    <col min="266" max="266" width="10.26953125" style="34" customWidth="1"/>
    <col min="267" max="267" width="15.453125" style="34" customWidth="1"/>
    <col min="268" max="268" width="14.26953125" style="34" customWidth="1"/>
    <col min="269" max="269" width="12.08984375" style="34" customWidth="1"/>
    <col min="270" max="270" width="29" style="34" customWidth="1"/>
    <col min="271" max="517" width="9" style="34"/>
    <col min="518" max="518" width="2.90625" style="34" customWidth="1"/>
    <col min="519" max="519" width="3" style="34" customWidth="1"/>
    <col min="520" max="520" width="46.26953125" style="34" customWidth="1"/>
    <col min="521" max="521" width="12" style="34" customWidth="1"/>
    <col min="522" max="522" width="10.26953125" style="34" customWidth="1"/>
    <col min="523" max="523" width="15.453125" style="34" customWidth="1"/>
    <col min="524" max="524" width="14.26953125" style="34" customWidth="1"/>
    <col min="525" max="525" width="12.08984375" style="34" customWidth="1"/>
    <col min="526" max="526" width="29" style="34" customWidth="1"/>
    <col min="527" max="773" width="9" style="34"/>
    <col min="774" max="774" width="2.90625" style="34" customWidth="1"/>
    <col min="775" max="775" width="3" style="34" customWidth="1"/>
    <col min="776" max="776" width="46.26953125" style="34" customWidth="1"/>
    <col min="777" max="777" width="12" style="34" customWidth="1"/>
    <col min="778" max="778" width="10.26953125" style="34" customWidth="1"/>
    <col min="779" max="779" width="15.453125" style="34" customWidth="1"/>
    <col min="780" max="780" width="14.26953125" style="34" customWidth="1"/>
    <col min="781" max="781" width="12.08984375" style="34" customWidth="1"/>
    <col min="782" max="782" width="29" style="34" customWidth="1"/>
    <col min="783" max="1029" width="9" style="34"/>
    <col min="1030" max="1030" width="2.90625" style="34" customWidth="1"/>
    <col min="1031" max="1031" width="3" style="34" customWidth="1"/>
    <col min="1032" max="1032" width="46.26953125" style="34" customWidth="1"/>
    <col min="1033" max="1033" width="12" style="34" customWidth="1"/>
    <col min="1034" max="1034" width="10.26953125" style="34" customWidth="1"/>
    <col min="1035" max="1035" width="15.453125" style="34" customWidth="1"/>
    <col min="1036" max="1036" width="14.26953125" style="34" customWidth="1"/>
    <col min="1037" max="1037" width="12.08984375" style="34" customWidth="1"/>
    <col min="1038" max="1038" width="29" style="34" customWidth="1"/>
    <col min="1039" max="1285" width="9" style="34"/>
    <col min="1286" max="1286" width="2.90625" style="34" customWidth="1"/>
    <col min="1287" max="1287" width="3" style="34" customWidth="1"/>
    <col min="1288" max="1288" width="46.26953125" style="34" customWidth="1"/>
    <col min="1289" max="1289" width="12" style="34" customWidth="1"/>
    <col min="1290" max="1290" width="10.26953125" style="34" customWidth="1"/>
    <col min="1291" max="1291" width="15.453125" style="34" customWidth="1"/>
    <col min="1292" max="1292" width="14.26953125" style="34" customWidth="1"/>
    <col min="1293" max="1293" width="12.08984375" style="34" customWidth="1"/>
    <col min="1294" max="1294" width="29" style="34" customWidth="1"/>
    <col min="1295" max="1541" width="9" style="34"/>
    <col min="1542" max="1542" width="2.90625" style="34" customWidth="1"/>
    <col min="1543" max="1543" width="3" style="34" customWidth="1"/>
    <col min="1544" max="1544" width="46.26953125" style="34" customWidth="1"/>
    <col min="1545" max="1545" width="12" style="34" customWidth="1"/>
    <col min="1546" max="1546" width="10.26953125" style="34" customWidth="1"/>
    <col min="1547" max="1547" width="15.453125" style="34" customWidth="1"/>
    <col min="1548" max="1548" width="14.26953125" style="34" customWidth="1"/>
    <col min="1549" max="1549" width="12.08984375" style="34" customWidth="1"/>
    <col min="1550" max="1550" width="29" style="34" customWidth="1"/>
    <col min="1551" max="1797" width="9" style="34"/>
    <col min="1798" max="1798" width="2.90625" style="34" customWidth="1"/>
    <col min="1799" max="1799" width="3" style="34" customWidth="1"/>
    <col min="1800" max="1800" width="46.26953125" style="34" customWidth="1"/>
    <col min="1801" max="1801" width="12" style="34" customWidth="1"/>
    <col min="1802" max="1802" width="10.26953125" style="34" customWidth="1"/>
    <col min="1803" max="1803" width="15.453125" style="34" customWidth="1"/>
    <col min="1804" max="1804" width="14.26953125" style="34" customWidth="1"/>
    <col min="1805" max="1805" width="12.08984375" style="34" customWidth="1"/>
    <col min="1806" max="1806" width="29" style="34" customWidth="1"/>
    <col min="1807" max="2053" width="9" style="34"/>
    <col min="2054" max="2054" width="2.90625" style="34" customWidth="1"/>
    <col min="2055" max="2055" width="3" style="34" customWidth="1"/>
    <col min="2056" max="2056" width="46.26953125" style="34" customWidth="1"/>
    <col min="2057" max="2057" width="12" style="34" customWidth="1"/>
    <col min="2058" max="2058" width="10.26953125" style="34" customWidth="1"/>
    <col min="2059" max="2059" width="15.453125" style="34" customWidth="1"/>
    <col min="2060" max="2060" width="14.26953125" style="34" customWidth="1"/>
    <col min="2061" max="2061" width="12.08984375" style="34" customWidth="1"/>
    <col min="2062" max="2062" width="29" style="34" customWidth="1"/>
    <col min="2063" max="2309" width="9" style="34"/>
    <col min="2310" max="2310" width="2.90625" style="34" customWidth="1"/>
    <col min="2311" max="2311" width="3" style="34" customWidth="1"/>
    <col min="2312" max="2312" width="46.26953125" style="34" customWidth="1"/>
    <col min="2313" max="2313" width="12" style="34" customWidth="1"/>
    <col min="2314" max="2314" width="10.26953125" style="34" customWidth="1"/>
    <col min="2315" max="2315" width="15.453125" style="34" customWidth="1"/>
    <col min="2316" max="2316" width="14.26953125" style="34" customWidth="1"/>
    <col min="2317" max="2317" width="12.08984375" style="34" customWidth="1"/>
    <col min="2318" max="2318" width="29" style="34" customWidth="1"/>
    <col min="2319" max="2565" width="9" style="34"/>
    <col min="2566" max="2566" width="2.90625" style="34" customWidth="1"/>
    <col min="2567" max="2567" width="3" style="34" customWidth="1"/>
    <col min="2568" max="2568" width="46.26953125" style="34" customWidth="1"/>
    <col min="2569" max="2569" width="12" style="34" customWidth="1"/>
    <col min="2570" max="2570" width="10.26953125" style="34" customWidth="1"/>
    <col min="2571" max="2571" width="15.453125" style="34" customWidth="1"/>
    <col min="2572" max="2572" width="14.26953125" style="34" customWidth="1"/>
    <col min="2573" max="2573" width="12.08984375" style="34" customWidth="1"/>
    <col min="2574" max="2574" width="29" style="34" customWidth="1"/>
    <col min="2575" max="2821" width="9" style="34"/>
    <col min="2822" max="2822" width="2.90625" style="34" customWidth="1"/>
    <col min="2823" max="2823" width="3" style="34" customWidth="1"/>
    <col min="2824" max="2824" width="46.26953125" style="34" customWidth="1"/>
    <col min="2825" max="2825" width="12" style="34" customWidth="1"/>
    <col min="2826" max="2826" width="10.26953125" style="34" customWidth="1"/>
    <col min="2827" max="2827" width="15.453125" style="34" customWidth="1"/>
    <col min="2828" max="2828" width="14.26953125" style="34" customWidth="1"/>
    <col min="2829" max="2829" width="12.08984375" style="34" customWidth="1"/>
    <col min="2830" max="2830" width="29" style="34" customWidth="1"/>
    <col min="2831" max="3077" width="9" style="34"/>
    <col min="3078" max="3078" width="2.90625" style="34" customWidth="1"/>
    <col min="3079" max="3079" width="3" style="34" customWidth="1"/>
    <col min="3080" max="3080" width="46.26953125" style="34" customWidth="1"/>
    <col min="3081" max="3081" width="12" style="34" customWidth="1"/>
    <col min="3082" max="3082" width="10.26953125" style="34" customWidth="1"/>
    <col min="3083" max="3083" width="15.453125" style="34" customWidth="1"/>
    <col min="3084" max="3084" width="14.26953125" style="34" customWidth="1"/>
    <col min="3085" max="3085" width="12.08984375" style="34" customWidth="1"/>
    <col min="3086" max="3086" width="29" style="34" customWidth="1"/>
    <col min="3087" max="3333" width="9" style="34"/>
    <col min="3334" max="3334" width="2.90625" style="34" customWidth="1"/>
    <col min="3335" max="3335" width="3" style="34" customWidth="1"/>
    <col min="3336" max="3336" width="46.26953125" style="34" customWidth="1"/>
    <col min="3337" max="3337" width="12" style="34" customWidth="1"/>
    <col min="3338" max="3338" width="10.26953125" style="34" customWidth="1"/>
    <col min="3339" max="3339" width="15.453125" style="34" customWidth="1"/>
    <col min="3340" max="3340" width="14.26953125" style="34" customWidth="1"/>
    <col min="3341" max="3341" width="12.08984375" style="34" customWidth="1"/>
    <col min="3342" max="3342" width="29" style="34" customWidth="1"/>
    <col min="3343" max="3589" width="9" style="34"/>
    <col min="3590" max="3590" width="2.90625" style="34" customWidth="1"/>
    <col min="3591" max="3591" width="3" style="34" customWidth="1"/>
    <col min="3592" max="3592" width="46.26953125" style="34" customWidth="1"/>
    <col min="3593" max="3593" width="12" style="34" customWidth="1"/>
    <col min="3594" max="3594" width="10.26953125" style="34" customWidth="1"/>
    <col min="3595" max="3595" width="15.453125" style="34" customWidth="1"/>
    <col min="3596" max="3596" width="14.26953125" style="34" customWidth="1"/>
    <col min="3597" max="3597" width="12.08984375" style="34" customWidth="1"/>
    <col min="3598" max="3598" width="29" style="34" customWidth="1"/>
    <col min="3599" max="3845" width="9" style="34"/>
    <col min="3846" max="3846" width="2.90625" style="34" customWidth="1"/>
    <col min="3847" max="3847" width="3" style="34" customWidth="1"/>
    <col min="3848" max="3848" width="46.26953125" style="34" customWidth="1"/>
    <col min="3849" max="3849" width="12" style="34" customWidth="1"/>
    <col min="3850" max="3850" width="10.26953125" style="34" customWidth="1"/>
    <col min="3851" max="3851" width="15.453125" style="34" customWidth="1"/>
    <col min="3852" max="3852" width="14.26953125" style="34" customWidth="1"/>
    <col min="3853" max="3853" width="12.08984375" style="34" customWidth="1"/>
    <col min="3854" max="3854" width="29" style="34" customWidth="1"/>
    <col min="3855" max="4101" width="9" style="34"/>
    <col min="4102" max="4102" width="2.90625" style="34" customWidth="1"/>
    <col min="4103" max="4103" width="3" style="34" customWidth="1"/>
    <col min="4104" max="4104" width="46.26953125" style="34" customWidth="1"/>
    <col min="4105" max="4105" width="12" style="34" customWidth="1"/>
    <col min="4106" max="4106" width="10.26953125" style="34" customWidth="1"/>
    <col min="4107" max="4107" width="15.453125" style="34" customWidth="1"/>
    <col min="4108" max="4108" width="14.26953125" style="34" customWidth="1"/>
    <col min="4109" max="4109" width="12.08984375" style="34" customWidth="1"/>
    <col min="4110" max="4110" width="29" style="34" customWidth="1"/>
    <col min="4111" max="4357" width="9" style="34"/>
    <col min="4358" max="4358" width="2.90625" style="34" customWidth="1"/>
    <col min="4359" max="4359" width="3" style="34" customWidth="1"/>
    <col min="4360" max="4360" width="46.26953125" style="34" customWidth="1"/>
    <col min="4361" max="4361" width="12" style="34" customWidth="1"/>
    <col min="4362" max="4362" width="10.26953125" style="34" customWidth="1"/>
    <col min="4363" max="4363" width="15.453125" style="34" customWidth="1"/>
    <col min="4364" max="4364" width="14.26953125" style="34" customWidth="1"/>
    <col min="4365" max="4365" width="12.08984375" style="34" customWidth="1"/>
    <col min="4366" max="4366" width="29" style="34" customWidth="1"/>
    <col min="4367" max="4613" width="9" style="34"/>
    <col min="4614" max="4614" width="2.90625" style="34" customWidth="1"/>
    <col min="4615" max="4615" width="3" style="34" customWidth="1"/>
    <col min="4616" max="4616" width="46.26953125" style="34" customWidth="1"/>
    <col min="4617" max="4617" width="12" style="34" customWidth="1"/>
    <col min="4618" max="4618" width="10.26953125" style="34" customWidth="1"/>
    <col min="4619" max="4619" width="15.453125" style="34" customWidth="1"/>
    <col min="4620" max="4620" width="14.26953125" style="34" customWidth="1"/>
    <col min="4621" max="4621" width="12.08984375" style="34" customWidth="1"/>
    <col min="4622" max="4622" width="29" style="34" customWidth="1"/>
    <col min="4623" max="4869" width="9" style="34"/>
    <col min="4870" max="4870" width="2.90625" style="34" customWidth="1"/>
    <col min="4871" max="4871" width="3" style="34" customWidth="1"/>
    <col min="4872" max="4872" width="46.26953125" style="34" customWidth="1"/>
    <col min="4873" max="4873" width="12" style="34" customWidth="1"/>
    <col min="4874" max="4874" width="10.26953125" style="34" customWidth="1"/>
    <col min="4875" max="4875" width="15.453125" style="34" customWidth="1"/>
    <col min="4876" max="4876" width="14.26953125" style="34" customWidth="1"/>
    <col min="4877" max="4877" width="12.08984375" style="34" customWidth="1"/>
    <col min="4878" max="4878" width="29" style="34" customWidth="1"/>
    <col min="4879" max="5125" width="9" style="34"/>
    <col min="5126" max="5126" width="2.90625" style="34" customWidth="1"/>
    <col min="5127" max="5127" width="3" style="34" customWidth="1"/>
    <col min="5128" max="5128" width="46.26953125" style="34" customWidth="1"/>
    <col min="5129" max="5129" width="12" style="34" customWidth="1"/>
    <col min="5130" max="5130" width="10.26953125" style="34" customWidth="1"/>
    <col min="5131" max="5131" width="15.453125" style="34" customWidth="1"/>
    <col min="5132" max="5132" width="14.26953125" style="34" customWidth="1"/>
    <col min="5133" max="5133" width="12.08984375" style="34" customWidth="1"/>
    <col min="5134" max="5134" width="29" style="34" customWidth="1"/>
    <col min="5135" max="5381" width="9" style="34"/>
    <col min="5382" max="5382" width="2.90625" style="34" customWidth="1"/>
    <col min="5383" max="5383" width="3" style="34" customWidth="1"/>
    <col min="5384" max="5384" width="46.26953125" style="34" customWidth="1"/>
    <col min="5385" max="5385" width="12" style="34" customWidth="1"/>
    <col min="5386" max="5386" width="10.26953125" style="34" customWidth="1"/>
    <col min="5387" max="5387" width="15.453125" style="34" customWidth="1"/>
    <col min="5388" max="5388" width="14.26953125" style="34" customWidth="1"/>
    <col min="5389" max="5389" width="12.08984375" style="34" customWidth="1"/>
    <col min="5390" max="5390" width="29" style="34" customWidth="1"/>
    <col min="5391" max="5637" width="9" style="34"/>
    <col min="5638" max="5638" width="2.90625" style="34" customWidth="1"/>
    <col min="5639" max="5639" width="3" style="34" customWidth="1"/>
    <col min="5640" max="5640" width="46.26953125" style="34" customWidth="1"/>
    <col min="5641" max="5641" width="12" style="34" customWidth="1"/>
    <col min="5642" max="5642" width="10.26953125" style="34" customWidth="1"/>
    <col min="5643" max="5643" width="15.453125" style="34" customWidth="1"/>
    <col min="5644" max="5644" width="14.26953125" style="34" customWidth="1"/>
    <col min="5645" max="5645" width="12.08984375" style="34" customWidth="1"/>
    <col min="5646" max="5646" width="29" style="34" customWidth="1"/>
    <col min="5647" max="5893" width="9" style="34"/>
    <col min="5894" max="5894" width="2.90625" style="34" customWidth="1"/>
    <col min="5895" max="5895" width="3" style="34" customWidth="1"/>
    <col min="5896" max="5896" width="46.26953125" style="34" customWidth="1"/>
    <col min="5897" max="5897" width="12" style="34" customWidth="1"/>
    <col min="5898" max="5898" width="10.26953125" style="34" customWidth="1"/>
    <col min="5899" max="5899" width="15.453125" style="34" customWidth="1"/>
    <col min="5900" max="5900" width="14.26953125" style="34" customWidth="1"/>
    <col min="5901" max="5901" width="12.08984375" style="34" customWidth="1"/>
    <col min="5902" max="5902" width="29" style="34" customWidth="1"/>
    <col min="5903" max="6149" width="9" style="34"/>
    <col min="6150" max="6150" width="2.90625" style="34" customWidth="1"/>
    <col min="6151" max="6151" width="3" style="34" customWidth="1"/>
    <col min="6152" max="6152" width="46.26953125" style="34" customWidth="1"/>
    <col min="6153" max="6153" width="12" style="34" customWidth="1"/>
    <col min="6154" max="6154" width="10.26953125" style="34" customWidth="1"/>
    <col min="6155" max="6155" width="15.453125" style="34" customWidth="1"/>
    <col min="6156" max="6156" width="14.26953125" style="34" customWidth="1"/>
    <col min="6157" max="6157" width="12.08984375" style="34" customWidth="1"/>
    <col min="6158" max="6158" width="29" style="34" customWidth="1"/>
    <col min="6159" max="6405" width="9" style="34"/>
    <col min="6406" max="6406" width="2.90625" style="34" customWidth="1"/>
    <col min="6407" max="6407" width="3" style="34" customWidth="1"/>
    <col min="6408" max="6408" width="46.26953125" style="34" customWidth="1"/>
    <col min="6409" max="6409" width="12" style="34" customWidth="1"/>
    <col min="6410" max="6410" width="10.26953125" style="34" customWidth="1"/>
    <col min="6411" max="6411" width="15.453125" style="34" customWidth="1"/>
    <col min="6412" max="6412" width="14.26953125" style="34" customWidth="1"/>
    <col min="6413" max="6413" width="12.08984375" style="34" customWidth="1"/>
    <col min="6414" max="6414" width="29" style="34" customWidth="1"/>
    <col min="6415" max="6661" width="9" style="34"/>
    <col min="6662" max="6662" width="2.90625" style="34" customWidth="1"/>
    <col min="6663" max="6663" width="3" style="34" customWidth="1"/>
    <col min="6664" max="6664" width="46.26953125" style="34" customWidth="1"/>
    <col min="6665" max="6665" width="12" style="34" customWidth="1"/>
    <col min="6666" max="6666" width="10.26953125" style="34" customWidth="1"/>
    <col min="6667" max="6667" width="15.453125" style="34" customWidth="1"/>
    <col min="6668" max="6668" width="14.26953125" style="34" customWidth="1"/>
    <col min="6669" max="6669" width="12.08984375" style="34" customWidth="1"/>
    <col min="6670" max="6670" width="29" style="34" customWidth="1"/>
    <col min="6671" max="6917" width="9" style="34"/>
    <col min="6918" max="6918" width="2.90625" style="34" customWidth="1"/>
    <col min="6919" max="6919" width="3" style="34" customWidth="1"/>
    <col min="6920" max="6920" width="46.26953125" style="34" customWidth="1"/>
    <col min="6921" max="6921" width="12" style="34" customWidth="1"/>
    <col min="6922" max="6922" width="10.26953125" style="34" customWidth="1"/>
    <col min="6923" max="6923" width="15.453125" style="34" customWidth="1"/>
    <col min="6924" max="6924" width="14.26953125" style="34" customWidth="1"/>
    <col min="6925" max="6925" width="12.08984375" style="34" customWidth="1"/>
    <col min="6926" max="6926" width="29" style="34" customWidth="1"/>
    <col min="6927" max="7173" width="9" style="34"/>
    <col min="7174" max="7174" width="2.90625" style="34" customWidth="1"/>
    <col min="7175" max="7175" width="3" style="34" customWidth="1"/>
    <col min="7176" max="7176" width="46.26953125" style="34" customWidth="1"/>
    <col min="7177" max="7177" width="12" style="34" customWidth="1"/>
    <col min="7178" max="7178" width="10.26953125" style="34" customWidth="1"/>
    <col min="7179" max="7179" width="15.453125" style="34" customWidth="1"/>
    <col min="7180" max="7180" width="14.26953125" style="34" customWidth="1"/>
    <col min="7181" max="7181" width="12.08984375" style="34" customWidth="1"/>
    <col min="7182" max="7182" width="29" style="34" customWidth="1"/>
    <col min="7183" max="7429" width="9" style="34"/>
    <col min="7430" max="7430" width="2.90625" style="34" customWidth="1"/>
    <col min="7431" max="7431" width="3" style="34" customWidth="1"/>
    <col min="7432" max="7432" width="46.26953125" style="34" customWidth="1"/>
    <col min="7433" max="7433" width="12" style="34" customWidth="1"/>
    <col min="7434" max="7434" width="10.26953125" style="34" customWidth="1"/>
    <col min="7435" max="7435" width="15.453125" style="34" customWidth="1"/>
    <col min="7436" max="7436" width="14.26953125" style="34" customWidth="1"/>
    <col min="7437" max="7437" width="12.08984375" style="34" customWidth="1"/>
    <col min="7438" max="7438" width="29" style="34" customWidth="1"/>
    <col min="7439" max="7685" width="9" style="34"/>
    <col min="7686" max="7686" width="2.90625" style="34" customWidth="1"/>
    <col min="7687" max="7687" width="3" style="34" customWidth="1"/>
    <col min="7688" max="7688" width="46.26953125" style="34" customWidth="1"/>
    <col min="7689" max="7689" width="12" style="34" customWidth="1"/>
    <col min="7690" max="7690" width="10.26953125" style="34" customWidth="1"/>
    <col min="7691" max="7691" width="15.453125" style="34" customWidth="1"/>
    <col min="7692" max="7692" width="14.26953125" style="34" customWidth="1"/>
    <col min="7693" max="7693" width="12.08984375" style="34" customWidth="1"/>
    <col min="7694" max="7694" width="29" style="34" customWidth="1"/>
    <col min="7695" max="7941" width="9" style="34"/>
    <col min="7942" max="7942" width="2.90625" style="34" customWidth="1"/>
    <col min="7943" max="7943" width="3" style="34" customWidth="1"/>
    <col min="7944" max="7944" width="46.26953125" style="34" customWidth="1"/>
    <col min="7945" max="7945" width="12" style="34" customWidth="1"/>
    <col min="7946" max="7946" width="10.26953125" style="34" customWidth="1"/>
    <col min="7947" max="7947" width="15.453125" style="34" customWidth="1"/>
    <col min="7948" max="7948" width="14.26953125" style="34" customWidth="1"/>
    <col min="7949" max="7949" width="12.08984375" style="34" customWidth="1"/>
    <col min="7950" max="7950" width="29" style="34" customWidth="1"/>
    <col min="7951" max="8197" width="9" style="34"/>
    <col min="8198" max="8198" width="2.90625" style="34" customWidth="1"/>
    <col min="8199" max="8199" width="3" style="34" customWidth="1"/>
    <col min="8200" max="8200" width="46.26953125" style="34" customWidth="1"/>
    <col min="8201" max="8201" width="12" style="34" customWidth="1"/>
    <col min="8202" max="8202" width="10.26953125" style="34" customWidth="1"/>
    <col min="8203" max="8203" width="15.453125" style="34" customWidth="1"/>
    <col min="8204" max="8204" width="14.26953125" style="34" customWidth="1"/>
    <col min="8205" max="8205" width="12.08984375" style="34" customWidth="1"/>
    <col min="8206" max="8206" width="29" style="34" customWidth="1"/>
    <col min="8207" max="8453" width="9" style="34"/>
    <col min="8454" max="8454" width="2.90625" style="34" customWidth="1"/>
    <col min="8455" max="8455" width="3" style="34" customWidth="1"/>
    <col min="8456" max="8456" width="46.26953125" style="34" customWidth="1"/>
    <col min="8457" max="8457" width="12" style="34" customWidth="1"/>
    <col min="8458" max="8458" width="10.26953125" style="34" customWidth="1"/>
    <col min="8459" max="8459" width="15.453125" style="34" customWidth="1"/>
    <col min="8460" max="8460" width="14.26953125" style="34" customWidth="1"/>
    <col min="8461" max="8461" width="12.08984375" style="34" customWidth="1"/>
    <col min="8462" max="8462" width="29" style="34" customWidth="1"/>
    <col min="8463" max="8709" width="9" style="34"/>
    <col min="8710" max="8710" width="2.90625" style="34" customWidth="1"/>
    <col min="8711" max="8711" width="3" style="34" customWidth="1"/>
    <col min="8712" max="8712" width="46.26953125" style="34" customWidth="1"/>
    <col min="8713" max="8713" width="12" style="34" customWidth="1"/>
    <col min="8714" max="8714" width="10.26953125" style="34" customWidth="1"/>
    <col min="8715" max="8715" width="15.453125" style="34" customWidth="1"/>
    <col min="8716" max="8716" width="14.26953125" style="34" customWidth="1"/>
    <col min="8717" max="8717" width="12.08984375" style="34" customWidth="1"/>
    <col min="8718" max="8718" width="29" style="34" customWidth="1"/>
    <col min="8719" max="8965" width="9" style="34"/>
    <col min="8966" max="8966" width="2.90625" style="34" customWidth="1"/>
    <col min="8967" max="8967" width="3" style="34" customWidth="1"/>
    <col min="8968" max="8968" width="46.26953125" style="34" customWidth="1"/>
    <col min="8969" max="8969" width="12" style="34" customWidth="1"/>
    <col min="8970" max="8970" width="10.26953125" style="34" customWidth="1"/>
    <col min="8971" max="8971" width="15.453125" style="34" customWidth="1"/>
    <col min="8972" max="8972" width="14.26953125" style="34" customWidth="1"/>
    <col min="8973" max="8973" width="12.08984375" style="34" customWidth="1"/>
    <col min="8974" max="8974" width="29" style="34" customWidth="1"/>
    <col min="8975" max="9221" width="9" style="34"/>
    <col min="9222" max="9222" width="2.90625" style="34" customWidth="1"/>
    <col min="9223" max="9223" width="3" style="34" customWidth="1"/>
    <col min="9224" max="9224" width="46.26953125" style="34" customWidth="1"/>
    <col min="9225" max="9225" width="12" style="34" customWidth="1"/>
    <col min="9226" max="9226" width="10.26953125" style="34" customWidth="1"/>
    <col min="9227" max="9227" width="15.453125" style="34" customWidth="1"/>
    <col min="9228" max="9228" width="14.26953125" style="34" customWidth="1"/>
    <col min="9229" max="9229" width="12.08984375" style="34" customWidth="1"/>
    <col min="9230" max="9230" width="29" style="34" customWidth="1"/>
    <col min="9231" max="9477" width="9" style="34"/>
    <col min="9478" max="9478" width="2.90625" style="34" customWidth="1"/>
    <col min="9479" max="9479" width="3" style="34" customWidth="1"/>
    <col min="9480" max="9480" width="46.26953125" style="34" customWidth="1"/>
    <col min="9481" max="9481" width="12" style="34" customWidth="1"/>
    <col min="9482" max="9482" width="10.26953125" style="34" customWidth="1"/>
    <col min="9483" max="9483" width="15.453125" style="34" customWidth="1"/>
    <col min="9484" max="9484" width="14.26953125" style="34" customWidth="1"/>
    <col min="9485" max="9485" width="12.08984375" style="34" customWidth="1"/>
    <col min="9486" max="9486" width="29" style="34" customWidth="1"/>
    <col min="9487" max="9733" width="9" style="34"/>
    <col min="9734" max="9734" width="2.90625" style="34" customWidth="1"/>
    <col min="9735" max="9735" width="3" style="34" customWidth="1"/>
    <col min="9736" max="9736" width="46.26953125" style="34" customWidth="1"/>
    <col min="9737" max="9737" width="12" style="34" customWidth="1"/>
    <col min="9738" max="9738" width="10.26953125" style="34" customWidth="1"/>
    <col min="9739" max="9739" width="15.453125" style="34" customWidth="1"/>
    <col min="9740" max="9740" width="14.26953125" style="34" customWidth="1"/>
    <col min="9741" max="9741" width="12.08984375" style="34" customWidth="1"/>
    <col min="9742" max="9742" width="29" style="34" customWidth="1"/>
    <col min="9743" max="9989" width="9" style="34"/>
    <col min="9990" max="9990" width="2.90625" style="34" customWidth="1"/>
    <col min="9991" max="9991" width="3" style="34" customWidth="1"/>
    <col min="9992" max="9992" width="46.26953125" style="34" customWidth="1"/>
    <col min="9993" max="9993" width="12" style="34" customWidth="1"/>
    <col min="9994" max="9994" width="10.26953125" style="34" customWidth="1"/>
    <col min="9995" max="9995" width="15.453125" style="34" customWidth="1"/>
    <col min="9996" max="9996" width="14.26953125" style="34" customWidth="1"/>
    <col min="9997" max="9997" width="12.08984375" style="34" customWidth="1"/>
    <col min="9998" max="9998" width="29" style="34" customWidth="1"/>
    <col min="9999" max="10245" width="9" style="34"/>
    <col min="10246" max="10246" width="2.90625" style="34" customWidth="1"/>
    <col min="10247" max="10247" width="3" style="34" customWidth="1"/>
    <col min="10248" max="10248" width="46.26953125" style="34" customWidth="1"/>
    <col min="10249" max="10249" width="12" style="34" customWidth="1"/>
    <col min="10250" max="10250" width="10.26953125" style="34" customWidth="1"/>
    <col min="10251" max="10251" width="15.453125" style="34" customWidth="1"/>
    <col min="10252" max="10252" width="14.26953125" style="34" customWidth="1"/>
    <col min="10253" max="10253" width="12.08984375" style="34" customWidth="1"/>
    <col min="10254" max="10254" width="29" style="34" customWidth="1"/>
    <col min="10255" max="10501" width="9" style="34"/>
    <col min="10502" max="10502" width="2.90625" style="34" customWidth="1"/>
    <col min="10503" max="10503" width="3" style="34" customWidth="1"/>
    <col min="10504" max="10504" width="46.26953125" style="34" customWidth="1"/>
    <col min="10505" max="10505" width="12" style="34" customWidth="1"/>
    <col min="10506" max="10506" width="10.26953125" style="34" customWidth="1"/>
    <col min="10507" max="10507" width="15.453125" style="34" customWidth="1"/>
    <col min="10508" max="10508" width="14.26953125" style="34" customWidth="1"/>
    <col min="10509" max="10509" width="12.08984375" style="34" customWidth="1"/>
    <col min="10510" max="10510" width="29" style="34" customWidth="1"/>
    <col min="10511" max="10757" width="9" style="34"/>
    <col min="10758" max="10758" width="2.90625" style="34" customWidth="1"/>
    <col min="10759" max="10759" width="3" style="34" customWidth="1"/>
    <col min="10760" max="10760" width="46.26953125" style="34" customWidth="1"/>
    <col min="10761" max="10761" width="12" style="34" customWidth="1"/>
    <col min="10762" max="10762" width="10.26953125" style="34" customWidth="1"/>
    <col min="10763" max="10763" width="15.453125" style="34" customWidth="1"/>
    <col min="10764" max="10764" width="14.26953125" style="34" customWidth="1"/>
    <col min="10765" max="10765" width="12.08984375" style="34" customWidth="1"/>
    <col min="10766" max="10766" width="29" style="34" customWidth="1"/>
    <col min="10767" max="11013" width="9" style="34"/>
    <col min="11014" max="11014" width="2.90625" style="34" customWidth="1"/>
    <col min="11015" max="11015" width="3" style="34" customWidth="1"/>
    <col min="11016" max="11016" width="46.26953125" style="34" customWidth="1"/>
    <col min="11017" max="11017" width="12" style="34" customWidth="1"/>
    <col min="11018" max="11018" width="10.26953125" style="34" customWidth="1"/>
    <col min="11019" max="11019" width="15.453125" style="34" customWidth="1"/>
    <col min="11020" max="11020" width="14.26953125" style="34" customWidth="1"/>
    <col min="11021" max="11021" width="12.08984375" style="34" customWidth="1"/>
    <col min="11022" max="11022" width="29" style="34" customWidth="1"/>
    <col min="11023" max="11269" width="9" style="34"/>
    <col min="11270" max="11270" width="2.90625" style="34" customWidth="1"/>
    <col min="11271" max="11271" width="3" style="34" customWidth="1"/>
    <col min="11272" max="11272" width="46.26953125" style="34" customWidth="1"/>
    <col min="11273" max="11273" width="12" style="34" customWidth="1"/>
    <col min="11274" max="11274" width="10.26953125" style="34" customWidth="1"/>
    <col min="11275" max="11275" width="15.453125" style="34" customWidth="1"/>
    <col min="11276" max="11276" width="14.26953125" style="34" customWidth="1"/>
    <col min="11277" max="11277" width="12.08984375" style="34" customWidth="1"/>
    <col min="11278" max="11278" width="29" style="34" customWidth="1"/>
    <col min="11279" max="11525" width="9" style="34"/>
    <col min="11526" max="11526" width="2.90625" style="34" customWidth="1"/>
    <col min="11527" max="11527" width="3" style="34" customWidth="1"/>
    <col min="11528" max="11528" width="46.26953125" style="34" customWidth="1"/>
    <col min="11529" max="11529" width="12" style="34" customWidth="1"/>
    <col min="11530" max="11530" width="10.26953125" style="34" customWidth="1"/>
    <col min="11531" max="11531" width="15.453125" style="34" customWidth="1"/>
    <col min="11532" max="11532" width="14.26953125" style="34" customWidth="1"/>
    <col min="11533" max="11533" width="12.08984375" style="34" customWidth="1"/>
    <col min="11534" max="11534" width="29" style="34" customWidth="1"/>
    <col min="11535" max="11781" width="9" style="34"/>
    <col min="11782" max="11782" width="2.90625" style="34" customWidth="1"/>
    <col min="11783" max="11783" width="3" style="34" customWidth="1"/>
    <col min="11784" max="11784" width="46.26953125" style="34" customWidth="1"/>
    <col min="11785" max="11785" width="12" style="34" customWidth="1"/>
    <col min="11786" max="11786" width="10.26953125" style="34" customWidth="1"/>
    <col min="11787" max="11787" width="15.453125" style="34" customWidth="1"/>
    <col min="11788" max="11788" width="14.26953125" style="34" customWidth="1"/>
    <col min="11789" max="11789" width="12.08984375" style="34" customWidth="1"/>
    <col min="11790" max="11790" width="29" style="34" customWidth="1"/>
    <col min="11791" max="12037" width="9" style="34"/>
    <col min="12038" max="12038" width="2.90625" style="34" customWidth="1"/>
    <col min="12039" max="12039" width="3" style="34" customWidth="1"/>
    <col min="12040" max="12040" width="46.26953125" style="34" customWidth="1"/>
    <col min="12041" max="12041" width="12" style="34" customWidth="1"/>
    <col min="12042" max="12042" width="10.26953125" style="34" customWidth="1"/>
    <col min="12043" max="12043" width="15.453125" style="34" customWidth="1"/>
    <col min="12044" max="12044" width="14.26953125" style="34" customWidth="1"/>
    <col min="12045" max="12045" width="12.08984375" style="34" customWidth="1"/>
    <col min="12046" max="12046" width="29" style="34" customWidth="1"/>
    <col min="12047" max="12293" width="9" style="34"/>
    <col min="12294" max="12294" width="2.90625" style="34" customWidth="1"/>
    <col min="12295" max="12295" width="3" style="34" customWidth="1"/>
    <col min="12296" max="12296" width="46.26953125" style="34" customWidth="1"/>
    <col min="12297" max="12297" width="12" style="34" customWidth="1"/>
    <col min="12298" max="12298" width="10.26953125" style="34" customWidth="1"/>
    <col min="12299" max="12299" width="15.453125" style="34" customWidth="1"/>
    <col min="12300" max="12300" width="14.26953125" style="34" customWidth="1"/>
    <col min="12301" max="12301" width="12.08984375" style="34" customWidth="1"/>
    <col min="12302" max="12302" width="29" style="34" customWidth="1"/>
    <col min="12303" max="12549" width="9" style="34"/>
    <col min="12550" max="12550" width="2.90625" style="34" customWidth="1"/>
    <col min="12551" max="12551" width="3" style="34" customWidth="1"/>
    <col min="12552" max="12552" width="46.26953125" style="34" customWidth="1"/>
    <col min="12553" max="12553" width="12" style="34" customWidth="1"/>
    <col min="12554" max="12554" width="10.26953125" style="34" customWidth="1"/>
    <col min="12555" max="12555" width="15.453125" style="34" customWidth="1"/>
    <col min="12556" max="12556" width="14.26953125" style="34" customWidth="1"/>
    <col min="12557" max="12557" width="12.08984375" style="34" customWidth="1"/>
    <col min="12558" max="12558" width="29" style="34" customWidth="1"/>
    <col min="12559" max="12805" width="9" style="34"/>
    <col min="12806" max="12806" width="2.90625" style="34" customWidth="1"/>
    <col min="12807" max="12807" width="3" style="34" customWidth="1"/>
    <col min="12808" max="12808" width="46.26953125" style="34" customWidth="1"/>
    <col min="12809" max="12809" width="12" style="34" customWidth="1"/>
    <col min="12810" max="12810" width="10.26953125" style="34" customWidth="1"/>
    <col min="12811" max="12811" width="15.453125" style="34" customWidth="1"/>
    <col min="12812" max="12812" width="14.26953125" style="34" customWidth="1"/>
    <col min="12813" max="12813" width="12.08984375" style="34" customWidth="1"/>
    <col min="12814" max="12814" width="29" style="34" customWidth="1"/>
    <col min="12815" max="13061" width="9" style="34"/>
    <col min="13062" max="13062" width="2.90625" style="34" customWidth="1"/>
    <col min="13063" max="13063" width="3" style="34" customWidth="1"/>
    <col min="13064" max="13064" width="46.26953125" style="34" customWidth="1"/>
    <col min="13065" max="13065" width="12" style="34" customWidth="1"/>
    <col min="13066" max="13066" width="10.26953125" style="34" customWidth="1"/>
    <col min="13067" max="13067" width="15.453125" style="34" customWidth="1"/>
    <col min="13068" max="13068" width="14.26953125" style="34" customWidth="1"/>
    <col min="13069" max="13069" width="12.08984375" style="34" customWidth="1"/>
    <col min="13070" max="13070" width="29" style="34" customWidth="1"/>
    <col min="13071" max="13317" width="9" style="34"/>
    <col min="13318" max="13318" width="2.90625" style="34" customWidth="1"/>
    <col min="13319" max="13319" width="3" style="34" customWidth="1"/>
    <col min="13320" max="13320" width="46.26953125" style="34" customWidth="1"/>
    <col min="13321" max="13321" width="12" style="34" customWidth="1"/>
    <col min="13322" max="13322" width="10.26953125" style="34" customWidth="1"/>
    <col min="13323" max="13323" width="15.453125" style="34" customWidth="1"/>
    <col min="13324" max="13324" width="14.26953125" style="34" customWidth="1"/>
    <col min="13325" max="13325" width="12.08984375" style="34" customWidth="1"/>
    <col min="13326" max="13326" width="29" style="34" customWidth="1"/>
    <col min="13327" max="13573" width="9" style="34"/>
    <col min="13574" max="13574" width="2.90625" style="34" customWidth="1"/>
    <col min="13575" max="13575" width="3" style="34" customWidth="1"/>
    <col min="13576" max="13576" width="46.26953125" style="34" customWidth="1"/>
    <col min="13577" max="13577" width="12" style="34" customWidth="1"/>
    <col min="13578" max="13578" width="10.26953125" style="34" customWidth="1"/>
    <col min="13579" max="13579" width="15.453125" style="34" customWidth="1"/>
    <col min="13580" max="13580" width="14.26953125" style="34" customWidth="1"/>
    <col min="13581" max="13581" width="12.08984375" style="34" customWidth="1"/>
    <col min="13582" max="13582" width="29" style="34" customWidth="1"/>
    <col min="13583" max="13829" width="9" style="34"/>
    <col min="13830" max="13830" width="2.90625" style="34" customWidth="1"/>
    <col min="13831" max="13831" width="3" style="34" customWidth="1"/>
    <col min="13832" max="13832" width="46.26953125" style="34" customWidth="1"/>
    <col min="13833" max="13833" width="12" style="34" customWidth="1"/>
    <col min="13834" max="13834" width="10.26953125" style="34" customWidth="1"/>
    <col min="13835" max="13835" width="15.453125" style="34" customWidth="1"/>
    <col min="13836" max="13836" width="14.26953125" style="34" customWidth="1"/>
    <col min="13837" max="13837" width="12.08984375" style="34" customWidth="1"/>
    <col min="13838" max="13838" width="29" style="34" customWidth="1"/>
    <col min="13839" max="14085" width="9" style="34"/>
    <col min="14086" max="14086" width="2.90625" style="34" customWidth="1"/>
    <col min="14087" max="14087" width="3" style="34" customWidth="1"/>
    <col min="14088" max="14088" width="46.26953125" style="34" customWidth="1"/>
    <col min="14089" max="14089" width="12" style="34" customWidth="1"/>
    <col min="14090" max="14090" width="10.26953125" style="34" customWidth="1"/>
    <col min="14091" max="14091" width="15.453125" style="34" customWidth="1"/>
    <col min="14092" max="14092" width="14.26953125" style="34" customWidth="1"/>
    <col min="14093" max="14093" width="12.08984375" style="34" customWidth="1"/>
    <col min="14094" max="14094" width="29" style="34" customWidth="1"/>
    <col min="14095" max="14341" width="9" style="34"/>
    <col min="14342" max="14342" width="2.90625" style="34" customWidth="1"/>
    <col min="14343" max="14343" width="3" style="34" customWidth="1"/>
    <col min="14344" max="14344" width="46.26953125" style="34" customWidth="1"/>
    <col min="14345" max="14345" width="12" style="34" customWidth="1"/>
    <col min="14346" max="14346" width="10.26953125" style="34" customWidth="1"/>
    <col min="14347" max="14347" width="15.453125" style="34" customWidth="1"/>
    <col min="14348" max="14348" width="14.26953125" style="34" customWidth="1"/>
    <col min="14349" max="14349" width="12.08984375" style="34" customWidth="1"/>
    <col min="14350" max="14350" width="29" style="34" customWidth="1"/>
    <col min="14351" max="14597" width="9" style="34"/>
    <col min="14598" max="14598" width="2.90625" style="34" customWidth="1"/>
    <col min="14599" max="14599" width="3" style="34" customWidth="1"/>
    <col min="14600" max="14600" width="46.26953125" style="34" customWidth="1"/>
    <col min="14601" max="14601" width="12" style="34" customWidth="1"/>
    <col min="14602" max="14602" width="10.26953125" style="34" customWidth="1"/>
    <col min="14603" max="14603" width="15.453125" style="34" customWidth="1"/>
    <col min="14604" max="14604" width="14.26953125" style="34" customWidth="1"/>
    <col min="14605" max="14605" width="12.08984375" style="34" customWidth="1"/>
    <col min="14606" max="14606" width="29" style="34" customWidth="1"/>
    <col min="14607" max="14853" width="9" style="34"/>
    <col min="14854" max="14854" width="2.90625" style="34" customWidth="1"/>
    <col min="14855" max="14855" width="3" style="34" customWidth="1"/>
    <col min="14856" max="14856" width="46.26953125" style="34" customWidth="1"/>
    <col min="14857" max="14857" width="12" style="34" customWidth="1"/>
    <col min="14858" max="14858" width="10.26953125" style="34" customWidth="1"/>
    <col min="14859" max="14859" width="15.453125" style="34" customWidth="1"/>
    <col min="14860" max="14860" width="14.26953125" style="34" customWidth="1"/>
    <col min="14861" max="14861" width="12.08984375" style="34" customWidth="1"/>
    <col min="14862" max="14862" width="29" style="34" customWidth="1"/>
    <col min="14863" max="15109" width="9" style="34"/>
    <col min="15110" max="15110" width="2.90625" style="34" customWidth="1"/>
    <col min="15111" max="15111" width="3" style="34" customWidth="1"/>
    <col min="15112" max="15112" width="46.26953125" style="34" customWidth="1"/>
    <col min="15113" max="15113" width="12" style="34" customWidth="1"/>
    <col min="15114" max="15114" width="10.26953125" style="34" customWidth="1"/>
    <col min="15115" max="15115" width="15.453125" style="34" customWidth="1"/>
    <col min="15116" max="15116" width="14.26953125" style="34" customWidth="1"/>
    <col min="15117" max="15117" width="12.08984375" style="34" customWidth="1"/>
    <col min="15118" max="15118" width="29" style="34" customWidth="1"/>
    <col min="15119" max="15365" width="9" style="34"/>
    <col min="15366" max="15366" width="2.90625" style="34" customWidth="1"/>
    <col min="15367" max="15367" width="3" style="34" customWidth="1"/>
    <col min="15368" max="15368" width="46.26953125" style="34" customWidth="1"/>
    <col min="15369" max="15369" width="12" style="34" customWidth="1"/>
    <col min="15370" max="15370" width="10.26953125" style="34" customWidth="1"/>
    <col min="15371" max="15371" width="15.453125" style="34" customWidth="1"/>
    <col min="15372" max="15372" width="14.26953125" style="34" customWidth="1"/>
    <col min="15373" max="15373" width="12.08984375" style="34" customWidth="1"/>
    <col min="15374" max="15374" width="29" style="34" customWidth="1"/>
    <col min="15375" max="15621" width="9" style="34"/>
    <col min="15622" max="15622" width="2.90625" style="34" customWidth="1"/>
    <col min="15623" max="15623" width="3" style="34" customWidth="1"/>
    <col min="15624" max="15624" width="46.26953125" style="34" customWidth="1"/>
    <col min="15625" max="15625" width="12" style="34" customWidth="1"/>
    <col min="15626" max="15626" width="10.26953125" style="34" customWidth="1"/>
    <col min="15627" max="15627" width="15.453125" style="34" customWidth="1"/>
    <col min="15628" max="15628" width="14.26953125" style="34" customWidth="1"/>
    <col min="15629" max="15629" width="12.08984375" style="34" customWidth="1"/>
    <col min="15630" max="15630" width="29" style="34" customWidth="1"/>
    <col min="15631" max="15877" width="9" style="34"/>
    <col min="15878" max="15878" width="2.90625" style="34" customWidth="1"/>
    <col min="15879" max="15879" width="3" style="34" customWidth="1"/>
    <col min="15880" max="15880" width="46.26953125" style="34" customWidth="1"/>
    <col min="15881" max="15881" width="12" style="34" customWidth="1"/>
    <col min="15882" max="15882" width="10.26953125" style="34" customWidth="1"/>
    <col min="15883" max="15883" width="15.453125" style="34" customWidth="1"/>
    <col min="15884" max="15884" width="14.26953125" style="34" customWidth="1"/>
    <col min="15885" max="15885" width="12.08984375" style="34" customWidth="1"/>
    <col min="15886" max="15886" width="29" style="34" customWidth="1"/>
    <col min="15887" max="16133" width="9" style="34"/>
    <col min="16134" max="16134" width="2.90625" style="34" customWidth="1"/>
    <col min="16135" max="16135" width="3" style="34" customWidth="1"/>
    <col min="16136" max="16136" width="46.26953125" style="34" customWidth="1"/>
    <col min="16137" max="16137" width="12" style="34" customWidth="1"/>
    <col min="16138" max="16138" width="10.26953125" style="34" customWidth="1"/>
    <col min="16139" max="16139" width="15.453125" style="34" customWidth="1"/>
    <col min="16140" max="16140" width="14.26953125" style="34" customWidth="1"/>
    <col min="16141" max="16141" width="12.08984375" style="34" customWidth="1"/>
    <col min="16142" max="16142" width="29" style="34" customWidth="1"/>
    <col min="16143" max="16384" width="9" style="34"/>
  </cols>
  <sheetData>
    <row r="1" spans="1:21" ht="23.25" customHeight="1">
      <c r="A1" s="1124" t="s">
        <v>380</v>
      </c>
      <c r="B1" s="1124"/>
      <c r="C1" s="1124"/>
      <c r="D1" s="36"/>
      <c r="E1" s="36"/>
      <c r="F1" s="36"/>
      <c r="G1" s="1128" t="e">
        <f>CONCATENATE(#REF!,"/",#REF!,"/",#REF!)</f>
        <v>#REF!</v>
      </c>
      <c r="H1" s="1128"/>
      <c r="I1" s="1128"/>
    </row>
    <row r="2" spans="1:21" s="68" customFormat="1" ht="31.5" customHeight="1">
      <c r="A2" s="1125" t="s">
        <v>521</v>
      </c>
      <c r="B2" s="1125"/>
      <c r="C2" s="1125"/>
      <c r="D2" s="1125"/>
      <c r="E2" s="1125"/>
      <c r="F2" s="1125"/>
      <c r="G2" s="1125"/>
      <c r="H2" s="1125"/>
      <c r="I2" s="1125"/>
      <c r="J2" s="236"/>
      <c r="K2" s="1126" t="s">
        <v>181</v>
      </c>
      <c r="L2" s="1127"/>
      <c r="M2" s="64" t="s">
        <v>79</v>
      </c>
      <c r="N2" s="65">
        <f>IFERROR(VLOOKUP(E7,K4:L10,2,TRUE),0)</f>
        <v>0</v>
      </c>
      <c r="O2" s="35" t="s">
        <v>234</v>
      </c>
      <c r="P2" s="64" t="s">
        <v>82</v>
      </c>
      <c r="Q2" s="65" t="s">
        <v>182</v>
      </c>
      <c r="R2" s="65" t="s">
        <v>183</v>
      </c>
      <c r="S2" s="65" t="s">
        <v>184</v>
      </c>
      <c r="T2" s="66" t="s">
        <v>185</v>
      </c>
      <c r="U2" s="67" t="s">
        <v>185</v>
      </c>
    </row>
    <row r="3" spans="1:21" s="68" customFormat="1" ht="19.5" customHeight="1">
      <c r="A3" s="153"/>
      <c r="B3" s="153"/>
      <c r="C3" s="153"/>
      <c r="D3" s="153"/>
      <c r="E3" s="153"/>
      <c r="F3" s="153"/>
      <c r="G3" s="153"/>
      <c r="H3" s="153"/>
      <c r="I3" s="153"/>
      <c r="J3" s="236"/>
      <c r="K3" s="156"/>
      <c r="L3" s="157"/>
      <c r="M3" s="64"/>
      <c r="N3" s="65"/>
      <c r="O3" s="35"/>
      <c r="P3" s="64"/>
      <c r="Q3" s="65"/>
      <c r="R3" s="65"/>
      <c r="S3" s="65"/>
      <c r="T3" s="66"/>
      <c r="U3" s="67"/>
    </row>
    <row r="4" spans="1:21" ht="19.5" customHeight="1">
      <c r="A4" s="36"/>
      <c r="B4" s="36"/>
      <c r="C4" s="237"/>
      <c r="D4" s="39"/>
      <c r="E4" s="39"/>
      <c r="F4" s="39"/>
      <c r="G4" s="1034" t="s">
        <v>370</v>
      </c>
      <c r="H4" s="1036" t="e">
        <f>CONCATENATE(#REF!)</f>
        <v>#REF!</v>
      </c>
      <c r="I4" s="1037"/>
      <c r="J4" s="1038"/>
      <c r="K4" s="69">
        <v>1</v>
      </c>
      <c r="L4" s="69">
        <v>1</v>
      </c>
      <c r="M4" s="64"/>
      <c r="N4" s="64"/>
      <c r="O4" s="35">
        <v>51030</v>
      </c>
      <c r="P4" s="35"/>
      <c r="Q4" s="70"/>
      <c r="R4" s="70"/>
      <c r="S4" s="70"/>
      <c r="T4" s="71"/>
      <c r="U4" s="35"/>
    </row>
    <row r="5" spans="1:21" ht="19.5" customHeight="1" thickBot="1">
      <c r="A5" s="169" t="s">
        <v>190</v>
      </c>
      <c r="B5" s="36"/>
      <c r="C5" s="237"/>
      <c r="D5" s="39"/>
      <c r="E5" s="39"/>
      <c r="F5" s="39"/>
      <c r="G5" s="1035"/>
      <c r="H5" s="1039"/>
      <c r="I5" s="1040"/>
      <c r="J5" s="1041"/>
      <c r="K5" s="69">
        <v>46</v>
      </c>
      <c r="L5" s="69">
        <v>2</v>
      </c>
      <c r="M5" s="64">
        <v>1</v>
      </c>
      <c r="N5" s="64">
        <v>1</v>
      </c>
      <c r="O5" s="35">
        <v>6380</v>
      </c>
      <c r="P5" s="35" t="s">
        <v>186</v>
      </c>
      <c r="Q5" s="70" t="str">
        <f>IF(OR($E$7&lt;=35,$E$7&gt;=121),"あり","")</f>
        <v>あり</v>
      </c>
      <c r="R5" s="70" t="str">
        <f>IF(E7&gt;=91,"あり","")</f>
        <v/>
      </c>
      <c r="S5" s="70" t="str">
        <f>IF($E$7&gt;=271,"あり","")</f>
        <v/>
      </c>
      <c r="T5" s="71" t="s">
        <v>187</v>
      </c>
      <c r="U5" s="35">
        <v>1</v>
      </c>
    </row>
    <row r="6" spans="1:21" ht="19.5" customHeight="1">
      <c r="A6" s="170"/>
      <c r="B6" s="999"/>
      <c r="C6" s="1000"/>
      <c r="D6" s="1000"/>
      <c r="E6" s="238" t="s">
        <v>191</v>
      </c>
      <c r="F6" s="39"/>
      <c r="G6" s="706"/>
      <c r="H6" s="706"/>
      <c r="I6" s="706"/>
      <c r="J6" s="706"/>
      <c r="K6" s="72">
        <v>151</v>
      </c>
      <c r="L6" s="239">
        <v>3</v>
      </c>
      <c r="M6" s="64" t="str">
        <f>IF($N$2&gt;=N6,N6,"")</f>
        <v/>
      </c>
      <c r="N6" s="64">
        <v>2</v>
      </c>
      <c r="P6" s="35" t="s">
        <v>188</v>
      </c>
      <c r="Q6" s="70" t="s">
        <v>188</v>
      </c>
      <c r="R6" s="70" t="s">
        <v>188</v>
      </c>
      <c r="S6" s="70" t="s">
        <v>188</v>
      </c>
      <c r="T6" s="71" t="s">
        <v>189</v>
      </c>
      <c r="U6" s="35">
        <v>2</v>
      </c>
    </row>
    <row r="7" spans="1:21" ht="19.5" customHeight="1">
      <c r="A7" s="169"/>
      <c r="B7" s="1029" t="s">
        <v>192</v>
      </c>
      <c r="C7" s="1030"/>
      <c r="D7" s="1030"/>
      <c r="E7" s="240">
        <f>'入力（加算）幼'!D8</f>
        <v>0</v>
      </c>
      <c r="F7" s="39"/>
      <c r="G7" s="706"/>
      <c r="H7" s="706"/>
      <c r="I7" s="706"/>
      <c r="J7" s="706"/>
      <c r="K7" s="72">
        <v>241</v>
      </c>
      <c r="L7" s="72">
        <v>3.5</v>
      </c>
      <c r="M7" s="64" t="str">
        <f t="shared" ref="M7:M17" si="0">IF($N$2&gt;=N7,N7,"")</f>
        <v/>
      </c>
      <c r="N7" s="64">
        <v>3</v>
      </c>
      <c r="U7" s="35">
        <v>3</v>
      </c>
    </row>
    <row r="8" spans="1:21" ht="19.5" customHeight="1">
      <c r="A8" s="169"/>
      <c r="B8" s="1120" t="s">
        <v>193</v>
      </c>
      <c r="C8" s="1121"/>
      <c r="D8" s="1121"/>
      <c r="E8" s="241">
        <f>E9+E10</f>
        <v>0</v>
      </c>
      <c r="F8" s="1122" t="str">
        <f>IF($E$8&gt;ROUND(E7*1.2,0),"←警告：定員の120％を超過しています。","")</f>
        <v/>
      </c>
      <c r="G8" s="1123"/>
      <c r="H8" s="1123"/>
      <c r="I8" s="1123"/>
      <c r="J8" s="76"/>
      <c r="K8" s="69">
        <v>271</v>
      </c>
      <c r="L8" s="69">
        <v>5</v>
      </c>
      <c r="M8" s="64" t="str">
        <f t="shared" si="0"/>
        <v/>
      </c>
      <c r="N8" s="64">
        <v>3.5</v>
      </c>
      <c r="U8" s="35">
        <v>4</v>
      </c>
    </row>
    <row r="9" spans="1:21" ht="19.5" customHeight="1">
      <c r="A9" s="169"/>
      <c r="B9" s="175"/>
      <c r="C9" s="1051" t="s">
        <v>194</v>
      </c>
      <c r="D9" s="1052"/>
      <c r="E9" s="242">
        <f>'入力（児童数-本園)'!AB3</f>
        <v>0</v>
      </c>
      <c r="F9" s="1122"/>
      <c r="G9" s="1123"/>
      <c r="H9" s="1123"/>
      <c r="I9" s="1123"/>
      <c r="J9" s="76"/>
      <c r="K9" s="69">
        <v>301</v>
      </c>
      <c r="L9" s="69">
        <v>6</v>
      </c>
      <c r="M9" s="64" t="str">
        <f t="shared" si="0"/>
        <v/>
      </c>
      <c r="N9" s="64">
        <v>4</v>
      </c>
      <c r="U9" s="35">
        <v>5</v>
      </c>
    </row>
    <row r="10" spans="1:21" ht="19.5" customHeight="1">
      <c r="A10" s="169"/>
      <c r="B10" s="175"/>
      <c r="C10" s="1051" t="s">
        <v>195</v>
      </c>
      <c r="D10" s="1052"/>
      <c r="E10" s="242">
        <f>'入力（児童数-本園)'!AB4</f>
        <v>0</v>
      </c>
      <c r="F10" s="1122"/>
      <c r="G10" s="1123"/>
      <c r="H10" s="1123"/>
      <c r="I10" s="1123"/>
      <c r="J10" s="76"/>
      <c r="K10" s="69">
        <v>451</v>
      </c>
      <c r="L10" s="69">
        <v>8</v>
      </c>
      <c r="M10" s="64" t="str">
        <f t="shared" si="0"/>
        <v/>
      </c>
      <c r="N10" s="64">
        <v>4.5</v>
      </c>
      <c r="U10" s="35">
        <v>6</v>
      </c>
    </row>
    <row r="11" spans="1:21" ht="19.5" customHeight="1" thickBot="1">
      <c r="A11" s="169"/>
      <c r="B11" s="243"/>
      <c r="C11" s="1056" t="s">
        <v>196</v>
      </c>
      <c r="D11" s="1057"/>
      <c r="E11" s="244">
        <f>'入力（児童数-本園)'!AB5</f>
        <v>0</v>
      </c>
      <c r="F11" s="1122"/>
      <c r="G11" s="1123"/>
      <c r="H11" s="1123"/>
      <c r="I11" s="1123"/>
      <c r="J11" s="76"/>
      <c r="M11" s="64" t="str">
        <f t="shared" si="0"/>
        <v/>
      </c>
      <c r="N11" s="64">
        <v>5</v>
      </c>
      <c r="U11" s="35">
        <v>7</v>
      </c>
    </row>
    <row r="12" spans="1:21" ht="19.5" customHeight="1">
      <c r="A12" s="169"/>
      <c r="B12" s="1119" t="s">
        <v>372</v>
      </c>
      <c r="C12" s="1119"/>
      <c r="D12" s="1119"/>
      <c r="E12" s="1119"/>
      <c r="F12" s="1119"/>
      <c r="G12" s="1119"/>
      <c r="H12" s="1119"/>
      <c r="I12" s="1119"/>
      <c r="J12" s="76"/>
      <c r="M12" s="64" t="str">
        <f t="shared" si="0"/>
        <v/>
      </c>
      <c r="N12" s="64">
        <v>5.5</v>
      </c>
      <c r="U12" s="35">
        <v>8</v>
      </c>
    </row>
    <row r="13" spans="1:21" ht="19.5" customHeight="1">
      <c r="A13" s="36"/>
      <c r="B13" s="1119"/>
      <c r="C13" s="1119"/>
      <c r="D13" s="1119"/>
      <c r="E13" s="1119"/>
      <c r="F13" s="1119"/>
      <c r="G13" s="1119"/>
      <c r="H13" s="1119"/>
      <c r="I13" s="1119"/>
      <c r="J13" s="76"/>
      <c r="M13" s="64" t="str">
        <f t="shared" si="0"/>
        <v/>
      </c>
      <c r="N13" s="64">
        <v>6</v>
      </c>
      <c r="U13" s="35">
        <v>9</v>
      </c>
    </row>
    <row r="14" spans="1:21" ht="19.5" customHeight="1">
      <c r="A14" s="36"/>
      <c r="B14" s="185"/>
      <c r="C14" s="245"/>
      <c r="D14" s="245"/>
      <c r="E14" s="245"/>
      <c r="F14" s="245"/>
      <c r="G14" s="245"/>
      <c r="H14" s="187" t="s">
        <v>374</v>
      </c>
      <c r="I14" s="188">
        <v>12</v>
      </c>
      <c r="J14" s="76"/>
      <c r="M14" s="64"/>
      <c r="N14" s="64">
        <v>6.5</v>
      </c>
      <c r="U14" s="35">
        <v>10</v>
      </c>
    </row>
    <row r="15" spans="1:21" ht="19.5" customHeight="1" thickBot="1">
      <c r="A15" s="169" t="s">
        <v>198</v>
      </c>
      <c r="B15" s="36"/>
      <c r="C15" s="36"/>
      <c r="D15" s="36"/>
      <c r="E15" s="168"/>
      <c r="F15" s="168"/>
      <c r="G15" s="168"/>
      <c r="H15" s="168"/>
      <c r="I15" s="168"/>
      <c r="J15" s="76"/>
      <c r="M15" s="64"/>
      <c r="N15" s="64">
        <v>7</v>
      </c>
    </row>
    <row r="16" spans="1:21" ht="34.5" customHeight="1">
      <c r="A16" s="36"/>
      <c r="B16" s="246"/>
      <c r="C16" s="247"/>
      <c r="D16" s="248" t="s">
        <v>199</v>
      </c>
      <c r="E16" s="249" t="s">
        <v>200</v>
      </c>
      <c r="F16" s="250" t="s">
        <v>201</v>
      </c>
      <c r="G16" s="251"/>
      <c r="H16" s="251"/>
      <c r="I16" s="36"/>
      <c r="J16" s="76"/>
      <c r="M16" s="64" t="str">
        <f t="shared" si="0"/>
        <v/>
      </c>
      <c r="N16" s="64">
        <v>7.5</v>
      </c>
    </row>
    <row r="17" spans="1:14" ht="35.25" customHeight="1">
      <c r="A17" s="47"/>
      <c r="B17" s="309" t="s">
        <v>202</v>
      </c>
      <c r="C17" s="252" t="s">
        <v>371</v>
      </c>
      <c r="D17" s="253"/>
      <c r="E17" s="254"/>
      <c r="F17" s="255">
        <f>ROUND(SUM($F$18:$F$20),0)</f>
        <v>0</v>
      </c>
      <c r="G17" s="256"/>
      <c r="H17" s="256"/>
      <c r="I17" s="36"/>
      <c r="M17" s="64" t="str">
        <f t="shared" si="0"/>
        <v/>
      </c>
      <c r="N17" s="64">
        <v>8</v>
      </c>
    </row>
    <row r="18" spans="1:14" ht="29.25" customHeight="1">
      <c r="A18" s="47"/>
      <c r="B18" s="257"/>
      <c r="C18" s="258" t="s">
        <v>542</v>
      </c>
      <c r="D18" s="263" t="str">
        <f>CONCATENATE('入力（加算）幼'!G21)</f>
        <v/>
      </c>
      <c r="E18" s="259"/>
      <c r="F18" s="260">
        <f>IF($D$18="あり",ROUNDDOWN(($E$9)*1/25,1),ROUNDDOWN($E$9*1/30,1))</f>
        <v>0</v>
      </c>
      <c r="G18" s="261"/>
      <c r="H18" s="261"/>
      <c r="I18" s="36"/>
    </row>
    <row r="19" spans="1:14" ht="34.5" customHeight="1">
      <c r="A19" s="47"/>
      <c r="B19" s="257"/>
      <c r="C19" s="262" t="s">
        <v>203</v>
      </c>
      <c r="D19" s="263" t="str">
        <f>CONCATENATE('入力（加算）幼'!F21)</f>
        <v/>
      </c>
      <c r="E19" s="264"/>
      <c r="F19" s="1117">
        <f>IF($D$19="あり",IF($D$20="あり",ROUNDDOWN(($E$10-$E$11)*1/15,1)+ROUNDDOWN($E$11*1/6,1),ROUNDDOWN($E$10*1/15,1)),IF($D$20="あり",ROUNDDOWN(($E$10-$E$11)*1/20,1)+ROUNDDOWN($E$11*1/6,1),ROUNDDOWN($E$10*1/20,1)))</f>
        <v>0</v>
      </c>
      <c r="G19" s="265"/>
      <c r="H19" s="265"/>
      <c r="I19" s="266"/>
    </row>
    <row r="20" spans="1:14" ht="33.75" customHeight="1">
      <c r="A20" s="47"/>
      <c r="B20" s="257"/>
      <c r="C20" s="267" t="s">
        <v>204</v>
      </c>
      <c r="D20" s="268" t="str">
        <f>CONCATENATE('入力（加算）幼'!H21)</f>
        <v/>
      </c>
      <c r="E20" s="269"/>
      <c r="F20" s="1118"/>
      <c r="G20" s="265"/>
      <c r="H20" s="265"/>
      <c r="I20" s="266"/>
      <c r="J20" s="34"/>
    </row>
    <row r="21" spans="1:14" ht="24" customHeight="1">
      <c r="A21" s="47"/>
      <c r="B21" s="307" t="s">
        <v>205</v>
      </c>
      <c r="C21" s="270" t="s">
        <v>206</v>
      </c>
      <c r="D21" s="271" t="str">
        <f>CONCATENATE('入力（加算）幼'!I21)</f>
        <v/>
      </c>
      <c r="E21" s="272"/>
      <c r="F21" s="273">
        <f>IF(OR($E$7&lt;=35,$E$7&gt;=121),IF(D21="あり",0.8,0),0)</f>
        <v>0</v>
      </c>
      <c r="G21" s="227"/>
      <c r="H21" s="227"/>
      <c r="I21" s="266"/>
      <c r="J21" s="34"/>
    </row>
    <row r="22" spans="1:14" ht="24" customHeight="1">
      <c r="A22" s="47"/>
      <c r="B22" s="308" t="s">
        <v>207</v>
      </c>
      <c r="C22" s="274" t="s">
        <v>208</v>
      </c>
      <c r="D22" s="263" t="str">
        <f>IF(AND('入力（加算）幼'!J21&lt;&gt;"",'入力（加算）幼'!J21&lt;&gt;"なし"),"あり","なし")</f>
        <v>なし</v>
      </c>
      <c r="E22" s="275">
        <f>IF(D22="あり",'入力（加算）幼'!J21,0)</f>
        <v>0</v>
      </c>
      <c r="F22" s="273">
        <f>IF(D22="あり",E22,0)</f>
        <v>0</v>
      </c>
      <c r="G22" s="227"/>
      <c r="H22" s="227"/>
      <c r="I22" s="36"/>
      <c r="J22" s="34"/>
    </row>
    <row r="23" spans="1:14" ht="24" customHeight="1">
      <c r="A23" s="47"/>
      <c r="B23" s="308" t="s">
        <v>209</v>
      </c>
      <c r="C23" s="276" t="s">
        <v>210</v>
      </c>
      <c r="D23" s="277" t="str">
        <f>CONCATENATE('入力（加算）幼'!L21)</f>
        <v/>
      </c>
      <c r="E23" s="278"/>
      <c r="F23" s="273">
        <f>IF(D23="あり",IF(E7&gt;=151,1.5,0.8),0)</f>
        <v>0</v>
      </c>
      <c r="G23" s="227"/>
      <c r="H23" s="227"/>
      <c r="I23" s="36"/>
      <c r="J23" s="34"/>
    </row>
    <row r="24" spans="1:14" ht="24" customHeight="1">
      <c r="A24" s="47"/>
      <c r="B24" s="308" t="s">
        <v>211</v>
      </c>
      <c r="C24" s="276" t="s">
        <v>212</v>
      </c>
      <c r="D24" s="277" t="str">
        <f>IF(AND('入力（加算）幼'!M21&gt;0,'入力（加算）幼'!M21&lt;&gt;"なし"),"あり","なし")</f>
        <v>なし</v>
      </c>
      <c r="E24" s="278"/>
      <c r="F24" s="273">
        <f>IF(D24="あり",IF(E7&gt;=151,3,2),0)</f>
        <v>0</v>
      </c>
      <c r="G24" s="227"/>
      <c r="H24" s="227"/>
      <c r="I24" s="36"/>
      <c r="J24" s="34"/>
    </row>
    <row r="25" spans="1:14" ht="24" customHeight="1">
      <c r="A25" s="47"/>
      <c r="B25" s="280" t="s">
        <v>213</v>
      </c>
      <c r="C25" s="276" t="s">
        <v>214</v>
      </c>
      <c r="D25" s="277" t="str">
        <f>CONCATENATE('入力（加算）幼'!F25)</f>
        <v/>
      </c>
      <c r="E25" s="278"/>
      <c r="F25" s="273">
        <f>IF(D25="あり",1,0)</f>
        <v>0</v>
      </c>
      <c r="G25" s="227"/>
      <c r="H25" s="227"/>
      <c r="I25" s="36"/>
      <c r="J25" s="34"/>
    </row>
    <row r="26" spans="1:14" ht="24" customHeight="1">
      <c r="A26" s="47"/>
      <c r="B26" s="280" t="s">
        <v>215</v>
      </c>
      <c r="C26" s="279" t="s">
        <v>216</v>
      </c>
      <c r="D26" s="277" t="str">
        <f>CONCATENATE('入力（加算）幼'!I25)</f>
        <v/>
      </c>
      <c r="E26" s="278"/>
      <c r="F26" s="273">
        <f>IF(E7&gt;=91,IF(D26="あり",0.8,0),0)</f>
        <v>0</v>
      </c>
      <c r="G26" s="227"/>
      <c r="H26" s="227"/>
      <c r="I26" s="36"/>
      <c r="J26" s="34"/>
    </row>
    <row r="27" spans="1:14" ht="24" customHeight="1">
      <c r="A27" s="47"/>
      <c r="B27" s="280" t="s">
        <v>217</v>
      </c>
      <c r="C27" s="279" t="s">
        <v>218</v>
      </c>
      <c r="D27" s="277" t="str">
        <f>CONCATENATE('入力（加算）幼'!J25)</f>
        <v/>
      </c>
      <c r="E27" s="278"/>
      <c r="F27" s="273">
        <f>IF($E$7&gt;=271,IF(D27="あり",0.8,0),0)</f>
        <v>0</v>
      </c>
      <c r="G27" s="227"/>
      <c r="H27" s="227"/>
      <c r="I27" s="36"/>
      <c r="J27" s="34"/>
    </row>
    <row r="28" spans="1:14" ht="24" customHeight="1">
      <c r="A28" s="47"/>
      <c r="B28" s="280" t="s">
        <v>219</v>
      </c>
      <c r="C28" s="279" t="s">
        <v>220</v>
      </c>
      <c r="D28" s="277" t="str">
        <f>CONCATENATE('入力（加算）幼'!K25)</f>
        <v/>
      </c>
      <c r="E28" s="278"/>
      <c r="F28" s="273">
        <f>IF($E$7&gt;=271,IF(D28="あり",0.8,0),0)</f>
        <v>0</v>
      </c>
      <c r="G28" s="227"/>
      <c r="H28" s="227"/>
      <c r="I28" s="36"/>
      <c r="J28" s="34"/>
    </row>
    <row r="29" spans="1:14" ht="24" customHeight="1">
      <c r="A29" s="47"/>
      <c r="B29" s="280" t="s">
        <v>221</v>
      </c>
      <c r="C29" s="796" t="s">
        <v>222</v>
      </c>
      <c r="D29" s="277" t="str">
        <f>IF('入力（加算）幼'!L25="配置","あり","なし")</f>
        <v>なし</v>
      </c>
      <c r="E29" s="278"/>
      <c r="F29" s="858">
        <f>IF(D29="あり",0.5,0)</f>
        <v>0</v>
      </c>
      <c r="G29" s="227"/>
      <c r="H29" s="227"/>
      <c r="I29" s="36"/>
      <c r="J29" s="34"/>
    </row>
    <row r="30" spans="1:14" ht="24" customHeight="1">
      <c r="A30" s="47"/>
      <c r="B30" s="281" t="s">
        <v>223</v>
      </c>
      <c r="C30" s="279" t="s">
        <v>224</v>
      </c>
      <c r="D30" s="277" t="str">
        <f>CONCATENATE('入力（加算）幼'!E21)</f>
        <v/>
      </c>
      <c r="E30" s="278"/>
      <c r="F30" s="282">
        <f>IF(D30="あり",-1,0)</f>
        <v>0</v>
      </c>
      <c r="G30" s="283"/>
      <c r="H30" s="283"/>
      <c r="I30" s="36"/>
      <c r="J30" s="34"/>
    </row>
    <row r="31" spans="1:14" ht="24" customHeight="1">
      <c r="A31" s="47"/>
      <c r="B31" s="284" t="s">
        <v>225</v>
      </c>
      <c r="C31" s="285" t="s">
        <v>226</v>
      </c>
      <c r="D31" s="286" t="str">
        <f>IF(AND('入力（加算）幼'!D25&lt;&gt;"",'入力（加算）幼'!D25&gt;0),"満たさない","満たす")</f>
        <v>満たす</v>
      </c>
      <c r="E31" s="287" t="str">
        <f>IF(D31="満たさない",'入力（加算）幼'!D25,"0")</f>
        <v>0</v>
      </c>
      <c r="F31" s="288">
        <f>IF(D31="満たさない",-E31,0)</f>
        <v>0</v>
      </c>
      <c r="G31" s="283"/>
      <c r="H31" s="283"/>
      <c r="I31" s="36"/>
      <c r="J31" s="73"/>
    </row>
    <row r="32" spans="1:14" ht="24" customHeight="1" thickBot="1">
      <c r="A32" s="47"/>
      <c r="B32" s="289" t="s">
        <v>227</v>
      </c>
      <c r="C32" s="290"/>
      <c r="D32" s="291"/>
      <c r="E32" s="291"/>
      <c r="F32" s="292">
        <f>IF(E7&lt;=35,0.4,IF(E7&lt;=300,1.4,0.4))</f>
        <v>0.4</v>
      </c>
      <c r="G32" s="227"/>
      <c r="H32" s="227"/>
      <c r="I32" s="36"/>
      <c r="J32" s="73"/>
    </row>
    <row r="33" spans="1:15" ht="24" customHeight="1" thickTop="1" thickBot="1">
      <c r="A33" s="47"/>
      <c r="B33" s="293" t="s">
        <v>228</v>
      </c>
      <c r="C33" s="294"/>
      <c r="D33" s="294"/>
      <c r="E33" s="295"/>
      <c r="F33" s="296">
        <f>SUM(F17,F21:F32)</f>
        <v>0.4</v>
      </c>
      <c r="G33" s="256"/>
      <c r="H33" s="256"/>
      <c r="I33" s="36"/>
      <c r="J33" s="73"/>
      <c r="N33" s="35" t="s">
        <v>375</v>
      </c>
      <c r="O33" s="122">
        <v>40000</v>
      </c>
    </row>
    <row r="34" spans="1:15" ht="24" customHeight="1" thickBot="1">
      <c r="A34" s="47"/>
      <c r="B34" s="297" t="s">
        <v>229</v>
      </c>
      <c r="C34" s="224"/>
      <c r="D34" s="224"/>
      <c r="E34" s="298"/>
      <c r="F34" s="299" t="str">
        <f>IF(E7=0,"定員未入力",ROUND(F33,0))</f>
        <v>定員未入力</v>
      </c>
      <c r="G34" s="300"/>
      <c r="H34" s="300"/>
      <c r="I34" s="225"/>
      <c r="J34" s="34"/>
      <c r="N34" s="35" t="s">
        <v>376</v>
      </c>
      <c r="O34" s="122">
        <v>5000</v>
      </c>
    </row>
    <row r="35" spans="1:15" ht="24" customHeight="1">
      <c r="A35" s="47"/>
      <c r="B35" s="301" t="s">
        <v>230</v>
      </c>
      <c r="C35" s="302"/>
      <c r="D35" s="303"/>
      <c r="E35" s="304"/>
      <c r="F35" s="305"/>
      <c r="G35" s="305"/>
      <c r="H35" s="305"/>
      <c r="I35" s="304"/>
      <c r="J35" s="34"/>
      <c r="N35" s="35" t="s">
        <v>486</v>
      </c>
      <c r="O35" s="122">
        <v>51590</v>
      </c>
    </row>
    <row r="36" spans="1:15" ht="24" customHeight="1">
      <c r="A36" s="47"/>
      <c r="B36" s="53"/>
      <c r="C36" s="47"/>
      <c r="D36" s="47"/>
      <c r="E36" s="225"/>
      <c r="F36" s="786"/>
      <c r="G36" s="305"/>
      <c r="H36" s="305"/>
      <c r="I36" s="304"/>
      <c r="J36" s="34"/>
      <c r="N36" s="35" t="s">
        <v>487</v>
      </c>
      <c r="O36" s="122">
        <v>6450</v>
      </c>
    </row>
    <row r="37" spans="1:15" ht="24" customHeight="1" thickBot="1">
      <c r="A37" s="170" t="s">
        <v>231</v>
      </c>
      <c r="B37" s="47"/>
      <c r="C37" s="47"/>
      <c r="D37" s="47"/>
      <c r="E37" s="228"/>
      <c r="F37" s="226"/>
      <c r="G37" s="305"/>
      <c r="H37" s="305"/>
      <c r="I37" s="304"/>
      <c r="J37" s="34"/>
    </row>
    <row r="38" spans="1:15" ht="24" customHeight="1" thickBot="1">
      <c r="A38" s="47"/>
      <c r="B38" s="229" t="s">
        <v>232</v>
      </c>
      <c r="C38" s="224"/>
      <c r="D38" s="224"/>
      <c r="E38" s="782" t="e">
        <f>F34/3</f>
        <v>#VALUE!</v>
      </c>
      <c r="F38" s="375" t="e">
        <f>IF(ROUND(F34/3,0)=0,1,ROUND(F34/3,0))</f>
        <v>#VALUE!</v>
      </c>
      <c r="G38" s="305"/>
      <c r="H38" s="305"/>
      <c r="I38" s="304"/>
      <c r="J38" s="34"/>
    </row>
    <row r="39" spans="1:15" ht="24" customHeight="1" thickBot="1">
      <c r="A39" s="47"/>
      <c r="B39" s="231" t="s">
        <v>233</v>
      </c>
      <c r="C39" s="224"/>
      <c r="D39" s="224"/>
      <c r="E39" s="782" t="e">
        <f>F34/5</f>
        <v>#VALUE!</v>
      </c>
      <c r="F39" s="375" t="e">
        <f>IF(ROUND(F34/5,0)=0,1,ROUND(F34/5,0))</f>
        <v>#VALUE!</v>
      </c>
      <c r="G39" s="305"/>
      <c r="H39" s="305"/>
      <c r="I39" s="304"/>
      <c r="J39" s="34"/>
    </row>
    <row r="40" spans="1:15" ht="24" customHeight="1">
      <c r="A40" s="47"/>
      <c r="B40" s="47"/>
      <c r="C40" s="47"/>
      <c r="D40" s="47"/>
      <c r="E40" s="225"/>
      <c r="G40" s="305"/>
      <c r="H40" s="305"/>
      <c r="I40" s="304"/>
      <c r="J40" s="34"/>
    </row>
    <row r="41" spans="1:15" ht="24" customHeight="1">
      <c r="A41" s="170" t="s">
        <v>481</v>
      </c>
      <c r="B41" s="36"/>
      <c r="C41" s="36"/>
      <c r="D41" s="36"/>
      <c r="E41" s="36"/>
      <c r="F41" s="168"/>
      <c r="G41" s="168"/>
      <c r="H41" s="168"/>
      <c r="I41" s="168"/>
      <c r="J41" s="233"/>
    </row>
    <row r="42" spans="1:15" ht="24" customHeight="1">
      <c r="A42" s="36"/>
      <c r="B42" s="36"/>
      <c r="C42" s="36"/>
      <c r="D42" s="735" t="s">
        <v>483</v>
      </c>
      <c r="E42" s="784" t="s">
        <v>480</v>
      </c>
      <c r="F42" s="999" t="s">
        <v>482</v>
      </c>
      <c r="G42" s="1001"/>
      <c r="H42" s="784" t="s">
        <v>475</v>
      </c>
      <c r="I42" s="36"/>
      <c r="J42" s="36"/>
      <c r="K42" s="36"/>
      <c r="N42" s="235"/>
      <c r="O42" s="34"/>
    </row>
    <row r="43" spans="1:15" ht="24" customHeight="1">
      <c r="A43" s="36"/>
      <c r="B43" s="997" t="s">
        <v>477</v>
      </c>
      <c r="C43" s="998"/>
      <c r="D43" s="733" t="e">
        <f>I14*F38*O33</f>
        <v>#VALUE!</v>
      </c>
      <c r="E43" s="709">
        <f>O33</f>
        <v>40000</v>
      </c>
      <c r="F43" s="1002" t="e">
        <f>I14*F38*O35</f>
        <v>#VALUE!</v>
      </c>
      <c r="G43" s="1004"/>
      <c r="H43" s="709">
        <f>O35</f>
        <v>51590</v>
      </c>
      <c r="I43" s="36"/>
      <c r="J43" s="36"/>
      <c r="K43" s="36"/>
      <c r="N43" s="235"/>
      <c r="O43" s="34"/>
    </row>
    <row r="44" spans="1:15" ht="24" customHeight="1">
      <c r="A44" s="36"/>
      <c r="B44" s="997" t="s">
        <v>478</v>
      </c>
      <c r="C44" s="998"/>
      <c r="D44" s="733" t="e">
        <f>I14*F39*O34</f>
        <v>#VALUE!</v>
      </c>
      <c r="E44" s="709">
        <f>O34</f>
        <v>5000</v>
      </c>
      <c r="F44" s="1002" t="e">
        <f>I14*F39*O36</f>
        <v>#VALUE!</v>
      </c>
      <c r="G44" s="1004"/>
      <c r="H44" s="709">
        <f>O36</f>
        <v>6450</v>
      </c>
      <c r="I44" s="36"/>
      <c r="J44" s="36"/>
      <c r="K44" s="36"/>
      <c r="N44" s="235"/>
      <c r="O44" s="34"/>
    </row>
    <row r="45" spans="1:15" ht="24" customHeight="1">
      <c r="A45" s="36"/>
      <c r="B45" s="997" t="s">
        <v>377</v>
      </c>
      <c r="C45" s="998"/>
      <c r="D45" s="734" t="e">
        <f>SUM(D43:D44)</f>
        <v>#VALUE!</v>
      </c>
      <c r="E45" s="740"/>
      <c r="F45" s="1002" t="e">
        <f>SUM(F43:G44)</f>
        <v>#VALUE!</v>
      </c>
      <c r="G45" s="1004"/>
      <c r="H45" s="720"/>
      <c r="I45" s="36"/>
      <c r="J45" s="36"/>
      <c r="K45" s="36"/>
      <c r="N45" s="235"/>
      <c r="O45" s="34"/>
    </row>
    <row r="46" spans="1:15" ht="28.5" customHeight="1">
      <c r="A46" s="36"/>
      <c r="B46" s="36"/>
      <c r="C46" s="36"/>
      <c r="D46" s="36"/>
      <c r="E46" s="736"/>
      <c r="F46" s="699"/>
      <c r="G46" s="699"/>
      <c r="H46" s="699"/>
      <c r="I46" s="168"/>
      <c r="J46" s="36"/>
      <c r="K46" s="36"/>
      <c r="L46" s="36"/>
    </row>
    <row r="47" spans="1:15" ht="28.5" customHeight="1">
      <c r="A47" s="36"/>
      <c r="B47" s="36"/>
      <c r="C47" s="36"/>
      <c r="D47" s="36"/>
      <c r="E47" s="736"/>
      <c r="F47" s="1042" t="s">
        <v>488</v>
      </c>
      <c r="G47" s="1043"/>
      <c r="H47" s="738" t="e">
        <f>ROUNDDOWN(F45*0.2,-1)</f>
        <v>#VALUE!</v>
      </c>
      <c r="I47" s="168"/>
      <c r="J47" s="36"/>
      <c r="K47" s="36"/>
      <c r="L47" s="36"/>
    </row>
    <row r="48" spans="1:15" ht="27.75" customHeight="1">
      <c r="A48" s="36"/>
      <c r="B48" s="36"/>
      <c r="C48" s="36"/>
      <c r="D48" s="36"/>
      <c r="E48" s="36"/>
      <c r="F48" s="34"/>
      <c r="G48" s="741" t="s">
        <v>484</v>
      </c>
      <c r="H48" s="36"/>
      <c r="I48" s="36"/>
      <c r="J48" s="36"/>
      <c r="K48" s="36"/>
      <c r="L48" s="36"/>
    </row>
    <row r="49" spans="6:12" ht="21" customHeight="1">
      <c r="F49" s="34"/>
      <c r="G49" s="34"/>
      <c r="H49" s="34"/>
      <c r="I49" s="34"/>
      <c r="J49" s="36"/>
      <c r="K49" s="36"/>
      <c r="L49" s="36"/>
    </row>
    <row r="50" spans="6:12" ht="21" customHeight="1">
      <c r="F50" s="34"/>
      <c r="G50" s="34"/>
      <c r="H50" s="34"/>
      <c r="I50" s="34"/>
      <c r="J50" s="34"/>
    </row>
    <row r="51" spans="6:12" ht="21" customHeight="1">
      <c r="F51" s="34"/>
      <c r="G51" s="34"/>
      <c r="H51" s="34"/>
      <c r="I51" s="34"/>
      <c r="J51" s="233"/>
    </row>
    <row r="52" spans="6:12" ht="33.75" customHeight="1">
      <c r="F52" s="34"/>
      <c r="G52" s="34"/>
      <c r="H52" s="34"/>
      <c r="I52" s="34"/>
      <c r="J52" s="233"/>
    </row>
    <row r="53" spans="6:12" ht="33.75" customHeight="1">
      <c r="F53" s="34"/>
      <c r="G53" s="34"/>
      <c r="H53" s="34"/>
      <c r="I53" s="34"/>
      <c r="J53" s="233"/>
    </row>
    <row r="54" spans="6:12" ht="33.75" customHeight="1">
      <c r="F54" s="34"/>
      <c r="G54" s="34"/>
      <c r="H54" s="34"/>
      <c r="I54" s="34"/>
      <c r="J54" s="233"/>
    </row>
    <row r="55" spans="6:12" ht="33.75" customHeight="1">
      <c r="F55" s="34"/>
      <c r="G55" s="34"/>
      <c r="H55" s="34"/>
      <c r="I55" s="34"/>
    </row>
    <row r="56" spans="6:12" ht="33.75" customHeight="1">
      <c r="F56" s="34"/>
      <c r="G56" s="34"/>
      <c r="H56" s="34"/>
      <c r="I56" s="34"/>
    </row>
    <row r="57" spans="6:12" ht="33.75" customHeight="1">
      <c r="F57" s="34"/>
      <c r="G57" s="34"/>
      <c r="H57" s="34"/>
      <c r="I57" s="34"/>
    </row>
    <row r="58" spans="6:12" ht="33.75" customHeight="1">
      <c r="F58" s="34"/>
      <c r="G58" s="34"/>
      <c r="H58" s="34"/>
      <c r="I58" s="34"/>
    </row>
    <row r="59" spans="6:12" ht="33.75" customHeight="1">
      <c r="F59" s="34"/>
      <c r="G59" s="34"/>
      <c r="H59" s="34"/>
      <c r="I59" s="34"/>
      <c r="J59" s="34"/>
    </row>
    <row r="60" spans="6:12" ht="33.75" customHeight="1">
      <c r="F60" s="34"/>
      <c r="G60" s="34"/>
      <c r="H60" s="34"/>
      <c r="I60" s="34"/>
      <c r="J60" s="34"/>
    </row>
    <row r="61" spans="6:12" ht="33.75" customHeight="1">
      <c r="F61" s="34"/>
      <c r="G61" s="34"/>
      <c r="H61" s="34"/>
      <c r="I61" s="34"/>
      <c r="J61" s="34"/>
    </row>
    <row r="62" spans="6:12" ht="33.75" customHeight="1">
      <c r="F62" s="34"/>
      <c r="G62" s="34"/>
      <c r="H62" s="34"/>
      <c r="I62" s="34"/>
      <c r="J62" s="34"/>
    </row>
    <row r="63" spans="6:12" ht="33.75" customHeight="1">
      <c r="F63" s="34"/>
      <c r="G63" s="34"/>
      <c r="H63" s="34"/>
      <c r="I63" s="34"/>
      <c r="J63" s="34"/>
    </row>
    <row r="64" spans="6:12" ht="33.75" customHeight="1">
      <c r="F64" s="34"/>
      <c r="G64" s="34"/>
      <c r="H64" s="34"/>
      <c r="I64" s="34"/>
      <c r="J64" s="34"/>
    </row>
    <row r="65" spans="6:10" ht="33.75" customHeight="1">
      <c r="F65" s="34"/>
      <c r="G65" s="34"/>
      <c r="H65" s="34"/>
      <c r="I65" s="34"/>
      <c r="J65" s="34"/>
    </row>
    <row r="66" spans="6:10" ht="20.25" customHeight="1">
      <c r="F66" s="34"/>
      <c r="G66" s="34"/>
      <c r="H66" s="34"/>
      <c r="I66" s="34"/>
      <c r="J66" s="34"/>
    </row>
    <row r="67" spans="6:10" ht="20.25" customHeight="1">
      <c r="F67" s="34"/>
      <c r="G67" s="34"/>
      <c r="H67" s="34"/>
      <c r="I67" s="34"/>
      <c r="J67" s="34"/>
    </row>
    <row r="68" spans="6:10" ht="20.25" customHeight="1">
      <c r="F68" s="34"/>
      <c r="G68" s="34"/>
      <c r="H68" s="34"/>
      <c r="I68" s="34"/>
      <c r="J68" s="34"/>
    </row>
    <row r="69" spans="6:10" ht="20.25" customHeight="1">
      <c r="F69" s="34"/>
      <c r="G69" s="34"/>
      <c r="H69" s="34"/>
      <c r="I69" s="34"/>
      <c r="J69" s="34"/>
    </row>
    <row r="70" spans="6:10" ht="20.25" customHeight="1">
      <c r="F70" s="34"/>
      <c r="G70" s="34"/>
      <c r="H70" s="34"/>
      <c r="I70" s="34"/>
      <c r="J70" s="34"/>
    </row>
    <row r="71" spans="6:10" ht="20.25" customHeight="1">
      <c r="F71" s="34"/>
      <c r="G71" s="34"/>
      <c r="H71" s="34"/>
      <c r="I71" s="34"/>
      <c r="J71" s="34"/>
    </row>
    <row r="72" spans="6:10" ht="20.25" customHeight="1">
      <c r="F72" s="34"/>
      <c r="G72" s="34"/>
      <c r="H72" s="34"/>
      <c r="I72" s="34"/>
      <c r="J72" s="34"/>
    </row>
    <row r="73" spans="6:10" ht="20.25" customHeight="1">
      <c r="F73" s="34"/>
      <c r="G73" s="34"/>
      <c r="H73" s="34"/>
      <c r="I73" s="34"/>
      <c r="J73" s="34"/>
    </row>
    <row r="74" spans="6:10" ht="20.25" customHeight="1">
      <c r="F74" s="34"/>
      <c r="G74" s="34"/>
      <c r="H74" s="34"/>
      <c r="I74" s="34"/>
      <c r="J74" s="34"/>
    </row>
    <row r="75" spans="6:10" ht="20.25" customHeight="1">
      <c r="F75" s="34"/>
      <c r="G75" s="34"/>
      <c r="H75" s="34"/>
      <c r="I75" s="34"/>
      <c r="J75" s="34"/>
    </row>
    <row r="76" spans="6:10" ht="20.25" customHeight="1">
      <c r="F76" s="34"/>
      <c r="G76" s="34"/>
      <c r="H76" s="34"/>
      <c r="I76" s="34"/>
      <c r="J76" s="34"/>
    </row>
    <row r="77" spans="6:10" ht="20.25" customHeight="1">
      <c r="F77" s="34"/>
      <c r="G77" s="34"/>
      <c r="H77" s="34"/>
      <c r="I77" s="34"/>
      <c r="J77" s="34"/>
    </row>
    <row r="78" spans="6:10" ht="20.25" customHeight="1">
      <c r="F78" s="34"/>
      <c r="G78" s="34"/>
      <c r="H78" s="34"/>
      <c r="I78" s="34"/>
      <c r="J78" s="34"/>
    </row>
    <row r="79" spans="6:10" ht="20.25" customHeight="1">
      <c r="F79" s="34"/>
      <c r="G79" s="34"/>
      <c r="H79" s="34"/>
      <c r="I79" s="34"/>
      <c r="J79" s="34"/>
    </row>
    <row r="80" spans="6:10" ht="20.25" customHeight="1">
      <c r="F80" s="34"/>
      <c r="G80" s="34"/>
      <c r="H80" s="34"/>
      <c r="I80" s="34"/>
      <c r="J80" s="34"/>
    </row>
    <row r="81" spans="6:10" ht="20.25" customHeight="1">
      <c r="F81" s="34"/>
      <c r="G81" s="34"/>
      <c r="H81" s="34"/>
      <c r="I81" s="34"/>
      <c r="J81" s="34"/>
    </row>
    <row r="82" spans="6:10" ht="20.25" customHeight="1">
      <c r="F82" s="34"/>
      <c r="G82" s="34"/>
      <c r="H82" s="34"/>
      <c r="I82" s="34"/>
      <c r="J82" s="34"/>
    </row>
    <row r="83" spans="6:10" ht="20.25" customHeight="1">
      <c r="F83" s="34"/>
      <c r="G83" s="34"/>
      <c r="H83" s="34"/>
      <c r="I83" s="34"/>
      <c r="J83" s="34"/>
    </row>
    <row r="84" spans="6:10" ht="20.25" customHeight="1">
      <c r="F84" s="34"/>
      <c r="G84" s="34"/>
      <c r="H84" s="34"/>
      <c r="I84" s="34"/>
      <c r="J84" s="34"/>
    </row>
    <row r="85" spans="6:10" ht="20.25" customHeight="1">
      <c r="F85" s="34"/>
      <c r="G85" s="34"/>
      <c r="H85" s="34"/>
      <c r="I85" s="34"/>
      <c r="J85" s="34"/>
    </row>
    <row r="86" spans="6:10" ht="20.25" customHeight="1">
      <c r="F86" s="34"/>
      <c r="G86" s="34"/>
      <c r="H86" s="34"/>
      <c r="I86" s="34"/>
      <c r="J86" s="34"/>
    </row>
    <row r="87" spans="6:10" ht="20.25" customHeight="1">
      <c r="F87" s="34"/>
      <c r="G87" s="34"/>
      <c r="H87" s="34"/>
      <c r="I87" s="34"/>
      <c r="J87" s="34"/>
    </row>
    <row r="88" spans="6:10" ht="20.25" customHeight="1">
      <c r="F88" s="34"/>
      <c r="G88" s="34"/>
      <c r="H88" s="34"/>
      <c r="I88" s="34"/>
      <c r="J88" s="34"/>
    </row>
    <row r="89" spans="6:10" ht="20.25" customHeight="1">
      <c r="F89" s="34"/>
      <c r="G89" s="34"/>
      <c r="H89" s="34"/>
      <c r="I89" s="34"/>
      <c r="J89" s="34"/>
    </row>
    <row r="90" spans="6:10" ht="20.25" customHeight="1">
      <c r="F90" s="34"/>
      <c r="G90" s="34"/>
      <c r="H90" s="34"/>
      <c r="I90" s="34"/>
      <c r="J90" s="34"/>
    </row>
    <row r="91" spans="6:10" ht="20.25" customHeight="1">
      <c r="F91" s="34"/>
      <c r="G91" s="34"/>
      <c r="H91" s="34"/>
      <c r="I91" s="34"/>
      <c r="J91" s="34"/>
    </row>
    <row r="92" spans="6:10" ht="20.25" customHeight="1">
      <c r="F92" s="34"/>
      <c r="G92" s="34"/>
      <c r="H92" s="34"/>
      <c r="I92" s="34"/>
      <c r="J92" s="34"/>
    </row>
    <row r="93" spans="6:10" ht="20.25" customHeight="1">
      <c r="F93" s="34"/>
      <c r="G93" s="34"/>
      <c r="H93" s="34"/>
      <c r="I93" s="34"/>
      <c r="J93" s="34"/>
    </row>
    <row r="94" spans="6:10" ht="20.25" customHeight="1">
      <c r="F94" s="34"/>
      <c r="G94" s="34"/>
      <c r="H94" s="34"/>
      <c r="I94" s="34"/>
      <c r="J94" s="34"/>
    </row>
    <row r="95" spans="6:10" ht="20.25" customHeight="1">
      <c r="F95" s="34"/>
      <c r="G95" s="34"/>
      <c r="H95" s="34"/>
      <c r="I95" s="34"/>
      <c r="J95" s="34"/>
    </row>
    <row r="96" spans="6:10" ht="20.25" customHeight="1">
      <c r="F96" s="34"/>
      <c r="G96" s="34"/>
      <c r="H96" s="34"/>
      <c r="I96" s="34"/>
      <c r="J96" s="34"/>
    </row>
    <row r="97" spans="6:10" ht="20.25" customHeight="1">
      <c r="F97" s="34"/>
      <c r="G97" s="34"/>
      <c r="H97" s="34"/>
      <c r="I97" s="34"/>
      <c r="J97" s="34"/>
    </row>
    <row r="98" spans="6:10" ht="20.25" customHeight="1">
      <c r="F98" s="34"/>
      <c r="G98" s="34"/>
      <c r="H98" s="34"/>
      <c r="I98" s="34"/>
      <c r="J98" s="34"/>
    </row>
    <row r="99" spans="6:10" ht="20.25" customHeight="1">
      <c r="F99" s="34"/>
      <c r="G99" s="34"/>
      <c r="H99" s="34"/>
      <c r="I99" s="34"/>
      <c r="J99" s="34"/>
    </row>
    <row r="100" spans="6:10" ht="20.25" customHeight="1">
      <c r="F100" s="34"/>
      <c r="G100" s="34"/>
      <c r="H100" s="34"/>
      <c r="I100" s="34"/>
      <c r="J100" s="34"/>
    </row>
    <row r="101" spans="6:10" ht="20.25" customHeight="1">
      <c r="F101" s="34"/>
      <c r="G101" s="34"/>
      <c r="H101" s="34"/>
      <c r="I101" s="34"/>
      <c r="J101" s="34"/>
    </row>
    <row r="102" spans="6:10" ht="20.25" customHeight="1">
      <c r="F102" s="34"/>
      <c r="G102" s="34"/>
      <c r="H102" s="34"/>
      <c r="I102" s="34"/>
      <c r="J102" s="34"/>
    </row>
    <row r="103" spans="6:10" ht="20.25" customHeight="1">
      <c r="F103" s="34"/>
      <c r="G103" s="34"/>
      <c r="H103" s="34"/>
      <c r="I103" s="34"/>
      <c r="J103" s="34"/>
    </row>
    <row r="104" spans="6:10" ht="20.25" customHeight="1">
      <c r="F104" s="34"/>
      <c r="G104" s="34"/>
      <c r="H104" s="34"/>
      <c r="I104" s="34"/>
      <c r="J104" s="34"/>
    </row>
    <row r="105" spans="6:10" ht="20.25" customHeight="1">
      <c r="F105" s="34"/>
      <c r="G105" s="34"/>
      <c r="H105" s="34"/>
      <c r="I105" s="34"/>
      <c r="J105" s="34"/>
    </row>
    <row r="106" spans="6:10" ht="20.25" customHeight="1">
      <c r="F106" s="34"/>
      <c r="G106" s="34"/>
      <c r="H106" s="34"/>
      <c r="I106" s="34"/>
      <c r="J106" s="34"/>
    </row>
    <row r="107" spans="6:10" ht="20.25" customHeight="1">
      <c r="F107" s="34"/>
      <c r="G107" s="34"/>
      <c r="H107" s="34"/>
      <c r="I107" s="34"/>
      <c r="J107" s="34"/>
    </row>
    <row r="108" spans="6:10" ht="20.25" customHeight="1">
      <c r="F108" s="34"/>
      <c r="G108" s="34"/>
      <c r="H108" s="34"/>
      <c r="I108" s="34"/>
      <c r="J108" s="34"/>
    </row>
    <row r="109" spans="6:10" ht="20.25" customHeight="1">
      <c r="F109" s="34"/>
      <c r="G109" s="34"/>
      <c r="H109" s="34"/>
      <c r="I109" s="34"/>
      <c r="J109" s="34"/>
    </row>
    <row r="110" spans="6:10" ht="20.25" customHeight="1">
      <c r="F110" s="34"/>
      <c r="G110" s="34"/>
      <c r="H110" s="34"/>
      <c r="I110" s="34"/>
      <c r="J110" s="34"/>
    </row>
    <row r="111" spans="6:10" ht="20.25" customHeight="1">
      <c r="F111" s="34"/>
      <c r="G111" s="34"/>
      <c r="H111" s="34"/>
      <c r="I111" s="34"/>
      <c r="J111" s="34"/>
    </row>
    <row r="112" spans="6:10" ht="20.25" customHeight="1">
      <c r="F112" s="34"/>
      <c r="G112" s="34"/>
      <c r="H112" s="34"/>
      <c r="I112" s="34"/>
      <c r="J112" s="34"/>
    </row>
    <row r="113" spans="6:10" ht="20.25" customHeight="1">
      <c r="F113" s="34"/>
      <c r="G113" s="34"/>
      <c r="H113" s="34"/>
      <c r="I113" s="34"/>
      <c r="J113" s="34"/>
    </row>
    <row r="114" spans="6:10" ht="20.25" customHeight="1">
      <c r="F114" s="34"/>
      <c r="G114" s="34"/>
      <c r="H114" s="34"/>
      <c r="I114" s="34"/>
      <c r="J114" s="34"/>
    </row>
    <row r="115" spans="6:10" ht="20.25" customHeight="1">
      <c r="F115" s="34"/>
      <c r="G115" s="34"/>
      <c r="H115" s="34"/>
      <c r="I115" s="34"/>
      <c r="J115" s="34"/>
    </row>
    <row r="116" spans="6:10" ht="20.25" customHeight="1">
      <c r="F116" s="34"/>
      <c r="G116" s="34"/>
      <c r="H116" s="34"/>
      <c r="I116" s="34"/>
      <c r="J116" s="34"/>
    </row>
    <row r="117" spans="6:10" ht="20.25" customHeight="1">
      <c r="J117" s="34"/>
    </row>
    <row r="118" spans="6:10" ht="20.25" customHeight="1">
      <c r="J118" s="34"/>
    </row>
    <row r="119" spans="6:10" ht="20.25" customHeight="1">
      <c r="J119" s="34"/>
    </row>
    <row r="120" spans="6:10" ht="20.25" customHeight="1">
      <c r="J120" s="34"/>
    </row>
    <row r="121" spans="6:10" ht="20.25" customHeight="1">
      <c r="J121" s="34"/>
    </row>
    <row r="122" spans="6:10" ht="20.25" customHeight="1">
      <c r="J122" s="34"/>
    </row>
    <row r="123" spans="6:10" ht="20.25" customHeight="1">
      <c r="J123" s="34"/>
    </row>
    <row r="124" spans="6:10" ht="20.25" customHeight="1">
      <c r="J124" s="34"/>
    </row>
    <row r="125" spans="6:10" ht="20.25" customHeight="1">
      <c r="J125" s="34"/>
    </row>
    <row r="126" spans="6:10" ht="20.25" customHeight="1">
      <c r="J126" s="34"/>
    </row>
  </sheetData>
  <sheetProtection algorithmName="SHA-512" hashValue="tsYHq3T6aQdOZ19of+y7G4fsZHNsya397mTIqKAeRrbkLfffPPos5yqH+sTmhcbS39SoD6dSx6KjiMc1v3e8+g==" saltValue="xewhVOKYrfoF62J1nAjDWQ==" spinCount="100000" sheet="1" objects="1" scenarios="1"/>
  <customSheetViews>
    <customSheetView guid="{2E52E5FF-9846-4DC5-A671-268FE925398C}" scale="85" showPageBreaks="1" printArea="1" view="pageBreakPreview">
      <selection activeCell="H41" sqref="H41:I41"/>
      <pageMargins left="0.7" right="0.7" top="0.75" bottom="0.75" header="0.3" footer="0.3"/>
      <pageSetup paperSize="9" scale="71" orientation="portrait" r:id="rId1"/>
    </customSheetView>
    <customSheetView guid="{BADA99B3-B36A-4925-87A7-F72FC97D3DBA}" scale="85" showPageBreaks="1" printArea="1" view="pageBreakPreview" topLeftCell="A19">
      <selection activeCell="F39" sqref="F39"/>
      <pageMargins left="0.7" right="0.7" top="0.75" bottom="0.75" header="0.3" footer="0.3"/>
      <pageSetup paperSize="9" scale="71" orientation="portrait" r:id="rId2"/>
    </customSheetView>
  </customSheetViews>
  <mergeCells count="23">
    <mergeCell ref="A1:C1"/>
    <mergeCell ref="A2:I2"/>
    <mergeCell ref="K2:L2"/>
    <mergeCell ref="G1:I1"/>
    <mergeCell ref="G4:G5"/>
    <mergeCell ref="H4:J5"/>
    <mergeCell ref="F19:F20"/>
    <mergeCell ref="B12:I13"/>
    <mergeCell ref="B6:D6"/>
    <mergeCell ref="B7:D7"/>
    <mergeCell ref="B8:D8"/>
    <mergeCell ref="F8:I11"/>
    <mergeCell ref="C9:D9"/>
    <mergeCell ref="C10:D10"/>
    <mergeCell ref="C11:D11"/>
    <mergeCell ref="B45:C45"/>
    <mergeCell ref="F47:G47"/>
    <mergeCell ref="F42:G42"/>
    <mergeCell ref="F43:G43"/>
    <mergeCell ref="F44:G44"/>
    <mergeCell ref="F45:G45"/>
    <mergeCell ref="B43:C43"/>
    <mergeCell ref="B44:C44"/>
  </mergeCells>
  <phoneticPr fontId="35"/>
  <dataValidations count="7">
    <dataValidation type="list" errorStyle="warning" showInputMessage="1" showErrorMessage="1" sqref="D21" xr:uid="{00000000-0002-0000-2900-000000000000}">
      <formula1>$Q$4:$Q$6</formula1>
    </dataValidation>
    <dataValidation type="list" errorStyle="warning" showInputMessage="1" showErrorMessage="1" sqref="D31" xr:uid="{00000000-0002-0000-2900-000001000000}">
      <formula1>$T$4:$T$6</formula1>
    </dataValidation>
    <dataValidation type="list" errorStyle="warning" showInputMessage="1" showErrorMessage="1" sqref="D19:D20 D22:D30" xr:uid="{00000000-0002-0000-2900-000002000000}">
      <formula1>$P$4:$P$6</formula1>
    </dataValidation>
    <dataValidation type="list" allowBlank="1" showInputMessage="1" showErrorMessage="1" sqref="WVQ983077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D6556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D13109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D19663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D26217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D32770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D39324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D45877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D52431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D58985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D65538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D72092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D78645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D85199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D91753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D98306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xr:uid="{00000000-0002-0000-2900-000003000000}">
      <formula1>"　,満たす,満たさない"</formula1>
    </dataValidation>
    <dataValidation type="list" allowBlank="1" showInputMessage="1" showErrorMessage="1" sqref="WVQ983068:WVQ983076 D65554:D65562 JE65564:JE65572 TA65564:TA65572 ACW65564:ACW65572 AMS65564:AMS65572 AWO65564:AWO65572 BGK65564:BGK65572 BQG65564:BQG65572 CAC65564:CAC65572 CJY65564:CJY65572 CTU65564:CTU65572 DDQ65564:DDQ65572 DNM65564:DNM65572 DXI65564:DXI65572 EHE65564:EHE65572 ERA65564:ERA65572 FAW65564:FAW65572 FKS65564:FKS65572 FUO65564:FUO65572 GEK65564:GEK65572 GOG65564:GOG65572 GYC65564:GYC65572 HHY65564:HHY65572 HRU65564:HRU65572 IBQ65564:IBQ65572 ILM65564:ILM65572 IVI65564:IVI65572 JFE65564:JFE65572 JPA65564:JPA65572 JYW65564:JYW65572 KIS65564:KIS65572 KSO65564:KSO65572 LCK65564:LCK65572 LMG65564:LMG65572 LWC65564:LWC65572 MFY65564:MFY65572 MPU65564:MPU65572 MZQ65564:MZQ65572 NJM65564:NJM65572 NTI65564:NTI65572 ODE65564:ODE65572 ONA65564:ONA65572 OWW65564:OWW65572 PGS65564:PGS65572 PQO65564:PQO65572 QAK65564:QAK65572 QKG65564:QKG65572 QUC65564:QUC65572 RDY65564:RDY65572 RNU65564:RNU65572 RXQ65564:RXQ65572 SHM65564:SHM65572 SRI65564:SRI65572 TBE65564:TBE65572 TLA65564:TLA65572 TUW65564:TUW65572 UES65564:UES65572 UOO65564:UOO65572 UYK65564:UYK65572 VIG65564:VIG65572 VSC65564:VSC65572 WBY65564:WBY65572 WLU65564:WLU65572 WVQ65564:WVQ65572 D131090:D131098 JE131100:JE131108 TA131100:TA131108 ACW131100:ACW131108 AMS131100:AMS131108 AWO131100:AWO131108 BGK131100:BGK131108 BQG131100:BQG131108 CAC131100:CAC131108 CJY131100:CJY131108 CTU131100:CTU131108 DDQ131100:DDQ131108 DNM131100:DNM131108 DXI131100:DXI131108 EHE131100:EHE131108 ERA131100:ERA131108 FAW131100:FAW131108 FKS131100:FKS131108 FUO131100:FUO131108 GEK131100:GEK131108 GOG131100:GOG131108 GYC131100:GYC131108 HHY131100:HHY131108 HRU131100:HRU131108 IBQ131100:IBQ131108 ILM131100:ILM131108 IVI131100:IVI131108 JFE131100:JFE131108 JPA131100:JPA131108 JYW131100:JYW131108 KIS131100:KIS131108 KSO131100:KSO131108 LCK131100:LCK131108 LMG131100:LMG131108 LWC131100:LWC131108 MFY131100:MFY131108 MPU131100:MPU131108 MZQ131100:MZQ131108 NJM131100:NJM131108 NTI131100:NTI131108 ODE131100:ODE131108 ONA131100:ONA131108 OWW131100:OWW131108 PGS131100:PGS131108 PQO131100:PQO131108 QAK131100:QAK131108 QKG131100:QKG131108 QUC131100:QUC131108 RDY131100:RDY131108 RNU131100:RNU131108 RXQ131100:RXQ131108 SHM131100:SHM131108 SRI131100:SRI131108 TBE131100:TBE131108 TLA131100:TLA131108 TUW131100:TUW131108 UES131100:UES131108 UOO131100:UOO131108 UYK131100:UYK131108 VIG131100:VIG131108 VSC131100:VSC131108 WBY131100:WBY131108 WLU131100:WLU131108 WVQ131100:WVQ131108 D196626:D196634 JE196636:JE196644 TA196636:TA196644 ACW196636:ACW196644 AMS196636:AMS196644 AWO196636:AWO196644 BGK196636:BGK196644 BQG196636:BQG196644 CAC196636:CAC196644 CJY196636:CJY196644 CTU196636:CTU196644 DDQ196636:DDQ196644 DNM196636:DNM196644 DXI196636:DXI196644 EHE196636:EHE196644 ERA196636:ERA196644 FAW196636:FAW196644 FKS196636:FKS196644 FUO196636:FUO196644 GEK196636:GEK196644 GOG196636:GOG196644 GYC196636:GYC196644 HHY196636:HHY196644 HRU196636:HRU196644 IBQ196636:IBQ196644 ILM196636:ILM196644 IVI196636:IVI196644 JFE196636:JFE196644 JPA196636:JPA196644 JYW196636:JYW196644 KIS196636:KIS196644 KSO196636:KSO196644 LCK196636:LCK196644 LMG196636:LMG196644 LWC196636:LWC196644 MFY196636:MFY196644 MPU196636:MPU196644 MZQ196636:MZQ196644 NJM196636:NJM196644 NTI196636:NTI196644 ODE196636:ODE196644 ONA196636:ONA196644 OWW196636:OWW196644 PGS196636:PGS196644 PQO196636:PQO196644 QAK196636:QAK196644 QKG196636:QKG196644 QUC196636:QUC196644 RDY196636:RDY196644 RNU196636:RNU196644 RXQ196636:RXQ196644 SHM196636:SHM196644 SRI196636:SRI196644 TBE196636:TBE196644 TLA196636:TLA196644 TUW196636:TUW196644 UES196636:UES196644 UOO196636:UOO196644 UYK196636:UYK196644 VIG196636:VIG196644 VSC196636:VSC196644 WBY196636:WBY196644 WLU196636:WLU196644 WVQ196636:WVQ196644 D262162:D262170 JE262172:JE262180 TA262172:TA262180 ACW262172:ACW262180 AMS262172:AMS262180 AWO262172:AWO262180 BGK262172:BGK262180 BQG262172:BQG262180 CAC262172:CAC262180 CJY262172:CJY262180 CTU262172:CTU262180 DDQ262172:DDQ262180 DNM262172:DNM262180 DXI262172:DXI262180 EHE262172:EHE262180 ERA262172:ERA262180 FAW262172:FAW262180 FKS262172:FKS262180 FUO262172:FUO262180 GEK262172:GEK262180 GOG262172:GOG262180 GYC262172:GYC262180 HHY262172:HHY262180 HRU262172:HRU262180 IBQ262172:IBQ262180 ILM262172:ILM262180 IVI262172:IVI262180 JFE262172:JFE262180 JPA262172:JPA262180 JYW262172:JYW262180 KIS262172:KIS262180 KSO262172:KSO262180 LCK262172:LCK262180 LMG262172:LMG262180 LWC262172:LWC262180 MFY262172:MFY262180 MPU262172:MPU262180 MZQ262172:MZQ262180 NJM262172:NJM262180 NTI262172:NTI262180 ODE262172:ODE262180 ONA262172:ONA262180 OWW262172:OWW262180 PGS262172:PGS262180 PQO262172:PQO262180 QAK262172:QAK262180 QKG262172:QKG262180 QUC262172:QUC262180 RDY262172:RDY262180 RNU262172:RNU262180 RXQ262172:RXQ262180 SHM262172:SHM262180 SRI262172:SRI262180 TBE262172:TBE262180 TLA262172:TLA262180 TUW262172:TUW262180 UES262172:UES262180 UOO262172:UOO262180 UYK262172:UYK262180 VIG262172:VIG262180 VSC262172:VSC262180 WBY262172:WBY262180 WLU262172:WLU262180 WVQ262172:WVQ262180 D327698:D327706 JE327708:JE327716 TA327708:TA327716 ACW327708:ACW327716 AMS327708:AMS327716 AWO327708:AWO327716 BGK327708:BGK327716 BQG327708:BQG327716 CAC327708:CAC327716 CJY327708:CJY327716 CTU327708:CTU327716 DDQ327708:DDQ327716 DNM327708:DNM327716 DXI327708:DXI327716 EHE327708:EHE327716 ERA327708:ERA327716 FAW327708:FAW327716 FKS327708:FKS327716 FUO327708:FUO327716 GEK327708:GEK327716 GOG327708:GOG327716 GYC327708:GYC327716 HHY327708:HHY327716 HRU327708:HRU327716 IBQ327708:IBQ327716 ILM327708:ILM327716 IVI327708:IVI327716 JFE327708:JFE327716 JPA327708:JPA327716 JYW327708:JYW327716 KIS327708:KIS327716 KSO327708:KSO327716 LCK327708:LCK327716 LMG327708:LMG327716 LWC327708:LWC327716 MFY327708:MFY327716 MPU327708:MPU327716 MZQ327708:MZQ327716 NJM327708:NJM327716 NTI327708:NTI327716 ODE327708:ODE327716 ONA327708:ONA327716 OWW327708:OWW327716 PGS327708:PGS327716 PQO327708:PQO327716 QAK327708:QAK327716 QKG327708:QKG327716 QUC327708:QUC327716 RDY327708:RDY327716 RNU327708:RNU327716 RXQ327708:RXQ327716 SHM327708:SHM327716 SRI327708:SRI327716 TBE327708:TBE327716 TLA327708:TLA327716 TUW327708:TUW327716 UES327708:UES327716 UOO327708:UOO327716 UYK327708:UYK327716 VIG327708:VIG327716 VSC327708:VSC327716 WBY327708:WBY327716 WLU327708:WLU327716 WVQ327708:WVQ327716 D393234:D393242 JE393244:JE393252 TA393244:TA393252 ACW393244:ACW393252 AMS393244:AMS393252 AWO393244:AWO393252 BGK393244:BGK393252 BQG393244:BQG393252 CAC393244:CAC393252 CJY393244:CJY393252 CTU393244:CTU393252 DDQ393244:DDQ393252 DNM393244:DNM393252 DXI393244:DXI393252 EHE393244:EHE393252 ERA393244:ERA393252 FAW393244:FAW393252 FKS393244:FKS393252 FUO393244:FUO393252 GEK393244:GEK393252 GOG393244:GOG393252 GYC393244:GYC393252 HHY393244:HHY393252 HRU393244:HRU393252 IBQ393244:IBQ393252 ILM393244:ILM393252 IVI393244:IVI393252 JFE393244:JFE393252 JPA393244:JPA393252 JYW393244:JYW393252 KIS393244:KIS393252 KSO393244:KSO393252 LCK393244:LCK393252 LMG393244:LMG393252 LWC393244:LWC393252 MFY393244:MFY393252 MPU393244:MPU393252 MZQ393244:MZQ393252 NJM393244:NJM393252 NTI393244:NTI393252 ODE393244:ODE393252 ONA393244:ONA393252 OWW393244:OWW393252 PGS393244:PGS393252 PQO393244:PQO393252 QAK393244:QAK393252 QKG393244:QKG393252 QUC393244:QUC393252 RDY393244:RDY393252 RNU393244:RNU393252 RXQ393244:RXQ393252 SHM393244:SHM393252 SRI393244:SRI393252 TBE393244:TBE393252 TLA393244:TLA393252 TUW393244:TUW393252 UES393244:UES393252 UOO393244:UOO393252 UYK393244:UYK393252 VIG393244:VIG393252 VSC393244:VSC393252 WBY393244:WBY393252 WLU393244:WLU393252 WVQ393244:WVQ393252 D458770:D458778 JE458780:JE458788 TA458780:TA458788 ACW458780:ACW458788 AMS458780:AMS458788 AWO458780:AWO458788 BGK458780:BGK458788 BQG458780:BQG458788 CAC458780:CAC458788 CJY458780:CJY458788 CTU458780:CTU458788 DDQ458780:DDQ458788 DNM458780:DNM458788 DXI458780:DXI458788 EHE458780:EHE458788 ERA458780:ERA458788 FAW458780:FAW458788 FKS458780:FKS458788 FUO458780:FUO458788 GEK458780:GEK458788 GOG458780:GOG458788 GYC458780:GYC458788 HHY458780:HHY458788 HRU458780:HRU458788 IBQ458780:IBQ458788 ILM458780:ILM458788 IVI458780:IVI458788 JFE458780:JFE458788 JPA458780:JPA458788 JYW458780:JYW458788 KIS458780:KIS458788 KSO458780:KSO458788 LCK458780:LCK458788 LMG458780:LMG458788 LWC458780:LWC458788 MFY458780:MFY458788 MPU458780:MPU458788 MZQ458780:MZQ458788 NJM458780:NJM458788 NTI458780:NTI458788 ODE458780:ODE458788 ONA458780:ONA458788 OWW458780:OWW458788 PGS458780:PGS458788 PQO458780:PQO458788 QAK458780:QAK458788 QKG458780:QKG458788 QUC458780:QUC458788 RDY458780:RDY458788 RNU458780:RNU458788 RXQ458780:RXQ458788 SHM458780:SHM458788 SRI458780:SRI458788 TBE458780:TBE458788 TLA458780:TLA458788 TUW458780:TUW458788 UES458780:UES458788 UOO458780:UOO458788 UYK458780:UYK458788 VIG458780:VIG458788 VSC458780:VSC458788 WBY458780:WBY458788 WLU458780:WLU458788 WVQ458780:WVQ458788 D524306:D524314 JE524316:JE524324 TA524316:TA524324 ACW524316:ACW524324 AMS524316:AMS524324 AWO524316:AWO524324 BGK524316:BGK524324 BQG524316:BQG524324 CAC524316:CAC524324 CJY524316:CJY524324 CTU524316:CTU524324 DDQ524316:DDQ524324 DNM524316:DNM524324 DXI524316:DXI524324 EHE524316:EHE524324 ERA524316:ERA524324 FAW524316:FAW524324 FKS524316:FKS524324 FUO524316:FUO524324 GEK524316:GEK524324 GOG524316:GOG524324 GYC524316:GYC524324 HHY524316:HHY524324 HRU524316:HRU524324 IBQ524316:IBQ524324 ILM524316:ILM524324 IVI524316:IVI524324 JFE524316:JFE524324 JPA524316:JPA524324 JYW524316:JYW524324 KIS524316:KIS524324 KSO524316:KSO524324 LCK524316:LCK524324 LMG524316:LMG524324 LWC524316:LWC524324 MFY524316:MFY524324 MPU524316:MPU524324 MZQ524316:MZQ524324 NJM524316:NJM524324 NTI524316:NTI524324 ODE524316:ODE524324 ONA524316:ONA524324 OWW524316:OWW524324 PGS524316:PGS524324 PQO524316:PQO524324 QAK524316:QAK524324 QKG524316:QKG524324 QUC524316:QUC524324 RDY524316:RDY524324 RNU524316:RNU524324 RXQ524316:RXQ524324 SHM524316:SHM524324 SRI524316:SRI524324 TBE524316:TBE524324 TLA524316:TLA524324 TUW524316:TUW524324 UES524316:UES524324 UOO524316:UOO524324 UYK524316:UYK524324 VIG524316:VIG524324 VSC524316:VSC524324 WBY524316:WBY524324 WLU524316:WLU524324 WVQ524316:WVQ524324 D589842:D589850 JE589852:JE589860 TA589852:TA589860 ACW589852:ACW589860 AMS589852:AMS589860 AWO589852:AWO589860 BGK589852:BGK589860 BQG589852:BQG589860 CAC589852:CAC589860 CJY589852:CJY589860 CTU589852:CTU589860 DDQ589852:DDQ589860 DNM589852:DNM589860 DXI589852:DXI589860 EHE589852:EHE589860 ERA589852:ERA589860 FAW589852:FAW589860 FKS589852:FKS589860 FUO589852:FUO589860 GEK589852:GEK589860 GOG589852:GOG589860 GYC589852:GYC589860 HHY589852:HHY589860 HRU589852:HRU589860 IBQ589852:IBQ589860 ILM589852:ILM589860 IVI589852:IVI589860 JFE589852:JFE589860 JPA589852:JPA589860 JYW589852:JYW589860 KIS589852:KIS589860 KSO589852:KSO589860 LCK589852:LCK589860 LMG589852:LMG589860 LWC589852:LWC589860 MFY589852:MFY589860 MPU589852:MPU589860 MZQ589852:MZQ589860 NJM589852:NJM589860 NTI589852:NTI589860 ODE589852:ODE589860 ONA589852:ONA589860 OWW589852:OWW589860 PGS589852:PGS589860 PQO589852:PQO589860 QAK589852:QAK589860 QKG589852:QKG589860 QUC589852:QUC589860 RDY589852:RDY589860 RNU589852:RNU589860 RXQ589852:RXQ589860 SHM589852:SHM589860 SRI589852:SRI589860 TBE589852:TBE589860 TLA589852:TLA589860 TUW589852:TUW589860 UES589852:UES589860 UOO589852:UOO589860 UYK589852:UYK589860 VIG589852:VIG589860 VSC589852:VSC589860 WBY589852:WBY589860 WLU589852:WLU589860 WVQ589852:WVQ589860 D655378:D655386 JE655388:JE655396 TA655388:TA655396 ACW655388:ACW655396 AMS655388:AMS655396 AWO655388:AWO655396 BGK655388:BGK655396 BQG655388:BQG655396 CAC655388:CAC655396 CJY655388:CJY655396 CTU655388:CTU655396 DDQ655388:DDQ655396 DNM655388:DNM655396 DXI655388:DXI655396 EHE655388:EHE655396 ERA655388:ERA655396 FAW655388:FAW655396 FKS655388:FKS655396 FUO655388:FUO655396 GEK655388:GEK655396 GOG655388:GOG655396 GYC655388:GYC655396 HHY655388:HHY655396 HRU655388:HRU655396 IBQ655388:IBQ655396 ILM655388:ILM655396 IVI655388:IVI655396 JFE655388:JFE655396 JPA655388:JPA655396 JYW655388:JYW655396 KIS655388:KIS655396 KSO655388:KSO655396 LCK655388:LCK655396 LMG655388:LMG655396 LWC655388:LWC655396 MFY655388:MFY655396 MPU655388:MPU655396 MZQ655388:MZQ655396 NJM655388:NJM655396 NTI655388:NTI655396 ODE655388:ODE655396 ONA655388:ONA655396 OWW655388:OWW655396 PGS655388:PGS655396 PQO655388:PQO655396 QAK655388:QAK655396 QKG655388:QKG655396 QUC655388:QUC655396 RDY655388:RDY655396 RNU655388:RNU655396 RXQ655388:RXQ655396 SHM655388:SHM655396 SRI655388:SRI655396 TBE655388:TBE655396 TLA655388:TLA655396 TUW655388:TUW655396 UES655388:UES655396 UOO655388:UOO655396 UYK655388:UYK655396 VIG655388:VIG655396 VSC655388:VSC655396 WBY655388:WBY655396 WLU655388:WLU655396 WVQ655388:WVQ655396 D720914:D720922 JE720924:JE720932 TA720924:TA720932 ACW720924:ACW720932 AMS720924:AMS720932 AWO720924:AWO720932 BGK720924:BGK720932 BQG720924:BQG720932 CAC720924:CAC720932 CJY720924:CJY720932 CTU720924:CTU720932 DDQ720924:DDQ720932 DNM720924:DNM720932 DXI720924:DXI720932 EHE720924:EHE720932 ERA720924:ERA720932 FAW720924:FAW720932 FKS720924:FKS720932 FUO720924:FUO720932 GEK720924:GEK720932 GOG720924:GOG720932 GYC720924:GYC720932 HHY720924:HHY720932 HRU720924:HRU720932 IBQ720924:IBQ720932 ILM720924:ILM720932 IVI720924:IVI720932 JFE720924:JFE720932 JPA720924:JPA720932 JYW720924:JYW720932 KIS720924:KIS720932 KSO720924:KSO720932 LCK720924:LCK720932 LMG720924:LMG720932 LWC720924:LWC720932 MFY720924:MFY720932 MPU720924:MPU720932 MZQ720924:MZQ720932 NJM720924:NJM720932 NTI720924:NTI720932 ODE720924:ODE720932 ONA720924:ONA720932 OWW720924:OWW720932 PGS720924:PGS720932 PQO720924:PQO720932 QAK720924:QAK720932 QKG720924:QKG720932 QUC720924:QUC720932 RDY720924:RDY720932 RNU720924:RNU720932 RXQ720924:RXQ720932 SHM720924:SHM720932 SRI720924:SRI720932 TBE720924:TBE720932 TLA720924:TLA720932 TUW720924:TUW720932 UES720924:UES720932 UOO720924:UOO720932 UYK720924:UYK720932 VIG720924:VIG720932 VSC720924:VSC720932 WBY720924:WBY720932 WLU720924:WLU720932 WVQ720924:WVQ720932 D786450:D786458 JE786460:JE786468 TA786460:TA786468 ACW786460:ACW786468 AMS786460:AMS786468 AWO786460:AWO786468 BGK786460:BGK786468 BQG786460:BQG786468 CAC786460:CAC786468 CJY786460:CJY786468 CTU786460:CTU786468 DDQ786460:DDQ786468 DNM786460:DNM786468 DXI786460:DXI786468 EHE786460:EHE786468 ERA786460:ERA786468 FAW786460:FAW786468 FKS786460:FKS786468 FUO786460:FUO786468 GEK786460:GEK786468 GOG786460:GOG786468 GYC786460:GYC786468 HHY786460:HHY786468 HRU786460:HRU786468 IBQ786460:IBQ786468 ILM786460:ILM786468 IVI786460:IVI786468 JFE786460:JFE786468 JPA786460:JPA786468 JYW786460:JYW786468 KIS786460:KIS786468 KSO786460:KSO786468 LCK786460:LCK786468 LMG786460:LMG786468 LWC786460:LWC786468 MFY786460:MFY786468 MPU786460:MPU786468 MZQ786460:MZQ786468 NJM786460:NJM786468 NTI786460:NTI786468 ODE786460:ODE786468 ONA786460:ONA786468 OWW786460:OWW786468 PGS786460:PGS786468 PQO786460:PQO786468 QAK786460:QAK786468 QKG786460:QKG786468 QUC786460:QUC786468 RDY786460:RDY786468 RNU786460:RNU786468 RXQ786460:RXQ786468 SHM786460:SHM786468 SRI786460:SRI786468 TBE786460:TBE786468 TLA786460:TLA786468 TUW786460:TUW786468 UES786460:UES786468 UOO786460:UOO786468 UYK786460:UYK786468 VIG786460:VIG786468 VSC786460:VSC786468 WBY786460:WBY786468 WLU786460:WLU786468 WVQ786460:WVQ786468 D851986:D851994 JE851996:JE852004 TA851996:TA852004 ACW851996:ACW852004 AMS851996:AMS852004 AWO851996:AWO852004 BGK851996:BGK852004 BQG851996:BQG852004 CAC851996:CAC852004 CJY851996:CJY852004 CTU851996:CTU852004 DDQ851996:DDQ852004 DNM851996:DNM852004 DXI851996:DXI852004 EHE851996:EHE852004 ERA851996:ERA852004 FAW851996:FAW852004 FKS851996:FKS852004 FUO851996:FUO852004 GEK851996:GEK852004 GOG851996:GOG852004 GYC851996:GYC852004 HHY851996:HHY852004 HRU851996:HRU852004 IBQ851996:IBQ852004 ILM851996:ILM852004 IVI851996:IVI852004 JFE851996:JFE852004 JPA851996:JPA852004 JYW851996:JYW852004 KIS851996:KIS852004 KSO851996:KSO852004 LCK851996:LCK852004 LMG851996:LMG852004 LWC851996:LWC852004 MFY851996:MFY852004 MPU851996:MPU852004 MZQ851996:MZQ852004 NJM851996:NJM852004 NTI851996:NTI852004 ODE851996:ODE852004 ONA851996:ONA852004 OWW851996:OWW852004 PGS851996:PGS852004 PQO851996:PQO852004 QAK851996:QAK852004 QKG851996:QKG852004 QUC851996:QUC852004 RDY851996:RDY852004 RNU851996:RNU852004 RXQ851996:RXQ852004 SHM851996:SHM852004 SRI851996:SRI852004 TBE851996:TBE852004 TLA851996:TLA852004 TUW851996:TUW852004 UES851996:UES852004 UOO851996:UOO852004 UYK851996:UYK852004 VIG851996:VIG852004 VSC851996:VSC852004 WBY851996:WBY852004 WLU851996:WLU852004 WVQ851996:WVQ852004 D917522:D917530 JE917532:JE917540 TA917532:TA917540 ACW917532:ACW917540 AMS917532:AMS917540 AWO917532:AWO917540 BGK917532:BGK917540 BQG917532:BQG917540 CAC917532:CAC917540 CJY917532:CJY917540 CTU917532:CTU917540 DDQ917532:DDQ917540 DNM917532:DNM917540 DXI917532:DXI917540 EHE917532:EHE917540 ERA917532:ERA917540 FAW917532:FAW917540 FKS917532:FKS917540 FUO917532:FUO917540 GEK917532:GEK917540 GOG917532:GOG917540 GYC917532:GYC917540 HHY917532:HHY917540 HRU917532:HRU917540 IBQ917532:IBQ917540 ILM917532:ILM917540 IVI917532:IVI917540 JFE917532:JFE917540 JPA917532:JPA917540 JYW917532:JYW917540 KIS917532:KIS917540 KSO917532:KSO917540 LCK917532:LCK917540 LMG917532:LMG917540 LWC917532:LWC917540 MFY917532:MFY917540 MPU917532:MPU917540 MZQ917532:MZQ917540 NJM917532:NJM917540 NTI917532:NTI917540 ODE917532:ODE917540 ONA917532:ONA917540 OWW917532:OWW917540 PGS917532:PGS917540 PQO917532:PQO917540 QAK917532:QAK917540 QKG917532:QKG917540 QUC917532:QUC917540 RDY917532:RDY917540 RNU917532:RNU917540 RXQ917532:RXQ917540 SHM917532:SHM917540 SRI917532:SRI917540 TBE917532:TBE917540 TLA917532:TLA917540 TUW917532:TUW917540 UES917532:UES917540 UOO917532:UOO917540 UYK917532:UYK917540 VIG917532:VIG917540 VSC917532:VSC917540 WBY917532:WBY917540 WLU917532:WLU917540 WVQ917532:WVQ917540 D983058:D983066 JE983068:JE983076 TA983068:TA983076 ACW983068:ACW983076 AMS983068:AMS983076 AWO983068:AWO983076 BGK983068:BGK983076 BQG983068:BQG983076 CAC983068:CAC983076 CJY983068:CJY983076 CTU983068:CTU983076 DDQ983068:DDQ983076 DNM983068:DNM983076 DXI983068:DXI983076 EHE983068:EHE983076 ERA983068:ERA983076 FAW983068:FAW983076 FKS983068:FKS983076 FUO983068:FUO983076 GEK983068:GEK983076 GOG983068:GOG983076 GYC983068:GYC983076 HHY983068:HHY983076 HRU983068:HRU983076 IBQ983068:IBQ983076 ILM983068:ILM983076 IVI983068:IVI983076 JFE983068:JFE983076 JPA983068:JPA983076 JYW983068:JYW983076 KIS983068:KIS983076 KSO983068:KSO983076 LCK983068:LCK983076 LMG983068:LMG983076 LWC983068:LWC983076 MFY983068:MFY983076 MPU983068:MPU983076 MZQ983068:MZQ983076 NJM983068:NJM983076 NTI983068:NTI983076 ODE983068:ODE983076 ONA983068:ONA983076 OWW983068:OWW983076 PGS983068:PGS983076 PQO983068:PQO983076 QAK983068:QAK983076 QKG983068:QKG983076 QUC983068:QUC983076 RDY983068:RDY983076 RNU983068:RNU983076 RXQ983068:RXQ983076 SHM983068:SHM983076 SRI983068:SRI983076 TBE983068:TBE983076 TLA983068:TLA983076 TUW983068:TUW983076 UES983068:UES983076 UOO983068:UOO983076 UYK983068:UYK983076 VIG983068:VIG983076 VSC983068:VSC983076 WBY983068:WBY983076 WLU983068:WLU983076 WVQ23:WVQ34 WLU23:WLU34 WBY23:WBY34 VSC23:VSC34 VIG23:VIG34 UYK23:UYK34 UOO23:UOO34 UES23:UES34 TUW23:TUW34 TLA23:TLA34 TBE23:TBE34 SRI23:SRI34 SHM23:SHM34 RXQ23:RXQ34 RNU23:RNU34 RDY23:RDY34 QUC23:QUC34 QKG23:QKG34 QAK23:QAK34 PQO23:PQO34 PGS23:PGS34 OWW23:OWW34 ONA23:ONA34 ODE23:ODE34 NTI23:NTI34 NJM23:NJM34 MZQ23:MZQ34 MPU23:MPU34 MFY23:MFY34 LWC23:LWC34 LMG23:LMG34 LCK23:LCK34 KSO23:KSO34 KIS23:KIS34 JYW23:JYW34 JPA23:JPA34 JFE23:JFE34 IVI23:IVI34 ILM23:ILM34 IBQ23:IBQ34 HRU23:HRU34 HHY23:HHY34 GYC23:GYC34 GOG23:GOG34 GEK23:GEK34 FUO23:FUO34 FKS23:FKS34 FAW23:FAW34 ERA23:ERA34 EHE23:EHE34 DXI23:DXI34 DNM23:DNM34 DDQ23:DDQ34 CTU23:CTU34 CJY23:CJY34 CAC23:CAC34 BQG23:BQG34 BGK23:BGK34 AWO23:AWO34 AMS23:AMS34 ACW23:ACW34 TA23:TA34 JE23:JE34" xr:uid="{00000000-0002-0000-2900-000004000000}">
      <formula1>"　,あり,なし"</formula1>
    </dataValidation>
    <dataValidation type="list" errorStyle="warning" showInputMessage="1" showErrorMessage="1" sqref="E22" xr:uid="{00000000-0002-0000-2900-000005000000}">
      <formula1>$M$4:$M$17</formula1>
    </dataValidation>
    <dataValidation type="list" showInputMessage="1" showErrorMessage="1" sqref="E31" xr:uid="{00000000-0002-0000-2900-000006000000}">
      <formula1>$U$4:$U$14</formula1>
    </dataValidation>
  </dataValidations>
  <pageMargins left="0.7" right="0.7" top="0.75" bottom="0.75" header="0.3" footer="0.3"/>
  <pageSetup paperSize="9" scale="67"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3BEF4-59CA-47CA-A00C-01FFC7CB1ABF}">
  <sheetPr>
    <tabColor theme="1"/>
  </sheetPr>
  <dimension ref="A1"/>
  <sheetViews>
    <sheetView workbookViewId="0"/>
  </sheetViews>
  <sheetFormatPr defaultRowHeight="13"/>
  <sheetData/>
  <sheetProtection algorithmName="SHA-512" hashValue="6+5qMSqgPatFMNzyChOoGzV61ounxXaLdioW5EOE9xMhxAv70pGaUwGkiuuR2KTIx2O44jNvil7hfroeog1iRg==" saltValue="V3f+DL9CcrE4H0o3lZk2hA==" spinCount="100000" sheet="1" objects="1" scenarios="1"/>
  <phoneticPr fontId="3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6" tint="0.59999389629810485"/>
  </sheetPr>
  <dimension ref="A1:AT118"/>
  <sheetViews>
    <sheetView view="pageBreakPreview" zoomScale="55" zoomScaleNormal="70" zoomScaleSheetLayoutView="55" workbookViewId="0">
      <selection activeCell="D7" sqref="D7:E7"/>
    </sheetView>
  </sheetViews>
  <sheetFormatPr defaultColWidth="8.90625" defaultRowHeight="16.5" outlineLevelCol="1"/>
  <cols>
    <col min="1" max="1" width="8.90625" style="390"/>
    <col min="2" max="3" width="11.90625" style="390" customWidth="1"/>
    <col min="4" max="15" width="16.6328125" style="390" customWidth="1"/>
    <col min="16" max="16" width="18.36328125" style="390" customWidth="1"/>
    <col min="17" max="23" width="16.6328125" style="390" customWidth="1"/>
    <col min="24" max="26" width="15.6328125" style="390" hidden="1" customWidth="1" outlineLevel="1"/>
    <col min="27" max="27" width="10.08984375" style="390" hidden="1" customWidth="1" outlineLevel="1"/>
    <col min="28" max="45" width="8.90625" style="390" hidden="1" customWidth="1" outlineLevel="1"/>
    <col min="46" max="46" width="8.90625" style="390" collapsed="1"/>
    <col min="47" max="16384" width="8.90625" style="390"/>
  </cols>
  <sheetData>
    <row r="1" spans="1:45" ht="20.149999999999999" customHeight="1" thickBot="1">
      <c r="A1" s="522" t="str">
        <f ca="1">RIGHT(CELL("filename",A3),LEN(CELL("filename",A3))-FIND("]",CELL("filename",A3)))</f>
        <v>入力（加算）認</v>
      </c>
      <c r="B1" s="389"/>
      <c r="C1" s="389"/>
      <c r="D1" s="389"/>
      <c r="E1" s="389"/>
      <c r="F1" s="389"/>
      <c r="G1" s="389"/>
      <c r="H1" s="389"/>
      <c r="I1" s="389"/>
      <c r="J1" s="389"/>
      <c r="K1" s="389"/>
      <c r="L1" s="389"/>
      <c r="M1" s="389"/>
      <c r="N1" s="389"/>
      <c r="O1" s="389"/>
      <c r="P1" s="389"/>
      <c r="Q1" s="389"/>
      <c r="R1" s="389"/>
      <c r="S1" s="389"/>
      <c r="T1" s="1136" t="e">
        <f>CONCATENATE(#REF!,"/",#REF!,"/",#REF!)</f>
        <v>#REF!</v>
      </c>
      <c r="U1" s="1136"/>
      <c r="V1" s="1136"/>
      <c r="W1" s="1136"/>
      <c r="X1" s="389"/>
      <c r="AD1" s="394" t="s">
        <v>66</v>
      </c>
      <c r="AE1" s="524" t="s">
        <v>84</v>
      </c>
      <c r="AF1" s="393" t="s">
        <v>82</v>
      </c>
      <c r="AG1" s="394" t="s">
        <v>81</v>
      </c>
      <c r="AH1" s="393" t="s">
        <v>80</v>
      </c>
      <c r="AI1" s="393" t="s">
        <v>102</v>
      </c>
      <c r="AJ1" s="394" t="s">
        <v>78</v>
      </c>
      <c r="AK1" s="1094" t="s">
        <v>79</v>
      </c>
      <c r="AL1" s="1095"/>
      <c r="AM1" s="394" t="s">
        <v>103</v>
      </c>
      <c r="AN1" s="394" t="s">
        <v>104</v>
      </c>
      <c r="AO1" s="1087" t="s">
        <v>88</v>
      </c>
      <c r="AP1" s="1088"/>
      <c r="AQ1" s="393" t="s">
        <v>133</v>
      </c>
      <c r="AR1" s="394" t="s">
        <v>164</v>
      </c>
      <c r="AS1" s="394" t="s">
        <v>143</v>
      </c>
    </row>
    <row r="2" spans="1:45" ht="19.5" customHeight="1" thickBot="1">
      <c r="A2" s="522"/>
      <c r="B2" s="1104" t="s">
        <v>437</v>
      </c>
      <c r="C2" s="1104"/>
      <c r="D2" s="1104"/>
      <c r="E2" s="1104"/>
      <c r="F2" s="1104"/>
      <c r="G2" s="1104"/>
      <c r="H2" s="1104"/>
      <c r="I2" s="1104"/>
      <c r="J2" s="1104"/>
      <c r="K2" s="1104"/>
      <c r="L2" s="1104"/>
      <c r="M2" s="1104"/>
      <c r="N2" s="1104"/>
      <c r="O2" s="1104"/>
      <c r="P2" s="1104"/>
      <c r="Q2" s="1104"/>
      <c r="R2" s="1104"/>
      <c r="S2" s="1104"/>
      <c r="T2" s="1104"/>
      <c r="U2" s="1104"/>
      <c r="V2" s="523"/>
      <c r="W2" s="523"/>
      <c r="X2" s="389"/>
      <c r="AD2" s="526"/>
      <c r="AE2" s="580">
        <f>IF(ISERROR(VLOOKUP($J$12,$AD$3:$AE$14,2,FALSE)+1-VLOOKUP($J$11,$AD$3:$AE$14,2,FALSE)),0,VLOOKUP($J$12,$AD$3:$AE$14,2,FALSE)+1-VLOOKUP($J$11,$AD$3:$AE$14,2,FALSE))</f>
        <v>0</v>
      </c>
      <c r="AF2" s="393"/>
      <c r="AG2" s="394"/>
      <c r="AH2" s="393"/>
      <c r="AI2" s="581">
        <f>SUM(D7,D8,D11)</f>
        <v>0</v>
      </c>
      <c r="AJ2" s="394"/>
      <c r="AK2" s="394"/>
      <c r="AL2" s="394"/>
      <c r="AM2" s="394"/>
      <c r="AN2" s="394"/>
      <c r="AO2" s="394">
        <v>1</v>
      </c>
      <c r="AP2" s="394">
        <v>1</v>
      </c>
      <c r="AQ2" s="393"/>
      <c r="AR2" s="394">
        <f>IF(G23="あり",VLOOKUP($D$7,#REF!,61,TRUE),1)</f>
        <v>1</v>
      </c>
      <c r="AS2" s="394"/>
    </row>
    <row r="3" spans="1:45" ht="33" customHeight="1">
      <c r="A3" s="389"/>
      <c r="B3" s="1104"/>
      <c r="C3" s="1104"/>
      <c r="D3" s="1104"/>
      <c r="E3" s="1104"/>
      <c r="F3" s="1104"/>
      <c r="G3" s="1104"/>
      <c r="H3" s="1104"/>
      <c r="I3" s="1104"/>
      <c r="J3" s="1104"/>
      <c r="K3" s="1104"/>
      <c r="L3" s="1104"/>
      <c r="M3" s="1104"/>
      <c r="N3" s="1104"/>
      <c r="O3" s="1104"/>
      <c r="P3" s="1104"/>
      <c r="Q3" s="1104"/>
      <c r="R3" s="1104"/>
      <c r="S3" s="1104"/>
      <c r="T3" s="1104"/>
      <c r="U3" s="1104"/>
      <c r="V3" s="389"/>
      <c r="W3" s="389"/>
      <c r="X3" s="389"/>
      <c r="AD3" s="391">
        <v>4</v>
      </c>
      <c r="AE3" s="392">
        <v>1</v>
      </c>
      <c r="AF3" s="393" t="s">
        <v>18</v>
      </c>
      <c r="AG3" s="1">
        <v>3</v>
      </c>
      <c r="AH3" s="2">
        <v>6.3</v>
      </c>
      <c r="AI3" s="20"/>
      <c r="AJ3" s="394" t="s">
        <v>19</v>
      </c>
      <c r="AK3" s="395" t="s">
        <v>87</v>
      </c>
      <c r="AL3" s="395"/>
      <c r="AM3" s="394" t="s">
        <v>19</v>
      </c>
      <c r="AN3" s="390" t="s">
        <v>106</v>
      </c>
      <c r="AO3" s="394">
        <v>46</v>
      </c>
      <c r="AP3" s="394">
        <v>2</v>
      </c>
      <c r="AQ3" s="2" t="s">
        <v>87</v>
      </c>
      <c r="AR3" s="394">
        <f>IF(Q27="あり",VLOOKUP($D$7,#REF!,69,TRUE),1)</f>
        <v>1</v>
      </c>
      <c r="AS3" s="394" t="s">
        <v>141</v>
      </c>
    </row>
    <row r="4" spans="1:45" ht="20.149999999999999" customHeight="1">
      <c r="A4" s="389"/>
      <c r="B4" s="1092" t="s">
        <v>398</v>
      </c>
      <c r="C4" s="1092"/>
      <c r="D4" s="1092"/>
      <c r="E4" s="389"/>
      <c r="F4" s="690"/>
      <c r="G4" s="690"/>
      <c r="H4" s="690"/>
      <c r="I4" s="690"/>
      <c r="J4" s="690"/>
      <c r="K4" s="690"/>
      <c r="L4" s="690"/>
      <c r="M4" s="690"/>
      <c r="N4" s="690"/>
      <c r="O4" s="690"/>
      <c r="P4" s="690"/>
      <c r="Q4" s="582" t="s">
        <v>56</v>
      </c>
      <c r="R4" s="389"/>
      <c r="S4" s="389"/>
      <c r="T4" s="389"/>
      <c r="U4" s="389"/>
      <c r="V4" s="389"/>
      <c r="W4" s="389"/>
      <c r="AD4" s="391">
        <v>5</v>
      </c>
      <c r="AE4" s="392">
        <v>2</v>
      </c>
      <c r="AF4" s="393" t="s">
        <v>110</v>
      </c>
      <c r="AG4" s="1">
        <v>4</v>
      </c>
      <c r="AH4" s="2">
        <v>4.3</v>
      </c>
      <c r="AI4" s="21"/>
      <c r="AJ4" s="394" t="s">
        <v>76</v>
      </c>
      <c r="AK4" s="395">
        <v>1</v>
      </c>
      <c r="AL4" s="395">
        <v>1</v>
      </c>
      <c r="AM4" s="394">
        <v>1</v>
      </c>
      <c r="AN4" s="395">
        <v>0.5</v>
      </c>
      <c r="AO4" s="583">
        <v>151</v>
      </c>
      <c r="AP4" s="395">
        <v>3</v>
      </c>
      <c r="AQ4" s="2" t="s">
        <v>135</v>
      </c>
      <c r="AS4" s="394" t="s">
        <v>144</v>
      </c>
    </row>
    <row r="5" spans="1:45" ht="31.5" customHeight="1">
      <c r="A5" s="389"/>
      <c r="B5" s="1145" t="s">
        <v>3</v>
      </c>
      <c r="C5" s="1145"/>
      <c r="D5" s="1159"/>
      <c r="E5" s="1160"/>
      <c r="F5" s="690"/>
      <c r="G5" s="690"/>
      <c r="H5" s="690"/>
      <c r="I5" s="690"/>
      <c r="J5" s="690"/>
      <c r="K5" s="690"/>
      <c r="L5" s="690"/>
      <c r="M5" s="690"/>
      <c r="N5" s="690"/>
      <c r="O5" s="690"/>
      <c r="P5" s="690"/>
      <c r="Q5" s="535" t="s">
        <v>57</v>
      </c>
      <c r="R5" s="389" t="s">
        <v>54</v>
      </c>
      <c r="S5" s="389"/>
      <c r="T5" s="389"/>
      <c r="U5" s="389"/>
      <c r="V5" s="389"/>
      <c r="W5" s="389"/>
      <c r="AD5" s="391">
        <v>6</v>
      </c>
      <c r="AE5" s="392">
        <v>3</v>
      </c>
      <c r="AG5" s="3">
        <v>5</v>
      </c>
      <c r="AH5" s="4">
        <v>2.4</v>
      </c>
      <c r="AI5" s="22"/>
      <c r="AJ5" s="394" t="s">
        <v>77</v>
      </c>
      <c r="AK5" s="395" t="e">
        <f t="shared" ref="AK5:AK16" si="0">IF($L$19&gt;=AL5,AL5,"")</f>
        <v>#N/A</v>
      </c>
      <c r="AL5" s="395">
        <v>2</v>
      </c>
      <c r="AM5" s="394">
        <v>2</v>
      </c>
      <c r="AN5" s="395">
        <v>1</v>
      </c>
      <c r="AO5" s="583">
        <v>241</v>
      </c>
      <c r="AP5" s="583">
        <v>3.5</v>
      </c>
      <c r="AQ5" s="4" t="s">
        <v>136</v>
      </c>
      <c r="AS5" s="394" t="s">
        <v>142</v>
      </c>
    </row>
    <row r="6" spans="1:45" ht="31.5" customHeight="1">
      <c r="A6" s="389"/>
      <c r="B6" s="1145" t="s">
        <v>4</v>
      </c>
      <c r="C6" s="1145"/>
      <c r="D6" s="1161" t="s">
        <v>21</v>
      </c>
      <c r="E6" s="1161"/>
      <c r="F6" s="690"/>
      <c r="G6" s="690"/>
      <c r="H6" s="690"/>
      <c r="I6" s="690"/>
      <c r="J6" s="690"/>
      <c r="K6" s="690"/>
      <c r="L6" s="690"/>
      <c r="M6" s="690"/>
      <c r="N6" s="690"/>
      <c r="O6" s="690"/>
      <c r="P6" s="690"/>
      <c r="Q6" s="536" t="s">
        <v>58</v>
      </c>
      <c r="R6" s="525" t="s">
        <v>59</v>
      </c>
      <c r="S6" s="389"/>
      <c r="T6" s="389"/>
      <c r="U6" s="389"/>
      <c r="V6" s="389"/>
      <c r="W6" s="389"/>
      <c r="AD6" s="391">
        <v>7</v>
      </c>
      <c r="AE6" s="392">
        <v>4</v>
      </c>
      <c r="AG6" s="1">
        <v>6</v>
      </c>
      <c r="AH6" s="2">
        <v>1.1000000000000001</v>
      </c>
      <c r="AI6" s="21"/>
      <c r="AJ6" s="394"/>
      <c r="AK6" s="395" t="e">
        <f t="shared" si="0"/>
        <v>#N/A</v>
      </c>
      <c r="AL6" s="395">
        <v>3</v>
      </c>
      <c r="AM6" s="394">
        <v>3</v>
      </c>
      <c r="AN6" s="395">
        <v>1.5</v>
      </c>
      <c r="AO6" s="394">
        <v>271</v>
      </c>
      <c r="AP6" s="394">
        <v>5</v>
      </c>
      <c r="AQ6" s="4" t="s">
        <v>137</v>
      </c>
    </row>
    <row r="7" spans="1:45" ht="31.5" customHeight="1">
      <c r="A7" s="389"/>
      <c r="B7" s="1138" t="s">
        <v>100</v>
      </c>
      <c r="C7" s="819" t="s">
        <v>73</v>
      </c>
      <c r="D7" s="1162"/>
      <c r="E7" s="1162"/>
      <c r="F7" s="690"/>
      <c r="G7" s="690"/>
      <c r="H7" s="690"/>
      <c r="I7" s="690"/>
      <c r="J7" s="690"/>
      <c r="K7" s="690"/>
      <c r="L7" s="690"/>
      <c r="M7" s="690"/>
      <c r="N7" s="690"/>
      <c r="O7" s="690"/>
      <c r="P7" s="690"/>
      <c r="Q7" s="389"/>
      <c r="R7" s="389"/>
      <c r="S7" s="389"/>
      <c r="T7" s="389"/>
      <c r="U7" s="389"/>
      <c r="V7" s="389"/>
      <c r="W7" s="389"/>
      <c r="AD7" s="391">
        <v>8</v>
      </c>
      <c r="AE7" s="392">
        <v>5</v>
      </c>
      <c r="AJ7" s="394"/>
      <c r="AK7" s="395" t="e">
        <f t="shared" si="0"/>
        <v>#N/A</v>
      </c>
      <c r="AL7" s="395">
        <v>3.5</v>
      </c>
      <c r="AM7" s="394">
        <v>4</v>
      </c>
      <c r="AN7" s="395">
        <v>2</v>
      </c>
      <c r="AO7" s="394">
        <v>301</v>
      </c>
      <c r="AP7" s="394">
        <v>6</v>
      </c>
      <c r="AQ7" s="4" t="s">
        <v>138</v>
      </c>
    </row>
    <row r="8" spans="1:45" ht="31.5" customHeight="1">
      <c r="A8" s="389"/>
      <c r="B8" s="1138"/>
      <c r="C8" s="819" t="s">
        <v>90</v>
      </c>
      <c r="D8" s="1162"/>
      <c r="E8" s="1162"/>
      <c r="F8" s="690"/>
      <c r="G8" s="690"/>
      <c r="H8" s="690"/>
      <c r="I8" s="690"/>
      <c r="J8" s="690"/>
      <c r="K8" s="690"/>
      <c r="L8" s="690"/>
      <c r="M8" s="690"/>
      <c r="N8" s="690"/>
      <c r="O8" s="690"/>
      <c r="P8" s="690"/>
      <c r="Q8" s="389"/>
      <c r="R8" s="389"/>
      <c r="S8" s="389"/>
      <c r="T8" s="389"/>
      <c r="U8" s="389"/>
      <c r="V8" s="389"/>
      <c r="W8" s="389"/>
      <c r="AD8" s="391">
        <v>9</v>
      </c>
      <c r="AE8" s="392">
        <v>6</v>
      </c>
      <c r="AJ8" s="394"/>
      <c r="AK8" s="395" t="e">
        <f t="shared" si="0"/>
        <v>#N/A</v>
      </c>
      <c r="AL8" s="395">
        <v>4</v>
      </c>
      <c r="AM8" s="394">
        <v>5</v>
      </c>
      <c r="AN8" s="395">
        <v>2.5</v>
      </c>
      <c r="AO8" s="394">
        <v>451</v>
      </c>
      <c r="AP8" s="394">
        <v>8</v>
      </c>
    </row>
    <row r="9" spans="1:45" ht="31.5" customHeight="1">
      <c r="A9" s="389"/>
      <c r="B9" s="1138"/>
      <c r="C9" s="819" t="s">
        <v>91</v>
      </c>
      <c r="D9" s="1162"/>
      <c r="E9" s="1162"/>
      <c r="F9" s="690"/>
      <c r="G9" s="690"/>
      <c r="H9" s="690"/>
      <c r="I9" s="690"/>
      <c r="J9" s="690"/>
      <c r="K9" s="690"/>
      <c r="L9" s="690"/>
      <c r="M9" s="690"/>
      <c r="N9" s="690"/>
      <c r="O9" s="690"/>
      <c r="P9" s="690"/>
      <c r="Q9" s="389"/>
      <c r="R9" s="389"/>
      <c r="S9" s="389"/>
      <c r="T9" s="389"/>
      <c r="U9" s="389"/>
      <c r="V9" s="389"/>
      <c r="W9" s="389"/>
      <c r="AD9" s="391">
        <v>10</v>
      </c>
      <c r="AE9" s="392">
        <v>7</v>
      </c>
      <c r="AJ9" s="394"/>
      <c r="AK9" s="395" t="e">
        <f t="shared" si="0"/>
        <v>#N/A</v>
      </c>
      <c r="AL9" s="395">
        <v>4.5</v>
      </c>
      <c r="AN9" s="395">
        <v>3</v>
      </c>
    </row>
    <row r="10" spans="1:45" ht="31.5" customHeight="1">
      <c r="A10" s="389"/>
      <c r="B10" s="1138"/>
      <c r="C10" s="819" t="s">
        <v>99</v>
      </c>
      <c r="D10" s="1163">
        <f>SUM(D7:F9)</f>
        <v>0</v>
      </c>
      <c r="E10" s="1163"/>
      <c r="F10" s="690"/>
      <c r="G10" s="690"/>
      <c r="H10" s="690"/>
      <c r="I10" s="690"/>
      <c r="J10" s="690"/>
      <c r="K10" s="690"/>
      <c r="L10" s="690"/>
      <c r="M10" s="690"/>
      <c r="N10" s="690"/>
      <c r="O10" s="690"/>
      <c r="P10" s="690"/>
      <c r="Q10" s="389"/>
      <c r="R10" s="389"/>
      <c r="S10" s="389"/>
      <c r="T10" s="389"/>
      <c r="U10" s="389"/>
      <c r="V10" s="389"/>
      <c r="W10" s="389"/>
      <c r="AD10" s="391">
        <v>11</v>
      </c>
      <c r="AE10" s="392">
        <v>8</v>
      </c>
      <c r="AJ10" s="394"/>
      <c r="AK10" s="395" t="e">
        <f t="shared" si="0"/>
        <v>#N/A</v>
      </c>
      <c r="AL10" s="395">
        <v>5</v>
      </c>
      <c r="AN10" s="395">
        <v>3.5</v>
      </c>
    </row>
    <row r="11" spans="1:45" ht="31.5" customHeight="1">
      <c r="A11" s="389"/>
      <c r="B11" s="1138" t="s">
        <v>101</v>
      </c>
      <c r="C11" s="819" t="s">
        <v>90</v>
      </c>
      <c r="D11" s="1164"/>
      <c r="E11" s="1164"/>
      <c r="F11" s="690"/>
      <c r="G11" s="690"/>
      <c r="H11" s="690"/>
      <c r="I11" s="690"/>
      <c r="J11" s="690"/>
      <c r="K11" s="690"/>
      <c r="L11" s="690"/>
      <c r="M11" s="690"/>
      <c r="N11" s="690"/>
      <c r="O11" s="690"/>
      <c r="P11" s="690"/>
      <c r="Q11" s="389"/>
      <c r="R11" s="389"/>
      <c r="S11" s="389"/>
      <c r="T11" s="389"/>
      <c r="U11" s="389"/>
      <c r="V11" s="389"/>
      <c r="W11" s="389"/>
      <c r="AD11" s="391">
        <v>12</v>
      </c>
      <c r="AE11" s="392">
        <v>9</v>
      </c>
      <c r="AK11" s="395" t="e">
        <f t="shared" si="0"/>
        <v>#N/A</v>
      </c>
      <c r="AL11" s="395">
        <v>5.5</v>
      </c>
      <c r="AN11" s="395">
        <v>4</v>
      </c>
    </row>
    <row r="12" spans="1:45" ht="31.5" customHeight="1">
      <c r="A12" s="389"/>
      <c r="B12" s="1145"/>
      <c r="C12" s="819" t="s">
        <v>91</v>
      </c>
      <c r="D12" s="1162"/>
      <c r="E12" s="1162"/>
      <c r="F12" s="690"/>
      <c r="G12" s="690"/>
      <c r="H12" s="690"/>
      <c r="I12" s="690"/>
      <c r="J12" s="690"/>
      <c r="K12" s="690"/>
      <c r="L12" s="690"/>
      <c r="M12" s="690"/>
      <c r="N12" s="690"/>
      <c r="O12" s="690"/>
      <c r="P12" s="690"/>
      <c r="Q12" s="389"/>
      <c r="R12" s="389"/>
      <c r="S12" s="389"/>
      <c r="T12" s="389"/>
      <c r="U12" s="389"/>
      <c r="V12" s="389"/>
      <c r="W12" s="389"/>
      <c r="AD12" s="391">
        <v>1</v>
      </c>
      <c r="AE12" s="392">
        <v>10</v>
      </c>
      <c r="AK12" s="395" t="e">
        <f t="shared" si="0"/>
        <v>#N/A</v>
      </c>
      <c r="AL12" s="395">
        <v>6</v>
      </c>
      <c r="AN12" s="395">
        <v>4.5</v>
      </c>
    </row>
    <row r="13" spans="1:45" ht="31.5" customHeight="1">
      <c r="A13" s="389"/>
      <c r="B13" s="1145"/>
      <c r="C13" s="819" t="s">
        <v>99</v>
      </c>
      <c r="D13" s="1163">
        <f>SUM(D11:E12)</f>
        <v>0</v>
      </c>
      <c r="E13" s="1163"/>
      <c r="F13" s="690"/>
      <c r="G13" s="690"/>
      <c r="H13" s="690"/>
      <c r="I13" s="690"/>
      <c r="J13" s="690"/>
      <c r="K13" s="690"/>
      <c r="L13" s="690"/>
      <c r="M13" s="690"/>
      <c r="N13" s="690"/>
      <c r="O13" s="690"/>
      <c r="P13" s="690"/>
      <c r="Q13" s="109"/>
      <c r="R13" s="109"/>
      <c r="S13" s="389"/>
      <c r="T13" s="389"/>
      <c r="U13" s="389"/>
      <c r="V13" s="389"/>
      <c r="W13" s="389"/>
      <c r="AD13" s="391">
        <v>2</v>
      </c>
      <c r="AE13" s="392">
        <v>11</v>
      </c>
      <c r="AK13" s="395" t="e">
        <f t="shared" si="0"/>
        <v>#N/A</v>
      </c>
      <c r="AL13" s="395">
        <v>6.5</v>
      </c>
      <c r="AN13" s="395">
        <v>5</v>
      </c>
    </row>
    <row r="14" spans="1:45" ht="31.5" customHeight="1">
      <c r="A14" s="389"/>
      <c r="B14" s="389"/>
      <c r="C14" s="389"/>
      <c r="D14" s="389"/>
      <c r="E14" s="389"/>
      <c r="F14" s="690"/>
      <c r="G14" s="690"/>
      <c r="H14" s="690"/>
      <c r="I14" s="690"/>
      <c r="J14" s="690"/>
      <c r="K14" s="690"/>
      <c r="L14" s="690"/>
      <c r="M14" s="690"/>
      <c r="N14" s="690"/>
      <c r="O14" s="690"/>
      <c r="P14" s="690"/>
      <c r="Q14" s="389"/>
      <c r="R14" s="389"/>
      <c r="S14" s="389"/>
      <c r="T14" s="389"/>
      <c r="U14" s="389"/>
      <c r="V14" s="389"/>
      <c r="W14" s="389"/>
      <c r="AD14" s="391">
        <v>3</v>
      </c>
      <c r="AE14" s="392">
        <v>12</v>
      </c>
      <c r="AK14" s="395" t="e">
        <f t="shared" si="0"/>
        <v>#N/A</v>
      </c>
      <c r="AL14" s="395">
        <v>7</v>
      </c>
      <c r="AN14" s="395">
        <v>5.5</v>
      </c>
    </row>
    <row r="15" spans="1:45" ht="20.149999999999999" customHeight="1">
      <c r="A15" s="128"/>
      <c r="B15" s="1092" t="s">
        <v>55</v>
      </c>
      <c r="C15" s="1092"/>
      <c r="D15" s="109"/>
      <c r="E15" s="109"/>
      <c r="F15" s="109"/>
      <c r="G15" s="109"/>
      <c r="H15" s="109"/>
      <c r="I15" s="109"/>
      <c r="J15" s="109"/>
      <c r="K15" s="109"/>
      <c r="L15" s="109"/>
      <c r="M15" s="109"/>
      <c r="N15" s="109"/>
      <c r="O15" s="109"/>
      <c r="P15" s="109"/>
      <c r="Q15" s="109"/>
      <c r="R15" s="568"/>
      <c r="S15" s="568"/>
      <c r="T15" s="568"/>
      <c r="U15" s="568"/>
      <c r="V15" s="568"/>
      <c r="W15" s="568"/>
      <c r="AD15" s="584"/>
      <c r="AE15" s="585"/>
      <c r="AK15" s="395" t="e">
        <f t="shared" si="0"/>
        <v>#N/A</v>
      </c>
      <c r="AL15" s="395">
        <v>7.5</v>
      </c>
      <c r="AN15" s="395">
        <v>6</v>
      </c>
    </row>
    <row r="16" spans="1:45" ht="20.149999999999999" customHeight="1">
      <c r="A16" s="389"/>
      <c r="B16" s="1105" t="s">
        <v>74</v>
      </c>
      <c r="C16" s="879"/>
      <c r="D16" s="129" t="s">
        <v>115</v>
      </c>
      <c r="E16" s="130"/>
      <c r="F16" s="130"/>
      <c r="G16" s="130"/>
      <c r="H16" s="130"/>
      <c r="I16" s="130"/>
      <c r="J16" s="130"/>
      <c r="K16" s="130"/>
      <c r="L16" s="130"/>
      <c r="M16" s="130"/>
      <c r="N16" s="129"/>
      <c r="O16" s="131"/>
      <c r="P16" s="540">
        <f>COUNT(N19:O19)</f>
        <v>0</v>
      </c>
      <c r="Q16" s="389"/>
      <c r="R16" s="389"/>
      <c r="S16" s="389"/>
      <c r="T16" s="389"/>
      <c r="U16" s="389"/>
      <c r="V16" s="389"/>
      <c r="W16" s="389"/>
      <c r="AD16" s="572"/>
      <c r="AE16" s="572"/>
      <c r="AK16" s="395" t="e">
        <f t="shared" si="0"/>
        <v>#N/A</v>
      </c>
      <c r="AL16" s="395">
        <v>8</v>
      </c>
      <c r="AN16" s="395">
        <v>6.5</v>
      </c>
    </row>
    <row r="17" spans="1:38" ht="20.149999999999999" customHeight="1">
      <c r="A17" s="389"/>
      <c r="B17" s="1106"/>
      <c r="C17" s="1107"/>
      <c r="D17" s="1069" t="s">
        <v>9</v>
      </c>
      <c r="E17" s="1069" t="s">
        <v>10</v>
      </c>
      <c r="F17" s="1069" t="s">
        <v>353</v>
      </c>
      <c r="G17" s="1069" t="s">
        <v>11</v>
      </c>
      <c r="H17" s="1069" t="s">
        <v>540</v>
      </c>
      <c r="I17" s="1069" t="s">
        <v>12</v>
      </c>
      <c r="J17" s="1069" t="s">
        <v>127</v>
      </c>
      <c r="K17" s="1069" t="s">
        <v>13</v>
      </c>
      <c r="L17" s="1069" t="s">
        <v>89</v>
      </c>
      <c r="M17" s="1069" t="s">
        <v>14</v>
      </c>
      <c r="N17" s="1069" t="s">
        <v>146</v>
      </c>
      <c r="O17" s="1069" t="s">
        <v>147</v>
      </c>
      <c r="P17" s="541" t="str">
        <f>IF(P16&gt;1,"【注意】　給食実施加算は「調理・搬入」 のどちらか一方しか選択できません！","")</f>
        <v/>
      </c>
      <c r="Q17" s="389"/>
      <c r="R17" s="389"/>
      <c r="S17" s="389"/>
      <c r="T17" s="389"/>
      <c r="U17" s="389"/>
      <c r="V17" s="389"/>
      <c r="W17" s="389"/>
    </row>
    <row r="18" spans="1:38" ht="34.5" customHeight="1">
      <c r="A18" s="389"/>
      <c r="B18" s="1106"/>
      <c r="C18" s="1107"/>
      <c r="D18" s="1070"/>
      <c r="E18" s="1070"/>
      <c r="F18" s="1070"/>
      <c r="G18" s="1070"/>
      <c r="H18" s="1070"/>
      <c r="I18" s="1070"/>
      <c r="J18" s="1070"/>
      <c r="K18" s="1070"/>
      <c r="L18" s="1070"/>
      <c r="M18" s="1070"/>
      <c r="N18" s="1070"/>
      <c r="O18" s="1070"/>
      <c r="P18" s="541"/>
      <c r="Q18" s="389"/>
      <c r="R18" s="389"/>
      <c r="S18" s="389"/>
      <c r="T18" s="389"/>
      <c r="U18" s="389"/>
      <c r="V18" s="389"/>
      <c r="W18" s="389"/>
    </row>
    <row r="19" spans="1:38">
      <c r="A19" s="389"/>
      <c r="B19" s="1106"/>
      <c r="C19" s="1107"/>
      <c r="D19" s="445" t="s">
        <v>53</v>
      </c>
      <c r="E19" s="14"/>
      <c r="F19" s="14"/>
      <c r="G19" s="14"/>
      <c r="H19" s="14"/>
      <c r="I19" s="14"/>
      <c r="J19" s="457"/>
      <c r="K19" s="457"/>
      <c r="L19" s="167" t="e">
        <f>VLOOKUP(SUM($D$7,$D$8,$D$11),$AO$2:$AP$8,2,TRUE)</f>
        <v>#N/A</v>
      </c>
      <c r="M19" s="14"/>
      <c r="N19" s="385"/>
      <c r="O19" s="458"/>
      <c r="P19" s="543"/>
      <c r="Q19" s="543"/>
      <c r="R19" s="543"/>
      <c r="S19" s="543"/>
      <c r="T19" s="543"/>
      <c r="U19" s="543"/>
      <c r="V19" s="543"/>
      <c r="W19" s="543"/>
    </row>
    <row r="20" spans="1:38" ht="20.149999999999999" customHeight="1">
      <c r="A20" s="389"/>
      <c r="B20" s="1106"/>
      <c r="C20" s="1107"/>
      <c r="D20" s="129" t="s">
        <v>112</v>
      </c>
      <c r="E20" s="130"/>
      <c r="F20" s="130"/>
      <c r="G20" s="449" t="s">
        <v>113</v>
      </c>
      <c r="H20" s="129" t="s">
        <v>545</v>
      </c>
      <c r="I20" s="130"/>
      <c r="J20" s="130"/>
      <c r="K20" s="131"/>
      <c r="L20" s="802"/>
      <c r="M20" s="543"/>
      <c r="N20" s="543"/>
      <c r="O20" s="543"/>
      <c r="P20" s="543"/>
      <c r="Q20" s="543"/>
      <c r="R20" s="543"/>
      <c r="S20" s="543"/>
      <c r="T20" s="543"/>
      <c r="U20" s="543"/>
      <c r="V20" s="543"/>
      <c r="W20" s="543"/>
    </row>
    <row r="21" spans="1:38" ht="37.5" customHeight="1">
      <c r="A21" s="389"/>
      <c r="B21" s="1106"/>
      <c r="C21" s="1107"/>
      <c r="D21" s="1069" t="s">
        <v>355</v>
      </c>
      <c r="E21" s="1134" t="s">
        <v>105</v>
      </c>
      <c r="F21" s="1134" t="s">
        <v>354</v>
      </c>
      <c r="G21" s="1069" t="s">
        <v>107</v>
      </c>
      <c r="H21" s="1069" t="s">
        <v>17</v>
      </c>
      <c r="I21" s="1069" t="s">
        <v>75</v>
      </c>
      <c r="J21" s="1069" t="s">
        <v>50</v>
      </c>
      <c r="K21" s="1069" t="s">
        <v>51</v>
      </c>
      <c r="L21" s="1085"/>
      <c r="M21" s="543"/>
      <c r="N21" s="543"/>
      <c r="O21" s="543"/>
      <c r="P21" s="543"/>
      <c r="Q21" s="543"/>
      <c r="R21" s="543"/>
      <c r="S21" s="543"/>
      <c r="T21" s="543"/>
      <c r="U21" s="543"/>
      <c r="V21" s="543"/>
      <c r="W21" s="543"/>
    </row>
    <row r="22" spans="1:38" ht="37.5" customHeight="1">
      <c r="A22" s="389"/>
      <c r="B22" s="1106"/>
      <c r="C22" s="1107"/>
      <c r="D22" s="1070"/>
      <c r="E22" s="1135"/>
      <c r="F22" s="1135"/>
      <c r="G22" s="1070"/>
      <c r="H22" s="1070"/>
      <c r="I22" s="1070"/>
      <c r="J22" s="1070"/>
      <c r="K22" s="1070"/>
      <c r="L22" s="1085"/>
      <c r="M22" s="543"/>
      <c r="N22" s="543"/>
      <c r="O22" s="543"/>
      <c r="P22" s="543"/>
      <c r="Q22" s="543"/>
      <c r="R22" s="543"/>
      <c r="S22" s="543"/>
      <c r="T22" s="543"/>
      <c r="U22" s="543"/>
      <c r="V22" s="543"/>
      <c r="W22" s="543"/>
    </row>
    <row r="23" spans="1:38" s="25" customFormat="1">
      <c r="A23" s="389"/>
      <c r="B23" s="1106"/>
      <c r="C23" s="1107"/>
      <c r="D23" s="14"/>
      <c r="E23" s="14"/>
      <c r="F23" s="14"/>
      <c r="G23" s="14"/>
      <c r="H23" s="14"/>
      <c r="I23" s="14"/>
      <c r="J23" s="14"/>
      <c r="K23" s="14"/>
      <c r="L23" s="869"/>
      <c r="M23" s="543"/>
      <c r="N23" s="543"/>
      <c r="O23" s="543"/>
      <c r="P23" s="543"/>
      <c r="Q23" s="543"/>
      <c r="R23" s="543"/>
      <c r="S23" s="543"/>
      <c r="T23" s="543"/>
      <c r="U23" s="543"/>
      <c r="V23" s="543"/>
      <c r="W23" s="543"/>
      <c r="AF23" s="390"/>
      <c r="AG23" s="390"/>
      <c r="AH23" s="390"/>
      <c r="AI23" s="390"/>
      <c r="AL23" s="390"/>
    </row>
    <row r="24" spans="1:38" s="25" customFormat="1" ht="19.5" customHeight="1">
      <c r="A24" s="543"/>
      <c r="B24" s="896" t="s">
        <v>98</v>
      </c>
      <c r="C24" s="896"/>
      <c r="D24" s="129" t="s">
        <v>115</v>
      </c>
      <c r="E24" s="130"/>
      <c r="F24" s="130"/>
      <c r="G24" s="130"/>
      <c r="H24" s="130"/>
      <c r="I24" s="130"/>
      <c r="J24" s="129" t="s">
        <v>546</v>
      </c>
      <c r="K24" s="130"/>
      <c r="L24" s="130"/>
      <c r="M24" s="130"/>
      <c r="N24" s="130"/>
      <c r="O24" s="131"/>
      <c r="P24" s="151" t="s">
        <v>547</v>
      </c>
      <c r="Q24" s="860" t="s">
        <v>545</v>
      </c>
      <c r="R24" s="131"/>
      <c r="S24" s="615"/>
      <c r="T24" s="543"/>
      <c r="U24" s="543"/>
      <c r="V24" s="543"/>
      <c r="W24" s="543"/>
      <c r="AF24" s="390"/>
      <c r="AG24" s="390"/>
      <c r="AH24" s="390"/>
      <c r="AI24" s="390"/>
      <c r="AL24" s="390"/>
    </row>
    <row r="25" spans="1:38" ht="25" customHeight="1">
      <c r="A25" s="389"/>
      <c r="B25" s="896"/>
      <c r="C25" s="896"/>
      <c r="D25" s="1069" t="s">
        <v>9</v>
      </c>
      <c r="E25" s="1069" t="s">
        <v>25</v>
      </c>
      <c r="F25" s="1148" t="s">
        <v>27</v>
      </c>
      <c r="G25" s="1069" t="s">
        <v>28</v>
      </c>
      <c r="H25" s="1069" t="s">
        <v>13</v>
      </c>
      <c r="I25" s="1069" t="s">
        <v>89</v>
      </c>
      <c r="J25" s="1069" t="s">
        <v>356</v>
      </c>
      <c r="K25" s="1069" t="s">
        <v>29</v>
      </c>
      <c r="L25" s="1069" t="s">
        <v>131</v>
      </c>
      <c r="M25" s="1069" t="s">
        <v>355</v>
      </c>
      <c r="N25" s="1069" t="s">
        <v>105</v>
      </c>
      <c r="O25" s="1134" t="s">
        <v>543</v>
      </c>
      <c r="P25" s="1134" t="s">
        <v>544</v>
      </c>
      <c r="Q25" s="1069" t="s">
        <v>17</v>
      </c>
      <c r="R25" s="1069" t="s">
        <v>139</v>
      </c>
      <c r="S25" s="1085"/>
      <c r="T25" s="389"/>
      <c r="U25" s="389"/>
      <c r="V25" s="389"/>
      <c r="W25" s="389"/>
    </row>
    <row r="26" spans="1:38" ht="41.25" customHeight="1">
      <c r="A26" s="389"/>
      <c r="B26" s="896"/>
      <c r="C26" s="896"/>
      <c r="D26" s="1070"/>
      <c r="E26" s="1070"/>
      <c r="F26" s="1149"/>
      <c r="G26" s="1070"/>
      <c r="H26" s="1070"/>
      <c r="I26" s="1070"/>
      <c r="J26" s="1070"/>
      <c r="K26" s="1070"/>
      <c r="L26" s="1070"/>
      <c r="M26" s="1070"/>
      <c r="N26" s="1070"/>
      <c r="O26" s="1135"/>
      <c r="P26" s="1135"/>
      <c r="Q26" s="1070"/>
      <c r="R26" s="1070"/>
      <c r="S26" s="1085"/>
      <c r="T26" s="389"/>
      <c r="U26" s="389"/>
      <c r="V26" s="389"/>
      <c r="W26" s="389"/>
    </row>
    <row r="27" spans="1:38">
      <c r="A27" s="389"/>
      <c r="B27" s="896"/>
      <c r="C27" s="896"/>
      <c r="D27" s="445" t="s">
        <v>53</v>
      </c>
      <c r="E27" s="445" t="str">
        <f>G19&amp;""</f>
        <v/>
      </c>
      <c r="F27" s="386"/>
      <c r="G27" s="387"/>
      <c r="H27" s="862" t="str">
        <f>K19&amp;""</f>
        <v/>
      </c>
      <c r="I27" s="861" t="e">
        <f>L19</f>
        <v>#N/A</v>
      </c>
      <c r="J27" s="863"/>
      <c r="K27" s="14"/>
      <c r="L27" s="14"/>
      <c r="M27" s="14"/>
      <c r="N27" s="834" t="str">
        <f>E23&amp;""</f>
        <v/>
      </c>
      <c r="O27" s="445" t="str">
        <f>F23&amp;""</f>
        <v/>
      </c>
      <c r="P27" s="864" t="str">
        <f>F23&amp;""</f>
        <v/>
      </c>
      <c r="Q27" s="856">
        <f>H23</f>
        <v>0</v>
      </c>
      <c r="R27" s="14"/>
      <c r="S27" s="868"/>
      <c r="T27" s="389"/>
      <c r="U27" s="389"/>
      <c r="V27" s="389"/>
      <c r="W27" s="389"/>
    </row>
    <row r="28" spans="1:38" ht="20.149999999999999" customHeight="1">
      <c r="A28" s="389"/>
      <c r="B28" s="128"/>
      <c r="C28" s="128"/>
      <c r="D28" s="128"/>
      <c r="E28" s="128"/>
      <c r="F28" s="128"/>
      <c r="G28" s="128"/>
      <c r="H28" s="844"/>
      <c r="I28" s="128"/>
      <c r="J28" s="128"/>
      <c r="K28" s="128"/>
      <c r="L28" s="128"/>
      <c r="M28" s="128"/>
      <c r="N28" s="128"/>
      <c r="O28" s="128"/>
      <c r="P28" s="128"/>
      <c r="Q28" s="389"/>
      <c r="R28" s="389"/>
      <c r="S28" s="389"/>
      <c r="T28" s="389"/>
      <c r="U28" s="389"/>
      <c r="V28" s="389"/>
      <c r="W28" s="389"/>
    </row>
    <row r="29" spans="1:38" ht="20.149999999999999" hidden="1" customHeight="1" thickBot="1">
      <c r="A29" s="389"/>
      <c r="B29" s="128"/>
      <c r="C29" s="128"/>
      <c r="D29" s="128"/>
      <c r="E29" s="128"/>
      <c r="F29" s="128"/>
      <c r="G29" s="128"/>
      <c r="H29" s="844"/>
      <c r="I29" s="128"/>
      <c r="J29" s="128"/>
      <c r="K29" s="128"/>
      <c r="L29" s="128"/>
      <c r="M29" s="128"/>
      <c r="N29" s="128"/>
      <c r="O29" s="128"/>
      <c r="P29" s="128"/>
      <c r="Q29" s="389"/>
      <c r="R29" s="389"/>
      <c r="S29" s="389"/>
      <c r="T29" s="389"/>
      <c r="U29" s="1110" t="e">
        <f>CONCATENATE(#REF!,"/",#REF!)</f>
        <v>#REF!</v>
      </c>
      <c r="V29" s="1110"/>
      <c r="W29" s="128"/>
    </row>
    <row r="30" spans="1:38" ht="21.5" hidden="1" thickBot="1">
      <c r="A30" s="389"/>
      <c r="B30" s="1084" t="s">
        <v>63</v>
      </c>
      <c r="C30" s="1084"/>
      <c r="D30" s="1096" t="s">
        <v>68</v>
      </c>
      <c r="E30" s="1097"/>
      <c r="F30" s="1097"/>
      <c r="G30" s="1097"/>
      <c r="H30" s="1097"/>
      <c r="I30" s="1097"/>
      <c r="J30" s="1097"/>
      <c r="K30" s="1097"/>
      <c r="L30" s="1097"/>
      <c r="M30" s="1097"/>
      <c r="N30" s="1097"/>
      <c r="O30" s="1097"/>
      <c r="P30" s="1097"/>
      <c r="Q30" s="1097"/>
      <c r="R30" s="1097"/>
      <c r="S30" s="1097"/>
      <c r="T30" s="1097"/>
      <c r="U30" s="1097"/>
      <c r="V30" s="1097"/>
      <c r="W30" s="1098"/>
    </row>
    <row r="31" spans="1:38" ht="33.75" hidden="1" customHeight="1">
      <c r="A31" s="896" t="s">
        <v>46</v>
      </c>
      <c r="B31" s="1139" t="s">
        <v>86</v>
      </c>
      <c r="C31" s="1140"/>
      <c r="D31" s="1071" t="s">
        <v>9</v>
      </c>
      <c r="E31" s="1071" t="s">
        <v>10</v>
      </c>
      <c r="F31" s="1071" t="s">
        <v>161</v>
      </c>
      <c r="G31" s="1071" t="s">
        <v>11</v>
      </c>
      <c r="H31" s="842"/>
      <c r="I31" s="1071" t="s">
        <v>12</v>
      </c>
      <c r="J31" s="1071" t="s">
        <v>127</v>
      </c>
      <c r="K31" s="1071" t="s">
        <v>13</v>
      </c>
      <c r="L31" s="1071" t="s">
        <v>14</v>
      </c>
      <c r="M31" s="1071" t="s">
        <v>159</v>
      </c>
      <c r="N31" s="1071" t="s">
        <v>160</v>
      </c>
      <c r="O31" s="1099" t="s">
        <v>162</v>
      </c>
      <c r="P31" s="1071" t="s">
        <v>26</v>
      </c>
      <c r="Q31" s="1099" t="s">
        <v>163</v>
      </c>
      <c r="R31" s="28" t="s">
        <v>148</v>
      </c>
      <c r="S31" s="1071" t="s">
        <v>17</v>
      </c>
      <c r="T31" s="1071" t="s">
        <v>75</v>
      </c>
      <c r="U31" s="1071" t="s">
        <v>50</v>
      </c>
      <c r="V31" s="1085" t="s">
        <v>51</v>
      </c>
      <c r="W31" s="1137" t="s">
        <v>60</v>
      </c>
    </row>
    <row r="32" spans="1:38" ht="33.75" hidden="1" customHeight="1">
      <c r="A32" s="896"/>
      <c r="B32" s="1141"/>
      <c r="C32" s="1142"/>
      <c r="D32" s="1070"/>
      <c r="E32" s="1070"/>
      <c r="F32" s="1070"/>
      <c r="G32" s="1070"/>
      <c r="H32" s="843"/>
      <c r="I32" s="1070"/>
      <c r="J32" s="1070"/>
      <c r="K32" s="1070"/>
      <c r="L32" s="1070"/>
      <c r="M32" s="1070"/>
      <c r="N32" s="1070"/>
      <c r="O32" s="1135"/>
      <c r="P32" s="1070"/>
      <c r="Q32" s="1135"/>
      <c r="R32" s="29" t="str">
        <f>IF($AR$2=1,"（乗除調整なし）",CONCATENATE("（乗除調整",TEXT($AR$2,"##/100"),")"))</f>
        <v>（乗除調整なし）</v>
      </c>
      <c r="S32" s="1070"/>
      <c r="T32" s="1070"/>
      <c r="U32" s="1070"/>
      <c r="V32" s="1086"/>
      <c r="W32" s="1130"/>
    </row>
    <row r="33" spans="1:29" hidden="1">
      <c r="A33" s="896"/>
      <c r="B33" s="896" t="s">
        <v>6</v>
      </c>
      <c r="C33" s="1079"/>
      <c r="D33" s="546" t="e">
        <f>IF(D$19="あり",VLOOKUP($D$7,#REF!,8,TRUE),0)</f>
        <v>#REF!</v>
      </c>
      <c r="E33" s="546">
        <f>IF(E$19="あり",VLOOKUP($D$7,#REF!,14,TRUE),0)</f>
        <v>0</v>
      </c>
      <c r="F33" s="546">
        <f>IF(AND($AI$2&lt;=300,$AI$2&gt;=36,F$19="あり"),VLOOKUP($D$7,#REF!,18,TRUE),0)</f>
        <v>0</v>
      </c>
      <c r="G33" s="546">
        <f>IF(G$19="あり",VLOOKUP($D$7,#REF!,21,TRUE),0)</f>
        <v>0</v>
      </c>
      <c r="H33" s="546"/>
      <c r="I33" s="546">
        <f>IF(AND(OR($G$19="なし",$G$19=""),I$19="あり"),VLOOKUP($D$7,#REF!,25,TRUE),IF(AND($G$19="あり",I$19="あり"),VLOOKUP($D$7,#REF!,29,TRUE),0))</f>
        <v>0</v>
      </c>
      <c r="J33" s="546">
        <f>IF(J$19="あり",VLOOKUP($D$7,#REF!,33,TRUE),0)</f>
        <v>0</v>
      </c>
      <c r="K33" s="602">
        <f>IF(AND(K$19&lt;&gt;"なし",$K19&lt;&gt;""),VLOOKUP(#REF!,#REF!,3,TRUE)*$K$19,0)</f>
        <v>0</v>
      </c>
      <c r="L33" s="546">
        <f>IF(M$19="あり",VLOOKUP($D$7,#REF!,41,TRUE),0)</f>
        <v>0</v>
      </c>
      <c r="M33" s="546" t="e">
        <f>IF($N$19&lt;&gt;"なし",VLOOKUP($D$7,#REF!,45,TRUE)*$N$19,0)</f>
        <v>#REF!</v>
      </c>
      <c r="N33" s="546" t="e">
        <f>IF(AND(ISNUMBER(N19),N19&gt;0),0,IF($O$19&lt;&gt;"なし",VLOOKUP($D$7,#REF!,49,TRUE)*$O$19,0))</f>
        <v>#REF!</v>
      </c>
      <c r="O33" s="546">
        <f>IF(D$23="あり",-VLOOKUP($D$7,#REF!,55,TRUE),0)</f>
        <v>0</v>
      </c>
      <c r="P33" s="546">
        <f>IF(AND($E$23&lt;&gt;"なし",$E$23&lt;&gt;""),-IF(ROUNDDOWN(VLOOKUP($D$7,#REF!,57,TRUE)*E$23,-1)&lt;10,ROUNDDOWN(VLOOKUP($D$7,#REF!,57,TRUE)*E$23,0),ROUNDDOWN(VLOOKUP($D$7,#REF!,57,TRUE)*E$23,-1)),0)</f>
        <v>0</v>
      </c>
      <c r="Q33" s="546">
        <f>IF(AND($F$23&lt;&gt;"なし",$F$23&lt;&gt;""),-IF(ROUNDDOWN(VLOOKUP($D$7,#REF!,59,TRUE)*F$23,-1)&lt;10,ROUNDDOWN(VLOOKUP($D$7,#REF!,59,TRUE)*$F$23,0),ROUNDDOWN(VLOOKUP($D$7,#REF!,59,TRUE)*$F$23,-1)),0)</f>
        <v>0</v>
      </c>
      <c r="R33" s="586" t="e">
        <f>IF($AR$2=1,SUM($D33:$Q33),IF(ROUNDDOWN(SUM(D33:Q33)*$AR$2,-1)&lt;10,ROUNDDOWN(SUM(D33:Q33)*$AR$2,0),(ROUNDDOWN(SUM(D33:Q33)*$AR$2,-1))))</f>
        <v>#REF!</v>
      </c>
      <c r="S33" s="546">
        <f>IF(I$23="特児",IF(ROUNDDOWN(#REF!/$M$91,-1)&lt;10,ROUNDDOWN(#REF!/$M$91,0),ROUNDDOWN(#REF!/$M$91,-1)),IF(I$23="その他",IF(ROUNDDOWN(#REF!/$M$91,-1)&lt;10,ROUNDDOWN(#REF!/$M$91,0),ROUNDDOWN(#REF!/$M$91,-1)),0))</f>
        <v>0</v>
      </c>
      <c r="T33" s="546">
        <f>IF(AND(SUM($D$10,$D$13)&gt;=91,J$23="あり"),IF(ROUNDDOWN(#REF!/$M$91,-1)&lt;10,ROUNDDOWN(#REF!/$M$91,0),ROUNDDOWN(#REF!/$M$91,-1)),0)</f>
        <v>0</v>
      </c>
      <c r="U33" s="546">
        <f>IF(AND(SUM($D$7,$D$8,$D$11)&gt;=271,K$23="あり"),IF(ROUNDDOWN(#REF!/$M$91,-1)&lt;10,ROUNDDOWN(#REF!/$M$91,0),ROUNDDOWN(#REF!/$M$91,-1)),0)</f>
        <v>0</v>
      </c>
      <c r="V33" s="547">
        <f>IF(AND(SUM($D$10,$D$13)&gt;=271,L$23="あり"),IF(ROUNDDOWN(#REF!/$M$91,-1)&lt;10,ROUNDDOWN(#REF!/$M$91,0),ROUNDDOWN(#REF!/$M$91,-1)),0)</f>
        <v>0</v>
      </c>
      <c r="W33" s="555">
        <f>IF(ISERROR(SUM($R$33:$V$33)),0,SUM($R$33:$V$33))</f>
        <v>0</v>
      </c>
    </row>
    <row r="34" spans="1:29" ht="20.149999999999999" hidden="1" customHeight="1">
      <c r="A34" s="896"/>
      <c r="B34" s="896" t="s">
        <v>7</v>
      </c>
      <c r="C34" s="1079"/>
      <c r="D34" s="546" t="e">
        <f>D33</f>
        <v>#REF!</v>
      </c>
      <c r="E34" s="546">
        <f>E33</f>
        <v>0</v>
      </c>
      <c r="F34" s="546">
        <f>F33</f>
        <v>0</v>
      </c>
      <c r="G34" s="546">
        <f>G33</f>
        <v>0</v>
      </c>
      <c r="H34" s="546"/>
      <c r="I34" s="550"/>
      <c r="J34" s="546">
        <f t="shared" ref="J34:Q35" si="1">J33</f>
        <v>0</v>
      </c>
      <c r="K34" s="602">
        <f t="shared" si="1"/>
        <v>0</v>
      </c>
      <c r="L34" s="546">
        <f t="shared" si="1"/>
        <v>0</v>
      </c>
      <c r="M34" s="546" t="e">
        <f t="shared" si="1"/>
        <v>#REF!</v>
      </c>
      <c r="N34" s="546">
        <v>0</v>
      </c>
      <c r="O34" s="546">
        <f t="shared" si="1"/>
        <v>0</v>
      </c>
      <c r="P34" s="546">
        <f t="shared" si="1"/>
        <v>0</v>
      </c>
      <c r="Q34" s="546">
        <f t="shared" si="1"/>
        <v>0</v>
      </c>
      <c r="R34" s="586" t="e">
        <f>IF($AR$2=1,SUM($D34:$Q34),IF(ROUNDDOWN(SUM(D34:Q34)*$AR$2,-1)&lt;10,ROUNDDOWN(SUM(D34:Q34)*$AR$2,0),(ROUNDDOWN(SUM(D34:Q34)*$AR$2,-1))))</f>
        <v>#REF!</v>
      </c>
      <c r="S34" s="546">
        <f t="shared" ref="S34:V35" si="2">S33</f>
        <v>0</v>
      </c>
      <c r="T34" s="546">
        <f t="shared" si="2"/>
        <v>0</v>
      </c>
      <c r="U34" s="546">
        <f t="shared" si="2"/>
        <v>0</v>
      </c>
      <c r="V34" s="547">
        <f t="shared" si="2"/>
        <v>0</v>
      </c>
      <c r="W34" s="555">
        <f>IF(ISERROR(SUM($R$34:$V$34)),0,SUM($R$34:$V$34))</f>
        <v>0</v>
      </c>
      <c r="X34" s="389"/>
      <c r="Y34" s="572"/>
      <c r="Z34" s="572"/>
      <c r="AA34" s="572"/>
      <c r="AB34" s="572"/>
      <c r="AC34" s="572"/>
    </row>
    <row r="35" spans="1:29" ht="20.149999999999999" hidden="1" customHeight="1">
      <c r="A35" s="896"/>
      <c r="B35" s="896" t="s">
        <v>8</v>
      </c>
      <c r="C35" s="1079"/>
      <c r="D35" s="546" t="e">
        <f>IF(D$19="あり",VLOOKUP($D$7,#REF!,8,TRUE),0)</f>
        <v>#REF!</v>
      </c>
      <c r="E35" s="546">
        <f>E34</f>
        <v>0</v>
      </c>
      <c r="F35" s="546">
        <f>F34</f>
        <v>0</v>
      </c>
      <c r="G35" s="550"/>
      <c r="H35" s="550"/>
      <c r="I35" s="550"/>
      <c r="J35" s="546">
        <f t="shared" si="1"/>
        <v>0</v>
      </c>
      <c r="K35" s="602">
        <f t="shared" si="1"/>
        <v>0</v>
      </c>
      <c r="L35" s="546">
        <f t="shared" si="1"/>
        <v>0</v>
      </c>
      <c r="M35" s="546" t="e">
        <f t="shared" si="1"/>
        <v>#REF!</v>
      </c>
      <c r="N35" s="546">
        <v>0</v>
      </c>
      <c r="O35" s="546">
        <f t="shared" si="1"/>
        <v>0</v>
      </c>
      <c r="P35" s="546">
        <f t="shared" si="1"/>
        <v>0</v>
      </c>
      <c r="Q35" s="546">
        <f t="shared" si="1"/>
        <v>0</v>
      </c>
      <c r="R35" s="586" t="e">
        <f>IF($AR$2=1,SUM($D35:$Q35),IF(ROUNDDOWN(SUM(D35:Q35)*$AR$2,-1)&lt;10,ROUNDDOWN(SUM(D35:Q35)*$AR$2,0),(ROUNDDOWN(SUM(D35:Q35)*$AR$2,-1))))</f>
        <v>#REF!</v>
      </c>
      <c r="S35" s="546">
        <f t="shared" si="2"/>
        <v>0</v>
      </c>
      <c r="T35" s="546">
        <f t="shared" si="2"/>
        <v>0</v>
      </c>
      <c r="U35" s="546">
        <f t="shared" si="2"/>
        <v>0</v>
      </c>
      <c r="V35" s="547">
        <f t="shared" si="2"/>
        <v>0</v>
      </c>
      <c r="W35" s="555">
        <f>IF(ISERROR(SUM($R$35:$V$35)),0,SUM($R$35:$V$35))</f>
        <v>0</v>
      </c>
      <c r="X35" s="389"/>
      <c r="Y35" s="572"/>
      <c r="Z35" s="572"/>
      <c r="AA35" s="572"/>
      <c r="AB35" s="572"/>
      <c r="AC35" s="572"/>
    </row>
    <row r="36" spans="1:29" ht="33.75" hidden="1" customHeight="1">
      <c r="A36" s="896"/>
      <c r="B36" s="1139" t="s">
        <v>35</v>
      </c>
      <c r="C36" s="1140"/>
      <c r="D36" s="1069" t="s">
        <v>9</v>
      </c>
      <c r="E36" s="1069" t="s">
        <v>25</v>
      </c>
      <c r="F36" s="1069" t="s">
        <v>27</v>
      </c>
      <c r="G36" s="1069" t="s">
        <v>28</v>
      </c>
      <c r="H36" s="842"/>
      <c r="I36" s="1071" t="s">
        <v>13</v>
      </c>
      <c r="J36" s="1134" t="s">
        <v>111</v>
      </c>
      <c r="K36" s="1069" t="s">
        <v>29</v>
      </c>
      <c r="L36" s="1069" t="s">
        <v>131</v>
      </c>
      <c r="M36" s="1134" t="s">
        <v>165</v>
      </c>
      <c r="N36" s="1069" t="s">
        <v>26</v>
      </c>
      <c r="O36" s="1134" t="s">
        <v>163</v>
      </c>
      <c r="P36" s="1146"/>
      <c r="Q36" s="1150"/>
      <c r="R36" s="28" t="s">
        <v>148</v>
      </c>
      <c r="S36" s="1069" t="s">
        <v>17</v>
      </c>
      <c r="T36" s="1085" t="s">
        <v>139</v>
      </c>
      <c r="U36" s="1146"/>
      <c r="V36" s="1152"/>
      <c r="W36" s="1129" t="s">
        <v>61</v>
      </c>
      <c r="X36" s="389"/>
      <c r="Y36" s="109"/>
      <c r="Z36" s="544"/>
      <c r="AA36" s="544"/>
      <c r="AB36" s="652"/>
      <c r="AC36" s="652"/>
    </row>
    <row r="37" spans="1:29" ht="33.75" hidden="1" customHeight="1">
      <c r="A37" s="896"/>
      <c r="B37" s="1141"/>
      <c r="C37" s="1142"/>
      <c r="D37" s="1070"/>
      <c r="E37" s="1070"/>
      <c r="F37" s="1070"/>
      <c r="G37" s="1070"/>
      <c r="H37" s="843"/>
      <c r="I37" s="1070"/>
      <c r="J37" s="1135"/>
      <c r="K37" s="1070"/>
      <c r="L37" s="1070"/>
      <c r="M37" s="1135"/>
      <c r="N37" s="1070"/>
      <c r="O37" s="1135"/>
      <c r="P37" s="1147"/>
      <c r="Q37" s="1151"/>
      <c r="R37" s="29" t="str">
        <f>IF($AR$3=1,"（乗除調整なし）",CONCATENATE("（乗除調整",TEXT($AR$3,"##/100"),")"))</f>
        <v>（乗除調整なし）</v>
      </c>
      <c r="S37" s="1070"/>
      <c r="T37" s="1086"/>
      <c r="U37" s="1147"/>
      <c r="V37" s="1153"/>
      <c r="W37" s="1130"/>
      <c r="X37" s="389"/>
      <c r="Y37" s="109"/>
      <c r="Z37" s="109"/>
      <c r="AA37" s="109"/>
      <c r="AB37" s="572"/>
      <c r="AC37" s="565"/>
    </row>
    <row r="38" spans="1:29" hidden="1">
      <c r="A38" s="896"/>
      <c r="B38" s="896" t="s">
        <v>93</v>
      </c>
      <c r="C38" s="1079"/>
      <c r="D38" s="546" t="e">
        <f>IF(D$27="あり",VLOOKUP(SUM($D$8:$F$9),#REF!,10,TRUE),0)</f>
        <v>#REF!</v>
      </c>
      <c r="E38" s="550"/>
      <c r="F38" s="546">
        <f>IF(ISERROR(#REF!),0,#REF!)</f>
        <v>0</v>
      </c>
      <c r="G38" s="546">
        <f>IF(G$27="あり",VLOOKUP(SUM($D$8:$F$9,$D$11:$E$12),#REF!,31,TRUE),0)</f>
        <v>0</v>
      </c>
      <c r="H38" s="546"/>
      <c r="I38" s="550"/>
      <c r="J38" s="546">
        <f>IF(K$27="あり",VLOOKUP(SUM($D$8:$F$9,D11:E12),#REF!,54,TRUE),0)</f>
        <v>0</v>
      </c>
      <c r="K38" s="550"/>
      <c r="L38" s="546">
        <f>IFERROR(-IF(ROUNDDOWN(SUM($D38,$E38,$G38)*VLOOKUP($M$27,#REF!,2,FALSE),-1)&lt;10,ROUNDDOWN(SUM($D38,$E38,$G38)*VLOOKUP($M$27,#REF!,2,FALSE),0),ROUNDDOWN(SUM($D38,$E38,$G38)*VLOOKUP($M$27,#REF!,2,FALSE),-1)),0)</f>
        <v>0</v>
      </c>
      <c r="M38" s="546">
        <f>IF(N$27="あり",-VLOOKUP(SUM($D$8:$F$9,D11:E12),#REF!,63,TRUE),0)</f>
        <v>0</v>
      </c>
      <c r="N38" s="546">
        <f>IF(AND($O27&lt;&gt;"なし",$O27&lt;&gt;""),-IF(ROUNDDOWN(VLOOKUP(SUM($D$8:$F$9,$D$11:$E$12),#REF!,65,TRUE)*O$27,-1)&lt;10,ROUNDDOWN(VLOOKUP(SUM($D$8:$F$9,$D$11:$E$12),#REF!,65,TRUE)*O$27,0),ROUNDDOWN(VLOOKUP(SUM($D$8:$F$9,$D$11:$E$12),#REF!,65,TRUE)*O$27,-1)),0)</f>
        <v>0</v>
      </c>
      <c r="O38" s="546">
        <f>IF(AND(P$27&lt;&gt;"なし",P$27&lt;&gt;""),-IF(ROUNDDOWN(VLOOKUP(SUM($D$8:$F$9,$D$11:$E$12),#REF!,67,TRUE)*P$27,-1)&lt;10,ROUNDDOWN(VLOOKUP(SUM($D$8:$F$9,$D$11:$E$12),#REF!,67,TRUE)*P$27,0),ROUNDDOWN(VLOOKUP(SUM($D$8:$F$9,$D$11:$E$12),#REF!,67,TRUE)*P$27,-1)),0)</f>
        <v>0</v>
      </c>
      <c r="P38" s="546"/>
      <c r="Q38" s="546"/>
      <c r="R38" s="586" t="e">
        <f>IF($AR$3=1,SUM($D38:$Q38),IF(ROUNDDOWN(SUM(D38:Q38)*$AR$3,-1)&lt;10,ROUNDDOWN(SUM(D38:Q38)*$AR$3,0),(ROUNDDOWN(SUM(D38:Q38)*$AR$3,-1))))</f>
        <v>#REF!</v>
      </c>
      <c r="S38" s="546">
        <f>IF(R$27="特児",IF(ROUNDDOWN(#REF!/$M$92,-1)&lt;10,ROUNDDOWN(#REF!/$M$92,0),ROUNDDOWN(#REF!/$M$92,-1)),IF(R$27="その他",IF(ROUNDDOWN(#REF!/$M$92,-1)&lt;10,ROUNDDOWN(#REF!/$M$92,0),ROUNDDOWN(#REF!/$M$92,-1)),0))</f>
        <v>0</v>
      </c>
      <c r="T38" s="547">
        <f>IF(S$27="配置",IF(ROUNDDOWN(#REF!/$M$92,-1)&lt;10,ROUNDDOWN(#REF!/$M$92,0),ROUNDDOWN(#REF!/$M$92,-1)),IF(S$27="兼務",IF(ROUNDDOWN(#REF!/$M$92,-1)&lt;10,ROUNDDOWN(#REF!/$M$92,0),ROUNDDOWN(#REF!/$M$92,-1)),0))</f>
        <v>0</v>
      </c>
      <c r="U38" s="546"/>
      <c r="V38" s="547"/>
      <c r="W38" s="555">
        <f>IF(ISERROR(SUM($R$38:$V$38)),0,SUM($R$38:$V$38))</f>
        <v>0</v>
      </c>
      <c r="X38" s="389"/>
      <c r="Y38" s="109"/>
      <c r="Z38" s="109"/>
      <c r="AA38" s="109"/>
      <c r="AB38" s="572"/>
      <c r="AC38" s="565"/>
    </row>
    <row r="39" spans="1:29" ht="20.149999999999999" hidden="1" customHeight="1">
      <c r="A39" s="896"/>
      <c r="B39" s="896" t="s">
        <v>70</v>
      </c>
      <c r="C39" s="1079"/>
      <c r="D39" s="546" t="e">
        <f>IF(D$27="あり",VLOOKUP(SUM($D$8:$F$9),#REF!,10,TRUE),0)</f>
        <v>#REF!</v>
      </c>
      <c r="E39" s="550"/>
      <c r="F39" s="546">
        <f>F38</f>
        <v>0</v>
      </c>
      <c r="G39" s="546">
        <f>G38</f>
        <v>0</v>
      </c>
      <c r="H39" s="546"/>
      <c r="I39" s="550"/>
      <c r="J39" s="546">
        <f>J38</f>
        <v>0</v>
      </c>
      <c r="K39" s="550"/>
      <c r="L39" s="546">
        <f>IFERROR(-IF(ROUNDDOWN(SUM($D39,$E39,$G39)*VLOOKUP($M$27,#REF!,2,FALSE),-1)&lt;10,ROUNDDOWN(SUM($D39,$E39,$G39)*VLOOKUP($M$27,#REF!,2,FALSE),0),ROUNDDOWN(SUM($D39,$E39,$G39)*VLOOKUP($M$27,#REF!,2,FALSE),-1)),0)</f>
        <v>0</v>
      </c>
      <c r="M39" s="546">
        <f t="shared" ref="M39:O41" si="3">M38</f>
        <v>0</v>
      </c>
      <c r="N39" s="546">
        <f t="shared" si="3"/>
        <v>0</v>
      </c>
      <c r="O39" s="546">
        <f t="shared" si="3"/>
        <v>0</v>
      </c>
      <c r="P39" s="546"/>
      <c r="Q39" s="546"/>
      <c r="R39" s="586" t="e">
        <f>IF($AR$3=1,SUM($D39:$Q39),IF(ROUNDDOWN(SUM(D39:Q39)*$AR$3,-1)&lt;10,ROUNDDOWN(SUM(D39:Q39)*$AR$3,0),(ROUNDDOWN(SUM(D39:Q39)*$AR$3,-1))))</f>
        <v>#REF!</v>
      </c>
      <c r="S39" s="546">
        <f t="shared" ref="S39:T41" si="4">S38</f>
        <v>0</v>
      </c>
      <c r="T39" s="547">
        <f t="shared" si="4"/>
        <v>0</v>
      </c>
      <c r="U39" s="546"/>
      <c r="V39" s="547"/>
      <c r="W39" s="555">
        <f>IF(ISERROR(SUM($R$39:$V$39)),0,SUM($R$39:$V$39))</f>
        <v>0</v>
      </c>
      <c r="X39" s="389"/>
      <c r="Y39" s="109"/>
      <c r="Z39" s="109"/>
      <c r="AA39" s="109"/>
      <c r="AB39" s="572"/>
      <c r="AC39" s="565"/>
    </row>
    <row r="40" spans="1:29" ht="20.149999999999999" hidden="1" customHeight="1">
      <c r="A40" s="896"/>
      <c r="B40" s="896" t="s">
        <v>7</v>
      </c>
      <c r="C40" s="1079"/>
      <c r="D40" s="546" t="e">
        <f>IF(D$27="あり",VLOOKUP(SUM($D$8:$F$9),#REF!,10,TRUE),0)</f>
        <v>#REF!</v>
      </c>
      <c r="E40" s="546">
        <f>IF(E$27="あり",VLOOKUP(SUM($D$8:$F$9),#REF!,18,TRUE),0)</f>
        <v>0</v>
      </c>
      <c r="F40" s="546">
        <f t="shared" ref="F40:J41" si="5">F39</f>
        <v>0</v>
      </c>
      <c r="G40" s="546">
        <f t="shared" si="5"/>
        <v>0</v>
      </c>
      <c r="H40" s="546"/>
      <c r="I40" s="602" t="e">
        <f>IF(AND($I$27&lt;&gt;"なし",$I$27&lt;&gt;""),VLOOKUP(#REF!,#REF!,3,TRUE)*$I$27,0)</f>
        <v>#N/A</v>
      </c>
      <c r="J40" s="546">
        <f t="shared" si="5"/>
        <v>0</v>
      </c>
      <c r="K40" s="550"/>
      <c r="L40" s="546">
        <f>IFERROR(-IF(ROUNDDOWN(SUM($D40,$E40,$G40)*VLOOKUP($M$27,#REF!,2,FALSE),-1)&lt;10,ROUNDDOWN(SUM($D40,$E40,$G40)*VLOOKUP($M$27,#REF!,2,FALSE),0),ROUNDDOWN(SUM($D40,$E40,$G40)*VLOOKUP($M$27,#REF!,2,FALSE),-1)),0)</f>
        <v>0</v>
      </c>
      <c r="M40" s="546">
        <f t="shared" si="3"/>
        <v>0</v>
      </c>
      <c r="N40" s="546">
        <f t="shared" si="3"/>
        <v>0</v>
      </c>
      <c r="O40" s="546">
        <f t="shared" si="3"/>
        <v>0</v>
      </c>
      <c r="P40" s="546"/>
      <c r="Q40" s="546"/>
      <c r="R40" s="586" t="e">
        <f>IF($AR$3=1,SUM($D40:$Q40),IF(ROUNDDOWN(SUM(D40:Q40)*$AR$3,-1)&lt;10,ROUNDDOWN(SUM(D40:Q40)*$AR$3,0),(ROUNDDOWN(SUM(D40:Q40)*$AR$3,-1))))</f>
        <v>#REF!</v>
      </c>
      <c r="S40" s="546">
        <f t="shared" si="4"/>
        <v>0</v>
      </c>
      <c r="T40" s="547">
        <f t="shared" si="4"/>
        <v>0</v>
      </c>
      <c r="U40" s="546"/>
      <c r="V40" s="547"/>
      <c r="W40" s="555">
        <f>IF(ISERROR(SUM($R$40:$V$40)),0,SUM($R$40:$V$40))</f>
        <v>0</v>
      </c>
      <c r="Y40" s="109"/>
      <c r="Z40" s="109"/>
      <c r="AA40" s="109"/>
      <c r="AB40" s="572"/>
      <c r="AC40" s="565"/>
    </row>
    <row r="41" spans="1:29" ht="20.149999999999999" hidden="1" customHeight="1">
      <c r="A41" s="896"/>
      <c r="B41" s="896" t="s">
        <v>8</v>
      </c>
      <c r="C41" s="1079"/>
      <c r="D41" s="546" t="e">
        <f>IF(D$27="あり",VLOOKUP(SUM($D$8:$F$9),#REF!,10,TRUE),0)</f>
        <v>#REF!</v>
      </c>
      <c r="E41" s="550"/>
      <c r="F41" s="546">
        <f t="shared" si="5"/>
        <v>0</v>
      </c>
      <c r="G41" s="546">
        <f t="shared" si="5"/>
        <v>0</v>
      </c>
      <c r="H41" s="546"/>
      <c r="I41" s="602" t="e">
        <f>I40</f>
        <v>#N/A</v>
      </c>
      <c r="J41" s="546">
        <f t="shared" si="5"/>
        <v>0</v>
      </c>
      <c r="K41" s="550"/>
      <c r="L41" s="546">
        <f>IFERROR(-IF(ROUNDDOWN(SUM($D41,$E41,$G41)*VLOOKUP($M$27,#REF!,2,FALSE),-1)&lt;10,ROUNDDOWN(SUM($D41,$E41,$G41)*VLOOKUP($M$27,#REF!,2,FALSE),0),ROUNDDOWN(SUM($D41,$E41,$G41)*VLOOKUP($M$27,#REF!,2,FALSE),-1)),0)</f>
        <v>0</v>
      </c>
      <c r="M41" s="546">
        <f t="shared" si="3"/>
        <v>0</v>
      </c>
      <c r="N41" s="546">
        <f t="shared" si="3"/>
        <v>0</v>
      </c>
      <c r="O41" s="546">
        <f t="shared" si="3"/>
        <v>0</v>
      </c>
      <c r="P41" s="546"/>
      <c r="Q41" s="546"/>
      <c r="R41" s="586" t="e">
        <f>IF($AR$3=1,SUM($D41:$Q41),IF(ROUNDDOWN(SUM(D41:Q41)*$AR$3,-1)&lt;10,ROUNDDOWN(SUM(D41:Q41)*$AR$3,0),(ROUNDDOWN(SUM(D41:Q41)*$AR$3,-1))))</f>
        <v>#REF!</v>
      </c>
      <c r="S41" s="546">
        <f t="shared" si="4"/>
        <v>0</v>
      </c>
      <c r="T41" s="547">
        <f t="shared" si="4"/>
        <v>0</v>
      </c>
      <c r="U41" s="546"/>
      <c r="V41" s="547"/>
      <c r="W41" s="555">
        <f>IF(ISERROR(SUM($R$41:$V$41)),0,SUM($R$41:$V$41))</f>
        <v>0</v>
      </c>
      <c r="Y41" s="109"/>
      <c r="Z41" s="544"/>
      <c r="AA41" s="544"/>
      <c r="AB41" s="652"/>
      <c r="AC41" s="652"/>
    </row>
    <row r="42" spans="1:29" ht="33.75" hidden="1" customHeight="1">
      <c r="A42" s="896"/>
      <c r="B42" s="1139" t="s">
        <v>95</v>
      </c>
      <c r="C42" s="1140"/>
      <c r="D42" s="1069" t="s">
        <v>9</v>
      </c>
      <c r="E42" s="1069" t="s">
        <v>25</v>
      </c>
      <c r="F42" s="1069" t="s">
        <v>27</v>
      </c>
      <c r="G42" s="1069" t="s">
        <v>28</v>
      </c>
      <c r="H42" s="842"/>
      <c r="I42" s="1071" t="s">
        <v>13</v>
      </c>
      <c r="J42" s="1134" t="s">
        <v>111</v>
      </c>
      <c r="K42" s="1069" t="s">
        <v>29</v>
      </c>
      <c r="L42" s="1069" t="s">
        <v>131</v>
      </c>
      <c r="M42" s="1134" t="s">
        <v>162</v>
      </c>
      <c r="N42" s="1069" t="s">
        <v>26</v>
      </c>
      <c r="O42" s="1134" t="s">
        <v>163</v>
      </c>
      <c r="P42" s="1146"/>
      <c r="Q42" s="1150"/>
      <c r="R42" s="28" t="s">
        <v>148</v>
      </c>
      <c r="S42" s="1069" t="s">
        <v>17</v>
      </c>
      <c r="T42" s="1085" t="s">
        <v>139</v>
      </c>
      <c r="U42" s="1146"/>
      <c r="V42" s="1152"/>
      <c r="W42" s="1129" t="s">
        <v>96</v>
      </c>
      <c r="Y42" s="109"/>
      <c r="Z42" s="109"/>
      <c r="AA42" s="109"/>
      <c r="AB42" s="572"/>
      <c r="AC42" s="565"/>
    </row>
    <row r="43" spans="1:29" ht="33.75" hidden="1" customHeight="1">
      <c r="A43" s="896"/>
      <c r="B43" s="1141"/>
      <c r="C43" s="1142"/>
      <c r="D43" s="1070"/>
      <c r="E43" s="1070"/>
      <c r="F43" s="1070"/>
      <c r="G43" s="1070"/>
      <c r="H43" s="843"/>
      <c r="I43" s="1070"/>
      <c r="J43" s="1135"/>
      <c r="K43" s="1070"/>
      <c r="L43" s="1070"/>
      <c r="M43" s="1135"/>
      <c r="N43" s="1070"/>
      <c r="O43" s="1135"/>
      <c r="P43" s="1147"/>
      <c r="Q43" s="1151"/>
      <c r="R43" s="29" t="str">
        <f>IF($AR$3=1,"（乗除調整なし）",CONCATENATE("（乗除調整",TEXT($AR$3,"##/100"),")"))</f>
        <v>（乗除調整なし）</v>
      </c>
      <c r="S43" s="1070"/>
      <c r="T43" s="1086"/>
      <c r="U43" s="1147"/>
      <c r="V43" s="1153"/>
      <c r="W43" s="1130"/>
      <c r="Y43" s="109"/>
      <c r="Z43" s="109"/>
      <c r="AA43" s="109"/>
      <c r="AB43" s="572"/>
      <c r="AC43" s="565"/>
    </row>
    <row r="44" spans="1:29" hidden="1">
      <c r="A44" s="896"/>
      <c r="B44" s="896" t="s">
        <v>93</v>
      </c>
      <c r="C44" s="1079"/>
      <c r="D44" s="546" t="e">
        <f>IF(D$27="あり",VLOOKUP(SUM($D$8:$F$9),#REF!,13,TRUE),0)</f>
        <v>#REF!</v>
      </c>
      <c r="E44" s="550"/>
      <c r="F44" s="546">
        <f>IF(ISERROR(#REF!),0,#REF!)</f>
        <v>0</v>
      </c>
      <c r="G44" s="546">
        <f>IF(G$27="あり",VLOOKUP(SUM(D8:F9,$D11:E$12),#REF!,31,TRUE),0)</f>
        <v>0</v>
      </c>
      <c r="H44" s="546"/>
      <c r="I44" s="550"/>
      <c r="J44" s="546">
        <f>IF(K$27="あり",VLOOKUP(SUM($D$8:$F$9,D11:E12),#REF!,54,TRUE),0)</f>
        <v>0</v>
      </c>
      <c r="K44" s="550"/>
      <c r="L44" s="546">
        <f>IFERROR(-IF(ROUNDDOWN(SUM($D44,$E44,$G44)*VLOOKUP($M$27,#REF!,2,FALSE),-1)&lt;10,ROUNDDOWN(SUM($D44,$E44,$G44)*VLOOKUP($M$27,#REF!,2,FALSE),0),ROUNDDOWN(SUM($D44,$E44,$G44)*VLOOKUP($M$27,#REF!,2,FALSE),-1)),0)</f>
        <v>0</v>
      </c>
      <c r="M44" s="546">
        <f>IF(N$27="あり",-VLOOKUP(SUM($D$8:$F$9,D11:E12),#REF!,63,TRUE),0)</f>
        <v>0</v>
      </c>
      <c r="N44" s="546">
        <f>IF(AND($O27&lt;&gt;"なし",$O27&lt;&gt;""),-IF(ROUNDDOWN(VLOOKUP(SUM($D$8:$F$9,$D$11:$E$12),#REF!,65,TRUE)*O$27,-1)&lt;10,ROUNDDOWN(VLOOKUP(SUM($D$8:$F$9,$D$11:$E$12),#REF!,65,TRUE)*O$27,0),ROUNDDOWN(VLOOKUP(SUM($D$8:$F$9,$D$11:$E$12),#REF!,65,TRUE)*O$27,-1)),0)</f>
        <v>0</v>
      </c>
      <c r="O44" s="546">
        <f>IF(AND(P$27&lt;&gt;"なし",P$27&lt;&gt;""),-IF(ROUNDDOWN(VLOOKUP(SUM($D$8:$F$9,$D$11:$E$12),#REF!,67,TRUE)*P$27,-1)&lt;10,ROUNDDOWN(VLOOKUP(SUM($D$8:$F$9,$D$11:$E$12),#REF!,67,TRUE)*P$27,0),ROUNDDOWN(VLOOKUP(SUM($D$8:$F$9,$D$11:$E$12),#REF!,67,TRUE)*P$27,-1)),0)</f>
        <v>0</v>
      </c>
      <c r="P44" s="546"/>
      <c r="Q44" s="546"/>
      <c r="R44" s="586" t="e">
        <f>IF($AR$3=1,SUM($D44:$Q44),IF(ROUNDDOWN(SUM(D44:Q44)*$AR$3,-1)&lt;10,ROUNDDOWN(SUM(D44:Q44)*$AR$3,0),(ROUNDDOWN(SUM(D44:Q44)*$AR$3,-1))))</f>
        <v>#REF!</v>
      </c>
      <c r="S44" s="546">
        <f>IF(R$27="特児",IF(ROUNDDOWN(#REF!/$M$92,-1)&lt;10,ROUNDDOWN(#REF!/$M$92,0),ROUNDDOWN(#REF!/$M$92,-1)),IF(R$27="その他",IF(ROUNDDOWN(#REF!/$M$92,-1)&lt;10,ROUNDDOWN(#REF!/$M$92,0),ROUNDDOWN(#REF!/$M$92,-1)),0))</f>
        <v>0</v>
      </c>
      <c r="T44" s="547">
        <f>IF(S$27="配置",IF(ROUNDDOWN(#REF!/$M$92,-1)&lt;10,ROUNDDOWN(#REF!/$M$92,0),ROUNDDOWN(#REF!/$M$92,-1)),IF(S$27="兼務",IF(ROUNDDOWN(#REF!/$M$92,-1)&lt;10,ROUNDDOWN(#REF!/$M$92,0),ROUNDDOWN(#REF!/$M$92,-1)),0))</f>
        <v>0</v>
      </c>
      <c r="U44" s="546"/>
      <c r="V44" s="547"/>
      <c r="W44" s="555">
        <f>IF(ISERROR(SUM($R$44:$V$44)),0,SUM($R$44:$V$44))</f>
        <v>0</v>
      </c>
      <c r="Y44" s="109"/>
      <c r="Z44" s="109"/>
      <c r="AA44" s="109"/>
      <c r="AB44" s="572"/>
      <c r="AC44" s="565"/>
    </row>
    <row r="45" spans="1:29" ht="20.149999999999999" hidden="1" customHeight="1">
      <c r="A45" s="896"/>
      <c r="B45" s="896" t="s">
        <v>70</v>
      </c>
      <c r="C45" s="1079"/>
      <c r="D45" s="546" t="e">
        <f>IF(D$27="あり",VLOOKUP(SUM($D$8:$F$9),#REF!,13,TRUE),0)</f>
        <v>#REF!</v>
      </c>
      <c r="E45" s="550"/>
      <c r="F45" s="546">
        <f t="shared" ref="F45:J47" si="6">F44</f>
        <v>0</v>
      </c>
      <c r="G45" s="546">
        <f t="shared" si="6"/>
        <v>0</v>
      </c>
      <c r="H45" s="546"/>
      <c r="I45" s="550"/>
      <c r="J45" s="546">
        <f t="shared" si="6"/>
        <v>0</v>
      </c>
      <c r="K45" s="550"/>
      <c r="L45" s="546">
        <f>IFERROR(-IF(ROUNDDOWN(SUM($D45,$E45,$G45)*VLOOKUP($M$27,#REF!,2,FALSE),-1)&lt;10,ROUNDDOWN(SUM($D45,$E45,$G45)*VLOOKUP($M$27,#REF!,2,FALSE),0),ROUNDDOWN(SUM($D45,$E45,$G45)*VLOOKUP($M$27,#REF!,2,FALSE),-1)),0)</f>
        <v>0</v>
      </c>
      <c r="M45" s="546">
        <f>M44</f>
        <v>0</v>
      </c>
      <c r="N45" s="546">
        <f>N44</f>
        <v>0</v>
      </c>
      <c r="O45" s="546">
        <f>O44</f>
        <v>0</v>
      </c>
      <c r="P45" s="546"/>
      <c r="Q45" s="546"/>
      <c r="R45" s="586" t="e">
        <f>IF($AR$3=1,SUM($D45:$Q45),IF(ROUNDDOWN(SUM(D45:Q45)*$AR$3,-1)&lt;10,ROUNDDOWN(SUM(D45:Q45)*$AR$3,0),(ROUNDDOWN(SUM(D45:Q45)*$AR$3,-1))))</f>
        <v>#REF!</v>
      </c>
      <c r="S45" s="546">
        <f t="shared" ref="S45:T47" si="7">S44</f>
        <v>0</v>
      </c>
      <c r="T45" s="547">
        <f t="shared" si="7"/>
        <v>0</v>
      </c>
      <c r="U45" s="546"/>
      <c r="V45" s="547"/>
      <c r="W45" s="555">
        <f>IF(ISERROR(SUM($R$45:$V$45)),0,SUM($R$45:$V$45))</f>
        <v>0</v>
      </c>
      <c r="Y45" s="109"/>
      <c r="Z45" s="109"/>
      <c r="AA45" s="109"/>
      <c r="AB45" s="572"/>
      <c r="AC45" s="565"/>
    </row>
    <row r="46" spans="1:29" ht="20.149999999999999" hidden="1" customHeight="1">
      <c r="A46" s="896"/>
      <c r="B46" s="896" t="s">
        <v>7</v>
      </c>
      <c r="C46" s="1079"/>
      <c r="D46" s="546" t="e">
        <f>IF(D$27="あり",VLOOKUP(SUM($D$8:$F$9),#REF!,13,TRUE),0)</f>
        <v>#REF!</v>
      </c>
      <c r="E46" s="546">
        <f>IF(E$27="あり",VLOOKUP(SUM($D$8:$F$9),#REF!,18,TRUE),0)</f>
        <v>0</v>
      </c>
      <c r="F46" s="546">
        <f t="shared" si="6"/>
        <v>0</v>
      </c>
      <c r="G46" s="546">
        <f t="shared" si="6"/>
        <v>0</v>
      </c>
      <c r="H46" s="546"/>
      <c r="I46" s="602" t="e">
        <f>IF(AND($I$27&lt;&gt;"なし",$I$27&lt;&gt;""),VLOOKUP(#REF!,#REF!,3,TRUE)*$I$27,0)</f>
        <v>#N/A</v>
      </c>
      <c r="J46" s="546">
        <f t="shared" si="6"/>
        <v>0</v>
      </c>
      <c r="K46" s="550"/>
      <c r="L46" s="546">
        <f>IFERROR(-IF(ROUNDDOWN(SUM($D46,$E46,$G46)*VLOOKUP($M$27,#REF!,2,FALSE),-1)&lt;10,ROUNDDOWN(SUM($D46,$E46,$G46)*VLOOKUP($M$27,#REF!,2,FALSE),0),ROUNDDOWN(SUM($D46,$E46,$G46)*VLOOKUP($M$27,#REF!,2,FALSE),-1)),0)</f>
        <v>0</v>
      </c>
      <c r="M46" s="546">
        <f t="shared" ref="M46:O47" si="8">M45</f>
        <v>0</v>
      </c>
      <c r="N46" s="546">
        <f t="shared" si="8"/>
        <v>0</v>
      </c>
      <c r="O46" s="546">
        <f t="shared" si="8"/>
        <v>0</v>
      </c>
      <c r="P46" s="546"/>
      <c r="Q46" s="546"/>
      <c r="R46" s="586" t="e">
        <f>IF($AR$3=1,SUM($D46:$Q46),IF(ROUNDDOWN(SUM(D46:Q46)*$AR$3,-1)&lt;10,ROUNDDOWN(SUM(D46:Q46)*$AR$3,0),(ROUNDDOWN(SUM(D46:Q46)*$AR$3,-1))))</f>
        <v>#REF!</v>
      </c>
      <c r="S46" s="546">
        <f>S45</f>
        <v>0</v>
      </c>
      <c r="T46" s="547">
        <f t="shared" si="7"/>
        <v>0</v>
      </c>
      <c r="U46" s="546"/>
      <c r="V46" s="547"/>
      <c r="W46" s="555">
        <f>IF(ISERROR(SUM($R$46:$V$46)),0,SUM($R$46:$V$46))</f>
        <v>0</v>
      </c>
      <c r="Y46" s="109"/>
      <c r="Z46" s="109"/>
      <c r="AA46" s="109"/>
      <c r="AB46" s="565"/>
      <c r="AC46" s="565"/>
    </row>
    <row r="47" spans="1:29" ht="20.149999999999999" hidden="1" customHeight="1">
      <c r="A47" s="896"/>
      <c r="B47" s="896" t="s">
        <v>8</v>
      </c>
      <c r="C47" s="1079"/>
      <c r="D47" s="546" t="e">
        <f>IF(D$27="あり",VLOOKUP(SUM($D$8:$F$9),#REF!,13,TRUE),0)</f>
        <v>#REF!</v>
      </c>
      <c r="E47" s="550"/>
      <c r="F47" s="546">
        <f t="shared" si="6"/>
        <v>0</v>
      </c>
      <c r="G47" s="546">
        <f t="shared" si="6"/>
        <v>0</v>
      </c>
      <c r="H47" s="546"/>
      <c r="I47" s="602" t="e">
        <f>I46</f>
        <v>#N/A</v>
      </c>
      <c r="J47" s="546">
        <f t="shared" si="6"/>
        <v>0</v>
      </c>
      <c r="K47" s="550"/>
      <c r="L47" s="546">
        <f>IFERROR(-IF(ROUNDDOWN(SUM($D47,$E47,$G47)*VLOOKUP($M$27,#REF!,2,FALSE),-1)&lt;10,ROUNDDOWN(SUM($D47,$E47,$G47)*VLOOKUP($M$27,#REF!,2,FALSE),0),ROUNDDOWN(SUM($D47,$E47,$G47)*VLOOKUP($M$27,#REF!,2,FALSE),-1)),0)</f>
        <v>0</v>
      </c>
      <c r="M47" s="546">
        <f>M46</f>
        <v>0</v>
      </c>
      <c r="N47" s="546">
        <f>N46</f>
        <v>0</v>
      </c>
      <c r="O47" s="546">
        <f t="shared" si="8"/>
        <v>0</v>
      </c>
      <c r="P47" s="546"/>
      <c r="Q47" s="546"/>
      <c r="R47" s="586" t="e">
        <f>IF($AR$3=1,SUM($D47:$Q47),IF(ROUNDDOWN(SUM(D47:Q47)*$AR$3,-1)&lt;10,ROUNDDOWN(SUM(D47:Q47)*$AR$3,0),(ROUNDDOWN(SUM(D47:Q47)*$AR$3,-1))))</f>
        <v>#REF!</v>
      </c>
      <c r="S47" s="546">
        <f t="shared" si="7"/>
        <v>0</v>
      </c>
      <c r="T47" s="547">
        <f t="shared" si="7"/>
        <v>0</v>
      </c>
      <c r="U47" s="546"/>
      <c r="V47" s="547"/>
      <c r="W47" s="555">
        <f>IF(ISERROR(SUM($R$47:$V$47)),0,SUM($R$47:$V$47))</f>
        <v>0</v>
      </c>
      <c r="Y47" s="109"/>
      <c r="Z47" s="544"/>
      <c r="AA47" s="544"/>
      <c r="AB47" s="652"/>
      <c r="AC47" s="652"/>
    </row>
    <row r="48" spans="1:29" ht="20.149999999999999" hidden="1" customHeight="1">
      <c r="A48" s="389"/>
      <c r="B48" s="587"/>
      <c r="C48" s="587"/>
      <c r="D48" s="588"/>
      <c r="E48" s="589"/>
      <c r="F48" s="589"/>
      <c r="G48" s="589"/>
      <c r="H48" s="589"/>
      <c r="I48" s="589"/>
      <c r="J48" s="589"/>
      <c r="K48" s="589"/>
      <c r="L48" s="109"/>
      <c r="M48" s="109"/>
      <c r="N48" s="109"/>
      <c r="O48" s="109"/>
      <c r="P48" s="109"/>
      <c r="Q48" s="109"/>
      <c r="R48" s="109"/>
      <c r="S48" s="590"/>
      <c r="T48" s="109"/>
      <c r="U48" s="591"/>
      <c r="W48" s="592"/>
      <c r="Y48" s="109"/>
      <c r="Z48" s="109"/>
      <c r="AA48" s="109"/>
      <c r="AB48" s="572"/>
      <c r="AC48" s="565"/>
    </row>
    <row r="49" spans="1:38" ht="33.75" hidden="1" customHeight="1">
      <c r="A49" s="894" t="s">
        <v>47</v>
      </c>
      <c r="B49" s="1139" t="s">
        <v>35</v>
      </c>
      <c r="C49" s="1140"/>
      <c r="D49" s="1069" t="s">
        <v>9</v>
      </c>
      <c r="E49" s="1069" t="s">
        <v>25</v>
      </c>
      <c r="F49" s="1069" t="s">
        <v>27</v>
      </c>
      <c r="G49" s="1069" t="s">
        <v>28</v>
      </c>
      <c r="H49" s="842"/>
      <c r="I49" s="1071" t="s">
        <v>13</v>
      </c>
      <c r="J49" s="1134" t="s">
        <v>111</v>
      </c>
      <c r="K49" s="1069" t="s">
        <v>29</v>
      </c>
      <c r="L49" s="1069" t="s">
        <v>131</v>
      </c>
      <c r="M49" s="1134" t="s">
        <v>162</v>
      </c>
      <c r="N49" s="1069" t="s">
        <v>26</v>
      </c>
      <c r="O49" s="1134" t="s">
        <v>166</v>
      </c>
      <c r="P49" s="1146"/>
      <c r="Q49" s="1150"/>
      <c r="R49" s="31" t="s">
        <v>148</v>
      </c>
      <c r="S49" s="1069" t="s">
        <v>17</v>
      </c>
      <c r="T49" s="1069" t="s">
        <v>139</v>
      </c>
      <c r="U49" s="1146"/>
      <c r="V49" s="1152"/>
      <c r="W49" s="1129" t="s">
        <v>97</v>
      </c>
      <c r="Y49" s="109"/>
      <c r="Z49" s="109"/>
      <c r="AA49" s="109"/>
      <c r="AB49" s="572"/>
      <c r="AC49" s="565"/>
    </row>
    <row r="50" spans="1:38" ht="33.75" hidden="1" customHeight="1">
      <c r="A50" s="1143"/>
      <c r="B50" s="1141"/>
      <c r="C50" s="1142"/>
      <c r="D50" s="1070"/>
      <c r="E50" s="1070"/>
      <c r="F50" s="1070"/>
      <c r="G50" s="1070"/>
      <c r="H50" s="843"/>
      <c r="I50" s="1070"/>
      <c r="J50" s="1135"/>
      <c r="K50" s="1070"/>
      <c r="L50" s="1070"/>
      <c r="M50" s="1135"/>
      <c r="N50" s="1070"/>
      <c r="O50" s="1135"/>
      <c r="P50" s="1147"/>
      <c r="Q50" s="1151"/>
      <c r="R50" s="29" t="str">
        <f>IF($AR$3=1,"（乗除調整なし）",CONCATENATE("（乗除調整",TEXT($AR$3,"##/100"),")"))</f>
        <v>（乗除調整なし）</v>
      </c>
      <c r="S50" s="1070"/>
      <c r="T50" s="1070"/>
      <c r="U50" s="1147"/>
      <c r="V50" s="1153"/>
      <c r="W50" s="1130"/>
      <c r="Y50" s="109"/>
      <c r="Z50" s="109"/>
      <c r="AA50" s="109"/>
      <c r="AB50" s="572"/>
      <c r="AC50" s="565"/>
    </row>
    <row r="51" spans="1:38" hidden="1">
      <c r="A51" s="1143"/>
      <c r="B51" s="896" t="s">
        <v>93</v>
      </c>
      <c r="C51" s="1079"/>
      <c r="D51" s="546">
        <f>IF($L$27="あり",IF($D$27="あり",VLOOKUP(SUM($D$11:$E$12),#REF!,10,TRUE),0),)</f>
        <v>0</v>
      </c>
      <c r="E51" s="550"/>
      <c r="F51" s="546">
        <f>IF($L$27="あり",IF(ISERROR(#REF!),0,#REF!),0)</f>
        <v>0</v>
      </c>
      <c r="G51" s="546">
        <f>IF(G$27="あり",VLOOKUP(SUM(D8:F9,$D11:E$12),#REF!,31,TRUE),0)</f>
        <v>0</v>
      </c>
      <c r="H51" s="546"/>
      <c r="I51" s="546">
        <f>IF($L$27="あり",IF(AND($I$27&lt;&gt;"なし",$I$27&lt;&gt;""),VLOOKUP(#REF!,#REF!,3,TRUE))*$I$27,0)</f>
        <v>0</v>
      </c>
      <c r="J51" s="602">
        <f>IF($L$27="あり",IF(K$27="あり",VLOOKUP(SUM(D8:E9,D11:E12),#REF!,54,TRUE),0),0)</f>
        <v>0</v>
      </c>
      <c r="K51" s="546">
        <f>IF(L$27="あり",-IF(ROUNDDOWN(#REF!*'入力（加算）認'!$D51,-1)&lt;10,ROUNDDOWN(#REF!*'入力（加算）認'!$D51,0),ROUNDDOWN(#REF!*'入力（加算）認'!$D51,-1)),0)</f>
        <v>0</v>
      </c>
      <c r="L51" s="546">
        <f>IFERROR(-IF(ROUNDDOWN(SUM($D51,$E51,$G51)*VLOOKUP($M$27,#REF!,2,FALSE),-1)&lt;10,ROUNDDOWN(SUM($D51,$E51,$G51)*VLOOKUP($M$27,#REF!,2,FALSE),0),ROUNDDOWN(SUM($D51,$E51,$G51)*VLOOKUP($M$27,#REF!,2,FALSE),-1)),0)</f>
        <v>0</v>
      </c>
      <c r="M51" s="546">
        <f>IF(N$27="あり",-VLOOKUP(SUM($D$8:$F$9,D11:E12),#REF!,63,TRUE),0)</f>
        <v>0</v>
      </c>
      <c r="N51" s="546">
        <f>IF(AND($O27&lt;&gt;"なし",$O27&lt;&gt;""),-IF(ROUNDDOWN(VLOOKUP(SUM($D$8:$F$9,$D$11:$E$12),#REF!,65,TRUE)*O$27,-1)&lt;10,ROUNDDOWN(VLOOKUP(SUM($D$8:$F$9,$D$11:$E$12),#REF!,65,TRUE)*O$27,0),ROUNDDOWN(VLOOKUP(SUM($D$8:$F$9,$D$11:$E$12),#REF!,65,TRUE)*O$27,-1)),0)</f>
        <v>0</v>
      </c>
      <c r="O51" s="546">
        <f>IF(AND(P$27&lt;&gt;"なし",P$27&lt;&gt;""),-IF(ROUNDDOWN(VLOOKUP(SUM($D$8:$F$9,$D$11:$E$12),#REF!,67,TRUE)*P$27,-1)&lt;10,ROUNDDOWN(VLOOKUP(SUM($D$8:$F$9,$D$11:$E$12),#REF!,67,TRUE)*P$27,0),ROUNDDOWN(VLOOKUP(SUM($D$8:$F$9,$D$11:$E$12),#REF!,67,TRUE)*P$27,-1)),0)</f>
        <v>0</v>
      </c>
      <c r="P51" s="546"/>
      <c r="Q51" s="546"/>
      <c r="R51" s="586">
        <f>IF($AR$3=1,SUM($D51:$Q51),IF(ROUNDDOWN(SUM(D51:Q51)*$AR$3,-1)&lt;10,ROUNDDOWN(SUM(D51:Q51)*$AR$3,0),(ROUNDDOWN(SUM(D51:Q51)*$AR$3,-1))))</f>
        <v>0</v>
      </c>
      <c r="S51" s="546">
        <f>IF(R$27="特児",IF(ROUNDDOWN(#REF!/$M$92,-1)&lt;10,ROUNDDOWN(#REF!/$M$92,0),ROUNDDOWN(#REF!/$M$92,-1)),IF(R$27="その他",IF(ROUNDDOWN(#REF!/$M$92,-1)&lt;10,ROUNDDOWN(#REF!/$M$92,0),ROUNDDOWN(#REF!/$M$92,-1)),0))</f>
        <v>0</v>
      </c>
      <c r="T51" s="547">
        <f>IF(S$27="配置",IF(ROUNDDOWN(#REF!/$M$92,-1)&lt;10,ROUNDDOWN(#REF!/$M$92,0),ROUNDDOWN(#REF!/$M$92,-1)),IF(S$27="兼務",IF(ROUNDDOWN(#REF!/$M$92,-1)&lt;10,ROUNDDOWN(#REF!/$M$92,0),ROUNDDOWN(#REF!/$M$92,-1)),0))</f>
        <v>0</v>
      </c>
      <c r="U51" s="546"/>
      <c r="V51" s="547"/>
      <c r="W51" s="555">
        <f>IF(ISERROR(SUM($R$51:$V$51)),0,SUM($R$51:$V$51))</f>
        <v>0</v>
      </c>
      <c r="Y51" s="109"/>
      <c r="Z51" s="109"/>
      <c r="AA51" s="109"/>
      <c r="AB51" s="572"/>
      <c r="AC51" s="565"/>
    </row>
    <row r="52" spans="1:38" ht="20.149999999999999" hidden="1" customHeight="1">
      <c r="A52" s="1143"/>
      <c r="B52" s="896" t="s">
        <v>70</v>
      </c>
      <c r="C52" s="1079"/>
      <c r="D52" s="546">
        <f>IF($L$27="あり",IF($D$27="あり",VLOOKUP(SUM($D$11:$E$12),#REF!,10,TRUE),0),)</f>
        <v>0</v>
      </c>
      <c r="E52" s="550"/>
      <c r="F52" s="546">
        <f t="shared" ref="F52:J54" si="9">F51</f>
        <v>0</v>
      </c>
      <c r="G52" s="546">
        <f t="shared" si="9"/>
        <v>0</v>
      </c>
      <c r="H52" s="546"/>
      <c r="I52" s="546">
        <f>I51</f>
        <v>0</v>
      </c>
      <c r="J52" s="602">
        <f t="shared" si="9"/>
        <v>0</v>
      </c>
      <c r="K52" s="546">
        <f>IF(L$27="あり",-IF(ROUNDDOWN(#REF!*'入力（加算）認'!$D52,-1)&lt;10,ROUNDDOWN(#REF!*'入力（加算）認'!$D52,0),ROUNDDOWN(#REF!*'入力（加算）認'!$D52,-1)),0)</f>
        <v>0</v>
      </c>
      <c r="L52" s="546">
        <f>IFERROR(-IF(ROUNDDOWN(SUM($D52,$E52,$G52)*VLOOKUP($M$27,#REF!,2,FALSE),-1)&lt;10,ROUNDDOWN(SUM($D52,$E52,$G52)*VLOOKUP($M$27,#REF!,2,FALSE),0),ROUNDDOWN(SUM($D52,$E52,$G52)*VLOOKUP($M$27,#REF!,2,FALSE),-1)),0)</f>
        <v>0</v>
      </c>
      <c r="M52" s="546">
        <f>M51</f>
        <v>0</v>
      </c>
      <c r="N52" s="546">
        <f>N51</f>
        <v>0</v>
      </c>
      <c r="O52" s="546">
        <f>O51</f>
        <v>0</v>
      </c>
      <c r="P52" s="546"/>
      <c r="Q52" s="546"/>
      <c r="R52" s="586">
        <f>IF($AR$3=1,SUM($D52:$Q52),IF(ROUNDDOWN(SUM(D52:Q52)*$AR$3,-1)&lt;10,ROUNDDOWN(SUM(D52:Q52)*$AR$3,0),(ROUNDDOWN(SUM(D52:Q52)*$AR$3,-1))))</f>
        <v>0</v>
      </c>
      <c r="S52" s="546">
        <f t="shared" ref="S52:T54" si="10">S51</f>
        <v>0</v>
      </c>
      <c r="T52" s="547">
        <f t="shared" si="10"/>
        <v>0</v>
      </c>
      <c r="U52" s="546"/>
      <c r="V52" s="547"/>
      <c r="W52" s="555">
        <f>IF(ISERROR(SUM($R$52:$V$52)),0,SUM($R$52:$V$52))</f>
        <v>0</v>
      </c>
      <c r="Y52" s="109"/>
      <c r="Z52" s="109"/>
      <c r="AA52" s="109"/>
      <c r="AB52" s="565"/>
      <c r="AC52" s="565"/>
    </row>
    <row r="53" spans="1:38" ht="20.149999999999999" hidden="1" customHeight="1">
      <c r="A53" s="1143"/>
      <c r="B53" s="896" t="s">
        <v>7</v>
      </c>
      <c r="C53" s="1079"/>
      <c r="D53" s="546">
        <f>IF($L$27="あり",IF($D$27="あり",VLOOKUP(SUM($D$11:$E$12),#REF!,10,TRUE),0),0)</f>
        <v>0</v>
      </c>
      <c r="E53" s="546">
        <f>IFERROR(IF(E$27="あり",VLOOKUP(SUM($D$11:$E$12),#REF!,18,TRUE),0),0)</f>
        <v>0</v>
      </c>
      <c r="F53" s="546">
        <f t="shared" si="9"/>
        <v>0</v>
      </c>
      <c r="G53" s="546">
        <f t="shared" si="9"/>
        <v>0</v>
      </c>
      <c r="H53" s="546"/>
      <c r="I53" s="546">
        <f>I52</f>
        <v>0</v>
      </c>
      <c r="J53" s="602">
        <f t="shared" si="9"/>
        <v>0</v>
      </c>
      <c r="K53" s="546">
        <f>IF(L$27="あり",-IF(ROUNDDOWN(#REF!*'入力（加算）認'!$D53,-1)&lt;10,ROUNDDOWN(#REF!*'入力（加算）認'!$D53,0),ROUNDDOWN(#REF!*'入力（加算）認'!$D53,-1)),0)</f>
        <v>0</v>
      </c>
      <c r="L53" s="546">
        <f>IFERROR(-IF(ROUNDDOWN(SUM($D53,$E53,$G53)*VLOOKUP($M$27,#REF!,2,FALSE),-1)&lt;10,ROUNDDOWN(SUM($D53,$E53,$G53)*VLOOKUP($M$27,#REF!,2,FALSE),0),ROUNDDOWN(SUM($D53,$E53,$G53)*VLOOKUP($M$27,#REF!,2,FALSE),-1)),0)</f>
        <v>0</v>
      </c>
      <c r="M53" s="546">
        <f t="shared" ref="M53:O54" si="11">M52</f>
        <v>0</v>
      </c>
      <c r="N53" s="546">
        <f t="shared" si="11"/>
        <v>0</v>
      </c>
      <c r="O53" s="546">
        <f t="shared" si="11"/>
        <v>0</v>
      </c>
      <c r="P53" s="546"/>
      <c r="Q53" s="546"/>
      <c r="R53" s="586">
        <f>IF($AR$3=1,SUM($D53:$Q53),IF(ROUNDDOWN(SUM(D53:Q53)*$AR$3,-1)&lt;10,ROUNDDOWN(SUM(D53:Q53)*$AR$3,0),(ROUNDDOWN(SUM(D53:Q53)*$AR$3,-1))))</f>
        <v>0</v>
      </c>
      <c r="S53" s="546">
        <f t="shared" si="10"/>
        <v>0</v>
      </c>
      <c r="T53" s="547">
        <f t="shared" si="10"/>
        <v>0</v>
      </c>
      <c r="U53" s="546"/>
      <c r="V53" s="547"/>
      <c r="W53" s="555">
        <f>IF(ISERROR(SUM($R$53:$V$53)),0,SUM($R$53:$V$53))</f>
        <v>0</v>
      </c>
      <c r="Y53" s="109"/>
      <c r="Z53" s="109"/>
      <c r="AA53" s="109"/>
      <c r="AB53" s="109"/>
      <c r="AC53" s="109"/>
    </row>
    <row r="54" spans="1:38" ht="20.149999999999999" hidden="1" customHeight="1">
      <c r="A54" s="1143"/>
      <c r="B54" s="896" t="s">
        <v>8</v>
      </c>
      <c r="C54" s="1079"/>
      <c r="D54" s="546">
        <f>IF($L$27="あり",IF($D$27="あり",VLOOKUP(SUM($D$11:$E$12),#REF!,10,TRUE),0),0)</f>
        <v>0</v>
      </c>
      <c r="E54" s="550"/>
      <c r="F54" s="546">
        <f t="shared" si="9"/>
        <v>0</v>
      </c>
      <c r="G54" s="546">
        <f t="shared" si="9"/>
        <v>0</v>
      </c>
      <c r="H54" s="546"/>
      <c r="I54" s="546">
        <f>I53</f>
        <v>0</v>
      </c>
      <c r="J54" s="602">
        <f t="shared" si="9"/>
        <v>0</v>
      </c>
      <c r="K54" s="546">
        <f>IF(L$27="あり",-IF(ROUNDDOWN(#REF!*'入力（加算）認'!$D54,-1)&lt;10,ROUNDDOWN(#REF!*'入力（加算）認'!$D54,0),ROUNDDOWN(#REF!*'入力（加算）認'!$D54,-1)),0)</f>
        <v>0</v>
      </c>
      <c r="L54" s="546">
        <f>IFERROR(-IF(ROUNDDOWN(SUM($D54,$E54,$G54)*VLOOKUP($M$27,#REF!,2,FALSE),-1)&lt;10,ROUNDDOWN(SUM($D54,$E54,$G54)*VLOOKUP($M$27,#REF!,2,FALSE),0),ROUNDDOWN(SUM($D54,$E54,$G54)*VLOOKUP($M$27,#REF!,2,FALSE),-1)),0)</f>
        <v>0</v>
      </c>
      <c r="M54" s="546">
        <f>M53</f>
        <v>0</v>
      </c>
      <c r="N54" s="546">
        <f>N53</f>
        <v>0</v>
      </c>
      <c r="O54" s="546">
        <f t="shared" si="11"/>
        <v>0</v>
      </c>
      <c r="P54" s="451"/>
      <c r="Q54" s="451"/>
      <c r="R54" s="586">
        <f>IF($AR$3=1,SUM($D54:$Q54),IF(ROUNDDOWN(SUM(D54:Q54)*$AR$3,-1)&lt;10,ROUNDDOWN(SUM(D54:Q54)*$AR$3,0),(ROUNDDOWN(SUM(D54:Q54)*$AR$3,-1))))</f>
        <v>0</v>
      </c>
      <c r="S54" s="546">
        <f t="shared" si="10"/>
        <v>0</v>
      </c>
      <c r="T54" s="547">
        <f t="shared" si="10"/>
        <v>0</v>
      </c>
      <c r="U54" s="451"/>
      <c r="V54" s="450"/>
      <c r="W54" s="555">
        <f>IF(ISERROR(SUM($R$54:$V$54)),0,SUM($R$54:$V$54))</f>
        <v>0</v>
      </c>
      <c r="Y54" s="109"/>
      <c r="Z54" s="544"/>
      <c r="AA54" s="544"/>
      <c r="AB54" s="652"/>
      <c r="AC54" s="652"/>
    </row>
    <row r="55" spans="1:38" ht="33.75" hidden="1" customHeight="1">
      <c r="A55" s="1143"/>
      <c r="B55" s="1139" t="s">
        <v>95</v>
      </c>
      <c r="C55" s="1140"/>
      <c r="D55" s="1069" t="s">
        <v>9</v>
      </c>
      <c r="E55" s="1069" t="s">
        <v>25</v>
      </c>
      <c r="F55" s="1069" t="s">
        <v>27</v>
      </c>
      <c r="G55" s="1069" t="s">
        <v>28</v>
      </c>
      <c r="H55" s="842"/>
      <c r="I55" s="1071" t="s">
        <v>13</v>
      </c>
      <c r="J55" s="1134" t="s">
        <v>111</v>
      </c>
      <c r="K55" s="1069" t="s">
        <v>29</v>
      </c>
      <c r="L55" s="1069" t="s">
        <v>131</v>
      </c>
      <c r="M55" s="1134" t="s">
        <v>167</v>
      </c>
      <c r="N55" s="1069" t="s">
        <v>26</v>
      </c>
      <c r="O55" s="1134" t="s">
        <v>163</v>
      </c>
      <c r="P55" s="1146"/>
      <c r="Q55" s="1150"/>
      <c r="R55" s="28" t="s">
        <v>148</v>
      </c>
      <c r="S55" s="1069" t="s">
        <v>17</v>
      </c>
      <c r="T55" s="1085" t="s">
        <v>139</v>
      </c>
      <c r="U55" s="1146"/>
      <c r="V55" s="1152"/>
      <c r="W55" s="1129" t="s">
        <v>116</v>
      </c>
      <c r="Y55" s="109"/>
      <c r="Z55" s="109"/>
      <c r="AA55" s="109"/>
      <c r="AB55" s="572"/>
      <c r="AC55" s="565"/>
    </row>
    <row r="56" spans="1:38" s="25" customFormat="1" ht="33.75" hidden="1" customHeight="1">
      <c r="A56" s="1143"/>
      <c r="B56" s="1141"/>
      <c r="C56" s="1142"/>
      <c r="D56" s="1070"/>
      <c r="E56" s="1070"/>
      <c r="F56" s="1070"/>
      <c r="G56" s="1070"/>
      <c r="H56" s="843"/>
      <c r="I56" s="1070"/>
      <c r="J56" s="1135"/>
      <c r="K56" s="1070"/>
      <c r="L56" s="1070"/>
      <c r="M56" s="1135"/>
      <c r="N56" s="1070"/>
      <c r="O56" s="1135"/>
      <c r="P56" s="1147"/>
      <c r="Q56" s="1151"/>
      <c r="R56" s="29" t="str">
        <f>IF($AR$3=1,"（乗除調整なし）",CONCATENATE("（乗除調整",TEXT($AR$3,"##/100"),")"))</f>
        <v>（乗除調整なし）</v>
      </c>
      <c r="S56" s="1070"/>
      <c r="T56" s="1086"/>
      <c r="U56" s="1147"/>
      <c r="V56" s="1153"/>
      <c r="W56" s="1130"/>
      <c r="X56" s="390"/>
      <c r="Y56" s="109"/>
      <c r="Z56" s="109"/>
      <c r="AA56" s="109"/>
      <c r="AB56" s="110"/>
      <c r="AC56" s="565"/>
      <c r="AD56" s="390"/>
      <c r="AL56" s="390"/>
    </row>
    <row r="57" spans="1:38" s="25" customFormat="1" hidden="1">
      <c r="A57" s="1143"/>
      <c r="B57" s="896" t="s">
        <v>93</v>
      </c>
      <c r="C57" s="1079"/>
      <c r="D57" s="546">
        <f>IF($L$27="あり",IF($D$27="あり",VLOOKUP(SUM($D$11:$E$12),#REF!,13,TRUE),0),0)</f>
        <v>0</v>
      </c>
      <c r="E57" s="550"/>
      <c r="F57" s="546">
        <f>IF($L$27="あり",IF(ISERROR(#REF!),0,#REF!),0)</f>
        <v>0</v>
      </c>
      <c r="G57" s="546">
        <f>IF(G$27="あり",VLOOKUP(SUM(D8:F9,$D11:E$12),#REF!,31,TRUE),0)</f>
        <v>0</v>
      </c>
      <c r="H57" s="546"/>
      <c r="I57" s="546">
        <f>IF($L$27="あり",IF(AND($I$27&lt;&gt;"なし",$I$27&lt;&gt;""),VLOOKUP(#REF!,#REF!,3,TRUE))*$I$27,0)</f>
        <v>0</v>
      </c>
      <c r="J57" s="602">
        <f>IF($L$27="あり",IF(K$27="あり",VLOOKUP(SUM(D8:E9,D11:E12),#REF!,54,TRUE),0),0)</f>
        <v>0</v>
      </c>
      <c r="K57" s="546">
        <f>IF(L$27="あり",-IF(ROUNDDOWN(#REF!*'入力（加算）認'!$D57,-1)&lt;10,ROUNDDOWN(#REF!*'入力（加算）認'!$D57,0),ROUNDDOWN(#REF!*'入力（加算）認'!$D57,-1)),0)</f>
        <v>0</v>
      </c>
      <c r="L57" s="546">
        <f>IFERROR(-IF(ROUNDDOWN(SUM($D57,$E57,$G57)*VLOOKUP($M$27,#REF!,2,FALSE),-1)&lt;10,ROUNDDOWN(SUM($D57,$E57,$G57)*VLOOKUP($M$27,#REF!,2,FALSE),0),ROUNDDOWN(SUM($D57,$E57,$G57)*VLOOKUP($M$27,#REF!,2,FALSE),-1)),0)</f>
        <v>0</v>
      </c>
      <c r="M57" s="546">
        <f>IF(N$27="あり",-VLOOKUP(SUM($D$8:$F$9,D11:E12),#REF!,63,TRUE),0)</f>
        <v>0</v>
      </c>
      <c r="N57" s="546">
        <f>IF(AND($O27&lt;&gt;"なし",$O27&lt;&gt;""),-IF(ROUNDDOWN(VLOOKUP(SUM($D$8:$F$9,$D$11:$E$12),#REF!,65,TRUE)*O$27,-1)&lt;10,ROUNDDOWN(VLOOKUP(SUM($D$8:$F$9,$D$11:$E$12),#REF!,65,TRUE)*O$27,0),ROUNDDOWN(VLOOKUP(SUM($D$8:$F$9,$D$11:$E$12),#REF!,65,TRUE)*O$27,-1)),0)</f>
        <v>0</v>
      </c>
      <c r="O57" s="546">
        <f>IF(AND(P$27&lt;&gt;"なし",P$27&lt;&gt;""),-IF(ROUNDDOWN(VLOOKUP(SUM($D$8:$F$9,$D$11:$E$12),#REF!,67,TRUE)*P$27,-1)&lt;10,ROUNDDOWN(VLOOKUP(SUM($D$8:$F$9,$D$11:$E$12),#REF!,67,TRUE)*P$27,0),ROUNDDOWN(VLOOKUP(SUM($D$8:$F$9,$D$11:$E$12),#REF!,67,TRUE)*P$27,-1)),0)</f>
        <v>0</v>
      </c>
      <c r="P57" s="546"/>
      <c r="Q57" s="546"/>
      <c r="R57" s="586">
        <f>IF($AR$3=1,SUM($D57:$Q57),IF(ROUNDDOWN(SUM(D57:Q57)*$AR$3,-1)&lt;10,ROUNDDOWN(SUM(D57:Q57)*$AR$3,0),(ROUNDDOWN(SUM(D57:Q57)*$AR$3,-1))))</f>
        <v>0</v>
      </c>
      <c r="S57" s="546">
        <f>IF(R$27="特児",IF(ROUNDDOWN(#REF!/$M$92,-1)&lt;10,ROUNDDOWN(#REF!/$M$92,0),ROUNDDOWN(#REF!/$M$92,-1)),IF(R$27="その他",IF(ROUNDDOWN(#REF!/$M$92,-1)&lt;10,ROUNDDOWN(#REF!/$M$92,0),ROUNDDOWN(#REF!/$M$92,-1)),0))</f>
        <v>0</v>
      </c>
      <c r="T57" s="547">
        <f>IF(S$27="配置",IF(ROUNDDOWN(#REF!/$M$92,-1)&lt;10,ROUNDDOWN(#REF!/$M$92,0),ROUNDDOWN(#REF!/$M$92,-1)),IF(S$27="兼務",IF(ROUNDDOWN(#REF!/$M$92,-1)&lt;10,ROUNDDOWN(#REF!/$M$92,0),ROUNDDOWN(#REF!/$M$92,-1)),0))</f>
        <v>0</v>
      </c>
      <c r="U57" s="546"/>
      <c r="V57" s="547"/>
      <c r="W57" s="555">
        <f>IF(ISERROR(SUM($R$57:$V$57)),0,SUM($R$57:$V$57))</f>
        <v>0</v>
      </c>
      <c r="X57" s="390"/>
      <c r="Y57" s="109"/>
      <c r="Z57" s="109"/>
      <c r="AA57" s="109"/>
      <c r="AB57" s="110"/>
      <c r="AC57" s="565"/>
      <c r="AD57" s="390"/>
      <c r="AK57" s="390"/>
    </row>
    <row r="58" spans="1:38" s="25" customFormat="1" ht="20.149999999999999" hidden="1" customHeight="1">
      <c r="A58" s="1143"/>
      <c r="B58" s="896" t="s">
        <v>70</v>
      </c>
      <c r="C58" s="1079"/>
      <c r="D58" s="546">
        <f>IF($L$27="あり",IF($D$27="あり",VLOOKUP(SUM($D$11:$E$12),#REF!,13,TRUE),0),0)</f>
        <v>0</v>
      </c>
      <c r="E58" s="550"/>
      <c r="F58" s="546">
        <f t="shared" ref="F58:J60" si="12">F57</f>
        <v>0</v>
      </c>
      <c r="G58" s="546">
        <f t="shared" si="12"/>
        <v>0</v>
      </c>
      <c r="H58" s="546"/>
      <c r="I58" s="546">
        <f>I57</f>
        <v>0</v>
      </c>
      <c r="J58" s="602">
        <f t="shared" si="12"/>
        <v>0</v>
      </c>
      <c r="K58" s="546">
        <f>IF(L$27="あり",-IF(ROUNDDOWN(#REF!*'入力（加算）認'!$D58,-1)&lt;10,ROUNDDOWN(#REF!*'入力（加算）認'!$D58,0),ROUNDDOWN(#REF!*'入力（加算）認'!$D58,-1)),0)</f>
        <v>0</v>
      </c>
      <c r="L58" s="546">
        <f>IFERROR(-IF(ROUNDDOWN(SUM($D58,$E58,$G58)*VLOOKUP($M$27,#REF!,2,FALSE),-1)&lt;10,ROUNDDOWN(SUM($D58,$E58,$G58)*VLOOKUP($M$27,#REF!,2,FALSE),0),ROUNDDOWN(SUM($D58,$E58,$G58)*VLOOKUP($M$27,#REF!,2,FALSE),-1)),0)</f>
        <v>0</v>
      </c>
      <c r="M58" s="546">
        <f t="shared" ref="M58:O60" si="13">M57</f>
        <v>0</v>
      </c>
      <c r="N58" s="546">
        <f t="shared" si="13"/>
        <v>0</v>
      </c>
      <c r="O58" s="546">
        <f t="shared" si="13"/>
        <v>0</v>
      </c>
      <c r="P58" s="546"/>
      <c r="Q58" s="546"/>
      <c r="R58" s="586">
        <f>IF($AR$3=1,SUM($D58:$Q58),IF(ROUNDDOWN(SUM(D58:Q58)*$AR$3,-1)&lt;10,ROUNDDOWN(SUM(D58:Q58)*$AR$3,0),(ROUNDDOWN(SUM(D58:Q58)*$AR$3,-1))))</f>
        <v>0</v>
      </c>
      <c r="S58" s="546">
        <f t="shared" ref="S58:T60" si="14">S57</f>
        <v>0</v>
      </c>
      <c r="T58" s="547">
        <f t="shared" si="14"/>
        <v>0</v>
      </c>
      <c r="U58" s="546"/>
      <c r="V58" s="547"/>
      <c r="W58" s="555">
        <f>IF(ISERROR(SUM($R$58:$V$58)),0,SUM($R$58:$V$58))</f>
        <v>0</v>
      </c>
      <c r="X58" s="390"/>
      <c r="Y58" s="109"/>
      <c r="Z58" s="109"/>
      <c r="AA58" s="109"/>
      <c r="AB58" s="110"/>
      <c r="AC58" s="565"/>
      <c r="AD58" s="390"/>
      <c r="AK58" s="390"/>
    </row>
    <row r="59" spans="1:38" s="25" customFormat="1" ht="20.149999999999999" hidden="1" customHeight="1">
      <c r="A59" s="1143"/>
      <c r="B59" s="896" t="s">
        <v>7</v>
      </c>
      <c r="C59" s="1079"/>
      <c r="D59" s="546">
        <f>IF($L$27="あり",IF(D$27="あり",VLOOKUP(SUM($D$11:$E$12),#REF!,13,TRUE),0),0)</f>
        <v>0</v>
      </c>
      <c r="E59" s="546">
        <f>IFERROR(IF(E$27="あり",VLOOKUP(SUM($D$11:$E$12),#REF!,18,TRUE),0),0)</f>
        <v>0</v>
      </c>
      <c r="F59" s="546">
        <f t="shared" si="12"/>
        <v>0</v>
      </c>
      <c r="G59" s="546">
        <f t="shared" si="12"/>
        <v>0</v>
      </c>
      <c r="H59" s="546"/>
      <c r="I59" s="546">
        <f>I58</f>
        <v>0</v>
      </c>
      <c r="J59" s="602">
        <f t="shared" si="12"/>
        <v>0</v>
      </c>
      <c r="K59" s="546">
        <f>IF(L$27="あり",-IF(ROUNDDOWN(#REF!*'入力（加算）認'!$D59,-1)&lt;10,ROUNDDOWN(#REF!*'入力（加算）認'!$D59,0),ROUNDDOWN(#REF!*'入力（加算）認'!$D59,-1)),0)</f>
        <v>0</v>
      </c>
      <c r="L59" s="546">
        <f>IFERROR(-IF(ROUNDDOWN(SUM($D59,$E59,$G59)*VLOOKUP($M$27,#REF!,2,FALSE),-1)&lt;10,ROUNDDOWN(SUM($D59,$E59,$G59)*VLOOKUP($M$27,#REF!,2,FALSE),0),ROUNDDOWN(SUM($D59,$E59,$G59)*VLOOKUP($M$27,#REF!,2,FALSE),-1)),0)</f>
        <v>0</v>
      </c>
      <c r="M59" s="546">
        <f t="shared" si="13"/>
        <v>0</v>
      </c>
      <c r="N59" s="546">
        <f t="shared" si="13"/>
        <v>0</v>
      </c>
      <c r="O59" s="546">
        <f t="shared" si="13"/>
        <v>0</v>
      </c>
      <c r="P59" s="546"/>
      <c r="Q59" s="546"/>
      <c r="R59" s="586">
        <f>IF($AR$3=1,SUM($D59:$Q59),IF(ROUNDDOWN(SUM(D59:Q59)*$AR$3,-1)&lt;10,ROUNDDOWN(SUM(D59:Q59)*$AR$3,0),(ROUNDDOWN(SUM(D59:Q59)*$AR$3,-1))))</f>
        <v>0</v>
      </c>
      <c r="S59" s="546">
        <f t="shared" si="14"/>
        <v>0</v>
      </c>
      <c r="T59" s="547">
        <f t="shared" si="14"/>
        <v>0</v>
      </c>
      <c r="U59" s="546"/>
      <c r="V59" s="547"/>
      <c r="W59" s="555">
        <f>IF(ISERROR(SUM($R$59:$V$59)),0,SUM($R$59:$V$59))</f>
        <v>0</v>
      </c>
      <c r="X59" s="390"/>
      <c r="Y59" s="109"/>
      <c r="Z59" s="109"/>
      <c r="AA59" s="109"/>
      <c r="AB59" s="565"/>
      <c r="AC59" s="565"/>
      <c r="AD59" s="390"/>
      <c r="AK59" s="390"/>
    </row>
    <row r="60" spans="1:38" ht="20.149999999999999" hidden="1" customHeight="1" thickBot="1">
      <c r="A60" s="1144"/>
      <c r="B60" s="896" t="s">
        <v>8</v>
      </c>
      <c r="C60" s="1079"/>
      <c r="D60" s="546">
        <f>IF($L$27="あり",IF(D$27="あり",VLOOKUP(SUM($D$11:$E$12),#REF!,13,TRUE),0),0)</f>
        <v>0</v>
      </c>
      <c r="E60" s="550"/>
      <c r="F60" s="546">
        <f t="shared" si="12"/>
        <v>0</v>
      </c>
      <c r="G60" s="546">
        <f t="shared" si="12"/>
        <v>0</v>
      </c>
      <c r="H60" s="546"/>
      <c r="I60" s="546">
        <f>I59</f>
        <v>0</v>
      </c>
      <c r="J60" s="602">
        <f t="shared" si="12"/>
        <v>0</v>
      </c>
      <c r="K60" s="546">
        <f>IF(L$27="あり",-IF(ROUNDDOWN(#REF!*'入力（加算）認'!$D60,-1)&lt;10,ROUNDDOWN(#REF!*'入力（加算）認'!$D60,0),ROUNDDOWN(#REF!*'入力（加算）認'!$D60,-1)),0)</f>
        <v>0</v>
      </c>
      <c r="L60" s="546">
        <f>IFERROR(-IF(ROUNDDOWN(SUM($D60,$E60,$G60)*VLOOKUP($M$27,#REF!,2,FALSE),-1)&lt;10,ROUNDDOWN(SUM($D60,$E60,$G60)*VLOOKUP($M$27,#REF!,2,FALSE),0),ROUNDDOWN(SUM($D60,$E60,$G60)*VLOOKUP($M$27,#REF!,2,FALSE),-1)),0)</f>
        <v>0</v>
      </c>
      <c r="M60" s="546">
        <f t="shared" si="13"/>
        <v>0</v>
      </c>
      <c r="N60" s="546">
        <f t="shared" si="13"/>
        <v>0</v>
      </c>
      <c r="O60" s="546">
        <f t="shared" si="13"/>
        <v>0</v>
      </c>
      <c r="P60" s="451"/>
      <c r="Q60" s="451"/>
      <c r="R60" s="586">
        <f>IF($AR$3=1,SUM($D60:$Q60),IF(ROUNDDOWN(SUM(D60:Q60)*$AR$3,-1)&lt;10,ROUNDDOWN(SUM(D60:Q60)*$AR$3,0),(ROUNDDOWN(SUM(D60:Q60)*$AR$3,-1))))</f>
        <v>0</v>
      </c>
      <c r="S60" s="546">
        <f t="shared" si="14"/>
        <v>0</v>
      </c>
      <c r="T60" s="547">
        <f t="shared" si="14"/>
        <v>0</v>
      </c>
      <c r="U60" s="451"/>
      <c r="V60" s="450"/>
      <c r="W60" s="559">
        <f>IF(ISERROR(SUM($R$60:$V$60)),0,SUM($R$60:$V$60))</f>
        <v>0</v>
      </c>
      <c r="Y60" s="109"/>
      <c r="Z60" s="544"/>
      <c r="AA60" s="544"/>
      <c r="AB60" s="652"/>
      <c r="AC60" s="652"/>
    </row>
    <row r="61" spans="1:38" ht="20.149999999999999" hidden="1" customHeight="1">
      <c r="A61" s="389"/>
      <c r="B61" s="128"/>
      <c r="C61" s="128"/>
      <c r="D61" s="551"/>
      <c r="E61" s="544"/>
      <c r="F61" s="544"/>
      <c r="G61" s="544"/>
      <c r="H61" s="544"/>
      <c r="I61" s="544"/>
      <c r="J61" s="551"/>
      <c r="K61" s="551"/>
      <c r="L61" s="551"/>
      <c r="M61" s="551"/>
      <c r="N61" s="551"/>
      <c r="O61" s="551"/>
      <c r="P61" s="551"/>
      <c r="Q61" s="389"/>
      <c r="R61" s="389"/>
      <c r="S61" s="389"/>
      <c r="T61" s="389"/>
      <c r="U61" s="389"/>
      <c r="V61" s="389"/>
      <c r="W61" s="389"/>
      <c r="Y61" s="109"/>
      <c r="Z61" s="109"/>
      <c r="AA61" s="109"/>
      <c r="AB61" s="572"/>
      <c r="AC61" s="565"/>
    </row>
    <row r="62" spans="1:38" ht="20.149999999999999" hidden="1" customHeight="1">
      <c r="A62" s="389"/>
      <c r="B62" s="389"/>
      <c r="C62" s="389"/>
      <c r="D62" s="389"/>
      <c r="E62" s="389"/>
      <c r="F62" s="389"/>
      <c r="G62" s="389"/>
      <c r="H62" s="389"/>
      <c r="I62" s="389"/>
      <c r="J62" s="389"/>
      <c r="K62" s="551"/>
      <c r="L62" s="551"/>
      <c r="M62" s="389"/>
      <c r="N62" s="389"/>
      <c r="O62" s="389"/>
      <c r="P62" s="389"/>
      <c r="Q62" s="389"/>
      <c r="R62" s="389"/>
      <c r="S62" s="389"/>
      <c r="T62" s="389"/>
      <c r="U62" s="389"/>
      <c r="V62" s="389"/>
      <c r="W62" s="389"/>
      <c r="Y62" s="109"/>
      <c r="Z62" s="109"/>
      <c r="AA62" s="109"/>
      <c r="AB62" s="572"/>
      <c r="AC62" s="565"/>
    </row>
    <row r="63" spans="1:38" ht="20.149999999999999" hidden="1" customHeight="1">
      <c r="A63" s="389"/>
      <c r="B63" s="389"/>
      <c r="C63" s="389"/>
      <c r="D63" s="389"/>
      <c r="E63" s="389"/>
      <c r="F63" s="389"/>
      <c r="G63" s="389"/>
      <c r="H63" s="389"/>
      <c r="I63" s="389"/>
      <c r="J63" s="389"/>
      <c r="K63" s="551"/>
      <c r="L63" s="551"/>
      <c r="M63" s="389"/>
      <c r="N63" s="389"/>
      <c r="O63" s="389"/>
      <c r="P63" s="389"/>
      <c r="Q63" s="389"/>
      <c r="R63" s="389"/>
      <c r="S63" s="389"/>
      <c r="T63" s="389"/>
      <c r="U63" s="389"/>
      <c r="V63" s="389"/>
      <c r="W63" s="389"/>
      <c r="Y63" s="109"/>
      <c r="Z63" s="109"/>
      <c r="AA63" s="109"/>
      <c r="AB63" s="572"/>
      <c r="AC63" s="565"/>
    </row>
    <row r="64" spans="1:38" ht="20.149999999999999" hidden="1" customHeight="1" thickBot="1">
      <c r="A64" s="389"/>
      <c r="B64" s="389"/>
      <c r="C64" s="389"/>
      <c r="D64" s="389"/>
      <c r="E64" s="389"/>
      <c r="F64" s="389"/>
      <c r="G64" s="389"/>
      <c r="H64" s="389"/>
      <c r="I64" s="389"/>
      <c r="J64" s="389"/>
      <c r="K64" s="551"/>
      <c r="L64" s="551"/>
      <c r="M64" s="389"/>
      <c r="N64" s="389"/>
      <c r="O64" s="389"/>
      <c r="P64" s="389"/>
      <c r="Q64" s="389"/>
      <c r="R64" s="389"/>
      <c r="S64" s="389"/>
      <c r="T64" s="389"/>
      <c r="U64" s="389"/>
      <c r="V64" s="389"/>
      <c r="W64" s="389"/>
      <c r="Y64" s="109"/>
      <c r="Z64" s="109"/>
      <c r="AA64" s="109"/>
      <c r="AB64" s="572"/>
      <c r="AC64" s="565"/>
    </row>
    <row r="65" spans="1:29" ht="19.5" hidden="1" customHeight="1" thickBot="1">
      <c r="A65" s="389"/>
      <c r="B65" s="389"/>
      <c r="C65" s="553" t="s">
        <v>62</v>
      </c>
      <c r="D65" s="389"/>
      <c r="E65" s="551"/>
      <c r="F65" s="551"/>
      <c r="G65" s="551"/>
      <c r="H65" s="551"/>
      <c r="I65" s="389"/>
      <c r="J65" s="389"/>
      <c r="K65" s="553" t="s">
        <v>386</v>
      </c>
      <c r="L65" s="652"/>
      <c r="M65" s="389"/>
      <c r="N65" s="1155" t="s">
        <v>48</v>
      </c>
      <c r="O65" s="1156"/>
      <c r="P65" s="938" t="s">
        <v>385</v>
      </c>
      <c r="Q65" s="939"/>
      <c r="R65" s="940" t="s">
        <v>435</v>
      </c>
      <c r="S65" s="941"/>
      <c r="T65" s="940" t="s">
        <v>436</v>
      </c>
      <c r="U65" s="941"/>
      <c r="V65" s="389"/>
      <c r="W65" s="389"/>
      <c r="X65" s="389"/>
      <c r="Y65" s="109"/>
      <c r="Z65" s="109"/>
      <c r="AA65" s="109"/>
      <c r="AB65" s="565"/>
      <c r="AC65" s="565"/>
    </row>
    <row r="66" spans="1:29" ht="54" hidden="1" customHeight="1">
      <c r="A66" s="389"/>
      <c r="B66" s="1132" t="s">
        <v>474</v>
      </c>
      <c r="C66" s="1132"/>
      <c r="D66" s="1132"/>
      <c r="E66" s="1132"/>
      <c r="F66" s="1132"/>
      <c r="G66" s="551"/>
      <c r="H66" s="551"/>
      <c r="I66" s="389"/>
      <c r="J66" s="389"/>
      <c r="K66" s="802"/>
      <c r="L66" s="664" t="s">
        <v>86</v>
      </c>
      <c r="M66" s="668" t="s">
        <v>458</v>
      </c>
      <c r="N66" s="8" t="str">
        <f>"A×賃金改善率（"&amp;$J$5&amp;"％）"</f>
        <v>A×賃金改善率（％）</v>
      </c>
      <c r="O66" s="9" t="str">
        <f>CONCATENATE("×利用児童数×",$AE$2,"月")</f>
        <v>×利用児童数×0月</v>
      </c>
      <c r="P66" s="18" t="str">
        <f>"A×加算Ⅰ新規事由に係る率（"&amp;$J$6&amp;"％）"</f>
        <v>A×加算Ⅰ新規事由に係る率（％）</v>
      </c>
      <c r="Q66" s="10" t="str">
        <f>CONCATENATE("×利用児童数×",$AE$2,"月")</f>
        <v>×利用児童数×0月</v>
      </c>
      <c r="R66" s="18" t="str">
        <f>"A×人勧影響率（"&amp;$J$8&amp;"％）"</f>
        <v>A×人勧影響率（％）</v>
      </c>
      <c r="S66" s="10" t="str">
        <f>CONCATENATE("×利用児童数×",$AE$2,"月")</f>
        <v>×利用児童数×0月</v>
      </c>
      <c r="T66" s="18" t="str">
        <f>"A×人勧影響率（"&amp;$J$10&amp;"％）"</f>
        <v>A×人勧影響率（％）</v>
      </c>
      <c r="U66" s="10" t="str">
        <f>CONCATENATE("×利用児童数×",$AE$2,"月")</f>
        <v>×利用児童数×0月</v>
      </c>
      <c r="V66" s="389"/>
      <c r="W66" s="389"/>
      <c r="X66" s="389"/>
      <c r="Y66" s="109"/>
      <c r="Z66" s="109"/>
      <c r="AA66" s="109"/>
      <c r="AB66" s="572"/>
      <c r="AC66" s="568"/>
    </row>
    <row r="67" spans="1:29" ht="18.75" hidden="1" customHeight="1">
      <c r="A67" s="389"/>
      <c r="B67" s="1132"/>
      <c r="C67" s="1132"/>
      <c r="D67" s="1132"/>
      <c r="E67" s="1132"/>
      <c r="F67" s="1132"/>
      <c r="G67" s="1133">
        <f>$O$91</f>
        <v>0</v>
      </c>
      <c r="H67" s="1133"/>
      <c r="I67" s="1133"/>
      <c r="J67" s="389"/>
      <c r="K67" s="615"/>
      <c r="L67" s="594" t="s">
        <v>6</v>
      </c>
      <c r="M67" s="680">
        <f>'入力（児童数-本園)'!W3</f>
        <v>0</v>
      </c>
      <c r="N67" s="556">
        <f>$W33*$J$5</f>
        <v>0</v>
      </c>
      <c r="O67" s="547">
        <f>N67*$M67*$AE$2</f>
        <v>0</v>
      </c>
      <c r="P67" s="546">
        <f>ROUNDDOWN($W33*$J$6,0)</f>
        <v>0</v>
      </c>
      <c r="Q67" s="557">
        <f>P67*$M67*$AE$2</f>
        <v>0</v>
      </c>
      <c r="R67" s="599">
        <f>ROUNDDOWN($W33*$J$8,0)</f>
        <v>0</v>
      </c>
      <c r="S67" s="577">
        <f>R67*$M67*$AE$2</f>
        <v>0</v>
      </c>
      <c r="T67" s="546">
        <f>ROUNDDOWN($W33*$J$10,0)</f>
        <v>0</v>
      </c>
      <c r="U67" s="557">
        <f>T67*$M67*$AE$2</f>
        <v>0</v>
      </c>
      <c r="V67" s="389"/>
      <c r="W67" s="389"/>
      <c r="X67" s="389"/>
    </row>
    <row r="68" spans="1:29" ht="20.149999999999999" hidden="1" customHeight="1">
      <c r="A68" s="389"/>
      <c r="B68" s="1131" t="str">
        <f>CONCATENATE("（賃金改善要件（",J5,"％）分）")</f>
        <v>（賃金改善要件（％）分）</v>
      </c>
      <c r="C68" s="1131"/>
      <c r="D68" s="1131"/>
      <c r="E68" s="1131"/>
      <c r="F68" s="1131"/>
      <c r="G68" s="389"/>
      <c r="H68" s="389"/>
      <c r="I68" s="389"/>
      <c r="J68" s="389"/>
      <c r="K68" s="615"/>
      <c r="L68" s="594" t="s">
        <v>7</v>
      </c>
      <c r="M68" s="680">
        <f>'入力（児童数-本園)'!W4</f>
        <v>0</v>
      </c>
      <c r="N68" s="556">
        <f>$W34*$J$5</f>
        <v>0</v>
      </c>
      <c r="O68" s="547">
        <f>N68*$M68*$AE$2</f>
        <v>0</v>
      </c>
      <c r="P68" s="546">
        <f>ROUNDDOWN($W34*$J$6,0)</f>
        <v>0</v>
      </c>
      <c r="Q68" s="557">
        <f>P68*$M68*$AE$2</f>
        <v>0</v>
      </c>
      <c r="R68" s="599">
        <f>ROUNDDOWN($W34*$J$8,0)</f>
        <v>0</v>
      </c>
      <c r="S68" s="577">
        <f>R68*$M68*$AE$2</f>
        <v>0</v>
      </c>
      <c r="T68" s="546">
        <f>ROUNDDOWN($W34*$J$10,0)</f>
        <v>0</v>
      </c>
      <c r="U68" s="557">
        <f>T68*$M68*$AE$2</f>
        <v>0</v>
      </c>
      <c r="V68" s="389"/>
      <c r="W68" s="389"/>
      <c r="X68" s="389"/>
      <c r="Z68" s="598"/>
      <c r="AA68" s="598"/>
    </row>
    <row r="69" spans="1:29" ht="20.149999999999999" hidden="1" customHeight="1">
      <c r="A69" s="389"/>
      <c r="B69" s="1131"/>
      <c r="C69" s="1131"/>
      <c r="D69" s="1131"/>
      <c r="E69" s="1131"/>
      <c r="F69" s="1131"/>
      <c r="G69" s="551"/>
      <c r="H69" s="551"/>
      <c r="I69" s="389"/>
      <c r="J69" s="389"/>
      <c r="K69" s="615"/>
      <c r="L69" s="594" t="s">
        <v>8</v>
      </c>
      <c r="M69" s="683">
        <f>'入力（児童数-本園)'!W5</f>
        <v>0</v>
      </c>
      <c r="N69" s="556">
        <f>$W35*$J$5</f>
        <v>0</v>
      </c>
      <c r="O69" s="547">
        <f>N69*$M69*$AE$2</f>
        <v>0</v>
      </c>
      <c r="P69" s="546">
        <f>ROUNDDOWN($W35*$J$6,0)</f>
        <v>0</v>
      </c>
      <c r="Q69" s="557">
        <f>P69*$M69*$AE$2</f>
        <v>0</v>
      </c>
      <c r="R69" s="599">
        <f>ROUNDDOWN($W35*$J$8,0)</f>
        <v>0</v>
      </c>
      <c r="S69" s="577">
        <f>R69*$M69*$AE$2</f>
        <v>0</v>
      </c>
      <c r="T69" s="546">
        <f>ROUNDDOWN($W35*$J$10,0)</f>
        <v>0</v>
      </c>
      <c r="U69" s="557">
        <f>T69*$M69*$AE$2</f>
        <v>0</v>
      </c>
      <c r="V69" s="389"/>
      <c r="W69" s="389"/>
      <c r="X69" s="389"/>
      <c r="Z69" s="598"/>
      <c r="AA69" s="598"/>
    </row>
    <row r="70" spans="1:29" ht="54" hidden="1" customHeight="1">
      <c r="A70" s="389"/>
      <c r="B70" s="389"/>
      <c r="C70" s="1157" t="s">
        <v>489</v>
      </c>
      <c r="D70" s="1157"/>
      <c r="E70" s="1157"/>
      <c r="F70" s="1157"/>
      <c r="G70" s="1157"/>
      <c r="H70" s="1157"/>
      <c r="I70" s="1157"/>
      <c r="J70" s="1158"/>
      <c r="K70" s="615"/>
      <c r="L70" s="673" t="s">
        <v>35</v>
      </c>
      <c r="M70" s="675" t="s">
        <v>458</v>
      </c>
      <c r="N70" s="8" t="str">
        <f>"B×賃金改善率（"&amp;$J$5&amp;"％）"</f>
        <v>B×賃金改善率（％）</v>
      </c>
      <c r="O70" s="9" t="str">
        <f>CONCATENATE("×利用児童数×",$AE$2,"月")</f>
        <v>×利用児童数×0月</v>
      </c>
      <c r="P70" s="18" t="str">
        <f>"B×加算Ⅰ新規事由に係る率（"&amp;$J$6&amp;"％）"</f>
        <v>B×加算Ⅰ新規事由に係る率（％）</v>
      </c>
      <c r="Q70" s="10" t="str">
        <f>CONCATENATE("×利用児童数×",$AE$2,"月")</f>
        <v>×利用児童数×0月</v>
      </c>
      <c r="R70" s="18" t="str">
        <f>"B×人勧影響率（"&amp;$J$8&amp;"％）"</f>
        <v>B×人勧影響率（％）</v>
      </c>
      <c r="S70" s="10" t="str">
        <f>CONCATENATE("×利用児童数×",$AE$2,"月")</f>
        <v>×利用児童数×0月</v>
      </c>
      <c r="T70" s="18" t="str">
        <f>"B×人勧影響率（"&amp;$J$10&amp;"％）"</f>
        <v>B×人勧影響率（％）</v>
      </c>
      <c r="U70" s="10" t="str">
        <f>CONCATENATE("×利用児童数×",$AE$2,"月")</f>
        <v>×利用児童数×0月</v>
      </c>
      <c r="V70" s="389"/>
      <c r="W70" s="389"/>
      <c r="X70" s="389"/>
      <c r="Z70" s="598"/>
      <c r="AA70" s="598"/>
    </row>
    <row r="71" spans="1:29" hidden="1">
      <c r="A71" s="389"/>
      <c r="B71" s="389"/>
      <c r="C71" s="389"/>
      <c r="D71" s="389"/>
      <c r="E71" s="389"/>
      <c r="F71" s="389"/>
      <c r="G71" s="389"/>
      <c r="H71" s="389"/>
      <c r="I71" s="389"/>
      <c r="J71" s="389"/>
      <c r="K71" s="801" t="s">
        <v>46</v>
      </c>
      <c r="L71" s="594" t="s">
        <v>93</v>
      </c>
      <c r="M71" s="680">
        <f>'入力（児童数-本園)'!Y3</f>
        <v>0</v>
      </c>
      <c r="N71" s="556">
        <f>$W38*$J$5</f>
        <v>0</v>
      </c>
      <c r="O71" s="593">
        <f>N71*$M71*$AE$2</f>
        <v>0</v>
      </c>
      <c r="P71" s="546">
        <f>ROUNDDOWN($W38*$J$6,0)</f>
        <v>0</v>
      </c>
      <c r="Q71" s="577">
        <f>P71*$M71*$AE$2</f>
        <v>0</v>
      </c>
      <c r="R71" s="599">
        <f>ROUNDDOWN($W38*$J$8,0)</f>
        <v>0</v>
      </c>
      <c r="S71" s="577">
        <f>R71*$M71*$AE$2</f>
        <v>0</v>
      </c>
      <c r="T71" s="546">
        <f>ROUNDDOWN($W38*$J$10,0)</f>
        <v>0</v>
      </c>
      <c r="U71" s="577">
        <f>T71*$M71*$AE$2</f>
        <v>0</v>
      </c>
      <c r="V71" s="389"/>
      <c r="W71" s="389"/>
      <c r="X71" s="389"/>
      <c r="Z71" s="598"/>
      <c r="AA71" s="598"/>
    </row>
    <row r="72" spans="1:29" ht="20.149999999999999" hidden="1" customHeight="1">
      <c r="A72" s="389"/>
      <c r="B72" s="564"/>
      <c r="C72" s="564"/>
      <c r="D72" s="564"/>
      <c r="E72" s="564"/>
      <c r="F72" s="564"/>
      <c r="G72" s="551"/>
      <c r="H72" s="551"/>
      <c r="I72" s="389"/>
      <c r="J72" s="389"/>
      <c r="K72" s="615"/>
      <c r="L72" s="594" t="s">
        <v>70</v>
      </c>
      <c r="M72" s="680">
        <f>'入力（児童数-本園)'!Y4</f>
        <v>0</v>
      </c>
      <c r="N72" s="556">
        <f>$W39*$J$5</f>
        <v>0</v>
      </c>
      <c r="O72" s="593">
        <f>N72*$M72*$AE$2</f>
        <v>0</v>
      </c>
      <c r="P72" s="546">
        <f>ROUNDDOWN($W39*$J$6,0)</f>
        <v>0</v>
      </c>
      <c r="Q72" s="577">
        <f>P72*$M72*$AE$2</f>
        <v>0</v>
      </c>
      <c r="R72" s="599">
        <f>ROUNDDOWN($W39*$J$8,0)</f>
        <v>0</v>
      </c>
      <c r="S72" s="577">
        <f>R72*$M72*$AE$2</f>
        <v>0</v>
      </c>
      <c r="T72" s="546">
        <f>ROUNDDOWN($W39*$J$10,0)</f>
        <v>0</v>
      </c>
      <c r="U72" s="577">
        <f>T72*$M72*$AE$2</f>
        <v>0</v>
      </c>
      <c r="V72" s="389"/>
      <c r="W72" s="389"/>
      <c r="X72" s="389"/>
      <c r="Z72" s="598"/>
      <c r="AA72" s="598"/>
    </row>
    <row r="73" spans="1:29" ht="20.149999999999999" hidden="1" customHeight="1">
      <c r="A73" s="389"/>
      <c r="B73" s="1078" t="s">
        <v>382</v>
      </c>
      <c r="C73" s="1078"/>
      <c r="D73" s="1078"/>
      <c r="E73" s="1078"/>
      <c r="F73" s="1078"/>
      <c r="G73" s="1115">
        <f>$Q$91</f>
        <v>0</v>
      </c>
      <c r="H73" s="1115"/>
      <c r="I73" s="1115"/>
      <c r="J73" s="389"/>
      <c r="K73" s="615"/>
      <c r="L73" s="594" t="s">
        <v>7</v>
      </c>
      <c r="M73" s="680">
        <f>'入力（児童数-本園)'!Y5</f>
        <v>0</v>
      </c>
      <c r="N73" s="556">
        <f>$W40*$J$5</f>
        <v>0</v>
      </c>
      <c r="O73" s="593">
        <f>N73*$M73*$AE$2</f>
        <v>0</v>
      </c>
      <c r="P73" s="546">
        <f>ROUNDDOWN($W40*$J$6,0)</f>
        <v>0</v>
      </c>
      <c r="Q73" s="577">
        <f>P73*$M73*$AE$2</f>
        <v>0</v>
      </c>
      <c r="R73" s="599">
        <f>ROUNDDOWN($W40*$J$8,0)</f>
        <v>0</v>
      </c>
      <c r="S73" s="577">
        <f>R73*$M73*$AE$2</f>
        <v>0</v>
      </c>
      <c r="T73" s="546">
        <f>ROUNDDOWN($W40*$J$10,0)</f>
        <v>0</v>
      </c>
      <c r="U73" s="577">
        <f>T73*$M73*$AE$2</f>
        <v>0</v>
      </c>
      <c r="V73" s="389"/>
      <c r="W73" s="389"/>
      <c r="X73" s="389"/>
      <c r="Z73" s="598"/>
      <c r="AA73" s="598"/>
    </row>
    <row r="74" spans="1:29" ht="20.149999999999999" hidden="1" customHeight="1">
      <c r="A74" s="389"/>
      <c r="B74" s="1131" t="str">
        <f>CONCATENATE("（加算Ⅰ新規事由に係る加算率（",J6,"％）分）")</f>
        <v>（加算Ⅰ新規事由に係る加算率（％）分）</v>
      </c>
      <c r="C74" s="1131"/>
      <c r="D74" s="1131"/>
      <c r="E74" s="1131"/>
      <c r="F74" s="1131"/>
      <c r="G74" s="389"/>
      <c r="H74" s="389"/>
      <c r="I74" s="389"/>
      <c r="J74" s="389"/>
      <c r="K74" s="615"/>
      <c r="L74" s="594" t="s">
        <v>8</v>
      </c>
      <c r="M74" s="680">
        <f>'入力（児童数-本園)'!Y6</f>
        <v>0</v>
      </c>
      <c r="N74" s="556">
        <f>$W41*$J$5</f>
        <v>0</v>
      </c>
      <c r="O74" s="593">
        <f>N74*$M74*$AE$2</f>
        <v>0</v>
      </c>
      <c r="P74" s="546">
        <f>ROUNDDOWN($W41*$J$6,0)</f>
        <v>0</v>
      </c>
      <c r="Q74" s="577">
        <f>P74*$M74*$AE$2</f>
        <v>0</v>
      </c>
      <c r="R74" s="599">
        <f>ROUNDDOWN($W41*$J$8,0)</f>
        <v>0</v>
      </c>
      <c r="S74" s="577">
        <f>R74*$M74*$AE$2</f>
        <v>0</v>
      </c>
      <c r="T74" s="546">
        <f>ROUNDDOWN($W41*$J$10,0)</f>
        <v>0</v>
      </c>
      <c r="U74" s="577">
        <f>T74*$M74*$AE$2</f>
        <v>0</v>
      </c>
      <c r="V74" s="389"/>
      <c r="W74" s="389"/>
      <c r="X74" s="389"/>
      <c r="Z74" s="598"/>
      <c r="AA74" s="598"/>
    </row>
    <row r="75" spans="1:29" ht="54" hidden="1" customHeight="1">
      <c r="A75" s="389"/>
      <c r="B75" s="1131"/>
      <c r="C75" s="1131"/>
      <c r="D75" s="1131"/>
      <c r="E75" s="1131"/>
      <c r="F75" s="1131"/>
      <c r="G75" s="551"/>
      <c r="H75" s="551"/>
      <c r="I75" s="389"/>
      <c r="J75" s="389"/>
      <c r="K75" s="615"/>
      <c r="L75" s="673" t="s">
        <v>95</v>
      </c>
      <c r="M75" s="675" t="s">
        <v>458</v>
      </c>
      <c r="N75" s="8" t="str">
        <f>"C×賃金改善率（"&amp;$J$5&amp;"％）"</f>
        <v>C×賃金改善率（％）</v>
      </c>
      <c r="O75" s="9" t="str">
        <f>CONCATENATE("×利用児童数×",$AE$2,"月")</f>
        <v>×利用児童数×0月</v>
      </c>
      <c r="P75" s="18" t="str">
        <f>"C×加算Ⅰ新規事由に係る率（"&amp;$J$6&amp;"％）"</f>
        <v>C×加算Ⅰ新規事由に係る率（％）</v>
      </c>
      <c r="Q75" s="10" t="str">
        <f>CONCATENATE("×利用児童数×",$AE$2,"月")</f>
        <v>×利用児童数×0月</v>
      </c>
      <c r="R75" s="18" t="str">
        <f>"C×人勧影響率（"&amp;$J$8&amp;"％）"</f>
        <v>C×人勧影響率（％）</v>
      </c>
      <c r="S75" s="10" t="str">
        <f>CONCATENATE("×利用児童数×",$AE$2,"月")</f>
        <v>×利用児童数×0月</v>
      </c>
      <c r="T75" s="18" t="str">
        <f>"C×人勧影響率（"&amp;$J$10&amp;"％）"</f>
        <v>C×人勧影響率（％）</v>
      </c>
      <c r="U75" s="10" t="str">
        <f>CONCATENATE("×利用児童数×",$AE$2,"月")</f>
        <v>×利用児童数×0月</v>
      </c>
      <c r="V75" s="389"/>
      <c r="W75" s="389"/>
      <c r="X75" s="389"/>
      <c r="Z75" s="598"/>
      <c r="AA75" s="598"/>
    </row>
    <row r="76" spans="1:29" hidden="1">
      <c r="A76" s="389"/>
      <c r="B76" s="1078" t="s">
        <v>381</v>
      </c>
      <c r="C76" s="1078"/>
      <c r="D76" s="1078"/>
      <c r="E76" s="1078"/>
      <c r="F76" s="1078"/>
      <c r="G76" s="389"/>
      <c r="H76" s="389"/>
      <c r="I76" s="389"/>
      <c r="J76" s="389"/>
      <c r="K76" s="615"/>
      <c r="L76" s="594" t="s">
        <v>93</v>
      </c>
      <c r="M76" s="680">
        <f>'入力（児童数-本園)'!Z3</f>
        <v>0</v>
      </c>
      <c r="N76" s="556">
        <f>$W44*$J$5</f>
        <v>0</v>
      </c>
      <c r="O76" s="593">
        <f>N76*$M76*$AE$2</f>
        <v>0</v>
      </c>
      <c r="P76" s="546">
        <f>ROUNDDOWN($W44*$J$6,0)</f>
        <v>0</v>
      </c>
      <c r="Q76" s="577">
        <f>P76*$M76*$AE$2</f>
        <v>0</v>
      </c>
      <c r="R76" s="599">
        <f>ROUNDDOWN($W44*$J$8,0)</f>
        <v>0</v>
      </c>
      <c r="S76" s="577">
        <f>R76*$M76*$AE$2</f>
        <v>0</v>
      </c>
      <c r="T76" s="546">
        <f>ROUNDDOWN($W44*$J$10,0)</f>
        <v>0</v>
      </c>
      <c r="U76" s="577">
        <f>T76*$M76*$AE$2</f>
        <v>0</v>
      </c>
      <c r="V76" s="389"/>
      <c r="W76" s="389"/>
      <c r="X76" s="389"/>
      <c r="Z76" s="598"/>
      <c r="AA76" s="598"/>
    </row>
    <row r="77" spans="1:29" ht="19.5" hidden="1" customHeight="1">
      <c r="A77" s="389"/>
      <c r="B77" s="1078"/>
      <c r="C77" s="1078"/>
      <c r="D77" s="1078"/>
      <c r="E77" s="1078"/>
      <c r="F77" s="1078"/>
      <c r="G77" s="1154">
        <f>$S$91</f>
        <v>0</v>
      </c>
      <c r="H77" s="1154"/>
      <c r="I77" s="1154"/>
      <c r="J77" s="389"/>
      <c r="K77" s="615"/>
      <c r="L77" s="594" t="s">
        <v>70</v>
      </c>
      <c r="M77" s="680">
        <f>'入力（児童数-本園)'!Z4</f>
        <v>0</v>
      </c>
      <c r="N77" s="556">
        <f>$W45*$J$5</f>
        <v>0</v>
      </c>
      <c r="O77" s="593">
        <f>N77*$M77*$AE$2</f>
        <v>0</v>
      </c>
      <c r="P77" s="546">
        <f>ROUNDDOWN($W45*$J$6,0)</f>
        <v>0</v>
      </c>
      <c r="Q77" s="577">
        <f>P77*$M77*$AE$2</f>
        <v>0</v>
      </c>
      <c r="R77" s="599">
        <f>ROUNDDOWN($W45*$J$8,0)</f>
        <v>0</v>
      </c>
      <c r="S77" s="577">
        <f>R77*$M77*$AE$2</f>
        <v>0</v>
      </c>
      <c r="T77" s="546">
        <f>ROUNDDOWN($W45*$J$10,0)</f>
        <v>0</v>
      </c>
      <c r="U77" s="577">
        <f>T77*$M77*$AE$2</f>
        <v>0</v>
      </c>
      <c r="V77" s="389"/>
      <c r="W77" s="389"/>
      <c r="X77" s="389"/>
      <c r="Z77" s="598"/>
      <c r="AA77" s="598"/>
    </row>
    <row r="78" spans="1:29" ht="20.149999999999999" hidden="1" customHeight="1">
      <c r="A78" s="389"/>
      <c r="B78" s="1131" t="str">
        <f>CONCATENATE("（処遇Ⅰの基準年度の翌年～当年度まで（",J8,"％）分）")</f>
        <v>（処遇Ⅰの基準年度の翌年～当年度まで（％）分）</v>
      </c>
      <c r="C78" s="1131"/>
      <c r="D78" s="1131"/>
      <c r="E78" s="1131"/>
      <c r="F78" s="1131"/>
      <c r="G78" s="389"/>
      <c r="H78" s="389"/>
      <c r="I78" s="389"/>
      <c r="J78" s="389"/>
      <c r="K78" s="615"/>
      <c r="L78" s="594" t="s">
        <v>7</v>
      </c>
      <c r="M78" s="680">
        <f>'入力（児童数-本園)'!Z5</f>
        <v>0</v>
      </c>
      <c r="N78" s="556">
        <f>$W46*$J$5</f>
        <v>0</v>
      </c>
      <c r="O78" s="593">
        <f>N78*$M78*$AE$2</f>
        <v>0</v>
      </c>
      <c r="P78" s="546">
        <f>ROUNDDOWN($W46*$J$6,0)</f>
        <v>0</v>
      </c>
      <c r="Q78" s="577">
        <f>P78*$M78*$AE$2</f>
        <v>0</v>
      </c>
      <c r="R78" s="599">
        <f>ROUNDDOWN($W46*$J$8,0)</f>
        <v>0</v>
      </c>
      <c r="S78" s="577">
        <f>R78*$M78*$AE$2</f>
        <v>0</v>
      </c>
      <c r="T78" s="546">
        <f>ROUNDDOWN($W46*$J$10,0)</f>
        <v>0</v>
      </c>
      <c r="U78" s="577">
        <f>T78*$M78*$AE$2</f>
        <v>0</v>
      </c>
      <c r="V78" s="389"/>
      <c r="W78" s="389"/>
      <c r="X78" s="389"/>
      <c r="Z78" s="598"/>
      <c r="AA78" s="598"/>
    </row>
    <row r="79" spans="1:29" ht="20.149999999999999" hidden="1" customHeight="1">
      <c r="A79" s="389"/>
      <c r="B79" s="1131"/>
      <c r="C79" s="1131"/>
      <c r="D79" s="1131"/>
      <c r="E79" s="1131"/>
      <c r="F79" s="1131"/>
      <c r="G79" s="389"/>
      <c r="H79" s="389"/>
      <c r="I79" s="389"/>
      <c r="J79" s="389"/>
      <c r="K79" s="803"/>
      <c r="L79" s="594" t="s">
        <v>8</v>
      </c>
      <c r="M79" s="680">
        <f>'入力（児童数-本園)'!Z6</f>
        <v>0</v>
      </c>
      <c r="N79" s="556">
        <f>$W47*$J$5</f>
        <v>0</v>
      </c>
      <c r="O79" s="593">
        <f>N79*$M79*$AE$2</f>
        <v>0</v>
      </c>
      <c r="P79" s="546">
        <f>ROUNDDOWN($W47*$J$6,0)</f>
        <v>0</v>
      </c>
      <c r="Q79" s="577">
        <f>P79*$M79*$AE$2</f>
        <v>0</v>
      </c>
      <c r="R79" s="599">
        <f>ROUNDDOWN($W47*$J$8,0)</f>
        <v>0</v>
      </c>
      <c r="S79" s="577">
        <f>R79*$M79*$AE$2</f>
        <v>0</v>
      </c>
      <c r="T79" s="546">
        <f>ROUNDDOWN($W47*$J$10,0)</f>
        <v>0</v>
      </c>
      <c r="U79" s="577">
        <f>T79*$M79*$AE$2</f>
        <v>0</v>
      </c>
      <c r="V79" s="389"/>
      <c r="W79" s="389"/>
      <c r="X79" s="389"/>
      <c r="Z79" s="598"/>
      <c r="AA79" s="598"/>
    </row>
    <row r="80" spans="1:29" ht="20.149999999999999" hidden="1" customHeight="1">
      <c r="A80" s="389"/>
      <c r="B80" s="389"/>
      <c r="C80" s="389"/>
      <c r="D80" s="389"/>
      <c r="E80" s="389"/>
      <c r="F80" s="389"/>
      <c r="G80" s="389"/>
      <c r="H80" s="389"/>
      <c r="I80" s="389"/>
      <c r="J80" s="389"/>
      <c r="K80" s="389"/>
      <c r="L80" s="650"/>
      <c r="M80" s="672"/>
      <c r="N80" s="594"/>
      <c r="O80" s="590"/>
      <c r="P80" s="590"/>
      <c r="Q80" s="595"/>
      <c r="R80" s="590"/>
      <c r="S80" s="595"/>
      <c r="T80" s="590"/>
      <c r="U80" s="595"/>
      <c r="V80" s="389"/>
      <c r="W80" s="389"/>
      <c r="X80" s="389"/>
      <c r="Z80" s="598"/>
      <c r="AA80" s="598"/>
    </row>
    <row r="81" spans="1:27" ht="54" hidden="1" customHeight="1">
      <c r="A81" s="389"/>
      <c r="B81" s="1078" t="s">
        <v>457</v>
      </c>
      <c r="C81" s="1078"/>
      <c r="D81" s="1078"/>
      <c r="E81" s="1078"/>
      <c r="F81" s="1078"/>
      <c r="G81" s="389"/>
      <c r="H81" s="389"/>
      <c r="I81" s="389"/>
      <c r="J81" s="389"/>
      <c r="K81" s="1105" t="s">
        <v>47</v>
      </c>
      <c r="L81" s="673" t="s">
        <v>35</v>
      </c>
      <c r="M81" s="675" t="s">
        <v>458</v>
      </c>
      <c r="N81" s="8" t="str">
        <f>"D×賃金改善率（"&amp;$J$5&amp;"％）"</f>
        <v>D×賃金改善率（％）</v>
      </c>
      <c r="O81" s="18" t="str">
        <f>CONCATENATE("×利用児童数×",$AE$2,"月")</f>
        <v>×利用児童数×0月</v>
      </c>
      <c r="P81" s="18" t="str">
        <f>"D×加算Ⅰ新規事由に係る率（"&amp;$J$6&amp;"％）"</f>
        <v>D×加算Ⅰ新規事由に係る率（％）</v>
      </c>
      <c r="Q81" s="10" t="str">
        <f>CONCATENATE("×利用児童数×",$AE$2,"月")</f>
        <v>×利用児童数×0月</v>
      </c>
      <c r="R81" s="18" t="str">
        <f>"D×人勧影響率（"&amp;$J$8&amp;"％）"</f>
        <v>D×人勧影響率（％）</v>
      </c>
      <c r="S81" s="10" t="str">
        <f>CONCATENATE("×利用児童数×",$AE$2,"月")</f>
        <v>×利用児童数×0月</v>
      </c>
      <c r="T81" s="18" t="str">
        <f>"D×人勧影響率（"&amp;$J$10&amp;"％）"</f>
        <v>D×人勧影響率（％）</v>
      </c>
      <c r="U81" s="10" t="str">
        <f>CONCATENATE("×利用児童数×",$AE$2,"月")</f>
        <v>×利用児童数×0月</v>
      </c>
      <c r="V81" s="389"/>
      <c r="W81" s="389"/>
      <c r="X81" s="389"/>
      <c r="Z81" s="598"/>
      <c r="AA81" s="598"/>
    </row>
    <row r="82" spans="1:27" ht="18.75" hidden="1" customHeight="1">
      <c r="A82" s="389"/>
      <c r="B82" s="1078"/>
      <c r="C82" s="1078"/>
      <c r="D82" s="1078"/>
      <c r="E82" s="1078"/>
      <c r="F82" s="1078"/>
      <c r="G82" s="1154">
        <f>$U$91</f>
        <v>0</v>
      </c>
      <c r="H82" s="1154"/>
      <c r="I82" s="1154"/>
      <c r="J82" s="389"/>
      <c r="K82" s="1106"/>
      <c r="L82" s="594" t="s">
        <v>93</v>
      </c>
      <c r="M82" s="680">
        <f>'入力（児童数-分園)'!W3</f>
        <v>0</v>
      </c>
      <c r="N82" s="556">
        <f>$W51*$J$5</f>
        <v>0</v>
      </c>
      <c r="O82" s="593">
        <f>N82*$M82*$AE$2</f>
        <v>0</v>
      </c>
      <c r="P82" s="546">
        <f>ROUNDDOWN($W51*$J$6,0)</f>
        <v>0</v>
      </c>
      <c r="Q82" s="577">
        <f>P82*$M82*$AE$2</f>
        <v>0</v>
      </c>
      <c r="R82" s="599">
        <f>ROUNDDOWN($W51*$J$8,0)</f>
        <v>0</v>
      </c>
      <c r="S82" s="577">
        <f>R82*$M82*$AE$2</f>
        <v>0</v>
      </c>
      <c r="T82" s="546">
        <f>ROUNDDOWN($W51*$J$10,0)</f>
        <v>0</v>
      </c>
      <c r="U82" s="577">
        <f>T82*$M82*$AE$2</f>
        <v>0</v>
      </c>
      <c r="V82" s="389"/>
      <c r="W82" s="389"/>
      <c r="X82" s="389"/>
      <c r="Z82" s="598"/>
      <c r="AA82" s="598"/>
    </row>
    <row r="83" spans="1:27" ht="20.149999999999999" hidden="1" customHeight="1">
      <c r="A83" s="389"/>
      <c r="B83" s="1131" t="str">
        <f>CONCATENATE("（処遇Ⅱの基準年度の翌年～当年度まで（",J10,"％）分）")</f>
        <v>（処遇Ⅱの基準年度の翌年～当年度まで（％）分）</v>
      </c>
      <c r="C83" s="1131"/>
      <c r="D83" s="1131"/>
      <c r="E83" s="1131"/>
      <c r="F83" s="1131"/>
      <c r="G83" s="389"/>
      <c r="H83" s="389"/>
      <c r="I83" s="389"/>
      <c r="J83" s="389"/>
      <c r="K83" s="1106"/>
      <c r="L83" s="594" t="s">
        <v>70</v>
      </c>
      <c r="M83" s="680">
        <f>'入力（児童数-分園)'!W4</f>
        <v>0</v>
      </c>
      <c r="N83" s="556">
        <f>$W52*$J$5</f>
        <v>0</v>
      </c>
      <c r="O83" s="593">
        <f>N83*$M83*$AE$2</f>
        <v>0</v>
      </c>
      <c r="P83" s="546">
        <f>ROUNDDOWN($W52*$J$6,0)</f>
        <v>0</v>
      </c>
      <c r="Q83" s="577">
        <f>P83*$M83*$AE$2</f>
        <v>0</v>
      </c>
      <c r="R83" s="599">
        <f>ROUNDDOWN($W52*$J$8,0)</f>
        <v>0</v>
      </c>
      <c r="S83" s="577">
        <f>R83*$M83*$AE$2</f>
        <v>0</v>
      </c>
      <c r="T83" s="546">
        <f>ROUNDDOWN($W52*$J$10,0)</f>
        <v>0</v>
      </c>
      <c r="U83" s="577">
        <f>T83*$M83*$AE$2</f>
        <v>0</v>
      </c>
      <c r="V83" s="389"/>
      <c r="W83" s="389"/>
      <c r="X83" s="389"/>
      <c r="Z83" s="598"/>
      <c r="AA83" s="598"/>
    </row>
    <row r="84" spans="1:27" ht="20.149999999999999" hidden="1" customHeight="1">
      <c r="A84" s="389"/>
      <c r="B84" s="558"/>
      <c r="C84" s="558"/>
      <c r="D84" s="558"/>
      <c r="E84" s="558"/>
      <c r="F84" s="558"/>
      <c r="G84" s="389"/>
      <c r="H84" s="389"/>
      <c r="I84" s="389"/>
      <c r="J84" s="389"/>
      <c r="K84" s="1106"/>
      <c r="L84" s="594" t="s">
        <v>7</v>
      </c>
      <c r="M84" s="680">
        <f>'入力（児童数-分園)'!W5</f>
        <v>0</v>
      </c>
      <c r="N84" s="556">
        <f>$W53*$J$5</f>
        <v>0</v>
      </c>
      <c r="O84" s="593">
        <f>N84*$M84*$AE$2</f>
        <v>0</v>
      </c>
      <c r="P84" s="546">
        <f>ROUNDDOWN($W53*$J$6,0)</f>
        <v>0</v>
      </c>
      <c r="Q84" s="577">
        <f>P84*$M84*$AE$2</f>
        <v>0</v>
      </c>
      <c r="R84" s="599">
        <f>ROUNDDOWN($W53*$J$8,0)</f>
        <v>0</v>
      </c>
      <c r="S84" s="577">
        <f>R84*$M84*$AE$2</f>
        <v>0</v>
      </c>
      <c r="T84" s="546">
        <f>ROUNDDOWN($W53*$J$10,0)</f>
        <v>0</v>
      </c>
      <c r="U84" s="577">
        <f>T84*$M84*$AE$2</f>
        <v>0</v>
      </c>
      <c r="V84" s="389"/>
      <c r="W84" s="389"/>
      <c r="X84" s="389"/>
      <c r="Z84" s="598"/>
      <c r="AA84" s="598"/>
    </row>
    <row r="85" spans="1:27" ht="20.149999999999999" hidden="1" customHeight="1">
      <c r="A85" s="389"/>
      <c r="B85" s="389"/>
      <c r="C85" s="389"/>
      <c r="D85" s="389"/>
      <c r="E85" s="389"/>
      <c r="F85" s="389"/>
      <c r="G85" s="389"/>
      <c r="H85" s="389"/>
      <c r="I85" s="389"/>
      <c r="J85" s="389"/>
      <c r="K85" s="1106"/>
      <c r="L85" s="594" t="s">
        <v>8</v>
      </c>
      <c r="M85" s="680">
        <f>'入力（児童数-分園)'!W6</f>
        <v>0</v>
      </c>
      <c r="N85" s="556">
        <f>$W54*$J$5</f>
        <v>0</v>
      </c>
      <c r="O85" s="593">
        <f>N85*$M85*$AE$2</f>
        <v>0</v>
      </c>
      <c r="P85" s="546">
        <f>ROUNDDOWN($W54*$J$6,0)</f>
        <v>0</v>
      </c>
      <c r="Q85" s="577">
        <f>P85*$M85*$AE$2</f>
        <v>0</v>
      </c>
      <c r="R85" s="599">
        <f>ROUNDDOWN($W54*$J$8,0)</f>
        <v>0</v>
      </c>
      <c r="S85" s="577">
        <f>R85*$M85*$AE$2</f>
        <v>0</v>
      </c>
      <c r="T85" s="546">
        <f>ROUNDDOWN($W54*$J$10,0)</f>
        <v>0</v>
      </c>
      <c r="U85" s="577">
        <f>T85*$M85*$AE$2</f>
        <v>0</v>
      </c>
      <c r="V85" s="389"/>
      <c r="W85" s="389"/>
      <c r="X85" s="389"/>
      <c r="Z85" s="598"/>
      <c r="AA85" s="598"/>
    </row>
    <row r="86" spans="1:27" ht="49.5" hidden="1">
      <c r="A86" s="389"/>
      <c r="B86" s="389"/>
      <c r="C86" s="389"/>
      <c r="D86" s="389"/>
      <c r="E86" s="389"/>
      <c r="F86" s="389"/>
      <c r="G86" s="389"/>
      <c r="H86" s="389"/>
      <c r="I86" s="389"/>
      <c r="J86" s="389"/>
      <c r="K86" s="1106"/>
      <c r="L86" s="673" t="s">
        <v>95</v>
      </c>
      <c r="M86" s="675" t="s">
        <v>458</v>
      </c>
      <c r="N86" s="8" t="str">
        <f>"E×賃金改善率（"&amp;$J$5&amp;"％）"</f>
        <v>E×賃金改善率（％）</v>
      </c>
      <c r="O86" s="9" t="str">
        <f>CONCATENATE("×利用児童数×",$AE$2,"月")</f>
        <v>×利用児童数×0月</v>
      </c>
      <c r="P86" s="18" t="str">
        <f>"E×加算Ⅰ新規事由に係る率（"&amp;$J$6&amp;"％）"</f>
        <v>E×加算Ⅰ新規事由に係る率（％）</v>
      </c>
      <c r="Q86" s="10" t="str">
        <f>CONCATENATE("×利用児童数×",$AE$2,"月")</f>
        <v>×利用児童数×0月</v>
      </c>
      <c r="R86" s="18" t="str">
        <f>"E×人勧影響率（"&amp;$J$8&amp;"％）"</f>
        <v>E×人勧影響率（％）</v>
      </c>
      <c r="S86" s="10" t="str">
        <f>CONCATENATE("×利用児童数×",$AE$2,"月")</f>
        <v>×利用児童数×0月</v>
      </c>
      <c r="T86" s="18" t="str">
        <f>"E×人勧影響率（"&amp;$J$10&amp;"％）"</f>
        <v>E×人勧影響率（％）</v>
      </c>
      <c r="U86" s="10" t="str">
        <f>CONCATENATE("×利用児童数×",$AE$2,"月")</f>
        <v>×利用児童数×0月</v>
      </c>
      <c r="V86" s="389"/>
      <c r="W86" s="389"/>
      <c r="X86" s="389"/>
      <c r="Z86" s="598"/>
      <c r="AA86" s="598"/>
    </row>
    <row r="87" spans="1:27" hidden="1">
      <c r="A87" s="389"/>
      <c r="B87" s="389"/>
      <c r="C87" s="389"/>
      <c r="D87" s="389"/>
      <c r="E87" s="389"/>
      <c r="F87" s="389"/>
      <c r="G87" s="389"/>
      <c r="H87" s="389"/>
      <c r="I87" s="389"/>
      <c r="J87" s="389"/>
      <c r="K87" s="1106"/>
      <c r="L87" s="594" t="s">
        <v>93</v>
      </c>
      <c r="M87" s="680">
        <f>'入力（児童数-分園)'!X3</f>
        <v>0</v>
      </c>
      <c r="N87" s="556">
        <f>$W57*$J$5</f>
        <v>0</v>
      </c>
      <c r="O87" s="19">
        <f>N87*$M87*$AE$2</f>
        <v>0</v>
      </c>
      <c r="P87" s="546">
        <f>ROUNDDOWN($W57*$J$6,0)</f>
        <v>0</v>
      </c>
      <c r="Q87" s="557">
        <f>P87*$M87*$AE$2</f>
        <v>0</v>
      </c>
      <c r="R87" s="599">
        <f>ROUNDDOWN($W57*$J$8,0)</f>
        <v>0</v>
      </c>
      <c r="S87" s="577">
        <f>R87*$M87*$AE$2</f>
        <v>0</v>
      </c>
      <c r="T87" s="546">
        <f>ROUNDDOWN($W57*$J$10,0)</f>
        <v>0</v>
      </c>
      <c r="U87" s="557">
        <f>T87*$M87*$AE$2</f>
        <v>0</v>
      </c>
      <c r="V87" s="389"/>
      <c r="W87" s="389"/>
      <c r="X87" s="389"/>
      <c r="Z87" s="598"/>
      <c r="AA87" s="598"/>
    </row>
    <row r="88" spans="1:27" ht="20.149999999999999" hidden="1" customHeight="1">
      <c r="A88" s="389"/>
      <c r="B88" s="389"/>
      <c r="C88" s="389"/>
      <c r="D88" s="389"/>
      <c r="E88" s="389"/>
      <c r="F88" s="389"/>
      <c r="G88" s="389"/>
      <c r="H88" s="389"/>
      <c r="I88" s="389"/>
      <c r="J88" s="389"/>
      <c r="K88" s="1106"/>
      <c r="L88" s="594" t="s">
        <v>70</v>
      </c>
      <c r="M88" s="680">
        <f>'入力（児童数-分園)'!X4</f>
        <v>0</v>
      </c>
      <c r="N88" s="556">
        <f>$W58*$J$5</f>
        <v>0</v>
      </c>
      <c r="O88" s="547">
        <f>N88*$M88*$AE$2</f>
        <v>0</v>
      </c>
      <c r="P88" s="546">
        <f>ROUNDDOWN($W58*$J$6,0)</f>
        <v>0</v>
      </c>
      <c r="Q88" s="557">
        <f>P88*$M88*$AE$2</f>
        <v>0</v>
      </c>
      <c r="R88" s="599">
        <f>ROUNDDOWN($W58*$J$8,0)</f>
        <v>0</v>
      </c>
      <c r="S88" s="577">
        <f>R88*$M88*$AE$2</f>
        <v>0</v>
      </c>
      <c r="T88" s="546">
        <f>ROUNDDOWN($W58*$J$10,0)</f>
        <v>0</v>
      </c>
      <c r="U88" s="557">
        <f>T88*$M88*$AE$2</f>
        <v>0</v>
      </c>
      <c r="V88" s="389"/>
      <c r="W88" s="389"/>
      <c r="X88" s="389"/>
      <c r="Z88" s="598"/>
      <c r="AA88" s="598"/>
    </row>
    <row r="89" spans="1:27" ht="20.149999999999999" hidden="1" customHeight="1">
      <c r="A89" s="389"/>
      <c r="B89" s="389"/>
      <c r="C89" s="389"/>
      <c r="D89" s="389"/>
      <c r="E89" s="389"/>
      <c r="F89" s="389"/>
      <c r="G89" s="389"/>
      <c r="H89" s="389"/>
      <c r="I89" s="389"/>
      <c r="J89" s="389"/>
      <c r="K89" s="1106"/>
      <c r="L89" s="594" t="s">
        <v>7</v>
      </c>
      <c r="M89" s="680">
        <f>'入力（児童数-分園)'!X5</f>
        <v>0</v>
      </c>
      <c r="N89" s="556">
        <f>$W59*$J$5</f>
        <v>0</v>
      </c>
      <c r="O89" s="547">
        <f>N89*$M89*$AE$2</f>
        <v>0</v>
      </c>
      <c r="P89" s="546">
        <f>ROUNDDOWN($W59*$J$6,0)</f>
        <v>0</v>
      </c>
      <c r="Q89" s="557">
        <f>P89*$M89*$AE$2</f>
        <v>0</v>
      </c>
      <c r="R89" s="599">
        <f>ROUNDDOWN($W59*$J$8,0)</f>
        <v>0</v>
      </c>
      <c r="S89" s="577">
        <f>R89*$M89*$AE$2</f>
        <v>0</v>
      </c>
      <c r="T89" s="546">
        <f>ROUNDDOWN($W59*$J$10,0)</f>
        <v>0</v>
      </c>
      <c r="U89" s="557">
        <f>T89*$M89*$AE$2</f>
        <v>0</v>
      </c>
      <c r="V89" s="389"/>
      <c r="W89" s="389"/>
      <c r="X89" s="389"/>
      <c r="Z89" s="598"/>
      <c r="AA89" s="598"/>
    </row>
    <row r="90" spans="1:27" ht="20.149999999999999" hidden="1" customHeight="1" thickBot="1">
      <c r="A90" s="389"/>
      <c r="B90" s="389"/>
      <c r="C90" s="109"/>
      <c r="D90" s="389"/>
      <c r="E90" s="389"/>
      <c r="F90" s="389"/>
      <c r="G90" s="389"/>
      <c r="H90" s="389"/>
      <c r="I90" s="389"/>
      <c r="J90" s="389"/>
      <c r="K90" s="1108"/>
      <c r="L90" s="594" t="s">
        <v>8</v>
      </c>
      <c r="M90" s="682">
        <f>'入力（児童数-分園)'!X6</f>
        <v>0</v>
      </c>
      <c r="N90" s="556">
        <f>$W60*$J$5</f>
        <v>0</v>
      </c>
      <c r="O90" s="547">
        <f>N90*$M90*$AE$2</f>
        <v>0</v>
      </c>
      <c r="P90" s="546">
        <f>ROUNDDOWN($W60*$J$6,0)</f>
        <v>0</v>
      </c>
      <c r="Q90" s="596">
        <f>P90*$M90*$AE$2</f>
        <v>0</v>
      </c>
      <c r="R90" s="599">
        <f>ROUNDDOWN($W60*$J$8,0)</f>
        <v>0</v>
      </c>
      <c r="S90" s="600">
        <f>R90*$M90*$AE$2</f>
        <v>0</v>
      </c>
      <c r="T90" s="546">
        <f>ROUNDDOWN($W60*$J$10,0)</f>
        <v>0</v>
      </c>
      <c r="U90" s="596">
        <f>T90*$M90*$AE$2</f>
        <v>0</v>
      </c>
      <c r="V90" s="389"/>
      <c r="W90" s="389"/>
      <c r="X90" s="389"/>
      <c r="Z90" s="598"/>
      <c r="AA90" s="598"/>
    </row>
    <row r="91" spans="1:27" ht="20.149999999999999" hidden="1" customHeight="1" thickTop="1" thickBot="1">
      <c r="A91" s="389"/>
      <c r="B91" s="389"/>
      <c r="C91" s="109"/>
      <c r="D91" s="389"/>
      <c r="E91" s="389"/>
      <c r="F91" s="389"/>
      <c r="G91" s="389"/>
      <c r="H91" s="389"/>
      <c r="I91" s="389"/>
      <c r="J91" s="389"/>
      <c r="K91" s="389"/>
      <c r="L91" s="670" t="s">
        <v>460</v>
      </c>
      <c r="M91" s="597">
        <f>SUM(M67:M69)</f>
        <v>0</v>
      </c>
      <c r="N91" s="563" t="s">
        <v>0</v>
      </c>
      <c r="O91" s="597">
        <f>ROUNDDOWN(SUM(O67:O69,O71:O74,O76:O79,O82:O85,O87:O90),-3)</f>
        <v>0</v>
      </c>
      <c r="P91" s="563" t="s">
        <v>0</v>
      </c>
      <c r="Q91" s="597">
        <f>ROUNDDOWN(SUM(Q67:Q69,Q71:Q74,Q76:Q79,Q82:Q85,Q87:Q90),-3)</f>
        <v>0</v>
      </c>
      <c r="R91" s="563" t="s">
        <v>0</v>
      </c>
      <c r="S91" s="601">
        <f>ROUNDDOWN(SUM(S67:S69,S71:S74,S76:S79,S82:S85,S87:S90),-3)</f>
        <v>0</v>
      </c>
      <c r="T91" s="563" t="s">
        <v>0</v>
      </c>
      <c r="U91" s="597">
        <f>ROUNDDOWN(SUM(U67:U69,U71:U74,U76:U79,U82:U85,U87:U90),-3)</f>
        <v>0</v>
      </c>
      <c r="V91" s="389"/>
      <c r="W91" s="389"/>
      <c r="X91" s="389"/>
      <c r="Z91" s="598"/>
      <c r="AA91" s="598"/>
    </row>
    <row r="92" spans="1:27" ht="20.149999999999999" hidden="1" customHeight="1" thickTop="1" thickBot="1">
      <c r="A92" s="389"/>
      <c r="B92" s="389"/>
      <c r="C92" s="109"/>
      <c r="D92" s="389"/>
      <c r="E92" s="389"/>
      <c r="F92" s="389"/>
      <c r="G92" s="389"/>
      <c r="H92" s="389"/>
      <c r="I92" s="389"/>
      <c r="J92" s="389"/>
      <c r="K92" s="389"/>
      <c r="L92" s="671" t="s">
        <v>459</v>
      </c>
      <c r="M92" s="562">
        <f>SUM(M71:M74,M76:M79,M82:M85,M87:M90)</f>
        <v>0</v>
      </c>
      <c r="N92" s="389"/>
      <c r="O92" s="389"/>
      <c r="P92" s="389"/>
      <c r="Q92" s="389"/>
      <c r="R92" s="389"/>
      <c r="S92" s="389"/>
      <c r="T92" s="389"/>
      <c r="U92" s="389"/>
      <c r="V92" s="389"/>
      <c r="W92" s="389"/>
      <c r="X92" s="389"/>
      <c r="AA92" s="554"/>
    </row>
    <row r="97" spans="26:27">
      <c r="Z97" s="445">
        <v>2015</v>
      </c>
      <c r="AA97" s="4">
        <v>6.1</v>
      </c>
    </row>
    <row r="98" spans="26:27" ht="51.75" customHeight="1">
      <c r="Z98" s="445">
        <v>2016</v>
      </c>
      <c r="AA98" s="2">
        <v>4.2</v>
      </c>
    </row>
    <row r="99" spans="26:27">
      <c r="Z99" s="445">
        <v>2017</v>
      </c>
      <c r="AA99" s="2">
        <v>2.9</v>
      </c>
    </row>
    <row r="100" spans="26:27">
      <c r="Z100" s="445">
        <v>2018</v>
      </c>
      <c r="AA100" s="2">
        <v>1.8</v>
      </c>
    </row>
    <row r="101" spans="26:27">
      <c r="Z101" s="445">
        <v>2019</v>
      </c>
      <c r="AA101" s="2">
        <v>1</v>
      </c>
    </row>
    <row r="102" spans="26:27" ht="34.5" customHeight="1"/>
    <row r="103" spans="26:27">
      <c r="AA103" s="569"/>
    </row>
    <row r="107" spans="26:27" ht="34.5" customHeight="1"/>
    <row r="113" ht="34.5" customHeight="1"/>
    <row r="118" ht="34.5" customHeight="1"/>
  </sheetData>
  <sheetProtection algorithmName="SHA-512" hashValue="BS2DFvj8sGQbT/8pSLxKKiwkNUhnXYZ2rAws7OdR25X0+KAj2YovlYrA/gVuu8B59l4tby7L36dARzSRj0d0Lg==" saltValue="9quWGocPREiBXMHl9+t/cA==" spinCount="100000" sheet="1" objects="1" scenarios="1"/>
  <customSheetViews>
    <customSheetView guid="{2E52E5FF-9846-4DC5-A671-268FE925398C}" scale="70" showPageBreaks="1" printArea="1" hiddenColumns="1" view="pageBreakPreview" topLeftCell="B1">
      <selection activeCell="I34" sqref="I34"/>
      <rowBreaks count="1" manualBreakCount="1">
        <brk id="32" max="20" man="1"/>
      </rowBreaks>
      <colBreaks count="1" manualBreakCount="1">
        <brk id="21" max="119" man="1"/>
      </colBreaks>
      <pageMargins left="0.70866141732283472" right="0.70866141732283472" top="0.74803149606299213" bottom="0.74803149606299213" header="0.31496062992125984" footer="0.31496062992125984"/>
      <pageSetup paperSize="9" scale="38" fitToHeight="2" orientation="landscape" r:id="rId1"/>
    </customSheetView>
    <customSheetView guid="{BADA99B3-B36A-4925-87A7-F72FC97D3DBA}" scale="70" showPageBreaks="1" printArea="1" view="pageBreakPreview" topLeftCell="H67">
      <selection activeCell="Z39" sqref="Z39"/>
      <rowBreaks count="1" manualBreakCount="1">
        <brk id="32" max="20" man="1"/>
      </rowBreaks>
      <colBreaks count="1" manualBreakCount="1">
        <brk id="21" max="119" man="1"/>
      </colBreaks>
      <pageMargins left="0.70866141732283472" right="0.70866141732283472" top="0.74803149606299213" bottom="0.74803149606299213" header="0.31496062992125984" footer="0.31496062992125984"/>
      <pageSetup paperSize="9" scale="38" fitToHeight="2" orientation="landscape" r:id="rId2"/>
    </customSheetView>
  </customSheetViews>
  <mergeCells count="195">
    <mergeCell ref="C70:J70"/>
    <mergeCell ref="D5:E5"/>
    <mergeCell ref="D6:E6"/>
    <mergeCell ref="D7:E7"/>
    <mergeCell ref="D8:E8"/>
    <mergeCell ref="D9:E9"/>
    <mergeCell ref="D10:E10"/>
    <mergeCell ref="D11:E11"/>
    <mergeCell ref="D12:E12"/>
    <mergeCell ref="D13:E13"/>
    <mergeCell ref="D49:D50"/>
    <mergeCell ref="E49:E50"/>
    <mergeCell ref="D42:D43"/>
    <mergeCell ref="E42:E43"/>
    <mergeCell ref="J42:J43"/>
    <mergeCell ref="G77:I77"/>
    <mergeCell ref="K55:K56"/>
    <mergeCell ref="L55:L56"/>
    <mergeCell ref="I55:I56"/>
    <mergeCell ref="P55:P56"/>
    <mergeCell ref="Q55:Q56"/>
    <mergeCell ref="T49:T50"/>
    <mergeCell ref="F17:F18"/>
    <mergeCell ref="N17:N18"/>
    <mergeCell ref="N31:N32"/>
    <mergeCell ref="O31:O32"/>
    <mergeCell ref="P31:P32"/>
    <mergeCell ref="Q31:Q32"/>
    <mergeCell ref="I25:I26"/>
    <mergeCell ref="J25:J26"/>
    <mergeCell ref="K25:K26"/>
    <mergeCell ref="L25:L26"/>
    <mergeCell ref="O25:O26"/>
    <mergeCell ref="P25:P26"/>
    <mergeCell ref="Q25:Q26"/>
    <mergeCell ref="R25:R26"/>
    <mergeCell ref="S25:S26"/>
    <mergeCell ref="J49:J50"/>
    <mergeCell ref="L42:L43"/>
    <mergeCell ref="V36:V37"/>
    <mergeCell ref="P36:P37"/>
    <mergeCell ref="Q36:Q37"/>
    <mergeCell ref="T65:U65"/>
    <mergeCell ref="P49:P50"/>
    <mergeCell ref="P42:P43"/>
    <mergeCell ref="Q42:Q43"/>
    <mergeCell ref="T42:T43"/>
    <mergeCell ref="G82:I82"/>
    <mergeCell ref="N65:O65"/>
    <mergeCell ref="U49:U50"/>
    <mergeCell ref="N55:N56"/>
    <mergeCell ref="S36:S37"/>
    <mergeCell ref="S42:S43"/>
    <mergeCell ref="S49:S50"/>
    <mergeCell ref="V42:V43"/>
    <mergeCell ref="M55:M56"/>
    <mergeCell ref="O55:O56"/>
    <mergeCell ref="V49:V50"/>
    <mergeCell ref="T55:T56"/>
    <mergeCell ref="U55:U56"/>
    <mergeCell ref="V55:V56"/>
    <mergeCell ref="U42:U43"/>
    <mergeCell ref="G73:I73"/>
    <mergeCell ref="M42:M43"/>
    <mergeCell ref="F49:F50"/>
    <mergeCell ref="G49:G50"/>
    <mergeCell ref="K31:K32"/>
    <mergeCell ref="L31:L32"/>
    <mergeCell ref="M31:M32"/>
    <mergeCell ref="D31:D32"/>
    <mergeCell ref="S55:S56"/>
    <mergeCell ref="Q49:Q50"/>
    <mergeCell ref="N42:N43"/>
    <mergeCell ref="K49:K50"/>
    <mergeCell ref="L49:L50"/>
    <mergeCell ref="M49:M50"/>
    <mergeCell ref="I49:I50"/>
    <mergeCell ref="I42:I43"/>
    <mergeCell ref="F42:F43"/>
    <mergeCell ref="G42:G43"/>
    <mergeCell ref="B11:B13"/>
    <mergeCell ref="O17:O18"/>
    <mergeCell ref="D21:D22"/>
    <mergeCell ref="E21:E22"/>
    <mergeCell ref="F21:F22"/>
    <mergeCell ref="G21:G22"/>
    <mergeCell ref="I21:I22"/>
    <mergeCell ref="J21:J22"/>
    <mergeCell ref="N25:N26"/>
    <mergeCell ref="B24:C27"/>
    <mergeCell ref="K17:K18"/>
    <mergeCell ref="L17:L18"/>
    <mergeCell ref="M17:M18"/>
    <mergeCell ref="E25:E26"/>
    <mergeCell ref="F25:F26"/>
    <mergeCell ref="G25:G26"/>
    <mergeCell ref="H17:H18"/>
    <mergeCell ref="H21:H22"/>
    <mergeCell ref="H25:H26"/>
    <mergeCell ref="AO1:AP1"/>
    <mergeCell ref="B5:C5"/>
    <mergeCell ref="AK1:AL1"/>
    <mergeCell ref="B6:C6"/>
    <mergeCell ref="B35:C35"/>
    <mergeCell ref="D36:D37"/>
    <mergeCell ref="E36:E37"/>
    <mergeCell ref="E31:E32"/>
    <mergeCell ref="F31:F32"/>
    <mergeCell ref="G31:G32"/>
    <mergeCell ref="B16:C23"/>
    <mergeCell ref="T36:T37"/>
    <mergeCell ref="U36:U37"/>
    <mergeCell ref="B36:C37"/>
    <mergeCell ref="D17:D18"/>
    <mergeCell ref="E17:E18"/>
    <mergeCell ref="O36:O37"/>
    <mergeCell ref="G17:G18"/>
    <mergeCell ref="I17:I18"/>
    <mergeCell ref="J17:J18"/>
    <mergeCell ref="S31:S32"/>
    <mergeCell ref="K21:K22"/>
    <mergeCell ref="L21:L22"/>
    <mergeCell ref="D25:D26"/>
    <mergeCell ref="A31:A47"/>
    <mergeCell ref="B38:C38"/>
    <mergeCell ref="B39:C39"/>
    <mergeCell ref="B40:C40"/>
    <mergeCell ref="B31:C32"/>
    <mergeCell ref="B42:C43"/>
    <mergeCell ref="B55:C56"/>
    <mergeCell ref="A49:A60"/>
    <mergeCell ref="B51:C51"/>
    <mergeCell ref="B52:C52"/>
    <mergeCell ref="B53:C53"/>
    <mergeCell ref="B54:C54"/>
    <mergeCell ref="B58:C58"/>
    <mergeCell ref="B59:C59"/>
    <mergeCell ref="B60:C60"/>
    <mergeCell ref="B49:C50"/>
    <mergeCell ref="B44:C44"/>
    <mergeCell ref="B45:C45"/>
    <mergeCell ref="B46:C46"/>
    <mergeCell ref="B34:C34"/>
    <mergeCell ref="B47:C47"/>
    <mergeCell ref="B57:C57"/>
    <mergeCell ref="B41:C41"/>
    <mergeCell ref="B33:C33"/>
    <mergeCell ref="T1:W1"/>
    <mergeCell ref="W31:W32"/>
    <mergeCell ref="W36:W37"/>
    <mergeCell ref="B2:U3"/>
    <mergeCell ref="B4:D4"/>
    <mergeCell ref="M25:M26"/>
    <mergeCell ref="G36:G37"/>
    <mergeCell ref="J36:J37"/>
    <mergeCell ref="K36:K37"/>
    <mergeCell ref="L36:L37"/>
    <mergeCell ref="M36:M37"/>
    <mergeCell ref="N36:N37"/>
    <mergeCell ref="I36:I37"/>
    <mergeCell ref="T31:T32"/>
    <mergeCell ref="U31:U32"/>
    <mergeCell ref="F36:F37"/>
    <mergeCell ref="B7:B10"/>
    <mergeCell ref="B15:C15"/>
    <mergeCell ref="B30:C30"/>
    <mergeCell ref="D30:W30"/>
    <mergeCell ref="I31:I32"/>
    <mergeCell ref="J31:J32"/>
    <mergeCell ref="U29:V29"/>
    <mergeCell ref="V31:V32"/>
    <mergeCell ref="W42:W43"/>
    <mergeCell ref="W49:W50"/>
    <mergeCell ref="W55:W56"/>
    <mergeCell ref="B83:F83"/>
    <mergeCell ref="B76:F77"/>
    <mergeCell ref="B81:F82"/>
    <mergeCell ref="B66:F67"/>
    <mergeCell ref="B78:F79"/>
    <mergeCell ref="B74:F75"/>
    <mergeCell ref="B73:F73"/>
    <mergeCell ref="B68:F69"/>
    <mergeCell ref="P65:Q65"/>
    <mergeCell ref="R65:S65"/>
    <mergeCell ref="K81:K90"/>
    <mergeCell ref="G67:I67"/>
    <mergeCell ref="O42:O43"/>
    <mergeCell ref="N49:N50"/>
    <mergeCell ref="O49:O50"/>
    <mergeCell ref="D55:D56"/>
    <mergeCell ref="E55:E56"/>
    <mergeCell ref="F55:F56"/>
    <mergeCell ref="G55:G56"/>
    <mergeCell ref="J55:J56"/>
    <mergeCell ref="K42:K43"/>
  </mergeCells>
  <phoneticPr fontId="4"/>
  <dataValidations count="11">
    <dataValidation type="list" errorStyle="warning" showInputMessage="1" showErrorMessage="1" sqref="R27" xr:uid="{00000000-0002-0000-0C00-000000000000}">
      <formula1>$AS$3:$AS$5</formula1>
    </dataValidation>
    <dataValidation type="list" allowBlank="1" showInputMessage="1" showErrorMessage="1" sqref="D27 M27 M19 D19:J19 D23 G23 J27 K27 J23:K23 G27" xr:uid="{00000000-0002-0000-0C00-000001000000}">
      <formula1>$AF$3:$AF$4</formula1>
    </dataValidation>
    <dataValidation type="list" errorStyle="warning" showInputMessage="1" sqref="E23:F23" xr:uid="{00000000-0002-0000-0C00-000002000000}">
      <formula1>$AN$2:$AN$16</formula1>
    </dataValidation>
    <dataValidation type="list" errorStyle="warning" allowBlank="1" showInputMessage="1" showErrorMessage="1" sqref="K19" xr:uid="{00000000-0002-0000-0C00-000003000000}">
      <formula1>$AK$2:$AK$16</formula1>
    </dataValidation>
    <dataValidation type="list" allowBlank="1" showInputMessage="1" showErrorMessage="1" sqref="L27" xr:uid="{00000000-0002-0000-0C00-000004000000}">
      <formula1>$AQ$2:$AQ$7</formula1>
    </dataValidation>
    <dataValidation type="list" errorStyle="warning" showInputMessage="1" sqref="O19" xr:uid="{00000000-0002-0000-0C00-000005000000}">
      <formula1>$AM$2:$AM$8</formula1>
    </dataValidation>
    <dataValidation type="list" showInputMessage="1" sqref="N19" xr:uid="{00000000-0002-0000-0C00-000007000000}">
      <formula1>$AM$2:$AM$8</formula1>
    </dataValidation>
    <dataValidation type="whole" operator="greaterThanOrEqual" allowBlank="1" showInputMessage="1" showErrorMessage="1" sqref="F27" xr:uid="{00000000-0002-0000-0C00-000008000000}">
      <formula1>0</formula1>
    </dataValidation>
    <dataValidation type="list" allowBlank="1" showInputMessage="1" showErrorMessage="1" sqref="H23" xr:uid="{72D3587C-2867-49C4-AC06-C0CC4AD82AC9}">
      <formula1>$AJ$3:$AJ$5</formula1>
    </dataValidation>
    <dataValidation type="list" errorStyle="warning" showInputMessage="1" showErrorMessage="1" sqref="I23" xr:uid="{A4C2216A-641B-478A-9588-7ABA622670EF}">
      <formula1>$AF$3:$AF$4</formula1>
    </dataValidation>
    <dataValidation type="list" errorStyle="warning" showInputMessage="1" sqref="P27" xr:uid="{5AF32E59-AED8-4455-BF2B-D4C44DA18220}">
      <formula1>$AF$3:$AF$4</formula1>
    </dataValidation>
  </dataValidations>
  <printOptions horizontalCentered="1"/>
  <pageMargins left="0.70866141732283472" right="0.70866141732283472" top="0.74803149606299213" bottom="0.74803149606299213" header="0.31496062992125984" footer="0.31496062992125984"/>
  <pageSetup paperSize="9" scale="36" fitToHeight="2" orientation="landscape" r:id="rId3"/>
  <rowBreaks count="1" manualBreakCount="1">
    <brk id="61" max="21" man="1"/>
  </rowBreaks>
  <colBreaks count="1" manualBreakCount="1">
    <brk id="23" max="119" man="1"/>
  </colBreaks>
  <ignoredErrors>
    <ignoredError sqref="N27 Q27"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6">
    <tabColor rgb="FFFFC000"/>
  </sheetPr>
  <dimension ref="A1:Z139"/>
  <sheetViews>
    <sheetView view="pageBreakPreview" zoomScale="85" zoomScaleNormal="100" zoomScaleSheetLayoutView="85" workbookViewId="0">
      <selection sqref="A1:C1"/>
    </sheetView>
  </sheetViews>
  <sheetFormatPr defaultRowHeight="13" outlineLevelCol="1"/>
  <cols>
    <col min="1" max="1" width="2.90625" style="34" customWidth="1"/>
    <col min="2" max="2" width="3" style="34" customWidth="1"/>
    <col min="3" max="3" width="14.7265625" style="34" customWidth="1"/>
    <col min="4" max="4" width="25.90625" style="34" customWidth="1"/>
    <col min="5" max="8" width="10.6328125" style="234" customWidth="1"/>
    <col min="9" max="9" width="12.90625" style="75" customWidth="1"/>
    <col min="10" max="12" width="10.6328125" style="34" customWidth="1"/>
    <col min="13" max="13" width="9" style="34" hidden="1" customWidth="1" outlineLevel="1"/>
    <col min="14" max="14" width="9" style="235" hidden="1" customWidth="1" outlineLevel="1"/>
    <col min="15" max="25" width="9" style="34" hidden="1" customWidth="1" outlineLevel="1"/>
    <col min="26" max="26" width="9" style="34" collapsed="1"/>
    <col min="27" max="255" width="9" style="34"/>
    <col min="256" max="256" width="2.90625" style="34" customWidth="1"/>
    <col min="257" max="257" width="3" style="34" customWidth="1"/>
    <col min="258" max="258" width="14.7265625" style="34" customWidth="1"/>
    <col min="259" max="259" width="25.90625" style="34" customWidth="1"/>
    <col min="260" max="260" width="8.08984375" style="34" customWidth="1"/>
    <col min="261" max="261" width="7.36328125" style="34" bestFit="1" customWidth="1"/>
    <col min="262" max="262" width="7.90625" style="34" bestFit="1" customWidth="1"/>
    <col min="263" max="263" width="13.26953125" style="34" bestFit="1" customWidth="1"/>
    <col min="264" max="264" width="14.26953125" style="34" customWidth="1"/>
    <col min="265" max="511" width="9" style="34"/>
    <col min="512" max="512" width="2.90625" style="34" customWidth="1"/>
    <col min="513" max="513" width="3" style="34" customWidth="1"/>
    <col min="514" max="514" width="14.7265625" style="34" customWidth="1"/>
    <col min="515" max="515" width="25.90625" style="34" customWidth="1"/>
    <col min="516" max="516" width="8.08984375" style="34" customWidth="1"/>
    <col min="517" max="517" width="7.36328125" style="34" bestFit="1" customWidth="1"/>
    <col min="518" max="518" width="7.90625" style="34" bestFit="1" customWidth="1"/>
    <col min="519" max="519" width="13.26953125" style="34" bestFit="1" customWidth="1"/>
    <col min="520" max="520" width="14.26953125" style="34" customWidth="1"/>
    <col min="521" max="767" width="9" style="34"/>
    <col min="768" max="768" width="2.90625" style="34" customWidth="1"/>
    <col min="769" max="769" width="3" style="34" customWidth="1"/>
    <col min="770" max="770" width="14.7265625" style="34" customWidth="1"/>
    <col min="771" max="771" width="25.90625" style="34" customWidth="1"/>
    <col min="772" max="772" width="8.08984375" style="34" customWidth="1"/>
    <col min="773" max="773" width="7.36328125" style="34" bestFit="1" customWidth="1"/>
    <col min="774" max="774" width="7.90625" style="34" bestFit="1" customWidth="1"/>
    <col min="775" max="775" width="13.26953125" style="34" bestFit="1" customWidth="1"/>
    <col min="776" max="776" width="14.26953125" style="34" customWidth="1"/>
    <col min="777" max="1023" width="9" style="34"/>
    <col min="1024" max="1024" width="2.90625" style="34" customWidth="1"/>
    <col min="1025" max="1025" width="3" style="34" customWidth="1"/>
    <col min="1026" max="1026" width="14.7265625" style="34" customWidth="1"/>
    <col min="1027" max="1027" width="25.90625" style="34" customWidth="1"/>
    <col min="1028" max="1028" width="8.08984375" style="34" customWidth="1"/>
    <col min="1029" max="1029" width="7.36328125" style="34" bestFit="1" customWidth="1"/>
    <col min="1030" max="1030" width="7.90625" style="34" bestFit="1" customWidth="1"/>
    <col min="1031" max="1031" width="13.26953125" style="34" bestFit="1" customWidth="1"/>
    <col min="1032" max="1032" width="14.26953125" style="34" customWidth="1"/>
    <col min="1033" max="1279" width="9" style="34"/>
    <col min="1280" max="1280" width="2.90625" style="34" customWidth="1"/>
    <col min="1281" max="1281" width="3" style="34" customWidth="1"/>
    <col min="1282" max="1282" width="14.7265625" style="34" customWidth="1"/>
    <col min="1283" max="1283" width="25.90625" style="34" customWidth="1"/>
    <col min="1284" max="1284" width="8.08984375" style="34" customWidth="1"/>
    <col min="1285" max="1285" width="7.36328125" style="34" bestFit="1" customWidth="1"/>
    <col min="1286" max="1286" width="7.90625" style="34" bestFit="1" customWidth="1"/>
    <col min="1287" max="1287" width="13.26953125" style="34" bestFit="1" customWidth="1"/>
    <col min="1288" max="1288" width="14.26953125" style="34" customWidth="1"/>
    <col min="1289" max="1535" width="9" style="34"/>
    <col min="1536" max="1536" width="2.90625" style="34" customWidth="1"/>
    <col min="1537" max="1537" width="3" style="34" customWidth="1"/>
    <col min="1538" max="1538" width="14.7265625" style="34" customWidth="1"/>
    <col min="1539" max="1539" width="25.90625" style="34" customWidth="1"/>
    <col min="1540" max="1540" width="8.08984375" style="34" customWidth="1"/>
    <col min="1541" max="1541" width="7.36328125" style="34" bestFit="1" customWidth="1"/>
    <col min="1542" max="1542" width="7.90625" style="34" bestFit="1" customWidth="1"/>
    <col min="1543" max="1543" width="13.26953125" style="34" bestFit="1" customWidth="1"/>
    <col min="1544" max="1544" width="14.26953125" style="34" customWidth="1"/>
    <col min="1545" max="1791" width="9" style="34"/>
    <col min="1792" max="1792" width="2.90625" style="34" customWidth="1"/>
    <col min="1793" max="1793" width="3" style="34" customWidth="1"/>
    <col min="1794" max="1794" width="14.7265625" style="34" customWidth="1"/>
    <col min="1795" max="1795" width="25.90625" style="34" customWidth="1"/>
    <col min="1796" max="1796" width="8.08984375" style="34" customWidth="1"/>
    <col min="1797" max="1797" width="7.36328125" style="34" bestFit="1" customWidth="1"/>
    <col min="1798" max="1798" width="7.90625" style="34" bestFit="1" customWidth="1"/>
    <col min="1799" max="1799" width="13.26953125" style="34" bestFit="1" customWidth="1"/>
    <col min="1800" max="1800" width="14.26953125" style="34" customWidth="1"/>
    <col min="1801" max="2047" width="9" style="34"/>
    <col min="2048" max="2048" width="2.90625" style="34" customWidth="1"/>
    <col min="2049" max="2049" width="3" style="34" customWidth="1"/>
    <col min="2050" max="2050" width="14.7265625" style="34" customWidth="1"/>
    <col min="2051" max="2051" width="25.90625" style="34" customWidth="1"/>
    <col min="2052" max="2052" width="8.08984375" style="34" customWidth="1"/>
    <col min="2053" max="2053" width="7.36328125" style="34" bestFit="1" customWidth="1"/>
    <col min="2054" max="2054" width="7.90625" style="34" bestFit="1" customWidth="1"/>
    <col min="2055" max="2055" width="13.26953125" style="34" bestFit="1" customWidth="1"/>
    <col min="2056" max="2056" width="14.26953125" style="34" customWidth="1"/>
    <col min="2057" max="2303" width="9" style="34"/>
    <col min="2304" max="2304" width="2.90625" style="34" customWidth="1"/>
    <col min="2305" max="2305" width="3" style="34" customWidth="1"/>
    <col min="2306" max="2306" width="14.7265625" style="34" customWidth="1"/>
    <col min="2307" max="2307" width="25.90625" style="34" customWidth="1"/>
    <col min="2308" max="2308" width="8.08984375" style="34" customWidth="1"/>
    <col min="2309" max="2309" width="7.36328125" style="34" bestFit="1" customWidth="1"/>
    <col min="2310" max="2310" width="7.90625" style="34" bestFit="1" customWidth="1"/>
    <col min="2311" max="2311" width="13.26953125" style="34" bestFit="1" customWidth="1"/>
    <col min="2312" max="2312" width="14.26953125" style="34" customWidth="1"/>
    <col min="2313" max="2559" width="9" style="34"/>
    <col min="2560" max="2560" width="2.90625" style="34" customWidth="1"/>
    <col min="2561" max="2561" width="3" style="34" customWidth="1"/>
    <col min="2562" max="2562" width="14.7265625" style="34" customWidth="1"/>
    <col min="2563" max="2563" width="25.90625" style="34" customWidth="1"/>
    <col min="2564" max="2564" width="8.08984375" style="34" customWidth="1"/>
    <col min="2565" max="2565" width="7.36328125" style="34" bestFit="1" customWidth="1"/>
    <col min="2566" max="2566" width="7.90625" style="34" bestFit="1" customWidth="1"/>
    <col min="2567" max="2567" width="13.26953125" style="34" bestFit="1" customWidth="1"/>
    <col min="2568" max="2568" width="14.26953125" style="34" customWidth="1"/>
    <col min="2569" max="2815" width="9" style="34"/>
    <col min="2816" max="2816" width="2.90625" style="34" customWidth="1"/>
    <col min="2817" max="2817" width="3" style="34" customWidth="1"/>
    <col min="2818" max="2818" width="14.7265625" style="34" customWidth="1"/>
    <col min="2819" max="2819" width="25.90625" style="34" customWidth="1"/>
    <col min="2820" max="2820" width="8.08984375" style="34" customWidth="1"/>
    <col min="2821" max="2821" width="7.36328125" style="34" bestFit="1" customWidth="1"/>
    <col min="2822" max="2822" width="7.90625" style="34" bestFit="1" customWidth="1"/>
    <col min="2823" max="2823" width="13.26953125" style="34" bestFit="1" customWidth="1"/>
    <col min="2824" max="2824" width="14.26953125" style="34" customWidth="1"/>
    <col min="2825" max="3071" width="9" style="34"/>
    <col min="3072" max="3072" width="2.90625" style="34" customWidth="1"/>
    <col min="3073" max="3073" width="3" style="34" customWidth="1"/>
    <col min="3074" max="3074" width="14.7265625" style="34" customWidth="1"/>
    <col min="3075" max="3075" width="25.90625" style="34" customWidth="1"/>
    <col min="3076" max="3076" width="8.08984375" style="34" customWidth="1"/>
    <col min="3077" max="3077" width="7.36328125" style="34" bestFit="1" customWidth="1"/>
    <col min="3078" max="3078" width="7.90625" style="34" bestFit="1" customWidth="1"/>
    <col min="3079" max="3079" width="13.26953125" style="34" bestFit="1" customWidth="1"/>
    <col min="3080" max="3080" width="14.26953125" style="34" customWidth="1"/>
    <col min="3081" max="3327" width="9" style="34"/>
    <col min="3328" max="3328" width="2.90625" style="34" customWidth="1"/>
    <col min="3329" max="3329" width="3" style="34" customWidth="1"/>
    <col min="3330" max="3330" width="14.7265625" style="34" customWidth="1"/>
    <col min="3331" max="3331" width="25.90625" style="34" customWidth="1"/>
    <col min="3332" max="3332" width="8.08984375" style="34" customWidth="1"/>
    <col min="3333" max="3333" width="7.36328125" style="34" bestFit="1" customWidth="1"/>
    <col min="3334" max="3334" width="7.90625" style="34" bestFit="1" customWidth="1"/>
    <col min="3335" max="3335" width="13.26953125" style="34" bestFit="1" customWidth="1"/>
    <col min="3336" max="3336" width="14.26953125" style="34" customWidth="1"/>
    <col min="3337" max="3583" width="9" style="34"/>
    <col min="3584" max="3584" width="2.90625" style="34" customWidth="1"/>
    <col min="3585" max="3585" width="3" style="34" customWidth="1"/>
    <col min="3586" max="3586" width="14.7265625" style="34" customWidth="1"/>
    <col min="3587" max="3587" width="25.90625" style="34" customWidth="1"/>
    <col min="3588" max="3588" width="8.08984375" style="34" customWidth="1"/>
    <col min="3589" max="3589" width="7.36328125" style="34" bestFit="1" customWidth="1"/>
    <col min="3590" max="3590" width="7.90625" style="34" bestFit="1" customWidth="1"/>
    <col min="3591" max="3591" width="13.26953125" style="34" bestFit="1" customWidth="1"/>
    <col min="3592" max="3592" width="14.26953125" style="34" customWidth="1"/>
    <col min="3593" max="3839" width="9" style="34"/>
    <col min="3840" max="3840" width="2.90625" style="34" customWidth="1"/>
    <col min="3841" max="3841" width="3" style="34" customWidth="1"/>
    <col min="3842" max="3842" width="14.7265625" style="34" customWidth="1"/>
    <col min="3843" max="3843" width="25.90625" style="34" customWidth="1"/>
    <col min="3844" max="3844" width="8.08984375" style="34" customWidth="1"/>
    <col min="3845" max="3845" width="7.36328125" style="34" bestFit="1" customWidth="1"/>
    <col min="3846" max="3846" width="7.90625" style="34" bestFit="1" customWidth="1"/>
    <col min="3847" max="3847" width="13.26953125" style="34" bestFit="1" customWidth="1"/>
    <col min="3848" max="3848" width="14.26953125" style="34" customWidth="1"/>
    <col min="3849" max="4095" width="9" style="34"/>
    <col min="4096" max="4096" width="2.90625" style="34" customWidth="1"/>
    <col min="4097" max="4097" width="3" style="34" customWidth="1"/>
    <col min="4098" max="4098" width="14.7265625" style="34" customWidth="1"/>
    <col min="4099" max="4099" width="25.90625" style="34" customWidth="1"/>
    <col min="4100" max="4100" width="8.08984375" style="34" customWidth="1"/>
    <col min="4101" max="4101" width="7.36328125" style="34" bestFit="1" customWidth="1"/>
    <col min="4102" max="4102" width="7.90625" style="34" bestFit="1" customWidth="1"/>
    <col min="4103" max="4103" width="13.26953125" style="34" bestFit="1" customWidth="1"/>
    <col min="4104" max="4104" width="14.26953125" style="34" customWidth="1"/>
    <col min="4105" max="4351" width="9" style="34"/>
    <col min="4352" max="4352" width="2.90625" style="34" customWidth="1"/>
    <col min="4353" max="4353" width="3" style="34" customWidth="1"/>
    <col min="4354" max="4354" width="14.7265625" style="34" customWidth="1"/>
    <col min="4355" max="4355" width="25.90625" style="34" customWidth="1"/>
    <col min="4356" max="4356" width="8.08984375" style="34" customWidth="1"/>
    <col min="4357" max="4357" width="7.36328125" style="34" bestFit="1" customWidth="1"/>
    <col min="4358" max="4358" width="7.90625" style="34" bestFit="1" customWidth="1"/>
    <col min="4359" max="4359" width="13.26953125" style="34" bestFit="1" customWidth="1"/>
    <col min="4360" max="4360" width="14.26953125" style="34" customWidth="1"/>
    <col min="4361" max="4607" width="9" style="34"/>
    <col min="4608" max="4608" width="2.90625" style="34" customWidth="1"/>
    <col min="4609" max="4609" width="3" style="34" customWidth="1"/>
    <col min="4610" max="4610" width="14.7265625" style="34" customWidth="1"/>
    <col min="4611" max="4611" width="25.90625" style="34" customWidth="1"/>
    <col min="4612" max="4612" width="8.08984375" style="34" customWidth="1"/>
    <col min="4613" max="4613" width="7.36328125" style="34" bestFit="1" customWidth="1"/>
    <col min="4614" max="4614" width="7.90625" style="34" bestFit="1" customWidth="1"/>
    <col min="4615" max="4615" width="13.26953125" style="34" bestFit="1" customWidth="1"/>
    <col min="4616" max="4616" width="14.26953125" style="34" customWidth="1"/>
    <col min="4617" max="4863" width="9" style="34"/>
    <col min="4864" max="4864" width="2.90625" style="34" customWidth="1"/>
    <col min="4865" max="4865" width="3" style="34" customWidth="1"/>
    <col min="4866" max="4866" width="14.7265625" style="34" customWidth="1"/>
    <col min="4867" max="4867" width="25.90625" style="34" customWidth="1"/>
    <col min="4868" max="4868" width="8.08984375" style="34" customWidth="1"/>
    <col min="4869" max="4869" width="7.36328125" style="34" bestFit="1" customWidth="1"/>
    <col min="4870" max="4870" width="7.90625" style="34" bestFit="1" customWidth="1"/>
    <col min="4871" max="4871" width="13.26953125" style="34" bestFit="1" customWidth="1"/>
    <col min="4872" max="4872" width="14.26953125" style="34" customWidth="1"/>
    <col min="4873" max="5119" width="9" style="34"/>
    <col min="5120" max="5120" width="2.90625" style="34" customWidth="1"/>
    <col min="5121" max="5121" width="3" style="34" customWidth="1"/>
    <col min="5122" max="5122" width="14.7265625" style="34" customWidth="1"/>
    <col min="5123" max="5123" width="25.90625" style="34" customWidth="1"/>
    <col min="5124" max="5124" width="8.08984375" style="34" customWidth="1"/>
    <col min="5125" max="5125" width="7.36328125" style="34" bestFit="1" customWidth="1"/>
    <col min="5126" max="5126" width="7.90625" style="34" bestFit="1" customWidth="1"/>
    <col min="5127" max="5127" width="13.26953125" style="34" bestFit="1" customWidth="1"/>
    <col min="5128" max="5128" width="14.26953125" style="34" customWidth="1"/>
    <col min="5129" max="5375" width="9" style="34"/>
    <col min="5376" max="5376" width="2.90625" style="34" customWidth="1"/>
    <col min="5377" max="5377" width="3" style="34" customWidth="1"/>
    <col min="5378" max="5378" width="14.7265625" style="34" customWidth="1"/>
    <col min="5379" max="5379" width="25.90625" style="34" customWidth="1"/>
    <col min="5380" max="5380" width="8.08984375" style="34" customWidth="1"/>
    <col min="5381" max="5381" width="7.36328125" style="34" bestFit="1" customWidth="1"/>
    <col min="5382" max="5382" width="7.90625" style="34" bestFit="1" customWidth="1"/>
    <col min="5383" max="5383" width="13.26953125" style="34" bestFit="1" customWidth="1"/>
    <col min="5384" max="5384" width="14.26953125" style="34" customWidth="1"/>
    <col min="5385" max="5631" width="9" style="34"/>
    <col min="5632" max="5632" width="2.90625" style="34" customWidth="1"/>
    <col min="5633" max="5633" width="3" style="34" customWidth="1"/>
    <col min="5634" max="5634" width="14.7265625" style="34" customWidth="1"/>
    <col min="5635" max="5635" width="25.90625" style="34" customWidth="1"/>
    <col min="5636" max="5636" width="8.08984375" style="34" customWidth="1"/>
    <col min="5637" max="5637" width="7.36328125" style="34" bestFit="1" customWidth="1"/>
    <col min="5638" max="5638" width="7.90625" style="34" bestFit="1" customWidth="1"/>
    <col min="5639" max="5639" width="13.26953125" style="34" bestFit="1" customWidth="1"/>
    <col min="5640" max="5640" width="14.26953125" style="34" customWidth="1"/>
    <col min="5641" max="5887" width="9" style="34"/>
    <col min="5888" max="5888" width="2.90625" style="34" customWidth="1"/>
    <col min="5889" max="5889" width="3" style="34" customWidth="1"/>
    <col min="5890" max="5890" width="14.7265625" style="34" customWidth="1"/>
    <col min="5891" max="5891" width="25.90625" style="34" customWidth="1"/>
    <col min="5892" max="5892" width="8.08984375" style="34" customWidth="1"/>
    <col min="5893" max="5893" width="7.36328125" style="34" bestFit="1" customWidth="1"/>
    <col min="5894" max="5894" width="7.90625" style="34" bestFit="1" customWidth="1"/>
    <col min="5895" max="5895" width="13.26953125" style="34" bestFit="1" customWidth="1"/>
    <col min="5896" max="5896" width="14.26953125" style="34" customWidth="1"/>
    <col min="5897" max="6143" width="9" style="34"/>
    <col min="6144" max="6144" width="2.90625" style="34" customWidth="1"/>
    <col min="6145" max="6145" width="3" style="34" customWidth="1"/>
    <col min="6146" max="6146" width="14.7265625" style="34" customWidth="1"/>
    <col min="6147" max="6147" width="25.90625" style="34" customWidth="1"/>
    <col min="6148" max="6148" width="8.08984375" style="34" customWidth="1"/>
    <col min="6149" max="6149" width="7.36328125" style="34" bestFit="1" customWidth="1"/>
    <col min="6150" max="6150" width="7.90625" style="34" bestFit="1" customWidth="1"/>
    <col min="6151" max="6151" width="13.26953125" style="34" bestFit="1" customWidth="1"/>
    <col min="6152" max="6152" width="14.26953125" style="34" customWidth="1"/>
    <col min="6153" max="6399" width="9" style="34"/>
    <col min="6400" max="6400" width="2.90625" style="34" customWidth="1"/>
    <col min="6401" max="6401" width="3" style="34" customWidth="1"/>
    <col min="6402" max="6402" width="14.7265625" style="34" customWidth="1"/>
    <col min="6403" max="6403" width="25.90625" style="34" customWidth="1"/>
    <col min="6404" max="6404" width="8.08984375" style="34" customWidth="1"/>
    <col min="6405" max="6405" width="7.36328125" style="34" bestFit="1" customWidth="1"/>
    <col min="6406" max="6406" width="7.90625" style="34" bestFit="1" customWidth="1"/>
    <col min="6407" max="6407" width="13.26953125" style="34" bestFit="1" customWidth="1"/>
    <col min="6408" max="6408" width="14.26953125" style="34" customWidth="1"/>
    <col min="6409" max="6655" width="9" style="34"/>
    <col min="6656" max="6656" width="2.90625" style="34" customWidth="1"/>
    <col min="6657" max="6657" width="3" style="34" customWidth="1"/>
    <col min="6658" max="6658" width="14.7265625" style="34" customWidth="1"/>
    <col min="6659" max="6659" width="25.90625" style="34" customWidth="1"/>
    <col min="6660" max="6660" width="8.08984375" style="34" customWidth="1"/>
    <col min="6661" max="6661" width="7.36328125" style="34" bestFit="1" customWidth="1"/>
    <col min="6662" max="6662" width="7.90625" style="34" bestFit="1" customWidth="1"/>
    <col min="6663" max="6663" width="13.26953125" style="34" bestFit="1" customWidth="1"/>
    <col min="6664" max="6664" width="14.26953125" style="34" customWidth="1"/>
    <col min="6665" max="6911" width="9" style="34"/>
    <col min="6912" max="6912" width="2.90625" style="34" customWidth="1"/>
    <col min="6913" max="6913" width="3" style="34" customWidth="1"/>
    <col min="6914" max="6914" width="14.7265625" style="34" customWidth="1"/>
    <col min="6915" max="6915" width="25.90625" style="34" customWidth="1"/>
    <col min="6916" max="6916" width="8.08984375" style="34" customWidth="1"/>
    <col min="6917" max="6917" width="7.36328125" style="34" bestFit="1" customWidth="1"/>
    <col min="6918" max="6918" width="7.90625" style="34" bestFit="1" customWidth="1"/>
    <col min="6919" max="6919" width="13.26953125" style="34" bestFit="1" customWidth="1"/>
    <col min="6920" max="6920" width="14.26953125" style="34" customWidth="1"/>
    <col min="6921" max="7167" width="9" style="34"/>
    <col min="7168" max="7168" width="2.90625" style="34" customWidth="1"/>
    <col min="7169" max="7169" width="3" style="34" customWidth="1"/>
    <col min="7170" max="7170" width="14.7265625" style="34" customWidth="1"/>
    <col min="7171" max="7171" width="25.90625" style="34" customWidth="1"/>
    <col min="7172" max="7172" width="8.08984375" style="34" customWidth="1"/>
    <col min="7173" max="7173" width="7.36328125" style="34" bestFit="1" customWidth="1"/>
    <col min="7174" max="7174" width="7.90625" style="34" bestFit="1" customWidth="1"/>
    <col min="7175" max="7175" width="13.26953125" style="34" bestFit="1" customWidth="1"/>
    <col min="7176" max="7176" width="14.26953125" style="34" customWidth="1"/>
    <col min="7177" max="7423" width="9" style="34"/>
    <col min="7424" max="7424" width="2.90625" style="34" customWidth="1"/>
    <col min="7425" max="7425" width="3" style="34" customWidth="1"/>
    <col min="7426" max="7426" width="14.7265625" style="34" customWidth="1"/>
    <col min="7427" max="7427" width="25.90625" style="34" customWidth="1"/>
    <col min="7428" max="7428" width="8.08984375" style="34" customWidth="1"/>
    <col min="7429" max="7429" width="7.36328125" style="34" bestFit="1" customWidth="1"/>
    <col min="7430" max="7430" width="7.90625" style="34" bestFit="1" customWidth="1"/>
    <col min="7431" max="7431" width="13.26953125" style="34" bestFit="1" customWidth="1"/>
    <col min="7432" max="7432" width="14.26953125" style="34" customWidth="1"/>
    <col min="7433" max="7679" width="9" style="34"/>
    <col min="7680" max="7680" width="2.90625" style="34" customWidth="1"/>
    <col min="7681" max="7681" width="3" style="34" customWidth="1"/>
    <col min="7682" max="7682" width="14.7265625" style="34" customWidth="1"/>
    <col min="7683" max="7683" width="25.90625" style="34" customWidth="1"/>
    <col min="7684" max="7684" width="8.08984375" style="34" customWidth="1"/>
    <col min="7685" max="7685" width="7.36328125" style="34" bestFit="1" customWidth="1"/>
    <col min="7686" max="7686" width="7.90625" style="34" bestFit="1" customWidth="1"/>
    <col min="7687" max="7687" width="13.26953125" style="34" bestFit="1" customWidth="1"/>
    <col min="7688" max="7688" width="14.26953125" style="34" customWidth="1"/>
    <col min="7689" max="7935" width="9" style="34"/>
    <col min="7936" max="7936" width="2.90625" style="34" customWidth="1"/>
    <col min="7937" max="7937" width="3" style="34" customWidth="1"/>
    <col min="7938" max="7938" width="14.7265625" style="34" customWidth="1"/>
    <col min="7939" max="7939" width="25.90625" style="34" customWidth="1"/>
    <col min="7940" max="7940" width="8.08984375" style="34" customWidth="1"/>
    <col min="7941" max="7941" width="7.36328125" style="34" bestFit="1" customWidth="1"/>
    <col min="7942" max="7942" width="7.90625" style="34" bestFit="1" customWidth="1"/>
    <col min="7943" max="7943" width="13.26953125" style="34" bestFit="1" customWidth="1"/>
    <col min="7944" max="7944" width="14.26953125" style="34" customWidth="1"/>
    <col min="7945" max="8191" width="9" style="34"/>
    <col min="8192" max="8192" width="2.90625" style="34" customWidth="1"/>
    <col min="8193" max="8193" width="3" style="34" customWidth="1"/>
    <col min="8194" max="8194" width="14.7265625" style="34" customWidth="1"/>
    <col min="8195" max="8195" width="25.90625" style="34" customWidth="1"/>
    <col min="8196" max="8196" width="8.08984375" style="34" customWidth="1"/>
    <col min="8197" max="8197" width="7.36328125" style="34" bestFit="1" customWidth="1"/>
    <col min="8198" max="8198" width="7.90625" style="34" bestFit="1" customWidth="1"/>
    <col min="8199" max="8199" width="13.26953125" style="34" bestFit="1" customWidth="1"/>
    <col min="8200" max="8200" width="14.26953125" style="34" customWidth="1"/>
    <col min="8201" max="8447" width="9" style="34"/>
    <col min="8448" max="8448" width="2.90625" style="34" customWidth="1"/>
    <col min="8449" max="8449" width="3" style="34" customWidth="1"/>
    <col min="8450" max="8450" width="14.7265625" style="34" customWidth="1"/>
    <col min="8451" max="8451" width="25.90625" style="34" customWidth="1"/>
    <col min="8452" max="8452" width="8.08984375" style="34" customWidth="1"/>
    <col min="8453" max="8453" width="7.36328125" style="34" bestFit="1" customWidth="1"/>
    <col min="8454" max="8454" width="7.90625" style="34" bestFit="1" customWidth="1"/>
    <col min="8455" max="8455" width="13.26953125" style="34" bestFit="1" customWidth="1"/>
    <col min="8456" max="8456" width="14.26953125" style="34" customWidth="1"/>
    <col min="8457" max="8703" width="9" style="34"/>
    <col min="8704" max="8704" width="2.90625" style="34" customWidth="1"/>
    <col min="8705" max="8705" width="3" style="34" customWidth="1"/>
    <col min="8706" max="8706" width="14.7265625" style="34" customWidth="1"/>
    <col min="8707" max="8707" width="25.90625" style="34" customWidth="1"/>
    <col min="8708" max="8708" width="8.08984375" style="34" customWidth="1"/>
    <col min="8709" max="8709" width="7.36328125" style="34" bestFit="1" customWidth="1"/>
    <col min="8710" max="8710" width="7.90625" style="34" bestFit="1" customWidth="1"/>
    <col min="8711" max="8711" width="13.26953125" style="34" bestFit="1" customWidth="1"/>
    <col min="8712" max="8712" width="14.26953125" style="34" customWidth="1"/>
    <col min="8713" max="8959" width="9" style="34"/>
    <col min="8960" max="8960" width="2.90625" style="34" customWidth="1"/>
    <col min="8961" max="8961" width="3" style="34" customWidth="1"/>
    <col min="8962" max="8962" width="14.7265625" style="34" customWidth="1"/>
    <col min="8963" max="8963" width="25.90625" style="34" customWidth="1"/>
    <col min="8964" max="8964" width="8.08984375" style="34" customWidth="1"/>
    <col min="8965" max="8965" width="7.36328125" style="34" bestFit="1" customWidth="1"/>
    <col min="8966" max="8966" width="7.90625" style="34" bestFit="1" customWidth="1"/>
    <col min="8967" max="8967" width="13.26953125" style="34" bestFit="1" customWidth="1"/>
    <col min="8968" max="8968" width="14.26953125" style="34" customWidth="1"/>
    <col min="8969" max="9215" width="9" style="34"/>
    <col min="9216" max="9216" width="2.90625" style="34" customWidth="1"/>
    <col min="9217" max="9217" width="3" style="34" customWidth="1"/>
    <col min="9218" max="9218" width="14.7265625" style="34" customWidth="1"/>
    <col min="9219" max="9219" width="25.90625" style="34" customWidth="1"/>
    <col min="9220" max="9220" width="8.08984375" style="34" customWidth="1"/>
    <col min="9221" max="9221" width="7.36328125" style="34" bestFit="1" customWidth="1"/>
    <col min="9222" max="9222" width="7.90625" style="34" bestFit="1" customWidth="1"/>
    <col min="9223" max="9223" width="13.26953125" style="34" bestFit="1" customWidth="1"/>
    <col min="9224" max="9224" width="14.26953125" style="34" customWidth="1"/>
    <col min="9225" max="9471" width="9" style="34"/>
    <col min="9472" max="9472" width="2.90625" style="34" customWidth="1"/>
    <col min="9473" max="9473" width="3" style="34" customWidth="1"/>
    <col min="9474" max="9474" width="14.7265625" style="34" customWidth="1"/>
    <col min="9475" max="9475" width="25.90625" style="34" customWidth="1"/>
    <col min="9476" max="9476" width="8.08984375" style="34" customWidth="1"/>
    <col min="9477" max="9477" width="7.36328125" style="34" bestFit="1" customWidth="1"/>
    <col min="9478" max="9478" width="7.90625" style="34" bestFit="1" customWidth="1"/>
    <col min="9479" max="9479" width="13.26953125" style="34" bestFit="1" customWidth="1"/>
    <col min="9480" max="9480" width="14.26953125" style="34" customWidth="1"/>
    <col min="9481" max="9727" width="9" style="34"/>
    <col min="9728" max="9728" width="2.90625" style="34" customWidth="1"/>
    <col min="9729" max="9729" width="3" style="34" customWidth="1"/>
    <col min="9730" max="9730" width="14.7265625" style="34" customWidth="1"/>
    <col min="9731" max="9731" width="25.90625" style="34" customWidth="1"/>
    <col min="9732" max="9732" width="8.08984375" style="34" customWidth="1"/>
    <col min="9733" max="9733" width="7.36328125" style="34" bestFit="1" customWidth="1"/>
    <col min="9734" max="9734" width="7.90625" style="34" bestFit="1" customWidth="1"/>
    <col min="9735" max="9735" width="13.26953125" style="34" bestFit="1" customWidth="1"/>
    <col min="9736" max="9736" width="14.26953125" style="34" customWidth="1"/>
    <col min="9737" max="9983" width="9" style="34"/>
    <col min="9984" max="9984" width="2.90625" style="34" customWidth="1"/>
    <col min="9985" max="9985" width="3" style="34" customWidth="1"/>
    <col min="9986" max="9986" width="14.7265625" style="34" customWidth="1"/>
    <col min="9987" max="9987" width="25.90625" style="34" customWidth="1"/>
    <col min="9988" max="9988" width="8.08984375" style="34" customWidth="1"/>
    <col min="9989" max="9989" width="7.36328125" style="34" bestFit="1" customWidth="1"/>
    <col min="9990" max="9990" width="7.90625" style="34" bestFit="1" customWidth="1"/>
    <col min="9991" max="9991" width="13.26953125" style="34" bestFit="1" customWidth="1"/>
    <col min="9992" max="9992" width="14.26953125" style="34" customWidth="1"/>
    <col min="9993" max="10239" width="9" style="34"/>
    <col min="10240" max="10240" width="2.90625" style="34" customWidth="1"/>
    <col min="10241" max="10241" width="3" style="34" customWidth="1"/>
    <col min="10242" max="10242" width="14.7265625" style="34" customWidth="1"/>
    <col min="10243" max="10243" width="25.90625" style="34" customWidth="1"/>
    <col min="10244" max="10244" width="8.08984375" style="34" customWidth="1"/>
    <col min="10245" max="10245" width="7.36328125" style="34" bestFit="1" customWidth="1"/>
    <col min="10246" max="10246" width="7.90625" style="34" bestFit="1" customWidth="1"/>
    <col min="10247" max="10247" width="13.26953125" style="34" bestFit="1" customWidth="1"/>
    <col min="10248" max="10248" width="14.26953125" style="34" customWidth="1"/>
    <col min="10249" max="10495" width="9" style="34"/>
    <col min="10496" max="10496" width="2.90625" style="34" customWidth="1"/>
    <col min="10497" max="10497" width="3" style="34" customWidth="1"/>
    <col min="10498" max="10498" width="14.7265625" style="34" customWidth="1"/>
    <col min="10499" max="10499" width="25.90625" style="34" customWidth="1"/>
    <col min="10500" max="10500" width="8.08984375" style="34" customWidth="1"/>
    <col min="10501" max="10501" width="7.36328125" style="34" bestFit="1" customWidth="1"/>
    <col min="10502" max="10502" width="7.90625" style="34" bestFit="1" customWidth="1"/>
    <col min="10503" max="10503" width="13.26953125" style="34" bestFit="1" customWidth="1"/>
    <col min="10504" max="10504" width="14.26953125" style="34" customWidth="1"/>
    <col min="10505" max="10751" width="9" style="34"/>
    <col min="10752" max="10752" width="2.90625" style="34" customWidth="1"/>
    <col min="10753" max="10753" width="3" style="34" customWidth="1"/>
    <col min="10754" max="10754" width="14.7265625" style="34" customWidth="1"/>
    <col min="10755" max="10755" width="25.90625" style="34" customWidth="1"/>
    <col min="10756" max="10756" width="8.08984375" style="34" customWidth="1"/>
    <col min="10757" max="10757" width="7.36328125" style="34" bestFit="1" customWidth="1"/>
    <col min="10758" max="10758" width="7.90625" style="34" bestFit="1" customWidth="1"/>
    <col min="10759" max="10759" width="13.26953125" style="34" bestFit="1" customWidth="1"/>
    <col min="10760" max="10760" width="14.26953125" style="34" customWidth="1"/>
    <col min="10761" max="11007" width="9" style="34"/>
    <col min="11008" max="11008" width="2.90625" style="34" customWidth="1"/>
    <col min="11009" max="11009" width="3" style="34" customWidth="1"/>
    <col min="11010" max="11010" width="14.7265625" style="34" customWidth="1"/>
    <col min="11011" max="11011" width="25.90625" style="34" customWidth="1"/>
    <col min="11012" max="11012" width="8.08984375" style="34" customWidth="1"/>
    <col min="11013" max="11013" width="7.36328125" style="34" bestFit="1" customWidth="1"/>
    <col min="11014" max="11014" width="7.90625" style="34" bestFit="1" customWidth="1"/>
    <col min="11015" max="11015" width="13.26953125" style="34" bestFit="1" customWidth="1"/>
    <col min="11016" max="11016" width="14.26953125" style="34" customWidth="1"/>
    <col min="11017" max="11263" width="9" style="34"/>
    <col min="11264" max="11264" width="2.90625" style="34" customWidth="1"/>
    <col min="11265" max="11265" width="3" style="34" customWidth="1"/>
    <col min="11266" max="11266" width="14.7265625" style="34" customWidth="1"/>
    <col min="11267" max="11267" width="25.90625" style="34" customWidth="1"/>
    <col min="11268" max="11268" width="8.08984375" style="34" customWidth="1"/>
    <col min="11269" max="11269" width="7.36328125" style="34" bestFit="1" customWidth="1"/>
    <col min="11270" max="11270" width="7.90625" style="34" bestFit="1" customWidth="1"/>
    <col min="11271" max="11271" width="13.26953125" style="34" bestFit="1" customWidth="1"/>
    <col min="11272" max="11272" width="14.26953125" style="34" customWidth="1"/>
    <col min="11273" max="11519" width="9" style="34"/>
    <col min="11520" max="11520" width="2.90625" style="34" customWidth="1"/>
    <col min="11521" max="11521" width="3" style="34" customWidth="1"/>
    <col min="11522" max="11522" width="14.7265625" style="34" customWidth="1"/>
    <col min="11523" max="11523" width="25.90625" style="34" customWidth="1"/>
    <col min="11524" max="11524" width="8.08984375" style="34" customWidth="1"/>
    <col min="11525" max="11525" width="7.36328125" style="34" bestFit="1" customWidth="1"/>
    <col min="11526" max="11526" width="7.90625" style="34" bestFit="1" customWidth="1"/>
    <col min="11527" max="11527" width="13.26953125" style="34" bestFit="1" customWidth="1"/>
    <col min="11528" max="11528" width="14.26953125" style="34" customWidth="1"/>
    <col min="11529" max="11775" width="9" style="34"/>
    <col min="11776" max="11776" width="2.90625" style="34" customWidth="1"/>
    <col min="11777" max="11777" width="3" style="34" customWidth="1"/>
    <col min="11778" max="11778" width="14.7265625" style="34" customWidth="1"/>
    <col min="11779" max="11779" width="25.90625" style="34" customWidth="1"/>
    <col min="11780" max="11780" width="8.08984375" style="34" customWidth="1"/>
    <col min="11781" max="11781" width="7.36328125" style="34" bestFit="1" customWidth="1"/>
    <col min="11782" max="11782" width="7.90625" style="34" bestFit="1" customWidth="1"/>
    <col min="11783" max="11783" width="13.26953125" style="34" bestFit="1" customWidth="1"/>
    <col min="11784" max="11784" width="14.26953125" style="34" customWidth="1"/>
    <col min="11785" max="12031" width="9" style="34"/>
    <col min="12032" max="12032" width="2.90625" style="34" customWidth="1"/>
    <col min="12033" max="12033" width="3" style="34" customWidth="1"/>
    <col min="12034" max="12034" width="14.7265625" style="34" customWidth="1"/>
    <col min="12035" max="12035" width="25.90625" style="34" customWidth="1"/>
    <col min="12036" max="12036" width="8.08984375" style="34" customWidth="1"/>
    <col min="12037" max="12037" width="7.36328125" style="34" bestFit="1" customWidth="1"/>
    <col min="12038" max="12038" width="7.90625" style="34" bestFit="1" customWidth="1"/>
    <col min="12039" max="12039" width="13.26953125" style="34" bestFit="1" customWidth="1"/>
    <col min="12040" max="12040" width="14.26953125" style="34" customWidth="1"/>
    <col min="12041" max="12287" width="9" style="34"/>
    <col min="12288" max="12288" width="2.90625" style="34" customWidth="1"/>
    <col min="12289" max="12289" width="3" style="34" customWidth="1"/>
    <col min="12290" max="12290" width="14.7265625" style="34" customWidth="1"/>
    <col min="12291" max="12291" width="25.90625" style="34" customWidth="1"/>
    <col min="12292" max="12292" width="8.08984375" style="34" customWidth="1"/>
    <col min="12293" max="12293" width="7.36328125" style="34" bestFit="1" customWidth="1"/>
    <col min="12294" max="12294" width="7.90625" style="34" bestFit="1" customWidth="1"/>
    <col min="12295" max="12295" width="13.26953125" style="34" bestFit="1" customWidth="1"/>
    <col min="12296" max="12296" width="14.26953125" style="34" customWidth="1"/>
    <col min="12297" max="12543" width="9" style="34"/>
    <col min="12544" max="12544" width="2.90625" style="34" customWidth="1"/>
    <col min="12545" max="12545" width="3" style="34" customWidth="1"/>
    <col min="12546" max="12546" width="14.7265625" style="34" customWidth="1"/>
    <col min="12547" max="12547" width="25.90625" style="34" customWidth="1"/>
    <col min="12548" max="12548" width="8.08984375" style="34" customWidth="1"/>
    <col min="12549" max="12549" width="7.36328125" style="34" bestFit="1" customWidth="1"/>
    <col min="12550" max="12550" width="7.90625" style="34" bestFit="1" customWidth="1"/>
    <col min="12551" max="12551" width="13.26953125" style="34" bestFit="1" customWidth="1"/>
    <col min="12552" max="12552" width="14.26953125" style="34" customWidth="1"/>
    <col min="12553" max="12799" width="9" style="34"/>
    <col min="12800" max="12800" width="2.90625" style="34" customWidth="1"/>
    <col min="12801" max="12801" width="3" style="34" customWidth="1"/>
    <col min="12802" max="12802" width="14.7265625" style="34" customWidth="1"/>
    <col min="12803" max="12803" width="25.90625" style="34" customWidth="1"/>
    <col min="12804" max="12804" width="8.08984375" style="34" customWidth="1"/>
    <col min="12805" max="12805" width="7.36328125" style="34" bestFit="1" customWidth="1"/>
    <col min="12806" max="12806" width="7.90625" style="34" bestFit="1" customWidth="1"/>
    <col min="12807" max="12807" width="13.26953125" style="34" bestFit="1" customWidth="1"/>
    <col min="12808" max="12808" width="14.26953125" style="34" customWidth="1"/>
    <col min="12809" max="13055" width="9" style="34"/>
    <col min="13056" max="13056" width="2.90625" style="34" customWidth="1"/>
    <col min="13057" max="13057" width="3" style="34" customWidth="1"/>
    <col min="13058" max="13058" width="14.7265625" style="34" customWidth="1"/>
    <col min="13059" max="13059" width="25.90625" style="34" customWidth="1"/>
    <col min="13060" max="13060" width="8.08984375" style="34" customWidth="1"/>
    <col min="13061" max="13061" width="7.36328125" style="34" bestFit="1" customWidth="1"/>
    <col min="13062" max="13062" width="7.90625" style="34" bestFit="1" customWidth="1"/>
    <col min="13063" max="13063" width="13.26953125" style="34" bestFit="1" customWidth="1"/>
    <col min="13064" max="13064" width="14.26953125" style="34" customWidth="1"/>
    <col min="13065" max="13311" width="9" style="34"/>
    <col min="13312" max="13312" width="2.90625" style="34" customWidth="1"/>
    <col min="13313" max="13313" width="3" style="34" customWidth="1"/>
    <col min="13314" max="13314" width="14.7265625" style="34" customWidth="1"/>
    <col min="13315" max="13315" width="25.90625" style="34" customWidth="1"/>
    <col min="13316" max="13316" width="8.08984375" style="34" customWidth="1"/>
    <col min="13317" max="13317" width="7.36328125" style="34" bestFit="1" customWidth="1"/>
    <col min="13318" max="13318" width="7.90625" style="34" bestFit="1" customWidth="1"/>
    <col min="13319" max="13319" width="13.26953125" style="34" bestFit="1" customWidth="1"/>
    <col min="13320" max="13320" width="14.26953125" style="34" customWidth="1"/>
    <col min="13321" max="13567" width="9" style="34"/>
    <col min="13568" max="13568" width="2.90625" style="34" customWidth="1"/>
    <col min="13569" max="13569" width="3" style="34" customWidth="1"/>
    <col min="13570" max="13570" width="14.7265625" style="34" customWidth="1"/>
    <col min="13571" max="13571" width="25.90625" style="34" customWidth="1"/>
    <col min="13572" max="13572" width="8.08984375" style="34" customWidth="1"/>
    <col min="13573" max="13573" width="7.36328125" style="34" bestFit="1" customWidth="1"/>
    <col min="13574" max="13574" width="7.90625" style="34" bestFit="1" customWidth="1"/>
    <col min="13575" max="13575" width="13.26953125" style="34" bestFit="1" customWidth="1"/>
    <col min="13576" max="13576" width="14.26953125" style="34" customWidth="1"/>
    <col min="13577" max="13823" width="9" style="34"/>
    <col min="13824" max="13824" width="2.90625" style="34" customWidth="1"/>
    <col min="13825" max="13825" width="3" style="34" customWidth="1"/>
    <col min="13826" max="13826" width="14.7265625" style="34" customWidth="1"/>
    <col min="13827" max="13827" width="25.90625" style="34" customWidth="1"/>
    <col min="13828" max="13828" width="8.08984375" style="34" customWidth="1"/>
    <col min="13829" max="13829" width="7.36328125" style="34" bestFit="1" customWidth="1"/>
    <col min="13830" max="13830" width="7.90625" style="34" bestFit="1" customWidth="1"/>
    <col min="13831" max="13831" width="13.26953125" style="34" bestFit="1" customWidth="1"/>
    <col min="13832" max="13832" width="14.26953125" style="34" customWidth="1"/>
    <col min="13833" max="14079" width="9" style="34"/>
    <col min="14080" max="14080" width="2.90625" style="34" customWidth="1"/>
    <col min="14081" max="14081" width="3" style="34" customWidth="1"/>
    <col min="14082" max="14082" width="14.7265625" style="34" customWidth="1"/>
    <col min="14083" max="14083" width="25.90625" style="34" customWidth="1"/>
    <col min="14084" max="14084" width="8.08984375" style="34" customWidth="1"/>
    <col min="14085" max="14085" width="7.36328125" style="34" bestFit="1" customWidth="1"/>
    <col min="14086" max="14086" width="7.90625" style="34" bestFit="1" customWidth="1"/>
    <col min="14087" max="14087" width="13.26953125" style="34" bestFit="1" customWidth="1"/>
    <col min="14088" max="14088" width="14.26953125" style="34" customWidth="1"/>
    <col min="14089" max="14335" width="9" style="34"/>
    <col min="14336" max="14336" width="2.90625" style="34" customWidth="1"/>
    <col min="14337" max="14337" width="3" style="34" customWidth="1"/>
    <col min="14338" max="14338" width="14.7265625" style="34" customWidth="1"/>
    <col min="14339" max="14339" width="25.90625" style="34" customWidth="1"/>
    <col min="14340" max="14340" width="8.08984375" style="34" customWidth="1"/>
    <col min="14341" max="14341" width="7.36328125" style="34" bestFit="1" customWidth="1"/>
    <col min="14342" max="14342" width="7.90625" style="34" bestFit="1" customWidth="1"/>
    <col min="14343" max="14343" width="13.26953125" style="34" bestFit="1" customWidth="1"/>
    <col min="14344" max="14344" width="14.26953125" style="34" customWidth="1"/>
    <col min="14345" max="14591" width="9" style="34"/>
    <col min="14592" max="14592" width="2.90625" style="34" customWidth="1"/>
    <col min="14593" max="14593" width="3" style="34" customWidth="1"/>
    <col min="14594" max="14594" width="14.7265625" style="34" customWidth="1"/>
    <col min="14595" max="14595" width="25.90625" style="34" customWidth="1"/>
    <col min="14596" max="14596" width="8.08984375" style="34" customWidth="1"/>
    <col min="14597" max="14597" width="7.36328125" style="34" bestFit="1" customWidth="1"/>
    <col min="14598" max="14598" width="7.90625" style="34" bestFit="1" customWidth="1"/>
    <col min="14599" max="14599" width="13.26953125" style="34" bestFit="1" customWidth="1"/>
    <col min="14600" max="14600" width="14.26953125" style="34" customWidth="1"/>
    <col min="14601" max="14847" width="9" style="34"/>
    <col min="14848" max="14848" width="2.90625" style="34" customWidth="1"/>
    <col min="14849" max="14849" width="3" style="34" customWidth="1"/>
    <col min="14850" max="14850" width="14.7265625" style="34" customWidth="1"/>
    <col min="14851" max="14851" width="25.90625" style="34" customWidth="1"/>
    <col min="14852" max="14852" width="8.08984375" style="34" customWidth="1"/>
    <col min="14853" max="14853" width="7.36328125" style="34" bestFit="1" customWidth="1"/>
    <col min="14854" max="14854" width="7.90625" style="34" bestFit="1" customWidth="1"/>
    <col min="14855" max="14855" width="13.26953125" style="34" bestFit="1" customWidth="1"/>
    <col min="14856" max="14856" width="14.26953125" style="34" customWidth="1"/>
    <col min="14857" max="15103" width="9" style="34"/>
    <col min="15104" max="15104" width="2.90625" style="34" customWidth="1"/>
    <col min="15105" max="15105" width="3" style="34" customWidth="1"/>
    <col min="15106" max="15106" width="14.7265625" style="34" customWidth="1"/>
    <col min="15107" max="15107" width="25.90625" style="34" customWidth="1"/>
    <col min="15108" max="15108" width="8.08984375" style="34" customWidth="1"/>
    <col min="15109" max="15109" width="7.36328125" style="34" bestFit="1" customWidth="1"/>
    <col min="15110" max="15110" width="7.90625" style="34" bestFit="1" customWidth="1"/>
    <col min="15111" max="15111" width="13.26953125" style="34" bestFit="1" customWidth="1"/>
    <col min="15112" max="15112" width="14.26953125" style="34" customWidth="1"/>
    <col min="15113" max="15359" width="9" style="34"/>
    <col min="15360" max="15360" width="2.90625" style="34" customWidth="1"/>
    <col min="15361" max="15361" width="3" style="34" customWidth="1"/>
    <col min="15362" max="15362" width="14.7265625" style="34" customWidth="1"/>
    <col min="15363" max="15363" width="25.90625" style="34" customWidth="1"/>
    <col min="15364" max="15364" width="8.08984375" style="34" customWidth="1"/>
    <col min="15365" max="15365" width="7.36328125" style="34" bestFit="1" customWidth="1"/>
    <col min="15366" max="15366" width="7.90625" style="34" bestFit="1" customWidth="1"/>
    <col min="15367" max="15367" width="13.26953125" style="34" bestFit="1" customWidth="1"/>
    <col min="15368" max="15368" width="14.26953125" style="34" customWidth="1"/>
    <col min="15369" max="15615" width="9" style="34"/>
    <col min="15616" max="15616" width="2.90625" style="34" customWidth="1"/>
    <col min="15617" max="15617" width="3" style="34" customWidth="1"/>
    <col min="15618" max="15618" width="14.7265625" style="34" customWidth="1"/>
    <col min="15619" max="15619" width="25.90625" style="34" customWidth="1"/>
    <col min="15620" max="15620" width="8.08984375" style="34" customWidth="1"/>
    <col min="15621" max="15621" width="7.36328125" style="34" bestFit="1" customWidth="1"/>
    <col min="15622" max="15622" width="7.90625" style="34" bestFit="1" customWidth="1"/>
    <col min="15623" max="15623" width="13.26953125" style="34" bestFit="1" customWidth="1"/>
    <col min="15624" max="15624" width="14.26953125" style="34" customWidth="1"/>
    <col min="15625" max="15871" width="9" style="34"/>
    <col min="15872" max="15872" width="2.90625" style="34" customWidth="1"/>
    <col min="15873" max="15873" width="3" style="34" customWidth="1"/>
    <col min="15874" max="15874" width="14.7265625" style="34" customWidth="1"/>
    <col min="15875" max="15875" width="25.90625" style="34" customWidth="1"/>
    <col min="15876" max="15876" width="8.08984375" style="34" customWidth="1"/>
    <col min="15877" max="15877" width="7.36328125" style="34" bestFit="1" customWidth="1"/>
    <col min="15878" max="15878" width="7.90625" style="34" bestFit="1" customWidth="1"/>
    <col min="15879" max="15879" width="13.26953125" style="34" bestFit="1" customWidth="1"/>
    <col min="15880" max="15880" width="14.26953125" style="34" customWidth="1"/>
    <col min="15881" max="16127" width="9" style="34"/>
    <col min="16128" max="16128" width="2.90625" style="34" customWidth="1"/>
    <col min="16129" max="16129" width="3" style="34" customWidth="1"/>
    <col min="16130" max="16130" width="14.7265625" style="34" customWidth="1"/>
    <col min="16131" max="16131" width="25.90625" style="34" customWidth="1"/>
    <col min="16132" max="16132" width="8.08984375" style="34" customWidth="1"/>
    <col min="16133" max="16133" width="7.36328125" style="34" bestFit="1" customWidth="1"/>
    <col min="16134" max="16134" width="7.90625" style="34" bestFit="1" customWidth="1"/>
    <col min="16135" max="16135" width="13.26953125" style="34" bestFit="1" customWidth="1"/>
    <col min="16136" max="16136" width="14.26953125" style="34" customWidth="1"/>
    <col min="16137" max="16384" width="9" style="34"/>
  </cols>
  <sheetData>
    <row r="1" spans="1:25" ht="18" customHeight="1">
      <c r="A1" s="1175" t="s">
        <v>380</v>
      </c>
      <c r="B1" s="1175"/>
      <c r="C1" s="1175"/>
      <c r="D1" s="36"/>
      <c r="E1" s="168"/>
      <c r="F1" s="168"/>
      <c r="G1" s="168"/>
      <c r="H1" s="168"/>
      <c r="I1" s="74"/>
      <c r="J1" s="1176" t="e">
        <f>CONCATENATE(#REF!,"/",#REF!,"/",#REF!)</f>
        <v>#REF!</v>
      </c>
      <c r="K1" s="1176"/>
      <c r="L1" s="1176"/>
    </row>
    <row r="2" spans="1:25" s="68" customFormat="1" ht="31.5" customHeight="1">
      <c r="A2" s="1125" t="s">
        <v>522</v>
      </c>
      <c r="B2" s="1125"/>
      <c r="C2" s="1125"/>
      <c r="D2" s="1125"/>
      <c r="E2" s="1125"/>
      <c r="F2" s="1125"/>
      <c r="G2" s="1125"/>
      <c r="H2" s="1125"/>
      <c r="I2" s="1125"/>
      <c r="J2" s="1125"/>
      <c r="K2" s="1125"/>
      <c r="L2" s="1125"/>
      <c r="N2" s="1126" t="s">
        <v>181</v>
      </c>
      <c r="O2" s="1127"/>
      <c r="P2" s="35" t="s">
        <v>79</v>
      </c>
      <c r="Q2" s="35">
        <f>IFERROR(VLOOKUP(SUM(F10:F11),$N$5:$O$11,2,TRUE),0)</f>
        <v>0</v>
      </c>
      <c r="R2" s="70" t="s">
        <v>261</v>
      </c>
      <c r="S2" s="35" t="s">
        <v>262</v>
      </c>
      <c r="T2" s="35" t="s">
        <v>182</v>
      </c>
      <c r="U2" s="35" t="s">
        <v>263</v>
      </c>
      <c r="V2" s="35" t="s">
        <v>264</v>
      </c>
      <c r="W2" s="35" t="s">
        <v>265</v>
      </c>
      <c r="X2" s="66" t="s">
        <v>266</v>
      </c>
      <c r="Y2" s="67" t="s">
        <v>185</v>
      </c>
    </row>
    <row r="3" spans="1:25" s="68" customFormat="1" ht="20.149999999999999" customHeight="1">
      <c r="A3" s="314"/>
      <c r="B3" s="314"/>
      <c r="C3" s="314"/>
      <c r="D3" s="314"/>
      <c r="E3" s="314"/>
      <c r="F3" s="314"/>
      <c r="G3" s="314"/>
      <c r="H3" s="314"/>
      <c r="I3" s="314"/>
      <c r="J3" s="314"/>
      <c r="K3" s="314"/>
      <c r="L3" s="314"/>
      <c r="N3" s="156"/>
      <c r="O3" s="157"/>
      <c r="P3" s="35"/>
      <c r="Q3" s="70"/>
      <c r="R3" s="70"/>
      <c r="S3" s="35"/>
      <c r="T3" s="35"/>
      <c r="U3" s="35"/>
      <c r="V3" s="35"/>
      <c r="W3" s="35"/>
      <c r="X3" s="66"/>
      <c r="Y3" s="67"/>
    </row>
    <row r="4" spans="1:25" s="68" customFormat="1" ht="20.149999999999999" customHeight="1">
      <c r="A4" s="314"/>
      <c r="B4" s="314"/>
      <c r="C4" s="314"/>
      <c r="D4" s="314"/>
      <c r="E4" s="314"/>
      <c r="F4" s="314"/>
      <c r="G4" s="314"/>
      <c r="H4" s="314"/>
      <c r="I4" s="1034" t="s">
        <v>370</v>
      </c>
      <c r="J4" s="1036" t="e">
        <f>CONCATENATE(#REF!)</f>
        <v>#REF!</v>
      </c>
      <c r="K4" s="1037"/>
      <c r="L4" s="1038"/>
      <c r="N4" s="156"/>
      <c r="O4" s="157"/>
      <c r="P4" s="35"/>
      <c r="Q4" s="70"/>
      <c r="R4" s="70"/>
      <c r="S4" s="35"/>
      <c r="T4" s="35"/>
      <c r="U4" s="35"/>
      <c r="V4" s="35"/>
      <c r="W4" s="35"/>
      <c r="X4" s="66"/>
      <c r="Y4" s="67"/>
    </row>
    <row r="5" spans="1:25" ht="19.5" customHeight="1">
      <c r="A5" s="36"/>
      <c r="B5" s="36"/>
      <c r="C5" s="237"/>
      <c r="D5" s="39"/>
      <c r="E5" s="39"/>
      <c r="F5" s="39"/>
      <c r="G5" s="39"/>
      <c r="H5" s="168"/>
      <c r="I5" s="1035"/>
      <c r="J5" s="1039"/>
      <c r="K5" s="1040"/>
      <c r="L5" s="1041"/>
      <c r="N5" s="69">
        <v>1</v>
      </c>
      <c r="O5" s="69">
        <v>1</v>
      </c>
      <c r="P5" s="35"/>
      <c r="Q5" s="70"/>
      <c r="R5" s="70"/>
      <c r="S5" s="35"/>
      <c r="T5" s="35"/>
      <c r="U5" s="35"/>
      <c r="V5" s="35"/>
      <c r="W5" s="35"/>
      <c r="X5" s="71"/>
      <c r="Y5" s="35"/>
    </row>
    <row r="6" spans="1:25" ht="19.5" customHeight="1" thickBot="1">
      <c r="A6" s="169" t="s">
        <v>190</v>
      </c>
      <c r="B6" s="36"/>
      <c r="C6" s="36"/>
      <c r="D6" s="36"/>
      <c r="E6" s="39"/>
      <c r="F6" s="39"/>
      <c r="G6" s="39"/>
      <c r="H6" s="168"/>
      <c r="I6" s="706"/>
      <c r="J6" s="706"/>
      <c r="K6" s="706"/>
      <c r="L6" s="706"/>
      <c r="N6" s="69">
        <v>46</v>
      </c>
      <c r="O6" s="69">
        <v>2</v>
      </c>
      <c r="P6" s="35">
        <v>1</v>
      </c>
      <c r="Q6" s="35">
        <v>1</v>
      </c>
      <c r="R6" s="70" t="s">
        <v>267</v>
      </c>
      <c r="S6" s="35" t="s">
        <v>130</v>
      </c>
      <c r="T6" s="70" t="str">
        <f>IF(OR(F10&lt;=35,F10&gt;=121),"あり","")</f>
        <v>あり</v>
      </c>
      <c r="U6" s="70" t="str">
        <f>IF(SUM($F$9:$G$9)&gt;=91,"あり","")</f>
        <v/>
      </c>
      <c r="V6" s="70" t="str">
        <f>IF(SUM($F$10:$G$11)&gt;=271,"あり","")</f>
        <v/>
      </c>
      <c r="W6" s="70" t="str">
        <f>IF(SUM($F$9:$G$9)&gt;=271,"あり","")</f>
        <v/>
      </c>
      <c r="X6" s="71">
        <v>1</v>
      </c>
      <c r="Y6" s="35">
        <v>1</v>
      </c>
    </row>
    <row r="7" spans="1:25" ht="19.5" customHeight="1" thickBot="1">
      <c r="A7" s="170"/>
      <c r="B7" s="999"/>
      <c r="C7" s="1000"/>
      <c r="D7" s="1000"/>
      <c r="E7" s="1000"/>
      <c r="F7" s="315" t="s">
        <v>273</v>
      </c>
      <c r="G7" s="315" t="s">
        <v>274</v>
      </c>
      <c r="H7" s="168"/>
      <c r="I7" s="706"/>
      <c r="J7" s="706"/>
      <c r="K7" s="706"/>
      <c r="L7" s="706"/>
      <c r="N7" s="72">
        <v>151</v>
      </c>
      <c r="O7" s="316">
        <v>3</v>
      </c>
      <c r="P7" s="35" t="str">
        <f>IF($Q$2&gt;=Q7,Q7,"")</f>
        <v/>
      </c>
      <c r="Q7" s="35">
        <v>2</v>
      </c>
      <c r="R7" s="70" t="s">
        <v>268</v>
      </c>
      <c r="S7" s="35" t="s">
        <v>269</v>
      </c>
      <c r="T7" s="70" t="s">
        <v>270</v>
      </c>
      <c r="U7" s="70" t="s">
        <v>271</v>
      </c>
      <c r="V7" s="70" t="s">
        <v>272</v>
      </c>
      <c r="W7" s="70" t="s">
        <v>268</v>
      </c>
      <c r="X7" s="71">
        <v>2</v>
      </c>
      <c r="Y7" s="35">
        <v>2</v>
      </c>
    </row>
    <row r="8" spans="1:25" ht="19.5" customHeight="1" thickBot="1">
      <c r="A8" s="170"/>
      <c r="B8" s="1029" t="s">
        <v>235</v>
      </c>
      <c r="C8" s="1030"/>
      <c r="D8" s="1030"/>
      <c r="E8" s="1030"/>
      <c r="F8" s="1032" t="str">
        <f>IF(G12&gt;0,"あり","なし")</f>
        <v>なし</v>
      </c>
      <c r="G8" s="1033"/>
      <c r="H8" s="168"/>
      <c r="I8" s="74"/>
      <c r="J8" s="36"/>
      <c r="K8" s="36"/>
      <c r="L8" s="36"/>
      <c r="N8" s="72">
        <v>241</v>
      </c>
      <c r="O8" s="72">
        <v>3.5</v>
      </c>
      <c r="P8" s="35" t="str">
        <f t="shared" ref="P8:P18" si="0">IF($Q$2&gt;=Q8,Q8,"")</f>
        <v/>
      </c>
      <c r="Q8" s="35">
        <v>3</v>
      </c>
      <c r="Y8" s="35">
        <v>3</v>
      </c>
    </row>
    <row r="9" spans="1:25" ht="19.5" customHeight="1" thickBot="1">
      <c r="A9" s="169"/>
      <c r="B9" s="1029" t="s">
        <v>192</v>
      </c>
      <c r="C9" s="1030"/>
      <c r="D9" s="1030"/>
      <c r="E9" s="1030"/>
      <c r="F9" s="317">
        <f>SUM(F10:F12)</f>
        <v>0</v>
      </c>
      <c r="G9" s="317">
        <f>SUM(G10:G12)</f>
        <v>0</v>
      </c>
      <c r="H9" s="168"/>
      <c r="I9" s="74"/>
      <c r="J9" s="36"/>
      <c r="K9" s="36"/>
      <c r="L9" s="36"/>
      <c r="N9" s="69">
        <v>271</v>
      </c>
      <c r="O9" s="69">
        <v>5</v>
      </c>
      <c r="P9" s="35" t="str">
        <f t="shared" si="0"/>
        <v/>
      </c>
      <c r="Q9" s="35">
        <v>3.5</v>
      </c>
      <c r="Y9" s="35">
        <v>4</v>
      </c>
    </row>
    <row r="10" spans="1:25" ht="19.5" customHeight="1">
      <c r="A10" s="169"/>
      <c r="B10" s="318"/>
      <c r="C10" s="1030" t="s">
        <v>275</v>
      </c>
      <c r="D10" s="1030"/>
      <c r="E10" s="1030"/>
      <c r="F10" s="821">
        <f>'入力（加算）認'!D7</f>
        <v>0</v>
      </c>
      <c r="G10" s="822"/>
      <c r="H10" s="168"/>
      <c r="I10" s="74"/>
      <c r="J10" s="36"/>
      <c r="K10" s="36"/>
      <c r="L10" s="36"/>
      <c r="N10" s="69">
        <v>301</v>
      </c>
      <c r="O10" s="69">
        <v>6</v>
      </c>
      <c r="P10" s="35" t="str">
        <f t="shared" si="0"/>
        <v/>
      </c>
      <c r="Q10" s="35">
        <v>4</v>
      </c>
      <c r="Y10" s="35">
        <v>5</v>
      </c>
    </row>
    <row r="11" spans="1:25" ht="19.5" customHeight="1">
      <c r="A11" s="169"/>
      <c r="B11" s="318"/>
      <c r="C11" s="1030" t="s">
        <v>276</v>
      </c>
      <c r="D11" s="1030"/>
      <c r="E11" s="1030"/>
      <c r="F11" s="823">
        <f>'入力（加算）認'!D8</f>
        <v>0</v>
      </c>
      <c r="G11" s="824"/>
      <c r="H11" s="168"/>
      <c r="I11" s="74"/>
      <c r="J11" s="36"/>
      <c r="K11" s="36"/>
      <c r="L11" s="36"/>
      <c r="N11" s="69">
        <v>451</v>
      </c>
      <c r="O11" s="69">
        <v>8</v>
      </c>
      <c r="P11" s="35" t="str">
        <f t="shared" si="0"/>
        <v/>
      </c>
      <c r="Q11" s="35">
        <v>4.5</v>
      </c>
      <c r="Y11" s="35">
        <v>6</v>
      </c>
    </row>
    <row r="12" spans="1:25" ht="19.5" customHeight="1" thickBot="1">
      <c r="A12" s="169"/>
      <c r="B12" s="318"/>
      <c r="C12" s="1030" t="s">
        <v>277</v>
      </c>
      <c r="D12" s="1030"/>
      <c r="E12" s="1030"/>
      <c r="F12" s="825">
        <f>'入力（加算）認'!D9</f>
        <v>0</v>
      </c>
      <c r="G12" s="825">
        <f>'入力（加算）認'!D12</f>
        <v>0</v>
      </c>
      <c r="H12" s="168"/>
      <c r="I12" s="74"/>
      <c r="J12" s="36"/>
      <c r="K12" s="36"/>
      <c r="L12" s="36"/>
      <c r="P12" s="35" t="str">
        <f t="shared" si="0"/>
        <v/>
      </c>
      <c r="Q12" s="35">
        <v>5</v>
      </c>
      <c r="Y12" s="35">
        <v>7</v>
      </c>
    </row>
    <row r="13" spans="1:25" ht="19.5" customHeight="1" thickBot="1">
      <c r="A13" s="169"/>
      <c r="B13" s="1120" t="s">
        <v>278</v>
      </c>
      <c r="C13" s="1121"/>
      <c r="D13" s="1121"/>
      <c r="E13" s="1121"/>
      <c r="F13" s="319">
        <f>F14+F15+F17+F18</f>
        <v>0</v>
      </c>
      <c r="G13" s="319">
        <f>G14+G15+G17+G18</f>
        <v>0</v>
      </c>
      <c r="H13" s="168"/>
      <c r="I13" s="74"/>
      <c r="J13" s="36"/>
      <c r="K13" s="36"/>
      <c r="L13" s="36"/>
      <c r="P13" s="35" t="str">
        <f t="shared" si="0"/>
        <v/>
      </c>
      <c r="Q13" s="35">
        <v>5.5</v>
      </c>
      <c r="Y13" s="35">
        <v>8</v>
      </c>
    </row>
    <row r="14" spans="1:25" ht="19.5" customHeight="1">
      <c r="A14" s="169"/>
      <c r="B14" s="175"/>
      <c r="C14" s="1051" t="s">
        <v>194</v>
      </c>
      <c r="D14" s="1052"/>
      <c r="E14" s="176"/>
      <c r="F14" s="320">
        <f>'入力（児童数-本園)'!AB3</f>
        <v>0</v>
      </c>
      <c r="G14" s="320">
        <f>'入力（児童数-分園)'!Z3</f>
        <v>0</v>
      </c>
      <c r="H14" s="1173" t="str">
        <f>IF(OR(F13&gt;F9*1.2,G13&gt;G9*1.2),"←警告：定員の120％を超過しています。","")</f>
        <v/>
      </c>
      <c r="I14" s="1174"/>
      <c r="J14" s="1174"/>
      <c r="K14" s="1174"/>
      <c r="L14" s="1174"/>
      <c r="P14" s="35" t="str">
        <f t="shared" si="0"/>
        <v/>
      </c>
      <c r="Q14" s="35">
        <v>6</v>
      </c>
      <c r="Y14" s="35">
        <v>9</v>
      </c>
    </row>
    <row r="15" spans="1:25" ht="19.5" customHeight="1">
      <c r="A15" s="169"/>
      <c r="B15" s="175"/>
      <c r="C15" s="1051" t="s">
        <v>237</v>
      </c>
      <c r="D15" s="1052"/>
      <c r="E15" s="176"/>
      <c r="F15" s="242">
        <f>'入力（児童数-本園)'!AB4</f>
        <v>0</v>
      </c>
      <c r="G15" s="242">
        <f>'入力（児童数-分園)'!Z4</f>
        <v>0</v>
      </c>
      <c r="H15" s="1173"/>
      <c r="I15" s="1174"/>
      <c r="J15" s="1174"/>
      <c r="K15" s="1174"/>
      <c r="L15" s="1174"/>
      <c r="P15" s="35" t="str">
        <f t="shared" si="0"/>
        <v/>
      </c>
      <c r="Q15" s="35">
        <v>6.5</v>
      </c>
      <c r="Y15" s="35">
        <v>10</v>
      </c>
    </row>
    <row r="16" spans="1:25" ht="19.5" customHeight="1">
      <c r="A16" s="169"/>
      <c r="B16" s="175"/>
      <c r="C16" s="321" t="s">
        <v>279</v>
      </c>
      <c r="D16" s="322"/>
      <c r="E16" s="176"/>
      <c r="F16" s="242">
        <f>'入力（児童数-本園)'!AB5</f>
        <v>0</v>
      </c>
      <c r="G16" s="323"/>
      <c r="H16" s="1173"/>
      <c r="I16" s="1174"/>
      <c r="J16" s="1174"/>
      <c r="K16" s="1174"/>
      <c r="L16" s="1174"/>
      <c r="P16" s="35" t="str">
        <f t="shared" si="0"/>
        <v/>
      </c>
      <c r="Q16" s="35">
        <v>7</v>
      </c>
      <c r="Y16" s="35"/>
    </row>
    <row r="17" spans="1:25" ht="19.5" customHeight="1">
      <c r="A17" s="169"/>
      <c r="B17" s="175"/>
      <c r="C17" s="1052" t="s">
        <v>238</v>
      </c>
      <c r="D17" s="1055"/>
      <c r="E17" s="176"/>
      <c r="F17" s="242">
        <f>'入力（児童数-本園)'!AB6</f>
        <v>0</v>
      </c>
      <c r="G17" s="242">
        <f>'入力（児童数-分園)'!Z5</f>
        <v>0</v>
      </c>
      <c r="H17" s="1173"/>
      <c r="I17" s="1174"/>
      <c r="J17" s="1174"/>
      <c r="K17" s="1174"/>
      <c r="L17" s="1174"/>
      <c r="P17" s="35" t="str">
        <f t="shared" si="0"/>
        <v/>
      </c>
      <c r="Q17" s="35">
        <v>7.5</v>
      </c>
      <c r="Y17" s="35"/>
    </row>
    <row r="18" spans="1:25" ht="19.5" customHeight="1" thickBot="1">
      <c r="A18" s="36"/>
      <c r="B18" s="181"/>
      <c r="C18" s="1056" t="s">
        <v>239</v>
      </c>
      <c r="D18" s="1057"/>
      <c r="E18" s="182"/>
      <c r="F18" s="244">
        <f>'入力（児童数-本園)'!AB7</f>
        <v>0</v>
      </c>
      <c r="G18" s="244">
        <f>'入力（児童数-分園)'!Z6</f>
        <v>0</v>
      </c>
      <c r="H18" s="1173"/>
      <c r="I18" s="1174"/>
      <c r="J18" s="1174"/>
      <c r="K18" s="1174"/>
      <c r="L18" s="1174"/>
      <c r="P18" s="35" t="str">
        <f t="shared" si="0"/>
        <v/>
      </c>
      <c r="Q18" s="35">
        <v>8</v>
      </c>
      <c r="Y18" s="35"/>
    </row>
    <row r="19" spans="1:25" ht="19.5" customHeight="1">
      <c r="A19" s="36"/>
      <c r="B19" s="185" t="s">
        <v>280</v>
      </c>
      <c r="C19" s="1119" t="s">
        <v>240</v>
      </c>
      <c r="D19" s="1119"/>
      <c r="E19" s="1119"/>
      <c r="F19" s="1119"/>
      <c r="G19" s="1119"/>
      <c r="H19" s="1119"/>
      <c r="I19" s="1119"/>
      <c r="J19" s="1119"/>
      <c r="K19" s="1119"/>
      <c r="L19" s="1119"/>
      <c r="Y19" s="35"/>
    </row>
    <row r="20" spans="1:25" ht="19.5" customHeight="1">
      <c r="A20" s="36"/>
      <c r="B20" s="185"/>
      <c r="C20" s="1119"/>
      <c r="D20" s="1119"/>
      <c r="E20" s="1119"/>
      <c r="F20" s="1119"/>
      <c r="G20" s="1119"/>
      <c r="H20" s="1119"/>
      <c r="I20" s="1119"/>
      <c r="J20" s="1119"/>
      <c r="K20" s="1119"/>
      <c r="L20" s="1119"/>
    </row>
    <row r="21" spans="1:25" ht="19.5" customHeight="1">
      <c r="A21" s="36"/>
      <c r="B21" s="185"/>
      <c r="C21" s="324"/>
      <c r="D21" s="324"/>
      <c r="E21" s="324"/>
      <c r="F21" s="324"/>
      <c r="G21" s="324"/>
      <c r="H21" s="324"/>
      <c r="I21" s="324"/>
      <c r="J21" s="324"/>
      <c r="K21" s="187" t="s">
        <v>374</v>
      </c>
      <c r="L21" s="188">
        <v>12</v>
      </c>
    </row>
    <row r="22" spans="1:25" ht="19.5" customHeight="1" thickBot="1">
      <c r="A22" s="169" t="s">
        <v>281</v>
      </c>
      <c r="B22" s="36"/>
      <c r="C22" s="36"/>
      <c r="D22" s="36"/>
      <c r="E22" s="168"/>
      <c r="F22" s="168"/>
      <c r="G22" s="168"/>
      <c r="H22" s="168"/>
      <c r="I22" s="74"/>
      <c r="J22" s="36"/>
      <c r="K22" s="36"/>
      <c r="L22" s="36"/>
    </row>
    <row r="23" spans="1:25" ht="19.5" customHeight="1" thickBot="1">
      <c r="A23" s="169"/>
      <c r="B23" s="36"/>
      <c r="C23" s="36"/>
      <c r="D23" s="36"/>
      <c r="E23" s="1059" t="s">
        <v>241</v>
      </c>
      <c r="F23" s="1060"/>
      <c r="G23" s="1060"/>
      <c r="H23" s="1061"/>
      <c r="I23" s="1062" t="s">
        <v>242</v>
      </c>
      <c r="J23" s="1063"/>
      <c r="K23" s="1063"/>
      <c r="L23" s="1064"/>
    </row>
    <row r="24" spans="1:25" ht="36.75" customHeight="1">
      <c r="A24" s="36"/>
      <c r="B24" s="189"/>
      <c r="C24" s="190"/>
      <c r="D24" s="697"/>
      <c r="E24" s="750" t="s">
        <v>199</v>
      </c>
      <c r="F24" s="751" t="s">
        <v>485</v>
      </c>
      <c r="G24" s="1171" t="s">
        <v>201</v>
      </c>
      <c r="H24" s="1172"/>
      <c r="I24" s="750" t="s">
        <v>199</v>
      </c>
      <c r="J24" s="751" t="s">
        <v>485</v>
      </c>
      <c r="K24" s="1171" t="s">
        <v>201</v>
      </c>
      <c r="L24" s="1172"/>
    </row>
    <row r="25" spans="1:25" ht="19.5" customHeight="1">
      <c r="A25" s="47"/>
      <c r="B25" s="310" t="s">
        <v>282</v>
      </c>
      <c r="C25" s="326" t="s">
        <v>283</v>
      </c>
      <c r="D25" s="326"/>
      <c r="E25" s="745"/>
      <c r="F25" s="752"/>
      <c r="G25" s="764"/>
      <c r="H25" s="330"/>
      <c r="I25" s="745"/>
      <c r="J25" s="752"/>
      <c r="K25" s="764"/>
      <c r="L25" s="330"/>
    </row>
    <row r="26" spans="1:25" ht="19.5" customHeight="1">
      <c r="A26" s="47"/>
      <c r="B26" s="311"/>
      <c r="C26" s="331" t="s">
        <v>244</v>
      </c>
      <c r="D26" s="742"/>
      <c r="E26" s="746"/>
      <c r="F26" s="753">
        <f>F14</f>
        <v>0</v>
      </c>
      <c r="G26" s="765">
        <f>IF($E$27="あり",ROUNDDOWN($F$14*1/25,1),ROUNDDOWN($F$14*1/30,1))</f>
        <v>0</v>
      </c>
      <c r="H26" s="332">
        <f>ROUNDDOWN(G26,1)</f>
        <v>0</v>
      </c>
      <c r="I26" s="746"/>
      <c r="J26" s="753">
        <f>G14</f>
        <v>0</v>
      </c>
      <c r="K26" s="765">
        <f>IF($F$8="あり",IF(I27="あり",ROUNDDOWN($G$14*1/25,1),ROUNDDOWN($F$14*1/30,1)),0)</f>
        <v>0</v>
      </c>
      <c r="L26" s="332">
        <f>ROUNDDOWN(K26,1)</f>
        <v>0</v>
      </c>
    </row>
    <row r="27" spans="1:25" ht="19.5" customHeight="1">
      <c r="A27" s="846"/>
      <c r="B27" s="311"/>
      <c r="C27" s="196" t="s">
        <v>548</v>
      </c>
      <c r="D27" s="743"/>
      <c r="E27" s="379" t="str">
        <f>CONCATENATE('入力（加算）認'!H19)</f>
        <v/>
      </c>
      <c r="F27" s="755"/>
      <c r="G27" s="767"/>
      <c r="H27" s="199"/>
      <c r="I27" s="379" t="str">
        <f>E27</f>
        <v/>
      </c>
      <c r="J27" s="755"/>
      <c r="K27" s="767"/>
      <c r="L27" s="199"/>
    </row>
    <row r="28" spans="1:25" ht="19.5" customHeight="1">
      <c r="A28" s="47"/>
      <c r="B28" s="311"/>
      <c r="C28" s="200" t="s">
        <v>284</v>
      </c>
      <c r="D28" s="176"/>
      <c r="E28" s="747"/>
      <c r="F28" s="754">
        <f>F15</f>
        <v>0</v>
      </c>
      <c r="G28" s="766">
        <f>IF($E$29="あり",IF($E$30="あり",ROUNDDOWN(($F$15-$F$16)*1/15,1)+ROUNDDOWN($F$16*1/6,1),ROUNDDOWN($F$15*1/15,1)),IF($E$30="あり",ROUNDDOWN(($F$15-$F$16)*1/20,1)+ROUNDDOWN($F$16*1/6,1),ROUNDDOWN($F$15*1/20,1)))</f>
        <v>0</v>
      </c>
      <c r="H28" s="204">
        <f>ROUNDDOWN(G28,1)</f>
        <v>0</v>
      </c>
      <c r="I28" s="747"/>
      <c r="J28" s="754">
        <f>G15</f>
        <v>0</v>
      </c>
      <c r="K28" s="766">
        <f>IF(F8="あり",IF($I$29="あり",IF($I$30="あり",ROUNDDOWN(($G$15-$G$16)*1/15,1)+ROUNDDOWN($G$16*1/6,1),ROUNDDOWN($G$15*1/15,1)),IF($I$30="あり",ROUNDDOWN(($G$15-$G$16)*1/20,1)+ROUNDDOWN($G$16*1/6,1),ROUNDDOWN($G$15*1/20,1))),0)</f>
        <v>0</v>
      </c>
      <c r="L28" s="204">
        <f>ROUNDDOWN(K28,1)</f>
        <v>0</v>
      </c>
    </row>
    <row r="29" spans="1:25" ht="19.5" customHeight="1">
      <c r="A29" s="47"/>
      <c r="B29" s="311"/>
      <c r="C29" s="262" t="s">
        <v>285</v>
      </c>
      <c r="D29" s="176"/>
      <c r="E29" s="379" t="str">
        <f>CONCATENATE('入力（加算）認'!G19)</f>
        <v/>
      </c>
      <c r="F29" s="754"/>
      <c r="G29" s="766"/>
      <c r="H29" s="204"/>
      <c r="I29" s="379" t="str">
        <f>E29</f>
        <v/>
      </c>
      <c r="J29" s="754"/>
      <c r="K29" s="766"/>
      <c r="L29" s="204"/>
    </row>
    <row r="30" spans="1:25" ht="19.5" customHeight="1">
      <c r="A30" s="47"/>
      <c r="B30" s="311"/>
      <c r="C30" s="262" t="s">
        <v>286</v>
      </c>
      <c r="D30" s="176"/>
      <c r="E30" s="379" t="str">
        <f>CONCATENATE('入力（加算）認'!I19)</f>
        <v/>
      </c>
      <c r="F30" s="754"/>
      <c r="G30" s="766"/>
      <c r="H30" s="204"/>
      <c r="I30" s="379" t="str">
        <f>E30</f>
        <v/>
      </c>
      <c r="J30" s="754"/>
      <c r="K30" s="766"/>
      <c r="L30" s="204"/>
    </row>
    <row r="31" spans="1:25" ht="19.5" customHeight="1">
      <c r="A31" s="47"/>
      <c r="B31" s="311"/>
      <c r="C31" s="196" t="s">
        <v>238</v>
      </c>
      <c r="D31" s="743"/>
      <c r="E31" s="198"/>
      <c r="F31" s="755">
        <f>F17</f>
        <v>0</v>
      </c>
      <c r="G31" s="767">
        <f>F31*1/6</f>
        <v>0</v>
      </c>
      <c r="H31" s="199">
        <f>ROUNDDOWN(G31,1)</f>
        <v>0</v>
      </c>
      <c r="I31" s="198"/>
      <c r="J31" s="755">
        <f>G17</f>
        <v>0</v>
      </c>
      <c r="K31" s="767">
        <f>IF(F8="あり",J31*1/6,0)</f>
        <v>0</v>
      </c>
      <c r="L31" s="199">
        <f>ROUNDDOWN(K31,1)</f>
        <v>0</v>
      </c>
    </row>
    <row r="32" spans="1:25" ht="19.5" customHeight="1" thickBot="1">
      <c r="A32" s="47"/>
      <c r="B32" s="311"/>
      <c r="C32" s="205" t="s">
        <v>239</v>
      </c>
      <c r="D32" s="744"/>
      <c r="E32" s="712"/>
      <c r="F32" s="756">
        <f>F18</f>
        <v>0</v>
      </c>
      <c r="G32" s="768">
        <f>F32*1/3</f>
        <v>0</v>
      </c>
      <c r="H32" s="208">
        <f>ROUNDDOWN(G32,1)</f>
        <v>0</v>
      </c>
      <c r="I32" s="712"/>
      <c r="J32" s="756">
        <f>G18</f>
        <v>0</v>
      </c>
      <c r="K32" s="768">
        <f>IF(F8="あり",J32*1/3,0)</f>
        <v>0</v>
      </c>
      <c r="L32" s="208">
        <f>ROUNDDOWN(K32,1)</f>
        <v>0</v>
      </c>
    </row>
    <row r="33" spans="1:15" ht="19.5" customHeight="1" thickTop="1">
      <c r="A33" s="47"/>
      <c r="B33" s="312"/>
      <c r="C33" s="181" t="s">
        <v>247</v>
      </c>
      <c r="D33" s="334"/>
      <c r="E33" s="797"/>
      <c r="F33" s="798"/>
      <c r="G33" s="798"/>
      <c r="H33" s="799">
        <f>ROUND(SUM(H26:H32),0)</f>
        <v>0</v>
      </c>
      <c r="I33" s="797"/>
      <c r="J33" s="798"/>
      <c r="K33" s="798"/>
      <c r="L33" s="799">
        <f>ROUND(SUM(L26:L32),0)</f>
        <v>0</v>
      </c>
    </row>
    <row r="34" spans="1:15" ht="19.5" customHeight="1">
      <c r="A34" s="47"/>
      <c r="B34" s="313" t="s">
        <v>287</v>
      </c>
      <c r="C34" s="214" t="s">
        <v>288</v>
      </c>
      <c r="D34" s="214"/>
      <c r="E34" s="748"/>
      <c r="F34" s="757"/>
      <c r="G34" s="769"/>
      <c r="H34" s="213">
        <f>IF(F11+F12&lt;=90,1,0.8)</f>
        <v>1</v>
      </c>
      <c r="I34" s="748"/>
      <c r="J34" s="757"/>
      <c r="K34" s="769"/>
      <c r="L34" s="213">
        <f>IF(F8="あり",IF(G11+G12&lt;=90,1,0.8),0)</f>
        <v>0</v>
      </c>
    </row>
    <row r="35" spans="1:15" ht="19.5" customHeight="1">
      <c r="A35" s="47"/>
      <c r="B35" s="313" t="s">
        <v>289</v>
      </c>
      <c r="C35" s="214" t="s">
        <v>290</v>
      </c>
      <c r="D35" s="214"/>
      <c r="E35" s="748"/>
      <c r="F35" s="757"/>
      <c r="G35" s="769"/>
      <c r="H35" s="213">
        <f>IF(F11+F12&lt;=40,1,(IF(F11+F12&lt;=150,2,3)))</f>
        <v>1</v>
      </c>
      <c r="I35" s="748"/>
      <c r="J35" s="757"/>
      <c r="K35" s="769"/>
      <c r="L35" s="213">
        <f>IF(F8="あり",IF(G11+G12&lt;=40,1,(IF(G11+G12&lt;=150,2,3))),0)</f>
        <v>0</v>
      </c>
      <c r="N35" s="35" t="s">
        <v>375</v>
      </c>
      <c r="O35" s="122">
        <v>40000</v>
      </c>
    </row>
    <row r="36" spans="1:15" ht="19.5" customHeight="1">
      <c r="A36" s="47"/>
      <c r="B36" s="313" t="s">
        <v>291</v>
      </c>
      <c r="C36" s="214" t="s">
        <v>292</v>
      </c>
      <c r="D36" s="214"/>
      <c r="E36" s="380" t="str">
        <f>IF(SUM('入力（児童数-本園)'!Y3:Y6)&gt;0,"あり","なし")</f>
        <v>なし</v>
      </c>
      <c r="F36" s="757"/>
      <c r="G36" s="769"/>
      <c r="H36" s="213">
        <f>IF(E36="あり",1.4,0)</f>
        <v>0</v>
      </c>
      <c r="I36" s="380" t="str">
        <f>IF(SUM('入力（児童数-分園)'!W3:W6)&gt;0,"あり","なし")</f>
        <v>なし</v>
      </c>
      <c r="J36" s="757"/>
      <c r="K36" s="769"/>
      <c r="L36" s="213">
        <f>IF(F8="あり",IF(I36="あり",1.4,0),0)</f>
        <v>0</v>
      </c>
      <c r="N36" s="35" t="s">
        <v>376</v>
      </c>
      <c r="O36" s="122">
        <v>5000</v>
      </c>
    </row>
    <row r="37" spans="1:15" ht="19.5" customHeight="1">
      <c r="A37" s="47"/>
      <c r="B37" s="313" t="s">
        <v>293</v>
      </c>
      <c r="C37" s="214" t="s">
        <v>294</v>
      </c>
      <c r="D37" s="214"/>
      <c r="E37" s="380" t="str">
        <f>CONCATENATE('入力（加算）認'!F19)</f>
        <v/>
      </c>
      <c r="F37" s="758"/>
      <c r="G37" s="769"/>
      <c r="H37" s="213">
        <f>IF(E37="あり",1,0)</f>
        <v>0</v>
      </c>
      <c r="I37" s="1168" t="s">
        <v>295</v>
      </c>
      <c r="J37" s="1169"/>
      <c r="K37" s="769"/>
      <c r="L37" s="213"/>
      <c r="N37" s="35" t="s">
        <v>486</v>
      </c>
      <c r="O37" s="122">
        <v>50300</v>
      </c>
    </row>
    <row r="38" spans="1:15" ht="19.5" customHeight="1" thickBot="1">
      <c r="A38" s="47"/>
      <c r="B38" s="313" t="s">
        <v>296</v>
      </c>
      <c r="C38" s="214" t="s">
        <v>297</v>
      </c>
      <c r="D38" s="214"/>
      <c r="E38" s="380" t="str">
        <f>CONCATENATE('入力（加算）認'!J19)</f>
        <v/>
      </c>
      <c r="F38" s="758"/>
      <c r="G38" s="769"/>
      <c r="H38" s="213">
        <f>IF(OR(F10&lt;=35,F10&gt;=121),IF(E38="あり",0.8,0),0)</f>
        <v>0</v>
      </c>
      <c r="I38" s="1168" t="s">
        <v>295</v>
      </c>
      <c r="J38" s="1169"/>
      <c r="K38" s="769"/>
      <c r="L38" s="213"/>
      <c r="N38" s="35" t="s">
        <v>487</v>
      </c>
      <c r="O38" s="122">
        <v>6290</v>
      </c>
    </row>
    <row r="39" spans="1:15" ht="19.5" customHeight="1" thickBot="1">
      <c r="A39" s="47"/>
      <c r="B39" s="313" t="s">
        <v>298</v>
      </c>
      <c r="C39" s="214" t="s">
        <v>299</v>
      </c>
      <c r="D39" s="214"/>
      <c r="E39" s="749" t="str">
        <f>IF(AND('入力（加算）認'!K19&lt;&gt;"",'入力（加算）認'!K19&lt;&gt;"なし"),"あり","なし")</f>
        <v>なし</v>
      </c>
      <c r="F39" s="759">
        <f>IF(E39="あり",'入力（加算）認'!K19,0)</f>
        <v>0</v>
      </c>
      <c r="G39" s="769"/>
      <c r="H39" s="213">
        <f>IF(E39="あり",F39,0)</f>
        <v>0</v>
      </c>
      <c r="I39" s="1168" t="s">
        <v>295</v>
      </c>
      <c r="J39" s="1169"/>
      <c r="K39" s="769"/>
      <c r="L39" s="213"/>
      <c r="N39" s="34"/>
    </row>
    <row r="40" spans="1:15" ht="19.5" customHeight="1">
      <c r="A40" s="47"/>
      <c r="B40" s="313" t="s">
        <v>300</v>
      </c>
      <c r="C40" s="214" t="s">
        <v>301</v>
      </c>
      <c r="D40" s="214"/>
      <c r="E40" s="380" t="str">
        <f>CONCATENATE('入力（加算）認'!M19)</f>
        <v/>
      </c>
      <c r="F40" s="760"/>
      <c r="G40" s="769"/>
      <c r="H40" s="213">
        <f>IF(E40="あり",IF(F10&lt;=150,0.8,1.5),0)</f>
        <v>0</v>
      </c>
      <c r="I40" s="1168" t="s">
        <v>295</v>
      </c>
      <c r="J40" s="1169"/>
      <c r="K40" s="769"/>
      <c r="L40" s="213"/>
      <c r="N40" s="34"/>
    </row>
    <row r="41" spans="1:15" ht="19.5" customHeight="1">
      <c r="A41" s="47"/>
      <c r="B41" s="795" t="s">
        <v>302</v>
      </c>
      <c r="C41" s="214" t="s">
        <v>303</v>
      </c>
      <c r="D41" s="214"/>
      <c r="E41" s="380" t="str">
        <f>IF(AND('入力（加算）認'!N19&gt;0,'入力（加算）認'!N19&lt;&gt;"なし"),"あり","なし")</f>
        <v>なし</v>
      </c>
      <c r="F41" s="757"/>
      <c r="G41" s="769"/>
      <c r="H41" s="213">
        <f>IF(E41="あり",IF(F10&lt;=150,2,3),0)</f>
        <v>0</v>
      </c>
      <c r="I41" s="1168" t="s">
        <v>295</v>
      </c>
      <c r="J41" s="1169"/>
      <c r="K41" s="769"/>
      <c r="L41" s="213"/>
      <c r="N41" s="34"/>
    </row>
    <row r="42" spans="1:15" ht="19.5" customHeight="1">
      <c r="A42" s="47"/>
      <c r="B42" s="313" t="s">
        <v>304</v>
      </c>
      <c r="C42" s="852" t="s">
        <v>256</v>
      </c>
      <c r="D42" s="214"/>
      <c r="E42" s="380" t="str">
        <f>IF(AND('入力（加算）認'!F27&gt;0,ISNUMBER('入力（加算）認'!F27)),"あり","なし")</f>
        <v>なし</v>
      </c>
      <c r="F42" s="757"/>
      <c r="G42" s="769"/>
      <c r="H42" s="213">
        <f>IF(E42="あり",0.5,0)</f>
        <v>0</v>
      </c>
      <c r="I42" s="1168" t="s">
        <v>295</v>
      </c>
      <c r="J42" s="1169"/>
      <c r="K42" s="769"/>
      <c r="L42" s="213"/>
      <c r="N42" s="34"/>
    </row>
    <row r="43" spans="1:15" ht="19.5" customHeight="1">
      <c r="A43" s="47"/>
      <c r="B43" s="313" t="s">
        <v>305</v>
      </c>
      <c r="C43" s="214" t="s">
        <v>306</v>
      </c>
      <c r="D43" s="214"/>
      <c r="E43" s="380" t="str">
        <f>CONCATENATE('入力（加算）認'!I23)</f>
        <v/>
      </c>
      <c r="F43" s="757"/>
      <c r="G43" s="769"/>
      <c r="H43" s="213">
        <f>IF(SUM($F$9:$G$9)&gt;=91,IF(E43="あり",0.8,0),0)</f>
        <v>0</v>
      </c>
      <c r="I43" s="1168" t="s">
        <v>295</v>
      </c>
      <c r="J43" s="1169"/>
      <c r="K43" s="769"/>
      <c r="L43" s="213"/>
      <c r="N43" s="34"/>
    </row>
    <row r="44" spans="1:15" ht="19.5" customHeight="1">
      <c r="A44" s="47"/>
      <c r="B44" s="313" t="s">
        <v>307</v>
      </c>
      <c r="C44" s="214" t="s">
        <v>308</v>
      </c>
      <c r="D44" s="214"/>
      <c r="E44" s="380" t="str">
        <f>CONCATENATE('入力（加算）認'!J23)</f>
        <v/>
      </c>
      <c r="F44" s="757"/>
      <c r="G44" s="769"/>
      <c r="H44" s="213">
        <f>IF(SUM($F$10:$G$11)&gt;=271,IF(E44="あり",0.8,0),0)</f>
        <v>0</v>
      </c>
      <c r="I44" s="1168" t="s">
        <v>295</v>
      </c>
      <c r="J44" s="1169"/>
      <c r="K44" s="769"/>
      <c r="L44" s="213"/>
      <c r="N44" s="34"/>
    </row>
    <row r="45" spans="1:15" ht="19.5" customHeight="1">
      <c r="A45" s="47"/>
      <c r="B45" s="313" t="s">
        <v>309</v>
      </c>
      <c r="C45" s="214" t="s">
        <v>310</v>
      </c>
      <c r="D45" s="214"/>
      <c r="E45" s="380" t="str">
        <f>CONCATENATE('入力（加算）認'!K23)</f>
        <v/>
      </c>
      <c r="F45" s="757"/>
      <c r="G45" s="769"/>
      <c r="H45" s="213">
        <f>IF(SUM($F$9:$G$9)&gt;=271,IF(E45="あり",0.8,0),0)</f>
        <v>0</v>
      </c>
      <c r="I45" s="1168" t="s">
        <v>295</v>
      </c>
      <c r="J45" s="1169"/>
      <c r="K45" s="769"/>
      <c r="L45" s="213"/>
      <c r="N45" s="34"/>
    </row>
    <row r="46" spans="1:15" ht="19.5" customHeight="1">
      <c r="A46" s="47"/>
      <c r="B46" s="313" t="s">
        <v>311</v>
      </c>
      <c r="C46" s="852" t="s">
        <v>222</v>
      </c>
      <c r="D46" s="214"/>
      <c r="E46" s="380" t="str">
        <f>IF('入力（加算）認'!R27="配置","あり","なし")</f>
        <v>なし</v>
      </c>
      <c r="F46" s="758"/>
      <c r="G46" s="769"/>
      <c r="H46" s="851">
        <f>IF(E46="あり",0.6,0)</f>
        <v>0</v>
      </c>
      <c r="I46" s="1168" t="s">
        <v>295</v>
      </c>
      <c r="J46" s="1169"/>
      <c r="K46" s="769"/>
      <c r="L46" s="213"/>
      <c r="N46" s="34"/>
    </row>
    <row r="47" spans="1:15" ht="19.5" customHeight="1" thickBot="1">
      <c r="A47" s="47"/>
      <c r="B47" s="313" t="s">
        <v>312</v>
      </c>
      <c r="C47" s="214" t="s">
        <v>313</v>
      </c>
      <c r="D47" s="214"/>
      <c r="E47" s="380" t="str">
        <f>CONCATENATE('入力（加算）認'!E19)</f>
        <v/>
      </c>
      <c r="F47" s="758"/>
      <c r="G47" s="769"/>
      <c r="H47" s="339">
        <f>IF(E47="あり",-1,0)</f>
        <v>0</v>
      </c>
      <c r="I47" s="1168" t="s">
        <v>295</v>
      </c>
      <c r="J47" s="1169"/>
      <c r="K47" s="769"/>
      <c r="L47" s="339"/>
      <c r="N47" s="34"/>
    </row>
    <row r="48" spans="1:15" ht="19.5" customHeight="1" thickBot="1">
      <c r="A48" s="47"/>
      <c r="B48" s="313" t="s">
        <v>314</v>
      </c>
      <c r="C48" s="1170" t="s">
        <v>315</v>
      </c>
      <c r="D48" s="1170"/>
      <c r="E48" s="749" t="str">
        <f>IF(OR('入力（加算）認'!D23="あり",'入力（加算）認'!M27="あり"),"該当","非該当")</f>
        <v>非該当</v>
      </c>
      <c r="F48" s="761">
        <f>COUNTIF('入力（加算）認'!D23,"あり")+COUNTIF('入力（加算）認'!M27,"あり")</f>
        <v>0</v>
      </c>
      <c r="G48" s="770"/>
      <c r="H48" s="339">
        <f>IF(E48="該当",-F48,0)</f>
        <v>0</v>
      </c>
      <c r="I48" s="1168" t="s">
        <v>295</v>
      </c>
      <c r="J48" s="1169"/>
      <c r="K48" s="770"/>
      <c r="L48" s="339"/>
      <c r="N48" s="34"/>
    </row>
    <row r="49" spans="1:14" ht="19.5" customHeight="1" thickBot="1">
      <c r="A49" s="47"/>
      <c r="B49" s="313" t="s">
        <v>316</v>
      </c>
      <c r="C49" s="852" t="s">
        <v>317</v>
      </c>
      <c r="D49" s="214"/>
      <c r="E49" s="749" t="str">
        <f>IF(AND('入力（加算）認'!E23&lt;&gt;"なし",'入力（加算）認'!E23&lt;&gt;"",'入力（加算）認'!E23&gt;0),"該当","非該当")</f>
        <v>非該当</v>
      </c>
      <c r="F49" s="762">
        <f>IF(E49="該当",'入力（加算）認'!E23*2,0)</f>
        <v>0</v>
      </c>
      <c r="G49" s="770"/>
      <c r="H49" s="339">
        <f>IF(E49="該当",-F49,0)</f>
        <v>0</v>
      </c>
      <c r="I49" s="1168" t="s">
        <v>295</v>
      </c>
      <c r="J49" s="1169"/>
      <c r="K49" s="770"/>
      <c r="L49" s="339"/>
      <c r="N49" s="34"/>
    </row>
    <row r="50" spans="1:14" ht="19.5" customHeight="1" thickBot="1">
      <c r="A50" s="47"/>
      <c r="B50" s="340" t="s">
        <v>260</v>
      </c>
      <c r="C50" s="341"/>
      <c r="D50" s="341"/>
      <c r="E50" s="771">
        <f>F9</f>
        <v>0</v>
      </c>
      <c r="F50" s="763"/>
      <c r="G50" s="773"/>
      <c r="H50" s="342">
        <f>IF(E50&lt;=90,1.4,2.2)</f>
        <v>1.4</v>
      </c>
      <c r="I50" s="771">
        <f>G9</f>
        <v>0</v>
      </c>
      <c r="J50" s="772"/>
      <c r="K50" s="773"/>
      <c r="L50" s="342">
        <f>IF(F8="あり",IF(I50&lt;=90,1.4,2.2),0)</f>
        <v>0</v>
      </c>
      <c r="N50" s="34"/>
    </row>
    <row r="51" spans="1:14" ht="19.5" customHeight="1" thickTop="1" thickBot="1">
      <c r="A51" s="47"/>
      <c r="B51" s="220" t="s">
        <v>228</v>
      </c>
      <c r="C51" s="47"/>
      <c r="D51" s="47"/>
      <c r="E51" s="1020">
        <f>SUM(H33:H50)</f>
        <v>3.4</v>
      </c>
      <c r="F51" s="1021"/>
      <c r="G51" s="1021"/>
      <c r="H51" s="1022"/>
      <c r="I51" s="1020">
        <f>SUM(L33:L50)</f>
        <v>0</v>
      </c>
      <c r="J51" s="1021"/>
      <c r="K51" s="1021"/>
      <c r="L51" s="1022"/>
      <c r="N51" s="34"/>
    </row>
    <row r="52" spans="1:14" ht="19.5" customHeight="1" thickBot="1">
      <c r="A52" s="47"/>
      <c r="B52" s="297" t="s">
        <v>229</v>
      </c>
      <c r="C52" s="224"/>
      <c r="D52" s="224"/>
      <c r="E52" s="1165">
        <f>ROUND(E51,0)</f>
        <v>3</v>
      </c>
      <c r="F52" s="1166"/>
      <c r="G52" s="1166"/>
      <c r="H52" s="1167"/>
      <c r="I52" s="1165">
        <f>ROUND(I51,0)</f>
        <v>0</v>
      </c>
      <c r="J52" s="1166"/>
      <c r="K52" s="1166"/>
      <c r="L52" s="1167"/>
      <c r="N52" s="34"/>
    </row>
    <row r="53" spans="1:14" ht="19.5" customHeight="1">
      <c r="A53" s="47"/>
      <c r="B53" s="47"/>
      <c r="C53" s="47"/>
      <c r="D53" s="47"/>
      <c r="E53" s="225"/>
      <c r="F53" s="225"/>
      <c r="G53" s="227"/>
      <c r="H53" s="225"/>
      <c r="I53" s="74"/>
      <c r="J53" s="36"/>
      <c r="K53" s="36"/>
      <c r="L53" s="36"/>
      <c r="N53" s="34"/>
    </row>
    <row r="54" spans="1:14" ht="19.5" customHeight="1" thickBot="1">
      <c r="A54" s="170" t="s">
        <v>231</v>
      </c>
      <c r="B54" s="47"/>
      <c r="C54" s="47"/>
      <c r="D54" s="47"/>
      <c r="E54" s="47"/>
      <c r="F54" s="168"/>
      <c r="G54" s="228"/>
      <c r="H54" s="226"/>
      <c r="I54" s="74"/>
      <c r="J54" s="36"/>
      <c r="K54" s="36"/>
      <c r="L54" s="36"/>
    </row>
    <row r="55" spans="1:14" ht="19.5" customHeight="1" thickBot="1">
      <c r="A55" s="47"/>
      <c r="B55" s="229" t="s">
        <v>318</v>
      </c>
      <c r="C55" s="230"/>
      <c r="D55" s="230"/>
      <c r="E55" s="224"/>
      <c r="F55" s="782">
        <f>SUM(E52,I52)/3</f>
        <v>1</v>
      </c>
      <c r="G55" s="375">
        <f>IF(ROUND(F55,0)=0,1,ROUND(F55,0))</f>
        <v>1</v>
      </c>
      <c r="H55" s="226"/>
      <c r="I55" s="74"/>
      <c r="J55" s="36"/>
      <c r="K55" s="36"/>
      <c r="L55" s="36"/>
    </row>
    <row r="56" spans="1:14" ht="19.5" customHeight="1" thickBot="1">
      <c r="A56" s="47"/>
      <c r="B56" s="229" t="s">
        <v>233</v>
      </c>
      <c r="C56" s="345"/>
      <c r="D56" s="345"/>
      <c r="E56" s="224"/>
      <c r="F56" s="782">
        <f>SUM(E52,I52)/5</f>
        <v>0.6</v>
      </c>
      <c r="G56" s="375">
        <f>IF(ROUND(F56,0)=0,1,ROUND(F56,0))</f>
        <v>1</v>
      </c>
      <c r="H56" s="226"/>
      <c r="I56" s="74"/>
      <c r="J56" s="36"/>
      <c r="K56" s="36"/>
      <c r="L56" s="36"/>
    </row>
    <row r="57" spans="1:14" ht="19.5" customHeight="1">
      <c r="A57" s="47"/>
      <c r="B57" s="345"/>
      <c r="C57" s="345"/>
      <c r="D57" s="345"/>
      <c r="E57" s="345"/>
      <c r="F57" s="345"/>
      <c r="G57" s="345"/>
      <c r="H57" s="226"/>
      <c r="I57" s="74"/>
      <c r="J57" s="36"/>
      <c r="K57" s="36"/>
      <c r="L57" s="36"/>
    </row>
    <row r="58" spans="1:14" ht="19.5" customHeight="1">
      <c r="A58" s="47"/>
      <c r="B58" s="47"/>
      <c r="C58" s="47"/>
      <c r="D58" s="47"/>
      <c r="E58" s="47"/>
      <c r="F58" s="225"/>
      <c r="G58" s="225"/>
      <c r="I58" s="74"/>
      <c r="J58" s="36"/>
      <c r="K58" s="36"/>
      <c r="L58" s="36"/>
      <c r="N58" s="34"/>
    </row>
    <row r="59" spans="1:14" ht="19.5" customHeight="1">
      <c r="A59" s="170" t="s">
        <v>481</v>
      </c>
      <c r="B59" s="36"/>
      <c r="C59" s="36"/>
      <c r="D59" s="36"/>
      <c r="E59" s="36"/>
      <c r="F59" s="168"/>
      <c r="G59" s="168"/>
      <c r="H59" s="168"/>
      <c r="I59" s="168"/>
      <c r="J59" s="36"/>
      <c r="K59" s="36"/>
      <c r="L59" s="36"/>
      <c r="N59" s="34"/>
    </row>
    <row r="60" spans="1:14" ht="19.5" customHeight="1">
      <c r="A60" s="36"/>
      <c r="B60" s="36"/>
      <c r="C60" s="36"/>
      <c r="D60" s="735" t="s">
        <v>483</v>
      </c>
      <c r="E60" s="784" t="s">
        <v>480</v>
      </c>
      <c r="F60" s="999" t="s">
        <v>482</v>
      </c>
      <c r="G60" s="1000"/>
      <c r="H60" s="1001"/>
      <c r="I60" s="784" t="s">
        <v>475</v>
      </c>
      <c r="J60" s="36"/>
      <c r="K60" s="36"/>
      <c r="L60" s="36"/>
      <c r="N60" s="34"/>
    </row>
    <row r="61" spans="1:14" ht="19.5" customHeight="1">
      <c r="A61" s="36"/>
      <c r="B61" s="997" t="s">
        <v>477</v>
      </c>
      <c r="C61" s="998"/>
      <c r="D61" s="733">
        <f>L21*G55*O35</f>
        <v>480000</v>
      </c>
      <c r="E61" s="709">
        <f>O35</f>
        <v>40000</v>
      </c>
      <c r="F61" s="1002">
        <f>L21*G55*O37</f>
        <v>603600</v>
      </c>
      <c r="G61" s="1003"/>
      <c r="H61" s="1004"/>
      <c r="I61" s="709">
        <f>O37</f>
        <v>50300</v>
      </c>
      <c r="J61" s="36"/>
      <c r="K61" s="36"/>
      <c r="L61" s="36"/>
      <c r="N61" s="34"/>
    </row>
    <row r="62" spans="1:14" ht="19.5" customHeight="1">
      <c r="A62" s="36"/>
      <c r="B62" s="997" t="s">
        <v>478</v>
      </c>
      <c r="C62" s="998"/>
      <c r="D62" s="733">
        <f>L21*G56*O36</f>
        <v>60000</v>
      </c>
      <c r="E62" s="709">
        <f>O36</f>
        <v>5000</v>
      </c>
      <c r="F62" s="1002">
        <f>G56*L21*O38</f>
        <v>75480</v>
      </c>
      <c r="G62" s="1003"/>
      <c r="H62" s="1004"/>
      <c r="I62" s="709">
        <f>O38</f>
        <v>6290</v>
      </c>
      <c r="J62" s="36"/>
      <c r="K62" s="36"/>
      <c r="L62" s="36"/>
      <c r="N62" s="34"/>
    </row>
    <row r="63" spans="1:14" ht="19.5" customHeight="1">
      <c r="A63" s="36"/>
      <c r="B63" s="997" t="s">
        <v>377</v>
      </c>
      <c r="C63" s="998"/>
      <c r="D63" s="734">
        <f>SUM(D61:D62)</f>
        <v>540000</v>
      </c>
      <c r="E63" s="740"/>
      <c r="F63" s="1003">
        <f>SUM(F61:G62)</f>
        <v>679080</v>
      </c>
      <c r="G63" s="1003"/>
      <c r="H63" s="1004"/>
      <c r="I63" s="720"/>
      <c r="J63" s="699"/>
      <c r="K63" s="699"/>
      <c r="L63" s="36"/>
      <c r="N63" s="34"/>
    </row>
    <row r="64" spans="1:14" ht="21.75" customHeight="1">
      <c r="A64" s="36"/>
      <c r="B64" s="36"/>
      <c r="C64" s="36"/>
      <c r="D64" s="36"/>
      <c r="E64" s="736"/>
      <c r="F64" s="36"/>
      <c r="G64" s="36"/>
      <c r="H64" s="36"/>
      <c r="I64" s="1042" t="s">
        <v>488</v>
      </c>
      <c r="J64" s="1043"/>
      <c r="K64" s="738">
        <f>ROUNDDOWN(F63*0.2,-1)</f>
        <v>135810</v>
      </c>
      <c r="L64" s="36"/>
      <c r="N64" s="34"/>
    </row>
    <row r="65" spans="1:14" ht="21.75" customHeight="1">
      <c r="A65" s="36"/>
      <c r="B65" s="36"/>
      <c r="C65" s="36"/>
      <c r="D65" s="36"/>
      <c r="E65" s="36"/>
      <c r="F65" s="36"/>
      <c r="G65" s="36"/>
      <c r="H65" s="36"/>
      <c r="I65" s="739" t="s">
        <v>484</v>
      </c>
      <c r="J65" s="36"/>
      <c r="K65" s="36"/>
      <c r="L65" s="36"/>
      <c r="N65" s="34"/>
    </row>
    <row r="66" spans="1:14" ht="21.75" customHeight="1">
      <c r="I66" s="34"/>
      <c r="N66" s="34"/>
    </row>
    <row r="67" spans="1:14" ht="21.75" customHeight="1">
      <c r="I67" s="34"/>
      <c r="N67" s="34"/>
    </row>
    <row r="68" spans="1:14" ht="33.75" customHeight="1">
      <c r="I68" s="34"/>
      <c r="N68" s="34"/>
    </row>
    <row r="69" spans="1:14" ht="33.75" customHeight="1">
      <c r="I69" s="34"/>
      <c r="N69" s="34"/>
    </row>
    <row r="70" spans="1:14" ht="33.75" customHeight="1">
      <c r="I70" s="34"/>
      <c r="N70" s="34"/>
    </row>
    <row r="71" spans="1:14" ht="33.75" customHeight="1">
      <c r="E71" s="34"/>
      <c r="F71" s="34"/>
      <c r="G71" s="34"/>
      <c r="H71" s="34"/>
      <c r="I71" s="34"/>
      <c r="N71" s="34"/>
    </row>
    <row r="72" spans="1:14" ht="33.75" customHeight="1">
      <c r="E72" s="34"/>
      <c r="F72" s="34"/>
      <c r="G72" s="34"/>
      <c r="H72" s="34"/>
      <c r="I72" s="34"/>
      <c r="N72" s="34"/>
    </row>
    <row r="73" spans="1:14" ht="33.75" customHeight="1">
      <c r="E73" s="34"/>
      <c r="F73" s="34"/>
      <c r="G73" s="34"/>
      <c r="H73" s="34"/>
      <c r="I73" s="34"/>
      <c r="N73" s="34"/>
    </row>
    <row r="74" spans="1:14" ht="33.75" customHeight="1">
      <c r="E74" s="34"/>
      <c r="F74" s="34"/>
      <c r="G74" s="34"/>
      <c r="H74" s="34"/>
      <c r="I74" s="34"/>
      <c r="N74" s="34"/>
    </row>
    <row r="75" spans="1:14" ht="33.75" customHeight="1">
      <c r="E75" s="34"/>
      <c r="F75" s="34"/>
      <c r="G75" s="34"/>
      <c r="H75" s="34"/>
      <c r="I75" s="34"/>
      <c r="N75" s="34"/>
    </row>
    <row r="76" spans="1:14" ht="33.75" customHeight="1">
      <c r="E76" s="34"/>
      <c r="F76" s="34"/>
      <c r="G76" s="34"/>
      <c r="H76" s="34"/>
      <c r="I76" s="34"/>
      <c r="N76" s="34"/>
    </row>
    <row r="77" spans="1:14" ht="33.75" customHeight="1">
      <c r="E77" s="34"/>
      <c r="F77" s="34"/>
      <c r="G77" s="34"/>
      <c r="H77" s="34"/>
      <c r="I77" s="34"/>
      <c r="N77" s="34"/>
    </row>
    <row r="78" spans="1:14" ht="20.25" customHeight="1">
      <c r="E78" s="34"/>
      <c r="F78" s="34"/>
      <c r="G78" s="34"/>
      <c r="H78" s="34"/>
      <c r="I78" s="34"/>
      <c r="N78" s="34"/>
    </row>
    <row r="79" spans="1:14" ht="20.25" customHeight="1">
      <c r="E79" s="34"/>
      <c r="F79" s="34"/>
      <c r="G79" s="34"/>
      <c r="H79" s="34"/>
      <c r="I79" s="34"/>
      <c r="N79" s="34"/>
    </row>
    <row r="80" spans="1:14" ht="20.25" customHeight="1">
      <c r="E80" s="34"/>
      <c r="F80" s="34"/>
      <c r="G80" s="34"/>
      <c r="H80" s="34"/>
      <c r="I80" s="34"/>
      <c r="N80" s="34"/>
    </row>
    <row r="81" s="34" customFormat="1" ht="20.25" customHeight="1"/>
    <row r="82" s="34" customFormat="1" ht="20.25" customHeight="1"/>
    <row r="83" s="34" customFormat="1" ht="20.25" customHeight="1"/>
    <row r="84" s="34" customFormat="1" ht="20.25" customHeight="1"/>
    <row r="85" s="34" customFormat="1" ht="20.25" customHeight="1"/>
    <row r="86" s="34" customFormat="1" ht="20.25" customHeight="1"/>
    <row r="87" s="34" customFormat="1" ht="20.25" customHeight="1"/>
    <row r="88" s="34" customFormat="1" ht="20.25" customHeight="1"/>
    <row r="89" s="34" customFormat="1" ht="20.25" customHeight="1"/>
    <row r="90" s="34" customFormat="1" ht="20.25" customHeight="1"/>
    <row r="91" s="34" customFormat="1" ht="20.25" customHeight="1"/>
    <row r="92" s="34" customFormat="1" ht="20.25" customHeight="1"/>
    <row r="93" s="34" customFormat="1" ht="20.25" customHeight="1"/>
    <row r="94" s="34" customFormat="1" ht="20.25" customHeight="1"/>
    <row r="95" s="34" customFormat="1" ht="20.25" customHeight="1"/>
    <row r="96" s="34" customFormat="1" ht="20.25" customHeight="1"/>
    <row r="97" s="34" customFormat="1" ht="20.25" customHeight="1"/>
    <row r="98" s="34" customFormat="1" ht="20.25" customHeight="1"/>
    <row r="99" s="34" customFormat="1" ht="20.25" customHeight="1"/>
    <row r="100" s="34" customFormat="1" ht="20.25" customHeight="1"/>
    <row r="101" s="34" customFormat="1" ht="20.25" customHeight="1"/>
    <row r="102" s="34" customFormat="1" ht="20.25" customHeight="1"/>
    <row r="103" s="34" customFormat="1" ht="20.25" customHeight="1"/>
    <row r="104" s="34" customFormat="1" ht="20.25" customHeight="1"/>
    <row r="105" s="34" customFormat="1" ht="20.25" customHeight="1"/>
    <row r="106" s="34" customFormat="1" ht="20.25" customHeight="1"/>
    <row r="107" s="34" customFormat="1" ht="20.25" customHeight="1"/>
    <row r="108" s="34" customFormat="1" ht="20.25" customHeight="1"/>
    <row r="109" s="34" customFormat="1" ht="20.25" customHeight="1"/>
    <row r="110" s="34" customFormat="1" ht="20.25" customHeight="1"/>
    <row r="111" s="34" customFormat="1" ht="20.25" customHeight="1"/>
    <row r="112" s="34" customFormat="1" ht="20.25" customHeight="1"/>
    <row r="113" s="34" customFormat="1" ht="20.25" customHeight="1"/>
    <row r="114" s="34" customFormat="1" ht="20.25" customHeight="1"/>
    <row r="115" s="34" customFormat="1" ht="20.25" customHeight="1"/>
    <row r="116" s="34" customFormat="1" ht="20.25" customHeight="1"/>
    <row r="117" s="34" customFormat="1" ht="20.25" customHeight="1"/>
    <row r="118" s="34" customFormat="1" ht="20.25" customHeight="1"/>
    <row r="119" s="34" customFormat="1" ht="20.25" customHeight="1"/>
    <row r="120" s="34" customFormat="1" ht="20.25" customHeight="1"/>
    <row r="121" s="34" customFormat="1" ht="20.25" customHeight="1"/>
    <row r="122" s="34" customFormat="1" ht="20.25" customHeight="1"/>
    <row r="123" s="34" customFormat="1" ht="20.25" customHeight="1"/>
    <row r="124" s="34" customFormat="1" ht="20.25" customHeight="1"/>
    <row r="125" s="34" customFormat="1" ht="20.25" customHeight="1"/>
    <row r="126" s="34" customFormat="1" ht="20.25" customHeight="1"/>
    <row r="127" s="34" customFormat="1" ht="20.25" customHeight="1"/>
    <row r="128" s="34" customFormat="1" ht="20.25" customHeight="1"/>
    <row r="129" spans="5:14" ht="20.25" customHeight="1">
      <c r="E129" s="34"/>
      <c r="F129" s="34"/>
      <c r="G129" s="34"/>
      <c r="H129" s="34"/>
      <c r="I129" s="34"/>
      <c r="N129" s="34"/>
    </row>
    <row r="130" spans="5:14" ht="20.25" customHeight="1">
      <c r="E130" s="34"/>
      <c r="F130" s="34"/>
      <c r="G130" s="34"/>
      <c r="H130" s="34"/>
      <c r="I130" s="34"/>
      <c r="N130" s="34"/>
    </row>
    <row r="131" spans="5:14" ht="20.25" customHeight="1">
      <c r="E131" s="34"/>
      <c r="F131" s="34"/>
      <c r="G131" s="34"/>
      <c r="H131" s="34"/>
      <c r="I131" s="34"/>
      <c r="N131" s="34"/>
    </row>
    <row r="132" spans="5:14" ht="20.25" customHeight="1">
      <c r="N132" s="34"/>
    </row>
    <row r="133" spans="5:14" ht="20.25" customHeight="1">
      <c r="N133" s="34"/>
    </row>
    <row r="134" spans="5:14" ht="20.25" customHeight="1">
      <c r="N134" s="34"/>
    </row>
    <row r="135" spans="5:14" ht="20.25" customHeight="1">
      <c r="N135" s="34"/>
    </row>
    <row r="136" spans="5:14" ht="20.25" customHeight="1">
      <c r="N136" s="34"/>
    </row>
    <row r="137" spans="5:14" ht="20.25" customHeight="1">
      <c r="N137" s="34"/>
    </row>
    <row r="138" spans="5:14" ht="20.25" customHeight="1">
      <c r="N138" s="34"/>
    </row>
    <row r="139" spans="5:14">
      <c r="N139" s="34"/>
    </row>
  </sheetData>
  <sheetProtection algorithmName="SHA-512" hashValue="IQISXYR9E2d7ONoWzpoCu863SZ8snZf/I/mQPCAWyXLV1u1iUGsGKnGnChcrYLun/+pyDDi/MlV7IgKVIIJqxg==" saltValue="cnnNLp43TAX1N2MgL5y8bQ==" spinCount="100000" sheet="1" objects="1" scenarios="1"/>
  <customSheetViews>
    <customSheetView guid="{2E52E5FF-9846-4DC5-A671-268FE925398C}" scale="90" showPageBreaks="1" printArea="1" view="pageBreakPreview">
      <selection activeCell="J56" sqref="J56:K56"/>
      <pageMargins left="0.7" right="0.7" top="0.75" bottom="0.75" header="0.3" footer="0.3"/>
      <pageSetup paperSize="9" scale="62" orientation="portrait" r:id="rId1"/>
    </customSheetView>
    <customSheetView guid="{BADA99B3-B36A-4925-87A7-F72FC97D3DBA}" scale="90" showPageBreaks="1" printArea="1" view="pageBreakPreview">
      <selection activeCell="J56" sqref="J56:K56"/>
      <pageMargins left="0.7" right="0.7" top="0.75" bottom="0.75" header="0.3" footer="0.3"/>
      <pageSetup paperSize="9" scale="62" orientation="portrait" r:id="rId2"/>
    </customSheetView>
  </customSheetViews>
  <mergeCells count="50">
    <mergeCell ref="A1:C1"/>
    <mergeCell ref="J1:L1"/>
    <mergeCell ref="A2:L2"/>
    <mergeCell ref="N2:O2"/>
    <mergeCell ref="B7:E7"/>
    <mergeCell ref="I4:I5"/>
    <mergeCell ref="J4:L5"/>
    <mergeCell ref="C11:E11"/>
    <mergeCell ref="B9:E9"/>
    <mergeCell ref="C10:E10"/>
    <mergeCell ref="B8:E8"/>
    <mergeCell ref="F8:G8"/>
    <mergeCell ref="C12:E12"/>
    <mergeCell ref="B13:E13"/>
    <mergeCell ref="I41:J41"/>
    <mergeCell ref="G24:H24"/>
    <mergeCell ref="E23:H23"/>
    <mergeCell ref="I23:L23"/>
    <mergeCell ref="H14:L18"/>
    <mergeCell ref="C15:D15"/>
    <mergeCell ref="C17:D17"/>
    <mergeCell ref="C18:D18"/>
    <mergeCell ref="C19:L20"/>
    <mergeCell ref="C14:D14"/>
    <mergeCell ref="K24:L24"/>
    <mergeCell ref="C48:D48"/>
    <mergeCell ref="I48:J48"/>
    <mergeCell ref="I49:J49"/>
    <mergeCell ref="I37:J37"/>
    <mergeCell ref="I38:J38"/>
    <mergeCell ref="I39:J39"/>
    <mergeCell ref="I40:J40"/>
    <mergeCell ref="I42:J42"/>
    <mergeCell ref="I43:J43"/>
    <mergeCell ref="I44:J44"/>
    <mergeCell ref="I45:J45"/>
    <mergeCell ref="I46:J46"/>
    <mergeCell ref="E51:H51"/>
    <mergeCell ref="I51:L51"/>
    <mergeCell ref="E52:H52"/>
    <mergeCell ref="I52:L52"/>
    <mergeCell ref="I47:J47"/>
    <mergeCell ref="B63:C63"/>
    <mergeCell ref="F63:H63"/>
    <mergeCell ref="I64:J64"/>
    <mergeCell ref="F60:H60"/>
    <mergeCell ref="B61:C61"/>
    <mergeCell ref="F61:H61"/>
    <mergeCell ref="B62:C62"/>
    <mergeCell ref="F62:H62"/>
  </mergeCells>
  <phoneticPr fontId="49"/>
  <dataValidations disablePrompts="1" count="13">
    <dataValidation type="list" showInputMessage="1" showErrorMessage="1" sqref="F49" xr:uid="{00000000-0002-0000-2A00-000000000000}">
      <formula1>$Y$5:$Y$15</formula1>
    </dataValidation>
    <dataValidation type="list" showInputMessage="1" showErrorMessage="1" sqref="F48" xr:uid="{00000000-0002-0000-2A00-000001000000}">
      <formula1>$X$5:$X$7</formula1>
    </dataValidation>
    <dataValidation type="list" errorStyle="warning" showInputMessage="1" showErrorMessage="1" sqref="E38" xr:uid="{00000000-0002-0000-2A00-000002000000}">
      <formula1>$T$5:$T$7</formula1>
    </dataValidation>
    <dataValidation type="list" errorStyle="warning" showInputMessage="1" showErrorMessage="1" sqref="E45:E46" xr:uid="{00000000-0002-0000-2A00-000003000000}">
      <formula1>$W$5:$W$7</formula1>
    </dataValidation>
    <dataValidation type="list" errorStyle="warning" showInputMessage="1" showErrorMessage="1" sqref="E44" xr:uid="{00000000-0002-0000-2A00-000004000000}">
      <formula1>$V$5:$V$7</formula1>
    </dataValidation>
    <dataValidation type="list" errorStyle="warning" showInputMessage="1" showErrorMessage="1" sqref="E43" xr:uid="{00000000-0002-0000-2A00-000005000000}">
      <formula1>$U$5:$U$7</formula1>
    </dataValidation>
    <dataValidation type="list" showInputMessage="1" showErrorMessage="1" sqref="F8:G8" xr:uid="{00000000-0002-0000-2A00-000006000000}">
      <formula1>$R$5:$R$7</formula1>
    </dataValidation>
    <dataValidation type="list" errorStyle="warning" showInputMessage="1" showErrorMessage="1" sqref="F39" xr:uid="{00000000-0002-0000-2A00-000007000000}">
      <formula1>$P$5:$P$18</formula1>
    </dataValidation>
    <dataValidation type="list" errorStyle="warning" showInputMessage="1" showErrorMessage="1" sqref="E48:E49" xr:uid="{00000000-0002-0000-2A00-000008000000}">
      <formula1>$S$5:$S$7</formula1>
    </dataValidation>
    <dataValidation type="list" errorStyle="warning" showInputMessage="1" showErrorMessage="1" sqref="E29:E30 I36 E47 E36:E37 E39:E42" xr:uid="{00000000-0002-0000-2A00-000009000000}">
      <formula1>$R$5:$R$7</formula1>
    </dataValidation>
    <dataValidation type="list" errorStyle="warning" allowBlank="1" showInputMessage="1" showErrorMessage="1" sqref="I29:I30" xr:uid="{00000000-0002-0000-2A00-00000A000000}">
      <formula1>"　,あり,なし"</formula1>
    </dataValidation>
    <dataValidation type="list" allowBlank="1" showInputMessage="1" showErrorMessage="1" sqref="WVL983093:WVL983094 IZ51:IZ52 SV51:SV52 ACR51:ACR52 AMN51:AMN52 AWJ51:AWJ52 BGF51:BGF52 BQB51:BQB52 BZX51:BZX52 CJT51:CJT52 CTP51:CTP52 DDL51:DDL52 DNH51:DNH52 DXD51:DXD52 EGZ51:EGZ52 EQV51:EQV52 FAR51:FAR52 FKN51:FKN52 FUJ51:FUJ52 GEF51:GEF52 GOB51:GOB52 GXX51:GXX52 HHT51:HHT52 HRP51:HRP52 IBL51:IBL52 ILH51:ILH52 IVD51:IVD52 JEZ51:JEZ52 JOV51:JOV52 JYR51:JYR52 KIN51:KIN52 KSJ51:KSJ52 LCF51:LCF52 LMB51:LMB52 LVX51:LVX52 MFT51:MFT52 MPP51:MPP52 MZL51:MZL52 NJH51:NJH52 NTD51:NTD52 OCZ51:OCZ52 OMV51:OMV52 OWR51:OWR52 PGN51:PGN52 PQJ51:PQJ52 QAF51:QAF52 QKB51:QKB52 QTX51:QTX52 RDT51:RDT52 RNP51:RNP52 RXL51:RXL52 SHH51:SHH52 SRD51:SRD52 TAZ51:TAZ52 TKV51:TKV52 TUR51:TUR52 UEN51:UEN52 UOJ51:UOJ52 UYF51:UYF52 VIB51:VIB52 VRX51:VRX52 WBT51:WBT52 WLP51:WLP52 WVL51:WVL52 E65582:E65583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E131118:E131119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E196654:E196655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E262190:E262191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E327726:E327727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E393262:E393263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E458798:E458799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E524334:E524335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E589870:E589871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E655406:E655407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E720942:E720943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E786478:E786479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E852014:E852015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E917550:E917551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E983086:E983087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xr:uid="{00000000-0002-0000-2A00-00000B000000}">
      <formula1>"　,該当,非該当"</formula1>
    </dataValidation>
    <dataValidation type="list" allowBlank="1" showInputMessage="1" showErrorMessage="1" sqref="WLP983083:WLP983092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E65564:E65565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E131100:E131101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E196636:E196637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E262172:E262173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E327708:E327709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E393244:E393245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E458780:E458781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E524316:E524317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E589852:E589853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E655388:E655389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E720924:E720925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E786460:E786461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E851996:E851997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E917532:E917533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E983068:E983069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WBT983083:WBT983092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E65584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E131120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E196656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E262192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E327728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E393264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E458800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E524336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E589872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E655408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E720944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E786480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E852016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E917552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E983088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WVL983083:WVL983092 E65572:E65581 IZ65579:IZ65588 SV65579:SV65588 ACR65579:ACR65588 AMN65579:AMN65588 AWJ65579:AWJ65588 BGF65579:BGF65588 BQB65579:BQB65588 BZX65579:BZX65588 CJT65579:CJT65588 CTP65579:CTP65588 DDL65579:DDL65588 DNH65579:DNH65588 DXD65579:DXD65588 EGZ65579:EGZ65588 EQV65579:EQV65588 FAR65579:FAR65588 FKN65579:FKN65588 FUJ65579:FUJ65588 GEF65579:GEF65588 GOB65579:GOB65588 GXX65579:GXX65588 HHT65579:HHT65588 HRP65579:HRP65588 IBL65579:IBL65588 ILH65579:ILH65588 IVD65579:IVD65588 JEZ65579:JEZ65588 JOV65579:JOV65588 JYR65579:JYR65588 KIN65579:KIN65588 KSJ65579:KSJ65588 LCF65579:LCF65588 LMB65579:LMB65588 LVX65579:LVX65588 MFT65579:MFT65588 MPP65579:MPP65588 MZL65579:MZL65588 NJH65579:NJH65588 NTD65579:NTD65588 OCZ65579:OCZ65588 OMV65579:OMV65588 OWR65579:OWR65588 PGN65579:PGN65588 PQJ65579:PQJ65588 QAF65579:QAF65588 QKB65579:QKB65588 QTX65579:QTX65588 RDT65579:RDT65588 RNP65579:RNP65588 RXL65579:RXL65588 SHH65579:SHH65588 SRD65579:SRD65588 TAZ65579:TAZ65588 TKV65579:TKV65588 TUR65579:TUR65588 UEN65579:UEN65588 UOJ65579:UOJ65588 UYF65579:UYF65588 VIB65579:VIB65588 VRX65579:VRX65588 WBT65579:WBT65588 WLP65579:WLP65588 WVL65579:WVL65588 E131108:E131117 IZ131115:IZ131124 SV131115:SV131124 ACR131115:ACR131124 AMN131115:AMN131124 AWJ131115:AWJ131124 BGF131115:BGF131124 BQB131115:BQB131124 BZX131115:BZX131124 CJT131115:CJT131124 CTP131115:CTP131124 DDL131115:DDL131124 DNH131115:DNH131124 DXD131115:DXD131124 EGZ131115:EGZ131124 EQV131115:EQV131124 FAR131115:FAR131124 FKN131115:FKN131124 FUJ131115:FUJ131124 GEF131115:GEF131124 GOB131115:GOB131124 GXX131115:GXX131124 HHT131115:HHT131124 HRP131115:HRP131124 IBL131115:IBL131124 ILH131115:ILH131124 IVD131115:IVD131124 JEZ131115:JEZ131124 JOV131115:JOV131124 JYR131115:JYR131124 KIN131115:KIN131124 KSJ131115:KSJ131124 LCF131115:LCF131124 LMB131115:LMB131124 LVX131115:LVX131124 MFT131115:MFT131124 MPP131115:MPP131124 MZL131115:MZL131124 NJH131115:NJH131124 NTD131115:NTD131124 OCZ131115:OCZ131124 OMV131115:OMV131124 OWR131115:OWR131124 PGN131115:PGN131124 PQJ131115:PQJ131124 QAF131115:QAF131124 QKB131115:QKB131124 QTX131115:QTX131124 RDT131115:RDT131124 RNP131115:RNP131124 RXL131115:RXL131124 SHH131115:SHH131124 SRD131115:SRD131124 TAZ131115:TAZ131124 TKV131115:TKV131124 TUR131115:TUR131124 UEN131115:UEN131124 UOJ131115:UOJ131124 UYF131115:UYF131124 VIB131115:VIB131124 VRX131115:VRX131124 WBT131115:WBT131124 WLP131115:WLP131124 WVL131115:WVL131124 E196644:E196653 IZ196651:IZ196660 SV196651:SV196660 ACR196651:ACR196660 AMN196651:AMN196660 AWJ196651:AWJ196660 BGF196651:BGF196660 BQB196651:BQB196660 BZX196651:BZX196660 CJT196651:CJT196660 CTP196651:CTP196660 DDL196651:DDL196660 DNH196651:DNH196660 DXD196651:DXD196660 EGZ196651:EGZ196660 EQV196651:EQV196660 FAR196651:FAR196660 FKN196651:FKN196660 FUJ196651:FUJ196660 GEF196651:GEF196660 GOB196651:GOB196660 GXX196651:GXX196660 HHT196651:HHT196660 HRP196651:HRP196660 IBL196651:IBL196660 ILH196651:ILH196660 IVD196651:IVD196660 JEZ196651:JEZ196660 JOV196651:JOV196660 JYR196651:JYR196660 KIN196651:KIN196660 KSJ196651:KSJ196660 LCF196651:LCF196660 LMB196651:LMB196660 LVX196651:LVX196660 MFT196651:MFT196660 MPP196651:MPP196660 MZL196651:MZL196660 NJH196651:NJH196660 NTD196651:NTD196660 OCZ196651:OCZ196660 OMV196651:OMV196660 OWR196651:OWR196660 PGN196651:PGN196660 PQJ196651:PQJ196660 QAF196651:QAF196660 QKB196651:QKB196660 QTX196651:QTX196660 RDT196651:RDT196660 RNP196651:RNP196660 RXL196651:RXL196660 SHH196651:SHH196660 SRD196651:SRD196660 TAZ196651:TAZ196660 TKV196651:TKV196660 TUR196651:TUR196660 UEN196651:UEN196660 UOJ196651:UOJ196660 UYF196651:UYF196660 VIB196651:VIB196660 VRX196651:VRX196660 WBT196651:WBT196660 WLP196651:WLP196660 WVL196651:WVL196660 E262180:E262189 IZ262187:IZ262196 SV262187:SV262196 ACR262187:ACR262196 AMN262187:AMN262196 AWJ262187:AWJ262196 BGF262187:BGF262196 BQB262187:BQB262196 BZX262187:BZX262196 CJT262187:CJT262196 CTP262187:CTP262196 DDL262187:DDL262196 DNH262187:DNH262196 DXD262187:DXD262196 EGZ262187:EGZ262196 EQV262187:EQV262196 FAR262187:FAR262196 FKN262187:FKN262196 FUJ262187:FUJ262196 GEF262187:GEF262196 GOB262187:GOB262196 GXX262187:GXX262196 HHT262187:HHT262196 HRP262187:HRP262196 IBL262187:IBL262196 ILH262187:ILH262196 IVD262187:IVD262196 JEZ262187:JEZ262196 JOV262187:JOV262196 JYR262187:JYR262196 KIN262187:KIN262196 KSJ262187:KSJ262196 LCF262187:LCF262196 LMB262187:LMB262196 LVX262187:LVX262196 MFT262187:MFT262196 MPP262187:MPP262196 MZL262187:MZL262196 NJH262187:NJH262196 NTD262187:NTD262196 OCZ262187:OCZ262196 OMV262187:OMV262196 OWR262187:OWR262196 PGN262187:PGN262196 PQJ262187:PQJ262196 QAF262187:QAF262196 QKB262187:QKB262196 QTX262187:QTX262196 RDT262187:RDT262196 RNP262187:RNP262196 RXL262187:RXL262196 SHH262187:SHH262196 SRD262187:SRD262196 TAZ262187:TAZ262196 TKV262187:TKV262196 TUR262187:TUR262196 UEN262187:UEN262196 UOJ262187:UOJ262196 UYF262187:UYF262196 VIB262187:VIB262196 VRX262187:VRX262196 WBT262187:WBT262196 WLP262187:WLP262196 WVL262187:WVL262196 E327716:E327725 IZ327723:IZ327732 SV327723:SV327732 ACR327723:ACR327732 AMN327723:AMN327732 AWJ327723:AWJ327732 BGF327723:BGF327732 BQB327723:BQB327732 BZX327723:BZX327732 CJT327723:CJT327732 CTP327723:CTP327732 DDL327723:DDL327732 DNH327723:DNH327732 DXD327723:DXD327732 EGZ327723:EGZ327732 EQV327723:EQV327732 FAR327723:FAR327732 FKN327723:FKN327732 FUJ327723:FUJ327732 GEF327723:GEF327732 GOB327723:GOB327732 GXX327723:GXX327732 HHT327723:HHT327732 HRP327723:HRP327732 IBL327723:IBL327732 ILH327723:ILH327732 IVD327723:IVD327732 JEZ327723:JEZ327732 JOV327723:JOV327732 JYR327723:JYR327732 KIN327723:KIN327732 KSJ327723:KSJ327732 LCF327723:LCF327732 LMB327723:LMB327732 LVX327723:LVX327732 MFT327723:MFT327732 MPP327723:MPP327732 MZL327723:MZL327732 NJH327723:NJH327732 NTD327723:NTD327732 OCZ327723:OCZ327732 OMV327723:OMV327732 OWR327723:OWR327732 PGN327723:PGN327732 PQJ327723:PQJ327732 QAF327723:QAF327732 QKB327723:QKB327732 QTX327723:QTX327732 RDT327723:RDT327732 RNP327723:RNP327732 RXL327723:RXL327732 SHH327723:SHH327732 SRD327723:SRD327732 TAZ327723:TAZ327732 TKV327723:TKV327732 TUR327723:TUR327732 UEN327723:UEN327732 UOJ327723:UOJ327732 UYF327723:UYF327732 VIB327723:VIB327732 VRX327723:VRX327732 WBT327723:WBT327732 WLP327723:WLP327732 WVL327723:WVL327732 E393252:E393261 IZ393259:IZ393268 SV393259:SV393268 ACR393259:ACR393268 AMN393259:AMN393268 AWJ393259:AWJ393268 BGF393259:BGF393268 BQB393259:BQB393268 BZX393259:BZX393268 CJT393259:CJT393268 CTP393259:CTP393268 DDL393259:DDL393268 DNH393259:DNH393268 DXD393259:DXD393268 EGZ393259:EGZ393268 EQV393259:EQV393268 FAR393259:FAR393268 FKN393259:FKN393268 FUJ393259:FUJ393268 GEF393259:GEF393268 GOB393259:GOB393268 GXX393259:GXX393268 HHT393259:HHT393268 HRP393259:HRP393268 IBL393259:IBL393268 ILH393259:ILH393268 IVD393259:IVD393268 JEZ393259:JEZ393268 JOV393259:JOV393268 JYR393259:JYR393268 KIN393259:KIN393268 KSJ393259:KSJ393268 LCF393259:LCF393268 LMB393259:LMB393268 LVX393259:LVX393268 MFT393259:MFT393268 MPP393259:MPP393268 MZL393259:MZL393268 NJH393259:NJH393268 NTD393259:NTD393268 OCZ393259:OCZ393268 OMV393259:OMV393268 OWR393259:OWR393268 PGN393259:PGN393268 PQJ393259:PQJ393268 QAF393259:QAF393268 QKB393259:QKB393268 QTX393259:QTX393268 RDT393259:RDT393268 RNP393259:RNP393268 RXL393259:RXL393268 SHH393259:SHH393268 SRD393259:SRD393268 TAZ393259:TAZ393268 TKV393259:TKV393268 TUR393259:TUR393268 UEN393259:UEN393268 UOJ393259:UOJ393268 UYF393259:UYF393268 VIB393259:VIB393268 VRX393259:VRX393268 WBT393259:WBT393268 WLP393259:WLP393268 WVL393259:WVL393268 E458788:E458797 IZ458795:IZ458804 SV458795:SV458804 ACR458795:ACR458804 AMN458795:AMN458804 AWJ458795:AWJ458804 BGF458795:BGF458804 BQB458795:BQB458804 BZX458795:BZX458804 CJT458795:CJT458804 CTP458795:CTP458804 DDL458795:DDL458804 DNH458795:DNH458804 DXD458795:DXD458804 EGZ458795:EGZ458804 EQV458795:EQV458804 FAR458795:FAR458804 FKN458795:FKN458804 FUJ458795:FUJ458804 GEF458795:GEF458804 GOB458795:GOB458804 GXX458795:GXX458804 HHT458795:HHT458804 HRP458795:HRP458804 IBL458795:IBL458804 ILH458795:ILH458804 IVD458795:IVD458804 JEZ458795:JEZ458804 JOV458795:JOV458804 JYR458795:JYR458804 KIN458795:KIN458804 KSJ458795:KSJ458804 LCF458795:LCF458804 LMB458795:LMB458804 LVX458795:LVX458804 MFT458795:MFT458804 MPP458795:MPP458804 MZL458795:MZL458804 NJH458795:NJH458804 NTD458795:NTD458804 OCZ458795:OCZ458804 OMV458795:OMV458804 OWR458795:OWR458804 PGN458795:PGN458804 PQJ458795:PQJ458804 QAF458795:QAF458804 QKB458795:QKB458804 QTX458795:QTX458804 RDT458795:RDT458804 RNP458795:RNP458804 RXL458795:RXL458804 SHH458795:SHH458804 SRD458795:SRD458804 TAZ458795:TAZ458804 TKV458795:TKV458804 TUR458795:TUR458804 UEN458795:UEN458804 UOJ458795:UOJ458804 UYF458795:UYF458804 VIB458795:VIB458804 VRX458795:VRX458804 WBT458795:WBT458804 WLP458795:WLP458804 WVL458795:WVL458804 E524324:E524333 IZ524331:IZ524340 SV524331:SV524340 ACR524331:ACR524340 AMN524331:AMN524340 AWJ524331:AWJ524340 BGF524331:BGF524340 BQB524331:BQB524340 BZX524331:BZX524340 CJT524331:CJT524340 CTP524331:CTP524340 DDL524331:DDL524340 DNH524331:DNH524340 DXD524331:DXD524340 EGZ524331:EGZ524340 EQV524331:EQV524340 FAR524331:FAR524340 FKN524331:FKN524340 FUJ524331:FUJ524340 GEF524331:GEF524340 GOB524331:GOB524340 GXX524331:GXX524340 HHT524331:HHT524340 HRP524331:HRP524340 IBL524331:IBL524340 ILH524331:ILH524340 IVD524331:IVD524340 JEZ524331:JEZ524340 JOV524331:JOV524340 JYR524331:JYR524340 KIN524331:KIN524340 KSJ524331:KSJ524340 LCF524331:LCF524340 LMB524331:LMB524340 LVX524331:LVX524340 MFT524331:MFT524340 MPP524331:MPP524340 MZL524331:MZL524340 NJH524331:NJH524340 NTD524331:NTD524340 OCZ524331:OCZ524340 OMV524331:OMV524340 OWR524331:OWR524340 PGN524331:PGN524340 PQJ524331:PQJ524340 QAF524331:QAF524340 QKB524331:QKB524340 QTX524331:QTX524340 RDT524331:RDT524340 RNP524331:RNP524340 RXL524331:RXL524340 SHH524331:SHH524340 SRD524331:SRD524340 TAZ524331:TAZ524340 TKV524331:TKV524340 TUR524331:TUR524340 UEN524331:UEN524340 UOJ524331:UOJ524340 UYF524331:UYF524340 VIB524331:VIB524340 VRX524331:VRX524340 WBT524331:WBT524340 WLP524331:WLP524340 WVL524331:WVL524340 E589860:E589869 IZ589867:IZ589876 SV589867:SV589876 ACR589867:ACR589876 AMN589867:AMN589876 AWJ589867:AWJ589876 BGF589867:BGF589876 BQB589867:BQB589876 BZX589867:BZX589876 CJT589867:CJT589876 CTP589867:CTP589876 DDL589867:DDL589876 DNH589867:DNH589876 DXD589867:DXD589876 EGZ589867:EGZ589876 EQV589867:EQV589876 FAR589867:FAR589876 FKN589867:FKN589876 FUJ589867:FUJ589876 GEF589867:GEF589876 GOB589867:GOB589876 GXX589867:GXX589876 HHT589867:HHT589876 HRP589867:HRP589876 IBL589867:IBL589876 ILH589867:ILH589876 IVD589867:IVD589876 JEZ589867:JEZ589876 JOV589867:JOV589876 JYR589867:JYR589876 KIN589867:KIN589876 KSJ589867:KSJ589876 LCF589867:LCF589876 LMB589867:LMB589876 LVX589867:LVX589876 MFT589867:MFT589876 MPP589867:MPP589876 MZL589867:MZL589876 NJH589867:NJH589876 NTD589867:NTD589876 OCZ589867:OCZ589876 OMV589867:OMV589876 OWR589867:OWR589876 PGN589867:PGN589876 PQJ589867:PQJ589876 QAF589867:QAF589876 QKB589867:QKB589876 QTX589867:QTX589876 RDT589867:RDT589876 RNP589867:RNP589876 RXL589867:RXL589876 SHH589867:SHH589876 SRD589867:SRD589876 TAZ589867:TAZ589876 TKV589867:TKV589876 TUR589867:TUR589876 UEN589867:UEN589876 UOJ589867:UOJ589876 UYF589867:UYF589876 VIB589867:VIB589876 VRX589867:VRX589876 WBT589867:WBT589876 WLP589867:WLP589876 WVL589867:WVL589876 E655396:E655405 IZ655403:IZ655412 SV655403:SV655412 ACR655403:ACR655412 AMN655403:AMN655412 AWJ655403:AWJ655412 BGF655403:BGF655412 BQB655403:BQB655412 BZX655403:BZX655412 CJT655403:CJT655412 CTP655403:CTP655412 DDL655403:DDL655412 DNH655403:DNH655412 DXD655403:DXD655412 EGZ655403:EGZ655412 EQV655403:EQV655412 FAR655403:FAR655412 FKN655403:FKN655412 FUJ655403:FUJ655412 GEF655403:GEF655412 GOB655403:GOB655412 GXX655403:GXX655412 HHT655403:HHT655412 HRP655403:HRP655412 IBL655403:IBL655412 ILH655403:ILH655412 IVD655403:IVD655412 JEZ655403:JEZ655412 JOV655403:JOV655412 JYR655403:JYR655412 KIN655403:KIN655412 KSJ655403:KSJ655412 LCF655403:LCF655412 LMB655403:LMB655412 LVX655403:LVX655412 MFT655403:MFT655412 MPP655403:MPP655412 MZL655403:MZL655412 NJH655403:NJH655412 NTD655403:NTD655412 OCZ655403:OCZ655412 OMV655403:OMV655412 OWR655403:OWR655412 PGN655403:PGN655412 PQJ655403:PQJ655412 QAF655403:QAF655412 QKB655403:QKB655412 QTX655403:QTX655412 RDT655403:RDT655412 RNP655403:RNP655412 RXL655403:RXL655412 SHH655403:SHH655412 SRD655403:SRD655412 TAZ655403:TAZ655412 TKV655403:TKV655412 TUR655403:TUR655412 UEN655403:UEN655412 UOJ655403:UOJ655412 UYF655403:UYF655412 VIB655403:VIB655412 VRX655403:VRX655412 WBT655403:WBT655412 WLP655403:WLP655412 WVL655403:WVL655412 E720932:E720941 IZ720939:IZ720948 SV720939:SV720948 ACR720939:ACR720948 AMN720939:AMN720948 AWJ720939:AWJ720948 BGF720939:BGF720948 BQB720939:BQB720948 BZX720939:BZX720948 CJT720939:CJT720948 CTP720939:CTP720948 DDL720939:DDL720948 DNH720939:DNH720948 DXD720939:DXD720948 EGZ720939:EGZ720948 EQV720939:EQV720948 FAR720939:FAR720948 FKN720939:FKN720948 FUJ720939:FUJ720948 GEF720939:GEF720948 GOB720939:GOB720948 GXX720939:GXX720948 HHT720939:HHT720948 HRP720939:HRP720948 IBL720939:IBL720948 ILH720939:ILH720948 IVD720939:IVD720948 JEZ720939:JEZ720948 JOV720939:JOV720948 JYR720939:JYR720948 KIN720939:KIN720948 KSJ720939:KSJ720948 LCF720939:LCF720948 LMB720939:LMB720948 LVX720939:LVX720948 MFT720939:MFT720948 MPP720939:MPP720948 MZL720939:MZL720948 NJH720939:NJH720948 NTD720939:NTD720948 OCZ720939:OCZ720948 OMV720939:OMV720948 OWR720939:OWR720948 PGN720939:PGN720948 PQJ720939:PQJ720948 QAF720939:QAF720948 QKB720939:QKB720948 QTX720939:QTX720948 RDT720939:RDT720948 RNP720939:RNP720948 RXL720939:RXL720948 SHH720939:SHH720948 SRD720939:SRD720948 TAZ720939:TAZ720948 TKV720939:TKV720948 TUR720939:TUR720948 UEN720939:UEN720948 UOJ720939:UOJ720948 UYF720939:UYF720948 VIB720939:VIB720948 VRX720939:VRX720948 WBT720939:WBT720948 WLP720939:WLP720948 WVL720939:WVL720948 E786468:E786477 IZ786475:IZ786484 SV786475:SV786484 ACR786475:ACR786484 AMN786475:AMN786484 AWJ786475:AWJ786484 BGF786475:BGF786484 BQB786475:BQB786484 BZX786475:BZX786484 CJT786475:CJT786484 CTP786475:CTP786484 DDL786475:DDL786484 DNH786475:DNH786484 DXD786475:DXD786484 EGZ786475:EGZ786484 EQV786475:EQV786484 FAR786475:FAR786484 FKN786475:FKN786484 FUJ786475:FUJ786484 GEF786475:GEF786484 GOB786475:GOB786484 GXX786475:GXX786484 HHT786475:HHT786484 HRP786475:HRP786484 IBL786475:IBL786484 ILH786475:ILH786484 IVD786475:IVD786484 JEZ786475:JEZ786484 JOV786475:JOV786484 JYR786475:JYR786484 KIN786475:KIN786484 KSJ786475:KSJ786484 LCF786475:LCF786484 LMB786475:LMB786484 LVX786475:LVX786484 MFT786475:MFT786484 MPP786475:MPP786484 MZL786475:MZL786484 NJH786475:NJH786484 NTD786475:NTD786484 OCZ786475:OCZ786484 OMV786475:OMV786484 OWR786475:OWR786484 PGN786475:PGN786484 PQJ786475:PQJ786484 QAF786475:QAF786484 QKB786475:QKB786484 QTX786475:QTX786484 RDT786475:RDT786484 RNP786475:RNP786484 RXL786475:RXL786484 SHH786475:SHH786484 SRD786475:SRD786484 TAZ786475:TAZ786484 TKV786475:TKV786484 TUR786475:TUR786484 UEN786475:UEN786484 UOJ786475:UOJ786484 UYF786475:UYF786484 VIB786475:VIB786484 VRX786475:VRX786484 WBT786475:WBT786484 WLP786475:WLP786484 WVL786475:WVL786484 E852004:E852013 IZ852011:IZ852020 SV852011:SV852020 ACR852011:ACR852020 AMN852011:AMN852020 AWJ852011:AWJ852020 BGF852011:BGF852020 BQB852011:BQB852020 BZX852011:BZX852020 CJT852011:CJT852020 CTP852011:CTP852020 DDL852011:DDL852020 DNH852011:DNH852020 DXD852011:DXD852020 EGZ852011:EGZ852020 EQV852011:EQV852020 FAR852011:FAR852020 FKN852011:FKN852020 FUJ852011:FUJ852020 GEF852011:GEF852020 GOB852011:GOB852020 GXX852011:GXX852020 HHT852011:HHT852020 HRP852011:HRP852020 IBL852011:IBL852020 ILH852011:ILH852020 IVD852011:IVD852020 JEZ852011:JEZ852020 JOV852011:JOV852020 JYR852011:JYR852020 KIN852011:KIN852020 KSJ852011:KSJ852020 LCF852011:LCF852020 LMB852011:LMB852020 LVX852011:LVX852020 MFT852011:MFT852020 MPP852011:MPP852020 MZL852011:MZL852020 NJH852011:NJH852020 NTD852011:NTD852020 OCZ852011:OCZ852020 OMV852011:OMV852020 OWR852011:OWR852020 PGN852011:PGN852020 PQJ852011:PQJ852020 QAF852011:QAF852020 QKB852011:QKB852020 QTX852011:QTX852020 RDT852011:RDT852020 RNP852011:RNP852020 RXL852011:RXL852020 SHH852011:SHH852020 SRD852011:SRD852020 TAZ852011:TAZ852020 TKV852011:TKV852020 TUR852011:TUR852020 UEN852011:UEN852020 UOJ852011:UOJ852020 UYF852011:UYF852020 VIB852011:VIB852020 VRX852011:VRX852020 WBT852011:WBT852020 WLP852011:WLP852020 WVL852011:WVL852020 E917540:E917549 IZ917547:IZ917556 SV917547:SV917556 ACR917547:ACR917556 AMN917547:AMN917556 AWJ917547:AWJ917556 BGF917547:BGF917556 BQB917547:BQB917556 BZX917547:BZX917556 CJT917547:CJT917556 CTP917547:CTP917556 DDL917547:DDL917556 DNH917547:DNH917556 DXD917547:DXD917556 EGZ917547:EGZ917556 EQV917547:EQV917556 FAR917547:FAR917556 FKN917547:FKN917556 FUJ917547:FUJ917556 GEF917547:GEF917556 GOB917547:GOB917556 GXX917547:GXX917556 HHT917547:HHT917556 HRP917547:HRP917556 IBL917547:IBL917556 ILH917547:ILH917556 IVD917547:IVD917556 JEZ917547:JEZ917556 JOV917547:JOV917556 JYR917547:JYR917556 KIN917547:KIN917556 KSJ917547:KSJ917556 LCF917547:LCF917556 LMB917547:LMB917556 LVX917547:LVX917556 MFT917547:MFT917556 MPP917547:MPP917556 MZL917547:MZL917556 NJH917547:NJH917556 NTD917547:NTD917556 OCZ917547:OCZ917556 OMV917547:OMV917556 OWR917547:OWR917556 PGN917547:PGN917556 PQJ917547:PQJ917556 QAF917547:QAF917556 QKB917547:QKB917556 QTX917547:QTX917556 RDT917547:RDT917556 RNP917547:RNP917556 RXL917547:RXL917556 SHH917547:SHH917556 SRD917547:SRD917556 TAZ917547:TAZ917556 TKV917547:TKV917556 TUR917547:TUR917556 UEN917547:UEN917556 UOJ917547:UOJ917556 UYF917547:UYF917556 VIB917547:VIB917556 VRX917547:VRX917556 WBT917547:WBT917556 WLP917547:WLP917556 WVL917547:WVL917556 E983076:E983085 IZ983083:IZ983092 SV983083:SV983092 ACR983083:ACR983092 AMN983083:AMN983092 AWJ983083:AWJ983092 BGF983083:BGF983092 BQB983083:BQB983092 BZX983083:BZX983092 CJT983083:CJT983092 CTP983083:CTP983092 DDL983083:DDL983092 DNH983083:DNH983092 DXD983083:DXD983092 EGZ983083:EGZ983092 EQV983083:EQV983092 FAR983083:FAR983092 FKN983083:FKN983092 FUJ983083:FUJ983092 GEF983083:GEF983092 GOB983083:GOB983092 GXX983083:GXX983092 HHT983083:HHT983092 HRP983083:HRP983092 IBL983083:IBL983092 ILH983083:ILH983092 IVD983083:IVD983092 JEZ983083:JEZ983092 JOV983083:JOV983092 JYR983083:JYR983092 KIN983083:KIN983092 KSJ983083:KSJ983092 LCF983083:LCF983092 LMB983083:LMB983092 LVX983083:LVX983092 MFT983083:MFT983092 MPP983083:MPP983092 MZL983083:MZL983092 NJH983083:NJH983092 NTD983083:NTD983092 OCZ983083:OCZ983092 OMV983083:OMV983092 OWR983083:OWR983092 PGN983083:PGN983092 PQJ983083:PQJ983092 QAF983083:QAF983092 QKB983083:QKB983092 QTX983083:QTX983092 RDT983083:RDT983092 RNP983083:RNP983092 RXL983083:RXL983092 SHH983083:SHH983092 SRD983083:SRD983092 TAZ983083:TAZ983092 TKV983083:TKV983092 TUR983083:TUR983092 UEN983083:UEN983092 UOJ983083:UOJ983092 UYF983083:UYF983092 VIB983083:VIB983092 VRX983083:VRX983092 WVL39:WVL50 WLP39:WLP50 WBT39:WBT50 VRX39:VRX50 VIB39:VIB50 UYF39:UYF50 UOJ39:UOJ50 UEN39:UEN50 TUR39:TUR50 TKV39:TKV50 TAZ39:TAZ50 SRD39:SRD50 SHH39:SHH50 RXL39:RXL50 RNP39:RNP50 RDT39:RDT50 QTX39:QTX50 QKB39:QKB50 QAF39:QAF50 PQJ39:PQJ50 PGN39:PGN50 OWR39:OWR50 OMV39:OMV50 OCZ39:OCZ50 NTD39:NTD50 NJH39:NJH50 MZL39:MZL50 MPP39:MPP50 MFT39:MFT50 LVX39:LVX50 LMB39:LMB50 LCF39:LCF50 KSJ39:KSJ50 KIN39:KIN50 JYR39:JYR50 JOV39:JOV50 JEZ39:JEZ50 IVD39:IVD50 ILH39:ILH50 IBL39:IBL50 HRP39:HRP50 HHT39:HHT50 GXX39:GXX50 GOB39:GOB50 GEF39:GEF50 FUJ39:FUJ50 FKN39:FKN50 FAR39:FAR50 EQV39:EQV50 EGZ39:EGZ50 DXD39:DXD50 DNH39:DNH50 DDL39:DDL50 CTP39:CTP50 CJT39:CJT50 BZX39:BZX50 BQB39:BQB50 BGF39:BGF50 AWJ39:AWJ50 AMN39:AMN50 ACR39:ACR50 SV39:SV50 IZ39:IZ50" xr:uid="{00000000-0002-0000-2A00-00000C000000}">
      <formula1>"　,あり,なし"</formula1>
    </dataValidation>
  </dataValidations>
  <pageMargins left="0.7" right="0.7" top="0.75" bottom="0.75" header="0.3" footer="0.3"/>
  <pageSetup paperSize="9" scale="59"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4470D-6684-4969-BD51-FB07A472BD7C}">
  <sheetPr>
    <tabColor theme="1"/>
  </sheetPr>
  <dimension ref="A1"/>
  <sheetViews>
    <sheetView workbookViewId="0"/>
  </sheetViews>
  <sheetFormatPr defaultRowHeight="13"/>
  <sheetData/>
  <sheetProtection algorithmName="SHA-512" hashValue="iQs1OxbcNqWybRRohiz67xascy7Xpsyi1B2IpL/NwXAFfLl7sfR7DJbhoZUURPvOLzxTVxlyY1gW21p/+g6f5A==" saltValue="kmy4TlhgwDToUNkdGS1ZIQ==" spinCount="100000" sheet="1" objects="1" scenarios="1"/>
  <phoneticPr fontId="3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theme="6" tint="0.59999389629810485"/>
    <pageSetUpPr fitToPage="1"/>
  </sheetPr>
  <dimension ref="A1:AE66"/>
  <sheetViews>
    <sheetView view="pageBreakPreview" zoomScale="55" zoomScaleNormal="70" zoomScaleSheetLayoutView="55" workbookViewId="0">
      <selection activeCell="D7" sqref="D7:E7"/>
    </sheetView>
  </sheetViews>
  <sheetFormatPr defaultColWidth="8.90625" defaultRowHeight="16.5" outlineLevelCol="1"/>
  <cols>
    <col min="1" max="1" width="8.90625" style="390"/>
    <col min="2" max="3" width="11.90625" style="390" customWidth="1"/>
    <col min="4" max="8" width="15.7265625" style="390" customWidth="1"/>
    <col min="9" max="9" width="16.6328125" style="390" customWidth="1"/>
    <col min="10" max="16" width="15.7265625" style="390" customWidth="1"/>
    <col min="17" max="17" width="15.90625" style="390" customWidth="1"/>
    <col min="18" max="20" width="15.6328125" style="390" hidden="1" customWidth="1" outlineLevel="1"/>
    <col min="21" max="30" width="8.90625" style="390" hidden="1" customWidth="1" outlineLevel="1"/>
    <col min="31" max="31" width="8.90625" style="390" collapsed="1"/>
    <col min="32" max="16384" width="8.90625" style="390"/>
  </cols>
  <sheetData>
    <row r="1" spans="1:30" ht="20.149999999999999" customHeight="1" thickBot="1">
      <c r="A1" s="525" t="str">
        <f ca="1">RIGHT(CELL("filename",A2),LEN(CELL("filename",A2))-FIND("]",CELL("filename",A2)))</f>
        <v>入力（加算）A</v>
      </c>
      <c r="B1" s="389"/>
      <c r="C1" s="389"/>
      <c r="D1" s="389"/>
      <c r="E1" s="389"/>
      <c r="F1" s="389"/>
      <c r="G1" s="389"/>
      <c r="H1" s="389"/>
      <c r="I1" s="389"/>
      <c r="J1" s="389"/>
      <c r="K1" s="389"/>
      <c r="L1" s="389"/>
      <c r="M1" s="389"/>
      <c r="N1" s="1136" t="e">
        <f>CONCATENATE(#REF!,"/",#REF!,"/",#REF!)</f>
        <v>#REF!</v>
      </c>
      <c r="O1" s="1136"/>
      <c r="P1" s="1136"/>
      <c r="Q1" s="1136"/>
      <c r="W1" s="394" t="s">
        <v>66</v>
      </c>
      <c r="X1" s="524" t="s">
        <v>84</v>
      </c>
      <c r="Y1" s="393" t="s">
        <v>82</v>
      </c>
      <c r="Z1" s="393" t="s">
        <v>133</v>
      </c>
      <c r="AA1" s="394" t="s">
        <v>143</v>
      </c>
      <c r="AB1" s="394" t="s">
        <v>81</v>
      </c>
      <c r="AC1" s="603" t="s">
        <v>80</v>
      </c>
      <c r="AD1" s="394" t="s">
        <v>149</v>
      </c>
    </row>
    <row r="2" spans="1:30" ht="20.149999999999999" customHeight="1" thickBot="1">
      <c r="A2" s="1202" t="s">
        <v>437</v>
      </c>
      <c r="B2" s="1202"/>
      <c r="C2" s="1202"/>
      <c r="D2" s="1202"/>
      <c r="E2" s="1202"/>
      <c r="F2" s="1202"/>
      <c r="G2" s="1202"/>
      <c r="H2" s="1202"/>
      <c r="I2" s="1202"/>
      <c r="J2" s="1202"/>
      <c r="K2" s="1202"/>
      <c r="L2" s="1202"/>
      <c r="M2" s="1202"/>
      <c r="N2" s="1202"/>
      <c r="O2" s="1202"/>
      <c r="P2" s="1202"/>
      <c r="Q2" s="1202"/>
      <c r="W2" s="526"/>
      <c r="X2" s="527">
        <f>IF(ISERROR(VLOOKUP($D$9,$W$3:$X$14,2,FALSE)+1-VLOOKUP($D$8,$W$3:$X$14,2,FALSE)),0,VLOOKUP($D$9,$W$3:$X$14,2,FALSE)+1-VLOOKUP($D$8,$W$3:$X$14,2,FALSE))</f>
        <v>12</v>
      </c>
      <c r="Y2" s="393"/>
      <c r="Z2" s="393"/>
      <c r="AA2" s="394"/>
      <c r="AB2" s="394"/>
      <c r="AC2" s="603"/>
      <c r="AD2" s="604">
        <f>IF(K18="あり",VLOOKUP($D$7,#REF!,56,TRUE),1)</f>
        <v>1</v>
      </c>
    </row>
    <row r="3" spans="1:30" ht="20.149999999999999" customHeight="1">
      <c r="A3" s="1202"/>
      <c r="B3" s="1202"/>
      <c r="C3" s="1202"/>
      <c r="D3" s="1202"/>
      <c r="E3" s="1202"/>
      <c r="F3" s="1202"/>
      <c r="G3" s="1202"/>
      <c r="H3" s="1202"/>
      <c r="I3" s="1202"/>
      <c r="J3" s="1202"/>
      <c r="K3" s="1202"/>
      <c r="L3" s="1202"/>
      <c r="M3" s="1202"/>
      <c r="N3" s="1202"/>
      <c r="O3" s="1202"/>
      <c r="P3" s="1202"/>
      <c r="Q3" s="1202"/>
      <c r="W3" s="391">
        <v>4</v>
      </c>
      <c r="X3" s="392">
        <v>1</v>
      </c>
      <c r="Y3" s="394" t="s">
        <v>18</v>
      </c>
      <c r="Z3" s="2" t="s">
        <v>87</v>
      </c>
      <c r="AA3" s="394" t="s">
        <v>141</v>
      </c>
      <c r="AB3" s="1">
        <v>3</v>
      </c>
      <c r="AC3" s="2">
        <v>6.3</v>
      </c>
    </row>
    <row r="4" spans="1:30" ht="42.75" customHeight="1">
      <c r="A4" s="389"/>
      <c r="B4" s="1084" t="s">
        <v>399</v>
      </c>
      <c r="C4" s="1084"/>
      <c r="D4" s="1084"/>
      <c r="E4" s="389"/>
      <c r="F4" s="690"/>
      <c r="G4" s="690"/>
      <c r="H4" s="690"/>
      <c r="I4" s="690"/>
      <c r="J4" s="690"/>
      <c r="K4" s="690"/>
      <c r="L4" s="690"/>
      <c r="M4" s="690"/>
      <c r="N4" s="690"/>
      <c r="O4" s="690"/>
      <c r="P4" s="690"/>
      <c r="Q4" s="690"/>
      <c r="W4" s="391">
        <v>5</v>
      </c>
      <c r="X4" s="392">
        <v>2</v>
      </c>
      <c r="Y4" s="394" t="s">
        <v>19</v>
      </c>
      <c r="Z4" s="2" t="s">
        <v>135</v>
      </c>
      <c r="AA4" s="394" t="s">
        <v>144</v>
      </c>
      <c r="AB4" s="1">
        <v>4</v>
      </c>
      <c r="AC4" s="2">
        <v>4.3</v>
      </c>
    </row>
    <row r="5" spans="1:30" ht="29.25" customHeight="1">
      <c r="A5" s="389"/>
      <c r="B5" s="1201" t="s">
        <v>3</v>
      </c>
      <c r="C5" s="1201"/>
      <c r="D5" s="896"/>
      <c r="E5" s="896"/>
      <c r="F5" s="690"/>
      <c r="G5" s="690"/>
      <c r="H5" s="690"/>
      <c r="I5" s="690"/>
      <c r="J5" s="690"/>
      <c r="K5" s="690"/>
      <c r="L5" s="690"/>
      <c r="M5" s="690"/>
      <c r="N5" s="690"/>
      <c r="O5" s="690"/>
      <c r="P5" s="690"/>
      <c r="Q5" s="690"/>
      <c r="W5" s="391">
        <v>6</v>
      </c>
      <c r="X5" s="392">
        <v>3</v>
      </c>
      <c r="Z5" s="4" t="s">
        <v>136</v>
      </c>
      <c r="AA5" s="394" t="s">
        <v>142</v>
      </c>
      <c r="AB5" s="3">
        <v>5</v>
      </c>
      <c r="AC5" s="4">
        <v>2.4</v>
      </c>
    </row>
    <row r="6" spans="1:30" ht="29.25" customHeight="1">
      <c r="A6" s="389"/>
      <c r="B6" s="1201" t="s">
        <v>4</v>
      </c>
      <c r="C6" s="1201"/>
      <c r="D6" s="896" t="s">
        <v>72</v>
      </c>
      <c r="E6" s="896"/>
      <c r="F6" s="690"/>
      <c r="G6" s="690"/>
      <c r="H6" s="690"/>
      <c r="I6" s="690"/>
      <c r="J6" s="690"/>
      <c r="K6" s="690"/>
      <c r="L6" s="690"/>
      <c r="M6" s="690"/>
      <c r="N6" s="690"/>
      <c r="O6" s="690"/>
      <c r="P6" s="690"/>
      <c r="Q6" s="690"/>
      <c r="W6" s="391">
        <v>7</v>
      </c>
      <c r="X6" s="392">
        <v>4</v>
      </c>
      <c r="Z6" s="4" t="s">
        <v>137</v>
      </c>
      <c r="AA6" s="4"/>
      <c r="AB6" s="1">
        <v>6</v>
      </c>
      <c r="AC6" s="2">
        <v>1.1000000000000001</v>
      </c>
    </row>
    <row r="7" spans="1:30" ht="29.25" customHeight="1">
      <c r="A7" s="389"/>
      <c r="B7" s="816" t="s">
        <v>2</v>
      </c>
      <c r="C7" s="816" t="s">
        <v>22</v>
      </c>
      <c r="D7" s="956"/>
      <c r="E7" s="956"/>
      <c r="F7" s="690"/>
      <c r="G7" s="690"/>
      <c r="H7" s="690"/>
      <c r="I7" s="690"/>
      <c r="J7" s="690"/>
      <c r="K7" s="690"/>
      <c r="L7" s="690"/>
      <c r="M7" s="690"/>
      <c r="N7" s="690"/>
      <c r="O7" s="690"/>
      <c r="P7" s="690"/>
      <c r="Q7" s="690"/>
      <c r="W7" s="391">
        <v>8</v>
      </c>
      <c r="X7" s="392">
        <v>5</v>
      </c>
      <c r="Z7" s="4" t="s">
        <v>138</v>
      </c>
    </row>
    <row r="8" spans="1:30" ht="29.25" customHeight="1">
      <c r="A8" s="389"/>
      <c r="B8" s="1201" t="s">
        <v>66</v>
      </c>
      <c r="C8" s="1201"/>
      <c r="D8" s="1188">
        <v>4</v>
      </c>
      <c r="E8" s="1188"/>
      <c r="F8" s="690"/>
      <c r="G8" s="690"/>
      <c r="H8" s="690"/>
      <c r="I8" s="690"/>
      <c r="J8" s="690"/>
      <c r="K8" s="690"/>
      <c r="L8" s="690"/>
      <c r="M8" s="690"/>
      <c r="N8" s="690"/>
      <c r="O8" s="690"/>
      <c r="P8" s="690"/>
      <c r="Q8" s="690"/>
      <c r="W8" s="391">
        <v>9</v>
      </c>
      <c r="X8" s="392">
        <v>6</v>
      </c>
    </row>
    <row r="9" spans="1:30" ht="29.25" customHeight="1">
      <c r="A9" s="389"/>
      <c r="B9" s="1201" t="s">
        <v>108</v>
      </c>
      <c r="C9" s="1201"/>
      <c r="D9" s="1188">
        <v>3</v>
      </c>
      <c r="E9" s="1188"/>
      <c r="F9" s="690"/>
      <c r="G9" s="690"/>
      <c r="H9" s="690"/>
      <c r="I9" s="690"/>
      <c r="J9" s="690"/>
      <c r="K9" s="690"/>
      <c r="L9" s="690"/>
      <c r="M9" s="690"/>
      <c r="N9" s="690"/>
      <c r="O9" s="690"/>
      <c r="P9" s="690"/>
      <c r="Q9" s="690"/>
      <c r="W9" s="391">
        <v>10</v>
      </c>
      <c r="X9" s="392">
        <v>7</v>
      </c>
    </row>
    <row r="10" spans="1:30" ht="20.149999999999999" customHeight="1">
      <c r="A10" s="389"/>
      <c r="B10" s="128"/>
      <c r="C10" s="128"/>
      <c r="D10" s="605"/>
      <c r="E10" s="605"/>
      <c r="F10" s="690"/>
      <c r="G10" s="690"/>
      <c r="H10" s="690"/>
      <c r="I10" s="690"/>
      <c r="J10" s="690"/>
      <c r="K10" s="690"/>
      <c r="L10" s="690"/>
      <c r="M10" s="690"/>
      <c r="N10" s="690"/>
      <c r="O10" s="690"/>
      <c r="P10" s="690"/>
      <c r="Q10" s="690"/>
      <c r="W10" s="391">
        <v>11</v>
      </c>
      <c r="X10" s="392">
        <v>8</v>
      </c>
    </row>
    <row r="11" spans="1:30" ht="20.149999999999999" customHeight="1">
      <c r="A11" s="389"/>
      <c r="B11" s="128"/>
      <c r="C11" s="128"/>
      <c r="D11" s="605"/>
      <c r="E11" s="605"/>
      <c r="F11" s="690"/>
      <c r="G11" s="690"/>
      <c r="H11" s="690"/>
      <c r="I11" s="690"/>
      <c r="J11" s="690"/>
      <c r="K11" s="690"/>
      <c r="L11" s="690"/>
      <c r="M11" s="690"/>
      <c r="N11" s="690"/>
      <c r="O11" s="690"/>
      <c r="P11" s="690"/>
      <c r="Q11" s="690"/>
      <c r="W11" s="391">
        <v>12</v>
      </c>
      <c r="X11" s="392">
        <v>9</v>
      </c>
    </row>
    <row r="12" spans="1:30" ht="20.149999999999999" customHeight="1">
      <c r="A12" s="389"/>
      <c r="B12" s="128"/>
      <c r="C12" s="128"/>
      <c r="D12" s="605"/>
      <c r="E12" s="605"/>
      <c r="F12" s="690"/>
      <c r="G12" s="690"/>
      <c r="H12" s="690"/>
      <c r="I12" s="690"/>
      <c r="J12" s="690"/>
      <c r="K12" s="690"/>
      <c r="L12" s="690"/>
      <c r="M12" s="690"/>
      <c r="N12" s="690"/>
      <c r="O12" s="690"/>
      <c r="P12" s="690"/>
      <c r="Q12" s="690"/>
      <c r="W12" s="391">
        <v>1</v>
      </c>
      <c r="X12" s="392">
        <v>10</v>
      </c>
    </row>
    <row r="13" spans="1:30" ht="20.149999999999999" customHeight="1">
      <c r="A13" s="389"/>
      <c r="B13" s="128"/>
      <c r="C13" s="128"/>
      <c r="D13" s="605"/>
      <c r="E13" s="605"/>
      <c r="F13" s="690"/>
      <c r="G13" s="690"/>
      <c r="H13" s="690"/>
      <c r="I13" s="690"/>
      <c r="J13" s="690"/>
      <c r="K13" s="690"/>
      <c r="L13" s="690"/>
      <c r="M13" s="690"/>
      <c r="N13" s="690"/>
      <c r="O13" s="690"/>
      <c r="P13" s="690"/>
      <c r="Q13" s="690"/>
      <c r="W13" s="391">
        <v>2</v>
      </c>
      <c r="X13" s="392">
        <v>11</v>
      </c>
    </row>
    <row r="14" spans="1:30">
      <c r="A14" s="389"/>
      <c r="B14" s="128"/>
      <c r="C14" s="128"/>
      <c r="D14" s="605"/>
      <c r="E14" s="605"/>
      <c r="F14" s="690"/>
      <c r="G14" s="690"/>
      <c r="H14" s="690"/>
      <c r="I14" s="690"/>
      <c r="J14" s="690"/>
      <c r="K14" s="690"/>
      <c r="L14" s="690"/>
      <c r="M14" s="690"/>
      <c r="N14" s="690"/>
      <c r="O14" s="690"/>
      <c r="P14" s="690"/>
      <c r="Q14" s="690"/>
      <c r="W14" s="391">
        <v>3</v>
      </c>
      <c r="X14" s="392">
        <v>12</v>
      </c>
    </row>
    <row r="15" spans="1:30">
      <c r="A15" s="389"/>
      <c r="B15" s="389"/>
      <c r="C15" s="389"/>
      <c r="D15" s="389"/>
      <c r="E15" s="389"/>
      <c r="F15" s="109"/>
      <c r="G15" s="539"/>
      <c r="H15" s="539"/>
      <c r="I15" s="109"/>
      <c r="J15" s="109"/>
      <c r="K15" s="109"/>
      <c r="L15" s="109"/>
      <c r="M15" s="389"/>
      <c r="N15" s="389"/>
      <c r="O15" s="389"/>
      <c r="P15" s="389"/>
      <c r="Q15" s="389"/>
    </row>
    <row r="16" spans="1:30" ht="21">
      <c r="A16" s="389"/>
      <c r="B16" s="1092" t="s">
        <v>55</v>
      </c>
      <c r="C16" s="1092"/>
      <c r="D16" s="129" t="s">
        <v>158</v>
      </c>
      <c r="E16" s="130"/>
      <c r="F16" s="130"/>
      <c r="G16" s="130"/>
      <c r="H16" s="129" t="s">
        <v>112</v>
      </c>
      <c r="I16" s="130"/>
      <c r="J16" s="131"/>
      <c r="K16" s="132" t="s">
        <v>113</v>
      </c>
      <c r="L16" s="456" t="s">
        <v>114</v>
      </c>
      <c r="M16" s="109"/>
      <c r="N16" s="109"/>
      <c r="O16" s="109"/>
      <c r="P16" s="109"/>
      <c r="Q16" s="109"/>
    </row>
    <row r="17" spans="1:25" ht="127.5" customHeight="1">
      <c r="A17" s="389"/>
      <c r="B17" s="896" t="s">
        <v>37</v>
      </c>
      <c r="C17" s="896"/>
      <c r="D17" s="17" t="s">
        <v>9</v>
      </c>
      <c r="E17" s="17" t="s">
        <v>152</v>
      </c>
      <c r="F17" s="867" t="s">
        <v>65</v>
      </c>
      <c r="G17" s="17" t="s">
        <v>28</v>
      </c>
      <c r="H17" s="17" t="s">
        <v>39</v>
      </c>
      <c r="I17" s="17" t="s">
        <v>154</v>
      </c>
      <c r="J17" s="17" t="s">
        <v>131</v>
      </c>
      <c r="K17" s="17" t="s">
        <v>140</v>
      </c>
      <c r="L17" s="127" t="s">
        <v>139</v>
      </c>
      <c r="M17" s="26"/>
      <c r="N17" s="454"/>
      <c r="O17" s="128"/>
      <c r="P17" s="128"/>
      <c r="Q17" s="389"/>
    </row>
    <row r="18" spans="1:25" ht="41.25" customHeight="1">
      <c r="A18" s="389"/>
      <c r="B18" s="896"/>
      <c r="C18" s="896"/>
      <c r="D18" s="445" t="s">
        <v>53</v>
      </c>
      <c r="E18" s="14"/>
      <c r="F18" s="386"/>
      <c r="G18" s="387"/>
      <c r="H18" s="14"/>
      <c r="I18" s="14"/>
      <c r="J18" s="14"/>
      <c r="K18" s="14"/>
      <c r="L18" s="14"/>
      <c r="M18" s="109"/>
      <c r="N18" s="542"/>
      <c r="O18" s="542"/>
      <c r="P18" s="542"/>
      <c r="Q18" s="542"/>
    </row>
    <row r="19" spans="1:25" ht="20.149999999999999" customHeight="1">
      <c r="A19" s="389"/>
      <c r="B19" s="128"/>
      <c r="C19" s="128"/>
      <c r="D19" s="128"/>
      <c r="E19" s="128"/>
      <c r="F19" s="128"/>
      <c r="G19" s="128"/>
      <c r="H19" s="128"/>
      <c r="I19" s="128"/>
      <c r="J19" s="128"/>
      <c r="K19" s="128"/>
      <c r="L19" s="128"/>
      <c r="M19" s="128"/>
      <c r="N19" s="128"/>
      <c r="O19" s="389"/>
      <c r="P19" s="389"/>
      <c r="Q19" s="128"/>
    </row>
    <row r="20" spans="1:25" ht="36" customHeight="1">
      <c r="A20" s="389"/>
      <c r="B20" s="606" t="s">
        <v>357</v>
      </c>
      <c r="C20" s="606"/>
      <c r="D20" s="606"/>
      <c r="E20" s="606"/>
      <c r="F20" s="607"/>
      <c r="G20" s="109"/>
      <c r="H20" s="109"/>
      <c r="I20" s="389"/>
      <c r="J20" s="389"/>
      <c r="K20" s="389"/>
      <c r="L20" s="389"/>
      <c r="M20" s="109"/>
      <c r="N20" s="109"/>
      <c r="O20" s="109"/>
      <c r="P20" s="389"/>
      <c r="Q20" s="389"/>
    </row>
    <row r="21" spans="1:25" ht="36" customHeight="1">
      <c r="A21" s="389"/>
      <c r="B21" s="1209" t="s">
        <v>33</v>
      </c>
      <c r="C21" s="1210"/>
      <c r="D21" s="445" t="str">
        <f>IF(AND(VLOOKUP($D$8,$W$3:$X$14,2,FALSE)&lt;=1,VLOOKUP($D$9,$W$3:$X$14,2,FALSE)&gt;=1),"4月","")</f>
        <v>4月</v>
      </c>
      <c r="E21" s="445" t="str">
        <f>IF(AND(VLOOKUP($D$8,$W$3:$X$14,2,FALSE)&lt;=2,VLOOKUP($D$9,$W$3:$X$14,2,FALSE)&gt;=2),"5月","")</f>
        <v>5月</v>
      </c>
      <c r="F21" s="445" t="str">
        <f>IF(AND(VLOOKUP($D$8,$W$3:$X$14,2,FALSE)&lt;=3,VLOOKUP($D$9,$W$3:$X$14,2,FALSE)&gt;=3),"6月","")</f>
        <v>6月</v>
      </c>
      <c r="G21" s="445" t="str">
        <f>IF(AND(VLOOKUP($D$8,$W$3:$X$14,2,FALSE)&lt;=4,VLOOKUP($D$9,$W$3:$X$14,2,FALSE)&gt;=4),"7月","")</f>
        <v>7月</v>
      </c>
      <c r="H21" s="445" t="str">
        <f>IF(AND(VLOOKUP($D$8,$W$3:$X$14,2,FALSE)&lt;=5,VLOOKUP($D$9,$W$3:$X$14,2,FALSE)&gt;=5),"8月","")</f>
        <v>8月</v>
      </c>
      <c r="I21" s="445" t="str">
        <f>IF(AND(VLOOKUP($D$8,$W$3:$X$14,2,FALSE)&lt;=6,VLOOKUP($D$9,$W$3:$X$14,2,FALSE)&gt;=6),"9月","")</f>
        <v>9月</v>
      </c>
      <c r="J21" s="445" t="str">
        <f>IF(AND(VLOOKUP($D$8,$W$3:$X$14,2,FALSE)&lt;=7,VLOOKUP($D$9,$W$3:$X$14,2,FALSE)&gt;=7),"10月","")</f>
        <v>10月</v>
      </c>
      <c r="K21" s="445" t="str">
        <f>IF(AND(VLOOKUP($D$8,$W$3:$X$14,2,FALSE)&lt;=8,VLOOKUP($D$9,$W$3:$X$14,2,FALSE)&gt;=8),"11月","")</f>
        <v>11月</v>
      </c>
      <c r="L21" s="445" t="str">
        <f>IF(AND(VLOOKUP($D$8,$W$3:$X$14,2,FALSE)&lt;=9,VLOOKUP($D$9,$W$3:$X$14,2,FALSE)&gt;=9),"12月","")</f>
        <v>12月</v>
      </c>
      <c r="M21" s="445" t="str">
        <f>IF(AND(VLOOKUP($D$8,$W$3:$X$14,2,FALSE)&lt;=10,VLOOKUP($D$9,$W$3:$X$14,2,FALSE)&gt;=10),"1月","")</f>
        <v>1月</v>
      </c>
      <c r="N21" s="445" t="str">
        <f>IF(AND(VLOOKUP($D$8,$W$3:$X$14,2,FALSE)&lt;=11,VLOOKUP($D$9,$W$3:$X$14,2,FALSE)&gt;=11),"2月","")</f>
        <v>2月</v>
      </c>
      <c r="O21" s="445" t="str">
        <f>IF(AND(VLOOKUP($D$8,$W$3:$X$14,2,FALSE)&lt;=12,VLOOKUP($D$9,$W$3:$X$14,2,FALSE)&gt;=12),"3月","")</f>
        <v>3月</v>
      </c>
      <c r="P21" s="445" t="s">
        <v>20</v>
      </c>
      <c r="Q21" s="445" t="s">
        <v>1</v>
      </c>
    </row>
    <row r="22" spans="1:25" ht="36" customHeight="1">
      <c r="A22" s="389"/>
      <c r="B22" s="1079" t="s">
        <v>41</v>
      </c>
      <c r="C22" s="1204"/>
      <c r="D22" s="608"/>
      <c r="E22" s="608"/>
      <c r="F22" s="608"/>
      <c r="G22" s="608"/>
      <c r="H22" s="608"/>
      <c r="I22" s="608"/>
      <c r="J22" s="608"/>
      <c r="K22" s="608"/>
      <c r="L22" s="608"/>
      <c r="M22" s="608"/>
      <c r="N22" s="608"/>
      <c r="O22" s="608"/>
      <c r="P22" s="602">
        <f>SUM(D22:O22)</f>
        <v>0</v>
      </c>
      <c r="Q22" s="546">
        <f>IF(ISERROR(ROUND(P22/$X$2,0)),0,ROUND(P22/$X$2,0))</f>
        <v>0</v>
      </c>
    </row>
    <row r="23" spans="1:25" ht="36" customHeight="1">
      <c r="A23" s="389"/>
      <c r="B23" s="896" t="s">
        <v>40</v>
      </c>
      <c r="C23" s="896"/>
      <c r="D23" s="608"/>
      <c r="E23" s="608"/>
      <c r="F23" s="608"/>
      <c r="G23" s="608"/>
      <c r="H23" s="608"/>
      <c r="I23" s="608"/>
      <c r="J23" s="608"/>
      <c r="K23" s="608"/>
      <c r="L23" s="608"/>
      <c r="M23" s="608"/>
      <c r="N23" s="608"/>
      <c r="O23" s="608"/>
      <c r="P23" s="602">
        <f>SUM(D23:O23)</f>
        <v>0</v>
      </c>
      <c r="Q23" s="546">
        <f>IF(ISERROR(ROUND(P23/$X$2,0)),0,ROUND(P23/$X$2,0))</f>
        <v>0</v>
      </c>
    </row>
    <row r="24" spans="1:25" ht="36" customHeight="1">
      <c r="A24" s="389"/>
      <c r="B24" s="896" t="s">
        <v>0</v>
      </c>
      <c r="C24" s="896"/>
      <c r="D24" s="546">
        <f t="shared" ref="D24:O24" si="0">SUM(D22:D23)</f>
        <v>0</v>
      </c>
      <c r="E24" s="546">
        <f t="shared" si="0"/>
        <v>0</v>
      </c>
      <c r="F24" s="546">
        <f t="shared" si="0"/>
        <v>0</v>
      </c>
      <c r="G24" s="546">
        <f t="shared" si="0"/>
        <v>0</v>
      </c>
      <c r="H24" s="546">
        <f t="shared" si="0"/>
        <v>0</v>
      </c>
      <c r="I24" s="546">
        <f t="shared" si="0"/>
        <v>0</v>
      </c>
      <c r="J24" s="546">
        <f t="shared" si="0"/>
        <v>0</v>
      </c>
      <c r="K24" s="546">
        <f t="shared" si="0"/>
        <v>0</v>
      </c>
      <c r="L24" s="546">
        <f t="shared" si="0"/>
        <v>0</v>
      </c>
      <c r="M24" s="546">
        <f t="shared" si="0"/>
        <v>0</v>
      </c>
      <c r="N24" s="546">
        <f t="shared" si="0"/>
        <v>0</v>
      </c>
      <c r="O24" s="546">
        <f t="shared" si="0"/>
        <v>0</v>
      </c>
      <c r="P24" s="546">
        <f>SUM(D23:O23)</f>
        <v>0</v>
      </c>
      <c r="Q24" s="546">
        <f>SUM(Q22:Q23)</f>
        <v>0</v>
      </c>
    </row>
    <row r="25" spans="1:25" ht="36" customHeight="1">
      <c r="A25" s="389"/>
      <c r="B25" s="1203"/>
      <c r="C25" s="1203"/>
      <c r="D25" s="389"/>
      <c r="E25" s="389"/>
      <c r="F25" s="389"/>
      <c r="G25" s="389"/>
      <c r="H25" s="389"/>
      <c r="I25" s="389"/>
      <c r="J25" s="389"/>
      <c r="K25" s="389"/>
      <c r="L25" s="389"/>
      <c r="M25" s="389"/>
      <c r="N25" s="389"/>
      <c r="O25" s="389"/>
      <c r="P25" s="389"/>
      <c r="Q25" s="389"/>
    </row>
    <row r="26" spans="1:25" ht="36" customHeight="1">
      <c r="A26" s="389"/>
      <c r="B26" s="1209" t="s">
        <v>34</v>
      </c>
      <c r="C26" s="1210"/>
      <c r="D26" s="445" t="str">
        <f t="shared" ref="D26:O26" si="1">D21</f>
        <v>4月</v>
      </c>
      <c r="E26" s="445" t="str">
        <f t="shared" si="1"/>
        <v>5月</v>
      </c>
      <c r="F26" s="445" t="str">
        <f t="shared" si="1"/>
        <v>6月</v>
      </c>
      <c r="G26" s="445" t="str">
        <f t="shared" si="1"/>
        <v>7月</v>
      </c>
      <c r="H26" s="445" t="str">
        <f t="shared" si="1"/>
        <v>8月</v>
      </c>
      <c r="I26" s="445" t="str">
        <f t="shared" si="1"/>
        <v>9月</v>
      </c>
      <c r="J26" s="445" t="str">
        <f t="shared" si="1"/>
        <v>10月</v>
      </c>
      <c r="K26" s="445" t="str">
        <f t="shared" si="1"/>
        <v>11月</v>
      </c>
      <c r="L26" s="445" t="str">
        <f t="shared" si="1"/>
        <v>12月</v>
      </c>
      <c r="M26" s="445" t="str">
        <f t="shared" si="1"/>
        <v>1月</v>
      </c>
      <c r="N26" s="445" t="str">
        <f t="shared" si="1"/>
        <v>2月</v>
      </c>
      <c r="O26" s="445" t="str">
        <f t="shared" si="1"/>
        <v>3月</v>
      </c>
      <c r="P26" s="445" t="s">
        <v>20</v>
      </c>
      <c r="Q26" s="445" t="s">
        <v>1</v>
      </c>
    </row>
    <row r="27" spans="1:25" ht="36" customHeight="1">
      <c r="A27" s="389"/>
      <c r="B27" s="1079" t="s">
        <v>41</v>
      </c>
      <c r="C27" s="1204"/>
      <c r="D27" s="608"/>
      <c r="E27" s="608"/>
      <c r="F27" s="608"/>
      <c r="G27" s="608"/>
      <c r="H27" s="608"/>
      <c r="I27" s="608"/>
      <c r="J27" s="608"/>
      <c r="K27" s="608"/>
      <c r="L27" s="608"/>
      <c r="M27" s="608"/>
      <c r="N27" s="608"/>
      <c r="O27" s="608"/>
      <c r="P27" s="602">
        <f>SUM(D27:O27)</f>
        <v>0</v>
      </c>
      <c r="Q27" s="546">
        <f>IF(ISERROR(ROUND(P27/$X$2,0)),0,ROUND(P27/$X$2,0))</f>
        <v>0</v>
      </c>
      <c r="R27" s="389"/>
    </row>
    <row r="28" spans="1:25" ht="36" customHeight="1">
      <c r="A28" s="389"/>
      <c r="B28" s="896" t="s">
        <v>40</v>
      </c>
      <c r="C28" s="896"/>
      <c r="D28" s="608"/>
      <c r="E28" s="608"/>
      <c r="F28" s="608"/>
      <c r="G28" s="608"/>
      <c r="H28" s="608"/>
      <c r="I28" s="608"/>
      <c r="J28" s="608"/>
      <c r="K28" s="608"/>
      <c r="L28" s="608"/>
      <c r="M28" s="608"/>
      <c r="N28" s="608"/>
      <c r="O28" s="608"/>
      <c r="P28" s="602">
        <f>SUM(D28:O28)</f>
        <v>0</v>
      </c>
      <c r="Q28" s="546">
        <f>IF(ISERROR(ROUND(P28/$X$2,0)),0,ROUND(P28/$X$2,0))</f>
        <v>0</v>
      </c>
      <c r="R28" s="389"/>
    </row>
    <row r="29" spans="1:25" ht="36" customHeight="1">
      <c r="A29" s="389"/>
      <c r="B29" s="896" t="s">
        <v>0</v>
      </c>
      <c r="C29" s="896"/>
      <c r="D29" s="546">
        <f t="shared" ref="D29:O29" si="2">SUM(D27:D28)</f>
        <v>0</v>
      </c>
      <c r="E29" s="546">
        <f t="shared" si="2"/>
        <v>0</v>
      </c>
      <c r="F29" s="546">
        <f t="shared" si="2"/>
        <v>0</v>
      </c>
      <c r="G29" s="546">
        <f t="shared" si="2"/>
        <v>0</v>
      </c>
      <c r="H29" s="546">
        <f t="shared" si="2"/>
        <v>0</v>
      </c>
      <c r="I29" s="546">
        <f t="shared" si="2"/>
        <v>0</v>
      </c>
      <c r="J29" s="546">
        <f t="shared" si="2"/>
        <v>0</v>
      </c>
      <c r="K29" s="546">
        <f t="shared" si="2"/>
        <v>0</v>
      </c>
      <c r="L29" s="546">
        <f t="shared" si="2"/>
        <v>0</v>
      </c>
      <c r="M29" s="546">
        <f t="shared" si="2"/>
        <v>0</v>
      </c>
      <c r="N29" s="546">
        <f t="shared" si="2"/>
        <v>0</v>
      </c>
      <c r="O29" s="546">
        <f t="shared" si="2"/>
        <v>0</v>
      </c>
      <c r="P29" s="546">
        <f>SUM(D28:O28)</f>
        <v>0</v>
      </c>
      <c r="Q29" s="546">
        <f>SUM(Q27:Q28)</f>
        <v>0</v>
      </c>
      <c r="R29" s="389"/>
    </row>
    <row r="30" spans="1:25" ht="20.149999999999999" customHeight="1">
      <c r="A30" s="389"/>
      <c r="B30" s="587"/>
      <c r="C30" s="587"/>
      <c r="D30" s="587"/>
      <c r="E30" s="587"/>
      <c r="F30" s="587"/>
      <c r="G30" s="587"/>
      <c r="H30" s="587"/>
      <c r="I30" s="587"/>
      <c r="J30" s="587"/>
      <c r="K30" s="587"/>
      <c r="L30" s="587"/>
      <c r="M30" s="609"/>
      <c r="N30" s="609"/>
      <c r="O30" s="109"/>
      <c r="P30" s="389"/>
      <c r="Q30" s="389"/>
      <c r="S30" s="572"/>
      <c r="T30" s="572"/>
      <c r="U30" s="572"/>
    </row>
    <row r="31" spans="1:25" ht="20.149999999999999" hidden="1" customHeight="1" thickBot="1">
      <c r="A31" s="389"/>
      <c r="B31" s="128"/>
      <c r="C31" s="128"/>
      <c r="D31" s="128"/>
      <c r="E31" s="128"/>
      <c r="F31" s="128"/>
      <c r="G31" s="128"/>
      <c r="H31" s="128"/>
      <c r="I31" s="128"/>
      <c r="J31" s="128"/>
      <c r="K31" s="128"/>
      <c r="L31" s="128"/>
      <c r="M31" s="109"/>
      <c r="N31" s="109"/>
      <c r="O31" s="109"/>
      <c r="P31" s="610"/>
      <c r="Q31" s="611"/>
      <c r="S31" s="652"/>
      <c r="T31" s="572"/>
      <c r="U31" s="572"/>
      <c r="X31" s="572"/>
      <c r="Y31" s="572"/>
    </row>
    <row r="32" spans="1:25" ht="21.5" hidden="1" thickBot="1">
      <c r="A32" s="389"/>
      <c r="B32" s="1084" t="s">
        <v>63</v>
      </c>
      <c r="C32" s="1084"/>
      <c r="D32" s="1096" t="s">
        <v>68</v>
      </c>
      <c r="E32" s="1097"/>
      <c r="F32" s="1097"/>
      <c r="G32" s="1097"/>
      <c r="H32" s="1097"/>
      <c r="I32" s="1097"/>
      <c r="J32" s="1097"/>
      <c r="K32" s="1097"/>
      <c r="L32" s="1097"/>
      <c r="M32" s="1098"/>
      <c r="N32" s="389"/>
      <c r="O32" s="389"/>
      <c r="P32" s="389"/>
      <c r="Q32" s="389"/>
      <c r="S32" s="544"/>
      <c r="T32" s="544"/>
      <c r="U32" s="652"/>
      <c r="X32" s="572"/>
      <c r="Y32" s="572"/>
    </row>
    <row r="33" spans="1:25" ht="38.25" hidden="1" customHeight="1">
      <c r="A33" s="389"/>
      <c r="B33" s="1139" t="s">
        <v>35</v>
      </c>
      <c r="C33" s="1181"/>
      <c r="D33" s="1205" t="s">
        <v>9</v>
      </c>
      <c r="E33" s="1205" t="s">
        <v>38</v>
      </c>
      <c r="F33" s="1205" t="s">
        <v>27</v>
      </c>
      <c r="G33" s="1205" t="s">
        <v>28</v>
      </c>
      <c r="H33" s="1208" t="s">
        <v>39</v>
      </c>
      <c r="I33" s="1205" t="s">
        <v>155</v>
      </c>
      <c r="J33" s="1216" t="s">
        <v>131</v>
      </c>
      <c r="K33" s="28" t="s">
        <v>148</v>
      </c>
      <c r="L33" s="1217" t="s">
        <v>139</v>
      </c>
      <c r="M33" s="1206" t="s">
        <v>60</v>
      </c>
      <c r="N33" s="389"/>
      <c r="O33" s="389"/>
      <c r="P33" s="389"/>
      <c r="Q33" s="389"/>
      <c r="S33" s="109"/>
      <c r="T33" s="109"/>
      <c r="U33" s="572"/>
      <c r="X33" s="598"/>
      <c r="Y33" s="572"/>
    </row>
    <row r="34" spans="1:25" ht="38.25" hidden="1" customHeight="1">
      <c r="A34" s="389"/>
      <c r="B34" s="1141"/>
      <c r="C34" s="1182"/>
      <c r="D34" s="1184"/>
      <c r="E34" s="1184"/>
      <c r="F34" s="1184"/>
      <c r="G34" s="1184"/>
      <c r="H34" s="1180"/>
      <c r="I34" s="1184"/>
      <c r="J34" s="1214"/>
      <c r="K34" s="30" t="str">
        <f>IF($AD$2=1,"",CONCATENATE("（乗除調整",TEXT($AD$2,"##/100"),")"))</f>
        <v/>
      </c>
      <c r="L34" s="1218"/>
      <c r="M34" s="1207"/>
      <c r="N34" s="389"/>
      <c r="O34" s="389"/>
      <c r="P34" s="389"/>
      <c r="Q34" s="389"/>
      <c r="S34" s="109"/>
      <c r="T34" s="109"/>
      <c r="U34" s="572"/>
      <c r="X34" s="598"/>
      <c r="Y34" s="598"/>
    </row>
    <row r="35" spans="1:25" ht="20.149999999999999" hidden="1" customHeight="1">
      <c r="A35" s="389"/>
      <c r="B35" s="896" t="s">
        <v>24</v>
      </c>
      <c r="C35" s="1079"/>
      <c r="D35" s="546" t="e">
        <f>IF($D$18="あり",VLOOKUP($D$7,#REF!,10,TRUE),0)</f>
        <v>#REF!</v>
      </c>
      <c r="E35" s="550"/>
      <c r="F35" s="546">
        <f>IF(ISERROR(#REF!),0,#REF!)</f>
        <v>0</v>
      </c>
      <c r="G35" s="546">
        <f>IF($G$18="あり",VLOOKUP($D$7,#REF!,34,TRUE),0)</f>
        <v>0</v>
      </c>
      <c r="H35" s="546">
        <f>IF(H$18="あり",IF(ISERROR(-ROUNDDOWN(SUM($D35,$G35)*VLOOKUP($D$7,#REF!,45,TRUE),-1)),0,-ROUNDDOWN(SUM($D35,$G35)*VLOOKUP($D$7,#REF!,45,TRUE),-1)),0)</f>
        <v>0</v>
      </c>
      <c r="I35" s="546">
        <f>IF($I$18="あり",-VLOOKUP($D$7,#REF!,49,TRUE),0)</f>
        <v>0</v>
      </c>
      <c r="J35" s="547">
        <f>-IFERROR(IF(ROUNDDOWN(SUM($D35,$E35,$G35)*VLOOKUP($J$18,#REF!,2,FALSE),-1)&lt;10,ROUNDDOWN(SUM($D35,$E35,$G35)*VLOOKUP($J$18,#REF!,2,FALSE),0),ROUNDDOWN(SUM($D35,$E35,$G35)*VLOOKUP($J$18,#REF!,2,FALSE),-1)),0)</f>
        <v>0</v>
      </c>
      <c r="K35" s="548" t="e">
        <f>IF($AD$2=1,SUM($D35:$J35),(IF(ROUNDDOWN(SUM($D35:$J35)*$AD$2,-1)&lt;10,ROUNDDOWN(SUM($D35:$J35)*$AD$2,0),(ROUNDDOWN(SUM($D35:$J35)*$AD$2,-1)))))</f>
        <v>#REF!</v>
      </c>
      <c r="L35" s="612">
        <f>IF(L$18="配置",IF(ROUNDDOWN(#REF!/$I$62,-1)&lt;10,ROUNDDOWN(#REF!/$I$62,0),ROUNDDOWN(#REF!/$I$62,-1)),IF(L$18="兼務",IF(ROUNDDOWN(#REF!/$I$62,-1)&lt;10,ROUNDDOWN(#REF!/$I$62,0),ROUNDDOWN(#REF!/$I$62,-1)),0))</f>
        <v>0</v>
      </c>
      <c r="M35" s="555">
        <f>IF(ISERROR(SUM(K35:L35)),0,SUM(K35:L35))</f>
        <v>0</v>
      </c>
      <c r="N35" s="389"/>
      <c r="O35" s="389"/>
      <c r="P35" s="389"/>
      <c r="Q35" s="389"/>
      <c r="S35" s="572"/>
      <c r="T35" s="572"/>
      <c r="U35" s="572"/>
      <c r="X35" s="598"/>
      <c r="Y35" s="598"/>
    </row>
    <row r="36" spans="1:25" ht="20.149999999999999" hidden="1" customHeight="1">
      <c r="A36" s="389"/>
      <c r="B36" s="896" t="s">
        <v>23</v>
      </c>
      <c r="C36" s="1079"/>
      <c r="D36" s="546" t="e">
        <f>IF($D$18="あり",VLOOKUP($D$7,#REF!,10,TRUE),0)</f>
        <v>#REF!</v>
      </c>
      <c r="E36" s="550"/>
      <c r="F36" s="546">
        <f t="shared" ref="F36:G38" si="3">F35</f>
        <v>0</v>
      </c>
      <c r="G36" s="546">
        <f>G35</f>
        <v>0</v>
      </c>
      <c r="H36" s="546">
        <f>IF(H$18="あり",IF(ISERROR(-ROUNDDOWN(SUM($D36,$G36)*VLOOKUP($D$7,#REF!,45,TRUE),-1)),0,-ROUNDDOWN(SUM($D36,$G36)*VLOOKUP($D$7,#REF!,45,TRUE),-1)),0)</f>
        <v>0</v>
      </c>
      <c r="I36" s="546">
        <f>I35</f>
        <v>0</v>
      </c>
      <c r="J36" s="547">
        <f>-IFERROR(IF(ROUNDDOWN(SUM($D36,$E36,$G36)*VLOOKUP($J$18,#REF!,2,FALSE),-1)&lt;10,ROUNDDOWN(SUM($D36,$E36,$G36)*VLOOKUP($J$18,#REF!,2,FALSE),0),ROUNDDOWN(SUM($D36,$E36,$G36)*VLOOKUP($J$18,#REF!,2,FALSE),-1)),0)</f>
        <v>0</v>
      </c>
      <c r="K36" s="548" t="e">
        <f>IF($AD$2=1,SUM($D36:$J36),(IF(ROUNDDOWN(SUM($D36:$J36)*$AD$2,-1)&lt;10,ROUNDDOWN(SUM($D36:$J36)*$AD$2,0),(ROUNDDOWN(SUM($D36:$J36)*$AD$2,-1)))))</f>
        <v>#REF!</v>
      </c>
      <c r="L36" s="612">
        <f>L35</f>
        <v>0</v>
      </c>
      <c r="M36" s="555">
        <f>IF(ISERROR(SUM(K36:L36)),0,SUM(K36:L36))</f>
        <v>0</v>
      </c>
      <c r="N36" s="389"/>
      <c r="O36" s="389"/>
      <c r="P36" s="389"/>
      <c r="Q36" s="389"/>
      <c r="S36" s="572"/>
      <c r="T36" s="572"/>
      <c r="U36" s="572"/>
      <c r="X36" s="598"/>
      <c r="Y36" s="598"/>
    </row>
    <row r="37" spans="1:25" ht="20.149999999999999" hidden="1" customHeight="1">
      <c r="A37" s="389"/>
      <c r="B37" s="896" t="s">
        <v>41</v>
      </c>
      <c r="C37" s="1079"/>
      <c r="D37" s="546" t="e">
        <f>D35</f>
        <v>#REF!</v>
      </c>
      <c r="E37" s="546">
        <f>IF(AND($E$18="あり",$Q22&gt;=1),VLOOKUP($D$7,#REF!,19,TRUE),0)</f>
        <v>0</v>
      </c>
      <c r="F37" s="546">
        <f t="shared" si="3"/>
        <v>0</v>
      </c>
      <c r="G37" s="546">
        <f t="shared" si="3"/>
        <v>0</v>
      </c>
      <c r="H37" s="546">
        <f>IF(H$18="あり",IF(ISERROR(-ROUNDDOWN(SUM($D37,$G37)*VLOOKUP($D$7,#REF!,45,TRUE),-1)),0,-ROUNDDOWN(SUM($D37,$G37)*VLOOKUP($D$7,#REF!,45,TRUE),-1)),0)</f>
        <v>0</v>
      </c>
      <c r="I37" s="546">
        <f>I36</f>
        <v>0</v>
      </c>
      <c r="J37" s="547">
        <f>-IFERROR(IF(ROUNDDOWN(SUM($D37,$E37,$G37)*VLOOKUP($J$18,#REF!,2,FALSE),-1)&lt;10,ROUNDDOWN(SUM($D37,$E37,$G37)*VLOOKUP($J$18,#REF!,2,FALSE),0),ROUNDDOWN(SUM($D37,$E37,$G37)*VLOOKUP($J$18,#REF!,2,FALSE),-1)),0)</f>
        <v>0</v>
      </c>
      <c r="K37" s="548" t="e">
        <f>IF($AD$2=1,SUM($D37:$J37),(IF(ROUNDDOWN(SUM($D37:$J37)*$AD$2,-1)&lt;10,ROUNDDOWN(SUM($D37:$J37)*$AD$2,0),(ROUNDDOWN(SUM($D37:$J37)*$AD$2,-1)))))</f>
        <v>#REF!</v>
      </c>
      <c r="L37" s="612">
        <f>L36</f>
        <v>0</v>
      </c>
      <c r="M37" s="555">
        <f>IF(ISERROR(SUM(K37:L37)),0,SUM(K37:L37))</f>
        <v>0</v>
      </c>
      <c r="N37" s="389"/>
      <c r="O37" s="389"/>
      <c r="P37" s="389"/>
      <c r="Q37" s="389"/>
      <c r="S37" s="572"/>
      <c r="T37" s="572"/>
      <c r="U37" s="572"/>
      <c r="W37" s="613"/>
      <c r="X37" s="598"/>
      <c r="Y37" s="598"/>
    </row>
    <row r="38" spans="1:25" ht="20.149999999999999" hidden="1" customHeight="1">
      <c r="A38" s="389"/>
      <c r="B38" s="896" t="s">
        <v>40</v>
      </c>
      <c r="C38" s="1079"/>
      <c r="D38" s="546" t="e">
        <f>D36</f>
        <v>#REF!</v>
      </c>
      <c r="E38" s="546">
        <f>IF(AND($E$18="あり",$Q23&gt;=1),VLOOKUP($D$7,#REF!,19,TRUE),0)</f>
        <v>0</v>
      </c>
      <c r="F38" s="546">
        <f t="shared" si="3"/>
        <v>0</v>
      </c>
      <c r="G38" s="546">
        <f t="shared" si="3"/>
        <v>0</v>
      </c>
      <c r="H38" s="546">
        <f>IF(H$18="あり",IF(ISERROR(-ROUNDDOWN(SUM($D38,$G38)*VLOOKUP($D$7,#REF!,45,TRUE),-1)),0,-ROUNDDOWN(SUM($D38,$G38)*VLOOKUP($D$7,#REF!,45,TRUE),-1)),0)</f>
        <v>0</v>
      </c>
      <c r="I38" s="546">
        <f>I37</f>
        <v>0</v>
      </c>
      <c r="J38" s="547">
        <f>-IFERROR(IF(ROUNDDOWN(SUM($D38,$E38,$G38)*VLOOKUP($J$18,#REF!,2,FALSE),-1)&lt;10,ROUNDDOWN(SUM($D38,$E38,$G38)*VLOOKUP($J$18,#REF!,2,FALSE),0),ROUNDDOWN(SUM($D38,$E38,$G38)*VLOOKUP($J$18,#REF!,2,FALSE),-1)),0)</f>
        <v>0</v>
      </c>
      <c r="K38" s="548" t="e">
        <f>IF($AD$2=1,SUM($D38:$J38),(IF(ROUNDDOWN(SUM($D38:$J38)*$AD$2,-1)&lt;10,ROUNDDOWN(SUM($D38:$J38)*$AD$2,0),(ROUNDDOWN(SUM($D38:$J38)*$AD$2,-1)))))</f>
        <v>#REF!</v>
      </c>
      <c r="L38" s="612">
        <f>L37</f>
        <v>0</v>
      </c>
      <c r="M38" s="614">
        <f>IF(ISERROR(SUM(K38:L38)),0,SUM(K38:L38))</f>
        <v>0</v>
      </c>
      <c r="N38" s="389"/>
      <c r="O38" s="389"/>
      <c r="P38" s="389"/>
      <c r="Q38" s="389"/>
      <c r="S38" s="572"/>
      <c r="T38" s="572"/>
      <c r="U38" s="572"/>
      <c r="X38" s="598"/>
      <c r="Y38" s="598"/>
    </row>
    <row r="39" spans="1:25" ht="53.25" hidden="1" customHeight="1">
      <c r="A39" s="389"/>
      <c r="B39" s="523"/>
      <c r="C39" s="523"/>
      <c r="D39" s="615"/>
      <c r="E39" s="109"/>
      <c r="F39" s="109"/>
      <c r="G39" s="109"/>
      <c r="H39" s="109"/>
      <c r="I39" s="109"/>
      <c r="J39" s="109"/>
      <c r="K39" s="590"/>
      <c r="L39" s="109"/>
      <c r="M39" s="616"/>
      <c r="N39" s="389"/>
      <c r="O39" s="389"/>
      <c r="P39" s="389"/>
      <c r="Q39" s="389"/>
      <c r="S39" s="544"/>
      <c r="T39" s="544"/>
      <c r="U39" s="652"/>
      <c r="X39" s="598"/>
      <c r="Y39" s="598"/>
    </row>
    <row r="40" spans="1:25" ht="38.25" hidden="1" customHeight="1">
      <c r="A40" s="389"/>
      <c r="B40" s="1139" t="s">
        <v>36</v>
      </c>
      <c r="C40" s="1181"/>
      <c r="D40" s="1183" t="s">
        <v>9</v>
      </c>
      <c r="E40" s="1183" t="s">
        <v>38</v>
      </c>
      <c r="F40" s="1183" t="s">
        <v>27</v>
      </c>
      <c r="G40" s="1183" t="s">
        <v>28</v>
      </c>
      <c r="H40" s="1179" t="s">
        <v>39</v>
      </c>
      <c r="I40" s="1183" t="s">
        <v>157</v>
      </c>
      <c r="J40" s="1183" t="s">
        <v>131</v>
      </c>
      <c r="K40" s="31" t="s">
        <v>148</v>
      </c>
      <c r="L40" s="1213" t="s">
        <v>139</v>
      </c>
      <c r="M40" s="1215" t="s">
        <v>61</v>
      </c>
      <c r="N40" s="389"/>
      <c r="O40" s="389"/>
      <c r="P40" s="389"/>
      <c r="Q40" s="389"/>
      <c r="S40" s="109"/>
      <c r="T40" s="109"/>
      <c r="U40" s="572"/>
      <c r="X40" s="598"/>
      <c r="Y40" s="598"/>
    </row>
    <row r="41" spans="1:25" ht="38.25" hidden="1" customHeight="1">
      <c r="A41" s="389"/>
      <c r="B41" s="1141"/>
      <c r="C41" s="1182"/>
      <c r="D41" s="1184"/>
      <c r="E41" s="1184"/>
      <c r="F41" s="1184"/>
      <c r="G41" s="1184"/>
      <c r="H41" s="1180"/>
      <c r="I41" s="1184"/>
      <c r="J41" s="1184"/>
      <c r="K41" s="30" t="str">
        <f>IF($AD$2=1,"",CONCATENATE("（乗除調整",TEXT($AD$2,"##/100"),")"))</f>
        <v/>
      </c>
      <c r="L41" s="1214"/>
      <c r="M41" s="1207"/>
      <c r="N41" s="389"/>
      <c r="O41" s="389"/>
      <c r="P41" s="389"/>
      <c r="Q41" s="389"/>
      <c r="S41" s="109"/>
      <c r="T41" s="109"/>
      <c r="U41" s="572"/>
      <c r="X41" s="598"/>
      <c r="Y41" s="598"/>
    </row>
    <row r="42" spans="1:25" ht="20.149999999999999" hidden="1" customHeight="1">
      <c r="A42" s="389"/>
      <c r="B42" s="896" t="s">
        <v>24</v>
      </c>
      <c r="C42" s="1079"/>
      <c r="D42" s="546" t="e">
        <f>IF($D$18="あり",VLOOKUP($D$7,#REF!,13,TRUE),0)</f>
        <v>#REF!</v>
      </c>
      <c r="E42" s="550"/>
      <c r="F42" s="546">
        <f>IF(ISERROR(#REF!),0,#REF!)</f>
        <v>0</v>
      </c>
      <c r="G42" s="546">
        <f>IF($G$18="あり",VLOOKUP($D$7,#REF!,34,TRUE),0)</f>
        <v>0</v>
      </c>
      <c r="H42" s="546">
        <f>IF(H$18="あり",IF(ISERROR(-ROUNDDOWN(SUM($D42,$G42)*VLOOKUP($D$7,#REF!,45,TRUE),-1)),0,-ROUNDDOWN(SUM($D42,$G42)*VLOOKUP($D$7,#REF!,45,TRUE),-1)),0)</f>
        <v>0</v>
      </c>
      <c r="I42" s="546">
        <f>IF($I$18="あり",-VLOOKUP($D$7,#REF!,49,TRUE),0)</f>
        <v>0</v>
      </c>
      <c r="J42" s="547">
        <f>-IFERROR(IF(ROUNDDOWN(SUM($D42,$E42,$G42)*VLOOKUP($J$18,#REF!,2,FALSE),-1)&lt;10,ROUNDDOWN(SUM($D42,$E42,$G42)*VLOOKUP($J$18,#REF!,2,FALSE),0),ROUNDDOWN(SUM($D42,$E42,$G42)*VLOOKUP($J$18,#REF!,2,FALSE),-1)),0)</f>
        <v>0</v>
      </c>
      <c r="K42" s="548" t="e">
        <f>IF($AD$2=1,SUM($D42:$J42),(IF(ROUNDDOWN(SUM($D42:$J42)*$AD$2,-1)&lt;10,ROUNDDOWN(SUM($D42:$J42)*$AD$2,0),(ROUNDDOWN(SUM($D42:$J42)*$AD$2,-1)))))</f>
        <v>#REF!</v>
      </c>
      <c r="L42" s="612">
        <f>IF(L$18="配置",IF(ROUNDDOWN(#REF!/$I$62,-1)&lt;10,ROUNDDOWN(#REF!/$I$62,0),ROUNDDOWN(#REF!/$I$62,-1)),IF(L$18="兼務",IF(ROUNDDOWN(#REF!/$I$62,-1)&lt;10,ROUNDDOWN(#REF!/$I$62,0),ROUNDDOWN(#REF!/$I$62,-1)),0))</f>
        <v>0</v>
      </c>
      <c r="M42" s="626">
        <f>IF(ISERROR(SUM(D42:J42)),0,SUM(D42:J42))</f>
        <v>0</v>
      </c>
      <c r="N42" s="389"/>
      <c r="O42" s="389"/>
      <c r="P42" s="389"/>
      <c r="Q42" s="389"/>
      <c r="S42" s="572"/>
      <c r="T42" s="610"/>
      <c r="U42" s="572"/>
      <c r="X42" s="598"/>
      <c r="Y42" s="598"/>
    </row>
    <row r="43" spans="1:25" ht="20.149999999999999" hidden="1" customHeight="1">
      <c r="A43" s="389"/>
      <c r="B43" s="896" t="s">
        <v>23</v>
      </c>
      <c r="C43" s="1079"/>
      <c r="D43" s="546" t="e">
        <f>IF($D$18="あり",VLOOKUP($D$7,#REF!,13,TRUE),0)</f>
        <v>#REF!</v>
      </c>
      <c r="E43" s="550"/>
      <c r="F43" s="546">
        <f t="shared" ref="F43:G45" si="4">F42</f>
        <v>0</v>
      </c>
      <c r="G43" s="546">
        <f t="shared" si="4"/>
        <v>0</v>
      </c>
      <c r="H43" s="546">
        <f>IF(H$18="あり",IF(ISERROR(-ROUNDDOWN(SUM($D43,$G43)*VLOOKUP($D$7,#REF!,45,TRUE),-1)),0,-ROUNDDOWN(SUM($D43,$G43)*VLOOKUP($D$7,#REF!,45,TRUE),-1)),0)</f>
        <v>0</v>
      </c>
      <c r="I43" s="546">
        <f>I42</f>
        <v>0</v>
      </c>
      <c r="J43" s="547">
        <f>-IFERROR(IF(ROUNDDOWN(SUM($D43,$E43,$G43)*VLOOKUP($J$18,#REF!,2,FALSE),-1)&lt;10,ROUNDDOWN(SUM($D43,$E43,$G43)*VLOOKUP($J$18,#REF!,2,FALSE),0),ROUNDDOWN(SUM($D43,$E43,$G43)*VLOOKUP($J$18,#REF!,2,FALSE),-1)),0)</f>
        <v>0</v>
      </c>
      <c r="K43" s="548" t="e">
        <f>IF($AD$2=1,SUM($D43:$J43),(IF(ROUNDDOWN(SUM($D43:$J43)*$AD$2,-1)&lt;10,ROUNDDOWN(SUM($D43:$J43)*$AD$2,0),(ROUNDDOWN(SUM($D43:$J43)*$AD$2,-1)))))</f>
        <v>#REF!</v>
      </c>
      <c r="L43" s="618">
        <f>L42</f>
        <v>0</v>
      </c>
      <c r="M43" s="626">
        <f>IF(ISERROR(SUM(D43:J43)),0,SUM(D43:J43))</f>
        <v>0</v>
      </c>
      <c r="N43" s="389"/>
      <c r="O43" s="389"/>
      <c r="P43" s="389"/>
      <c r="Q43" s="389"/>
      <c r="S43" s="572"/>
      <c r="T43" s="572"/>
      <c r="U43" s="572"/>
      <c r="X43" s="598"/>
      <c r="Y43" s="598"/>
    </row>
    <row r="44" spans="1:25" ht="20.149999999999999" hidden="1" customHeight="1">
      <c r="A44" s="389"/>
      <c r="B44" s="896" t="s">
        <v>41</v>
      </c>
      <c r="C44" s="1079"/>
      <c r="D44" s="546" t="e">
        <f>D42</f>
        <v>#REF!</v>
      </c>
      <c r="E44" s="546">
        <f>IF(AND($E$18="あり",$Q27&gt;=1),VLOOKUP($D$7,#REF!,19,TRUE),0)</f>
        <v>0</v>
      </c>
      <c r="F44" s="546">
        <f t="shared" si="4"/>
        <v>0</v>
      </c>
      <c r="G44" s="546">
        <f t="shared" si="4"/>
        <v>0</v>
      </c>
      <c r="H44" s="546">
        <f>IF(H$18="あり",IF(ISERROR(-ROUNDDOWN(SUM($D44,$G44)*VLOOKUP($D$7,#REF!,45,TRUE),-1)),0,-ROUNDDOWN(SUM($D44,$G44)*VLOOKUP($D$7,#REF!,45,TRUE),-1)),0)</f>
        <v>0</v>
      </c>
      <c r="I44" s="546">
        <f>I43</f>
        <v>0</v>
      </c>
      <c r="J44" s="547">
        <f>-IFERROR(IF(ROUNDDOWN(SUM($D44,$E44,$G44)*VLOOKUP($J$18,#REF!,2,FALSE),-1)&lt;10,ROUNDDOWN(SUM($D44,$E44,$G44)*VLOOKUP($J$18,#REF!,2,FALSE),0),ROUNDDOWN(SUM($D44,$E44,$G44)*VLOOKUP($J$18,#REF!,2,FALSE),-1)),0)</f>
        <v>0</v>
      </c>
      <c r="K44" s="548" t="e">
        <f>IF($AD$2=1,SUM($D44:$J44),(IF(ROUNDDOWN(SUM($D44:$J44)*$AD$2,-1)&lt;10,ROUNDDOWN(SUM($D44:$J44)*$AD$2,0),(ROUNDDOWN(SUM($D44:$J44)*$AD$2,-1)))))</f>
        <v>#REF!</v>
      </c>
      <c r="L44" s="618">
        <f>L43</f>
        <v>0</v>
      </c>
      <c r="M44" s="626">
        <f>IF(ISERROR(SUM(D44:J44)),0,SUM(D44:J44))</f>
        <v>0</v>
      </c>
      <c r="N44" s="389"/>
      <c r="O44" s="389"/>
      <c r="P44" s="389"/>
      <c r="Q44" s="389"/>
      <c r="W44" s="575"/>
      <c r="X44" s="598"/>
      <c r="Y44" s="598"/>
    </row>
    <row r="45" spans="1:25" ht="20.149999999999999" hidden="1" customHeight="1" thickBot="1">
      <c r="A45" s="389"/>
      <c r="B45" s="896" t="s">
        <v>40</v>
      </c>
      <c r="C45" s="1079"/>
      <c r="D45" s="546" t="e">
        <f>D43</f>
        <v>#REF!</v>
      </c>
      <c r="E45" s="546">
        <f>IF(AND($E$18="あり",$Q28&gt;=1),VLOOKUP($D$7,#REF!,19,TRUE),0)</f>
        <v>0</v>
      </c>
      <c r="F45" s="546">
        <f t="shared" si="4"/>
        <v>0</v>
      </c>
      <c r="G45" s="546">
        <f t="shared" si="4"/>
        <v>0</v>
      </c>
      <c r="H45" s="546">
        <f>IF(H$18="あり",IF(ISERROR(-ROUNDDOWN(SUM($D45,$G45)*VLOOKUP($D$7,#REF!,45,TRUE),-1)),0,-ROUNDDOWN(SUM($D45,$G45)*VLOOKUP($D$7,#REF!,45,TRUE),-1)),0)</f>
        <v>0</v>
      </c>
      <c r="I45" s="546">
        <f>I44</f>
        <v>0</v>
      </c>
      <c r="J45" s="547">
        <f>-IFERROR(IF(ROUNDDOWN(SUM($D45,$E45,$G45)*VLOOKUP($J$18,#REF!,2,FALSE),-1)&lt;10,ROUNDDOWN(SUM($D45,$E45,$G45)*VLOOKUP($J$18,#REF!,2,FALSE),0),ROUNDDOWN(SUM($D45,$E45,$G45)*VLOOKUP($J$18,#REF!,2,FALSE),-1)),0)</f>
        <v>0</v>
      </c>
      <c r="K45" s="548" t="e">
        <f>IF($AD$2=1,SUM($D45:$J45),(IF(ROUNDDOWN(SUM($D45:$J45)*$AD$2,-1)&lt;10,ROUNDDOWN(SUM($D45:$J45)*$AD$2,0),(ROUNDDOWN(SUM($D45:$J45)*$AD$2,-1)))))</f>
        <v>#REF!</v>
      </c>
      <c r="L45" s="618">
        <f>L44</f>
        <v>0</v>
      </c>
      <c r="M45" s="627">
        <f>IF(ISERROR(SUM(D45:J45)),0,SUM(D45:J45))</f>
        <v>0</v>
      </c>
      <c r="N45" s="389"/>
      <c r="O45" s="389"/>
      <c r="P45" s="389"/>
      <c r="Q45" s="389"/>
    </row>
    <row r="46" spans="1:25" ht="20.149999999999999" hidden="1" customHeight="1">
      <c r="A46" s="389"/>
      <c r="B46" s="523"/>
      <c r="C46" s="523"/>
      <c r="D46" s="523"/>
      <c r="E46" s="523"/>
      <c r="F46" s="523"/>
      <c r="G46" s="523"/>
      <c r="H46" s="523"/>
      <c r="I46" s="523"/>
      <c r="J46" s="523"/>
      <c r="K46" s="523"/>
      <c r="L46" s="523"/>
      <c r="M46" s="523"/>
      <c r="N46" s="389"/>
      <c r="O46" s="389"/>
      <c r="P46" s="389"/>
      <c r="Q46" s="389"/>
    </row>
    <row r="47" spans="1:25" ht="20.149999999999999" hidden="1" customHeight="1" thickBot="1">
      <c r="A47" s="389"/>
      <c r="B47" s="523"/>
      <c r="C47" s="523"/>
      <c r="D47" s="523"/>
      <c r="E47" s="523"/>
      <c r="F47" s="523"/>
      <c r="G47" s="523"/>
      <c r="H47" s="523"/>
      <c r="I47" s="523"/>
      <c r="J47" s="523"/>
      <c r="K47" s="523"/>
      <c r="L47" s="523"/>
      <c r="M47" s="523"/>
      <c r="N47" s="128"/>
      <c r="O47" s="565"/>
      <c r="P47" s="128"/>
      <c r="Q47" s="565"/>
    </row>
    <row r="48" spans="1:25" ht="38.25" hidden="1" customHeight="1" thickBot="1">
      <c r="A48" s="389"/>
      <c r="B48" s="553" t="s">
        <v>62</v>
      </c>
      <c r="C48" s="389"/>
      <c r="D48" s="551"/>
      <c r="E48" s="551"/>
      <c r="F48" s="551"/>
      <c r="G48" s="389"/>
      <c r="H48" s="1084" t="s">
        <v>386</v>
      </c>
      <c r="I48" s="1084"/>
      <c r="J48" s="1155" t="s">
        <v>48</v>
      </c>
      <c r="K48" s="1156"/>
      <c r="L48" s="938" t="s">
        <v>385</v>
      </c>
      <c r="M48" s="939"/>
      <c r="N48" s="940" t="s">
        <v>435</v>
      </c>
      <c r="O48" s="941"/>
      <c r="P48" s="940" t="s">
        <v>436</v>
      </c>
      <c r="Q48" s="941"/>
      <c r="X48" s="445">
        <v>2015</v>
      </c>
      <c r="Y48" s="4">
        <v>6.1</v>
      </c>
    </row>
    <row r="49" spans="1:25" ht="42.75" hidden="1" customHeight="1">
      <c r="A49" s="389"/>
      <c r="B49" s="389"/>
      <c r="C49" s="389"/>
      <c r="D49" s="389"/>
      <c r="E49" s="389"/>
      <c r="F49" s="389"/>
      <c r="G49" s="389"/>
      <c r="H49" s="1185" t="s">
        <v>35</v>
      </c>
      <c r="I49" s="1198" t="s">
        <v>458</v>
      </c>
      <c r="J49" s="1196" t="str">
        <f>"A×賃金改善率（"&amp;$I$5&amp;"％）"</f>
        <v>A×賃金改善率（％）</v>
      </c>
      <c r="K49" s="1193" t="str">
        <f>CONCATENATE("×利用児童数×",$X$2,"月")</f>
        <v>×利用児童数×12月</v>
      </c>
      <c r="L49" s="1197" t="str">
        <f>"A×加算Ⅰ新規事由に係る率（"&amp;$I$6&amp;"％）"</f>
        <v>A×加算Ⅰ新規事由に係る率（％）</v>
      </c>
      <c r="M49" s="1193" t="str">
        <f>CONCATENATE("×利用児童数×",$X$2,"月")</f>
        <v>×利用児童数×12月</v>
      </c>
      <c r="N49" s="1196" t="str">
        <f>"A×人勧影響率（"&amp;$I$8&amp;"％）"</f>
        <v>A×人勧影響率（％）</v>
      </c>
      <c r="O49" s="1193" t="str">
        <f>CONCATENATE("×利用児童数×",$X$2,"月")</f>
        <v>×利用児童数×12月</v>
      </c>
      <c r="P49" s="1196" t="str">
        <f>"A×人勧影響率（"&amp;$I$10&amp;"％）"</f>
        <v>A×人勧影響率（％）</v>
      </c>
      <c r="Q49" s="1193" t="str">
        <f>CONCATENATE("×利用児童数×",$X$2,"月")</f>
        <v>×利用児童数×12月</v>
      </c>
      <c r="X49" s="445">
        <v>2016</v>
      </c>
      <c r="Y49" s="2">
        <v>4.2</v>
      </c>
    </row>
    <row r="50" spans="1:25" ht="25.5" hidden="1" customHeight="1">
      <c r="A50" s="1078" t="s">
        <v>474</v>
      </c>
      <c r="B50" s="1078"/>
      <c r="C50" s="1078"/>
      <c r="D50" s="1078"/>
      <c r="E50" s="1133">
        <f>$K$62</f>
        <v>0</v>
      </c>
      <c r="F50" s="1211"/>
      <c r="G50" s="389"/>
      <c r="H50" s="1178"/>
      <c r="I50" s="1199"/>
      <c r="J50" s="1190"/>
      <c r="K50" s="1192"/>
      <c r="L50" s="1195"/>
      <c r="M50" s="1192"/>
      <c r="N50" s="1190"/>
      <c r="O50" s="1192"/>
      <c r="P50" s="1190"/>
      <c r="Q50" s="1192"/>
      <c r="X50" s="445">
        <v>2017</v>
      </c>
      <c r="Y50" s="2">
        <v>2.9</v>
      </c>
    </row>
    <row r="51" spans="1:25" ht="18" hidden="1" customHeight="1">
      <c r="A51" s="564"/>
      <c r="B51" s="1212" t="str">
        <f>CONCATENATE("（賃金改善要件（",I5,"％）分）")</f>
        <v>（賃金改善要件（％）分）</v>
      </c>
      <c r="C51" s="1212"/>
      <c r="D51" s="1212"/>
      <c r="E51" s="558"/>
      <c r="F51" s="551"/>
      <c r="G51" s="389"/>
      <c r="H51" s="665" t="s">
        <v>24</v>
      </c>
      <c r="I51" s="680">
        <f>'入力（児童数-本園)'!Y3-I53</f>
        <v>0</v>
      </c>
      <c r="J51" s="556">
        <f>M35*$I$5</f>
        <v>0</v>
      </c>
      <c r="K51" s="557">
        <f>J51*$I51*$X$2</f>
        <v>0</v>
      </c>
      <c r="L51" s="549">
        <f>ROUNDDOWN($M35*$I$6,0)</f>
        <v>0</v>
      </c>
      <c r="M51" s="557">
        <f>L51*$I51*$X$2</f>
        <v>0</v>
      </c>
      <c r="N51" s="576">
        <f>ROUNDDOWN($M35*$I$8,0)</f>
        <v>0</v>
      </c>
      <c r="O51" s="577">
        <f>N51*$I51*$X$2</f>
        <v>0</v>
      </c>
      <c r="P51" s="556">
        <f>ROUNDDOWN($M35*$I$10,0)</f>
        <v>0</v>
      </c>
      <c r="Q51" s="557">
        <f>P51*$I51*$X$2</f>
        <v>0</v>
      </c>
      <c r="X51" s="445">
        <v>2018</v>
      </c>
      <c r="Y51" s="2">
        <v>1.8</v>
      </c>
    </row>
    <row r="52" spans="1:25" ht="17.25" hidden="1" customHeight="1">
      <c r="B52" s="1212"/>
      <c r="C52" s="1212"/>
      <c r="D52" s="1212"/>
      <c r="E52" s="389"/>
      <c r="F52" s="389"/>
      <c r="G52" s="389"/>
      <c r="H52" s="665" t="s">
        <v>23</v>
      </c>
      <c r="I52" s="680">
        <f>SUM('入力（児童数-本園)'!Y4:Y6)-I54</f>
        <v>0</v>
      </c>
      <c r="J52" s="556">
        <f>M36*$I$5</f>
        <v>0</v>
      </c>
      <c r="K52" s="557">
        <f>J52*$I52*$X$2</f>
        <v>0</v>
      </c>
      <c r="L52" s="549">
        <f>ROUNDDOWN($M36*$I$6,0)</f>
        <v>0</v>
      </c>
      <c r="M52" s="557">
        <f>L52*$I52*$X$2</f>
        <v>0</v>
      </c>
      <c r="N52" s="576">
        <f>ROUNDDOWN($M36*$I$8,0)</f>
        <v>0</v>
      </c>
      <c r="O52" s="577">
        <f>N52*$I52*$X$2</f>
        <v>0</v>
      </c>
      <c r="P52" s="556">
        <f>ROUNDDOWN($M36*$I$10,0)</f>
        <v>0</v>
      </c>
      <c r="Q52" s="557">
        <f>P52*$I52*$X$2</f>
        <v>0</v>
      </c>
      <c r="X52" s="445">
        <v>2019</v>
      </c>
      <c r="Y52" s="2">
        <v>1</v>
      </c>
    </row>
    <row r="53" spans="1:25" ht="17.25" hidden="1" customHeight="1">
      <c r="A53" s="1186" t="s">
        <v>489</v>
      </c>
      <c r="B53" s="1186"/>
      <c r="C53" s="1186"/>
      <c r="D53" s="1186"/>
      <c r="E53" s="1186"/>
      <c r="F53" s="1186"/>
      <c r="G53" s="1187"/>
      <c r="H53" s="665" t="s">
        <v>41</v>
      </c>
      <c r="I53" s="678">
        <f>Q22</f>
        <v>0</v>
      </c>
      <c r="J53" s="556">
        <f>M37*$I$5</f>
        <v>0</v>
      </c>
      <c r="K53" s="557">
        <f>J53*$Q22*$X$2</f>
        <v>0</v>
      </c>
      <c r="L53" s="549">
        <f>ROUNDDOWN($M37*$I$6,0)</f>
        <v>0</v>
      </c>
      <c r="M53" s="557">
        <f>L53*$Q22*$X$2</f>
        <v>0</v>
      </c>
      <c r="N53" s="576">
        <f>ROUNDDOWN($M37*$I$8,0)</f>
        <v>0</v>
      </c>
      <c r="O53" s="577">
        <f>N53*$Q22*$X$2</f>
        <v>0</v>
      </c>
      <c r="P53" s="556">
        <f>ROUNDDOWN($M37*$I$10,0)</f>
        <v>0</v>
      </c>
      <c r="Q53" s="557">
        <f>P53*$Q22*$X$2</f>
        <v>0</v>
      </c>
    </row>
    <row r="54" spans="1:25" ht="17.25" hidden="1" customHeight="1">
      <c r="A54" s="564"/>
      <c r="B54" s="564"/>
      <c r="C54" s="564"/>
      <c r="D54" s="564"/>
      <c r="E54" s="564"/>
      <c r="F54" s="551"/>
      <c r="G54" s="389"/>
      <c r="H54" s="665" t="s">
        <v>40</v>
      </c>
      <c r="I54" s="678">
        <f>Q23</f>
        <v>0</v>
      </c>
      <c r="J54" s="556">
        <f>M38*$I$5</f>
        <v>0</v>
      </c>
      <c r="K54" s="557">
        <f>J54*$Q23*$X$2</f>
        <v>0</v>
      </c>
      <c r="L54" s="549">
        <f>ROUNDDOWN($M38*$I$6,0)</f>
        <v>0</v>
      </c>
      <c r="M54" s="557">
        <f>L54*$Q23*$X$2</f>
        <v>0</v>
      </c>
      <c r="N54" s="576">
        <f>ROUNDDOWN($M38*$I$8,0)</f>
        <v>0</v>
      </c>
      <c r="O54" s="577">
        <f>N54*$Q23*$X$2</f>
        <v>0</v>
      </c>
      <c r="P54" s="556">
        <f>ROUNDDOWN($M38*$I$10,0)</f>
        <v>0</v>
      </c>
      <c r="Q54" s="557">
        <f>P54*$Q23*$X$2</f>
        <v>0</v>
      </c>
      <c r="Y54" s="569"/>
    </row>
    <row r="55" spans="1:25" ht="24" hidden="1" customHeight="1">
      <c r="A55" s="1131" t="s">
        <v>382</v>
      </c>
      <c r="B55" s="1131"/>
      <c r="C55" s="1131"/>
      <c r="D55" s="1131"/>
      <c r="E55" s="1115">
        <f>$M$62</f>
        <v>0</v>
      </c>
      <c r="F55" s="1116"/>
      <c r="G55" s="389"/>
      <c r="H55" s="619"/>
      <c r="I55" s="638"/>
      <c r="J55" s="619"/>
      <c r="K55" s="620"/>
      <c r="L55" s="109"/>
      <c r="M55" s="560"/>
      <c r="N55" s="621"/>
      <c r="O55" s="560"/>
      <c r="P55" s="621"/>
      <c r="Q55" s="560"/>
    </row>
    <row r="56" spans="1:25" ht="33.75" hidden="1" customHeight="1">
      <c r="A56" s="1212" t="str">
        <f>CONCATENATE("（加算Ⅰ新規事由に係る加算率（",I6,"％）分）")</f>
        <v>（加算Ⅰ新規事由に係る加算率（％）分）</v>
      </c>
      <c r="B56" s="1212"/>
      <c r="C56" s="1212"/>
      <c r="D56" s="1212"/>
      <c r="E56" s="622"/>
      <c r="F56" s="389"/>
      <c r="G56" s="389"/>
      <c r="H56" s="1177" t="s">
        <v>36</v>
      </c>
      <c r="I56" s="1200" t="s">
        <v>458</v>
      </c>
      <c r="J56" s="1189" t="str">
        <f>"B×賃金改善率（"&amp;$I$5&amp;"％）"</f>
        <v>B×賃金改善率（％）</v>
      </c>
      <c r="K56" s="1191" t="str">
        <f>CONCATENATE("×利用児童数×",$X$2,"月")</f>
        <v>×利用児童数×12月</v>
      </c>
      <c r="L56" s="1194" t="str">
        <f>"B×加算Ⅰ新規事由に係る率（"&amp;$I$6&amp;"％）"</f>
        <v>B×加算Ⅰ新規事由に係る率（％）</v>
      </c>
      <c r="M56" s="1191" t="str">
        <f>CONCATENATE("×利用児童数×",$X$2,"月")</f>
        <v>×利用児童数×12月</v>
      </c>
      <c r="N56" s="1189" t="str">
        <f>"B×人勧影響率（"&amp;$I$8&amp;"％）"</f>
        <v>B×人勧影響率（％）</v>
      </c>
      <c r="O56" s="1191" t="str">
        <f>CONCATENATE("×利用児童数×",$X$2,"月")</f>
        <v>×利用児童数×12月</v>
      </c>
      <c r="P56" s="1189" t="str">
        <f>"B×人勧影響率（"&amp;$I$10&amp;"％）"</f>
        <v>B×人勧影響率（％）</v>
      </c>
      <c r="Q56" s="1191" t="str">
        <f>CONCATENATE("×利用児童数×",$X$2,"月")</f>
        <v>×利用児童数×12月</v>
      </c>
    </row>
    <row r="57" spans="1:25" ht="17.25" hidden="1" customHeight="1">
      <c r="A57" s="1212"/>
      <c r="B57" s="1212"/>
      <c r="C57" s="1212"/>
      <c r="D57" s="1212"/>
      <c r="E57" s="622"/>
      <c r="F57" s="551"/>
      <c r="G57" s="389"/>
      <c r="H57" s="1178"/>
      <c r="I57" s="1199"/>
      <c r="J57" s="1190"/>
      <c r="K57" s="1192"/>
      <c r="L57" s="1195"/>
      <c r="M57" s="1192"/>
      <c r="N57" s="1190"/>
      <c r="O57" s="1192"/>
      <c r="P57" s="1190"/>
      <c r="Q57" s="1192"/>
    </row>
    <row r="58" spans="1:25" ht="23.5" hidden="1">
      <c r="A58" s="1131" t="s">
        <v>381</v>
      </c>
      <c r="B58" s="1131"/>
      <c r="C58" s="1131"/>
      <c r="D58" s="1131"/>
      <c r="E58" s="1154">
        <f>$O$62</f>
        <v>0</v>
      </c>
      <c r="F58" s="1154"/>
      <c r="G58" s="389"/>
      <c r="H58" s="665" t="s">
        <v>24</v>
      </c>
      <c r="I58" s="680">
        <f>'入力（児童数-本園)'!Z3-I60</f>
        <v>0</v>
      </c>
      <c r="J58" s="556">
        <f>M42*$I$5</f>
        <v>0</v>
      </c>
      <c r="K58" s="557">
        <f>J58*$I58*$X$2</f>
        <v>0</v>
      </c>
      <c r="L58" s="556">
        <f>ROUNDDOWN($M42*$I$6,0)</f>
        <v>0</v>
      </c>
      <c r="M58" s="557">
        <f>L58*$I58*$X$2</f>
        <v>0</v>
      </c>
      <c r="N58" s="576">
        <f>ROUNDDOWN($M42*$I$8,0)</f>
        <v>0</v>
      </c>
      <c r="O58" s="577">
        <f>N58*$I58*$X$2</f>
        <v>0</v>
      </c>
      <c r="P58" s="556">
        <f>ROUNDDOWN($M42*$I$10,0)</f>
        <v>0</v>
      </c>
      <c r="Q58" s="557">
        <f>P58*$I58*$X$2</f>
        <v>0</v>
      </c>
    </row>
    <row r="59" spans="1:25" ht="19" hidden="1">
      <c r="A59" s="1212" t="str">
        <f>CONCATENATE("（処遇Ⅰの基準年度の翌年～当年度まで（",I8,"％）分）")</f>
        <v>（処遇Ⅰの基準年度の翌年～当年度まで（％）分）</v>
      </c>
      <c r="B59" s="1212"/>
      <c r="C59" s="1212"/>
      <c r="D59" s="1212"/>
      <c r="E59" s="622"/>
      <c r="F59" s="389"/>
      <c r="G59" s="389"/>
      <c r="H59" s="665" t="s">
        <v>23</v>
      </c>
      <c r="I59" s="680">
        <f>SUM('入力（児童数-本園)'!Z4:Z6)-I61</f>
        <v>0</v>
      </c>
      <c r="J59" s="556">
        <f>M43*$I$5</f>
        <v>0</v>
      </c>
      <c r="K59" s="557">
        <f>J59*$I59*$X$2</f>
        <v>0</v>
      </c>
      <c r="L59" s="556">
        <f>ROUNDDOWN($M43*$I$6,0)</f>
        <v>0</v>
      </c>
      <c r="M59" s="557">
        <f>L59*$I59*$X$2</f>
        <v>0</v>
      </c>
      <c r="N59" s="576">
        <f>ROUNDDOWN($M43*$I$8,0)</f>
        <v>0</v>
      </c>
      <c r="O59" s="577">
        <f>N59*$I59*$X$2</f>
        <v>0</v>
      </c>
      <c r="P59" s="556">
        <f>ROUNDDOWN($M43*$I$10,0)</f>
        <v>0</v>
      </c>
      <c r="Q59" s="557">
        <f>P59*$I59*$X$2</f>
        <v>0</v>
      </c>
    </row>
    <row r="60" spans="1:25" ht="19" hidden="1">
      <c r="A60" s="1212"/>
      <c r="B60" s="1212"/>
      <c r="C60" s="1212"/>
      <c r="D60" s="1212"/>
      <c r="E60" s="622"/>
      <c r="F60" s="389"/>
      <c r="G60" s="389"/>
      <c r="H60" s="665" t="s">
        <v>41</v>
      </c>
      <c r="I60" s="678">
        <f>Q27</f>
        <v>0</v>
      </c>
      <c r="J60" s="556">
        <f>M44*$I$5</f>
        <v>0</v>
      </c>
      <c r="K60" s="557">
        <f>J60*$Q27*$X$2</f>
        <v>0</v>
      </c>
      <c r="L60" s="556">
        <f>ROUNDDOWN($M44*$I$6,0)</f>
        <v>0</v>
      </c>
      <c r="M60" s="557">
        <f>L60*$Q27*$X$2</f>
        <v>0</v>
      </c>
      <c r="N60" s="576">
        <f>ROUNDDOWN($M44*$I$8,0)</f>
        <v>0</v>
      </c>
      <c r="O60" s="577">
        <f>N60*$Q27*$X$2</f>
        <v>0</v>
      </c>
      <c r="P60" s="556">
        <f>ROUNDDOWN($M44*$I$10,0)</f>
        <v>0</v>
      </c>
      <c r="Q60" s="557">
        <f>P60*$Q27*$X$2</f>
        <v>0</v>
      </c>
    </row>
    <row r="61" spans="1:25" ht="17.25" hidden="1" customHeight="1" thickBot="1">
      <c r="A61" s="389"/>
      <c r="B61" s="389"/>
      <c r="C61" s="109"/>
      <c r="D61" s="128"/>
      <c r="E61" s="568"/>
      <c r="F61" s="389"/>
      <c r="G61" s="389"/>
      <c r="H61" s="665" t="s">
        <v>40</v>
      </c>
      <c r="I61" s="678">
        <f>Q28</f>
        <v>0</v>
      </c>
      <c r="J61" s="556">
        <f>M45*$I$5</f>
        <v>0</v>
      </c>
      <c r="K61" s="623">
        <f>J61*$Q28*$X$2</f>
        <v>0</v>
      </c>
      <c r="L61" s="556">
        <f>ROUNDDOWN($M45*$I$6,0)</f>
        <v>0</v>
      </c>
      <c r="M61" s="623">
        <f>L61*$Q28*$X$2</f>
        <v>0</v>
      </c>
      <c r="N61" s="576">
        <f>ROUNDDOWN($M45*$I$8,0)</f>
        <v>0</v>
      </c>
      <c r="O61" s="625">
        <f>N61*$Q28*$X$2</f>
        <v>0</v>
      </c>
      <c r="P61" s="556">
        <f>ROUNDDOWN($M45*$I$10,0)</f>
        <v>0</v>
      </c>
      <c r="Q61" s="623">
        <f>P61*$Q28*$X$2</f>
        <v>0</v>
      </c>
    </row>
    <row r="62" spans="1:25" ht="24.75" hidden="1" customHeight="1" thickTop="1" thickBot="1">
      <c r="A62" s="1131" t="s">
        <v>381</v>
      </c>
      <c r="B62" s="1131"/>
      <c r="C62" s="1131"/>
      <c r="D62" s="1131"/>
      <c r="E62" s="1154">
        <f>$Q$62</f>
        <v>0</v>
      </c>
      <c r="F62" s="1154"/>
      <c r="G62" s="389"/>
      <c r="H62" s="561" t="s">
        <v>0</v>
      </c>
      <c r="I62" s="674">
        <f>SUM(I51:I54,I58:I61)</f>
        <v>0</v>
      </c>
      <c r="J62" s="563" t="s">
        <v>67</v>
      </c>
      <c r="K62" s="597">
        <f>ROUNDDOWN(SUM(K51:K54,K58:K61),-3)</f>
        <v>0</v>
      </c>
      <c r="L62" s="563" t="s">
        <v>67</v>
      </c>
      <c r="M62" s="597">
        <f>ROUNDDOWN(SUM(M51:M54,M58:M61),-3)</f>
        <v>0</v>
      </c>
      <c r="N62" s="563" t="s">
        <v>0</v>
      </c>
      <c r="O62" s="601">
        <f>ROUNDDOWN(SUM(O51:O54,O58:O61),-3)</f>
        <v>0</v>
      </c>
      <c r="P62" s="563" t="s">
        <v>0</v>
      </c>
      <c r="Q62" s="597">
        <f>ROUNDDOWN(SUM(Q51:Q54,Q58:Q61),-3)</f>
        <v>0</v>
      </c>
    </row>
    <row r="63" spans="1:25" ht="19" hidden="1">
      <c r="A63" s="1212" t="str">
        <f>CONCATENATE("（処遇Ⅱの基準年度の翌年～当年度まで（",I10,"％）分）")</f>
        <v>（処遇Ⅱの基準年度の翌年～当年度まで（％）分）</v>
      </c>
      <c r="B63" s="1212"/>
      <c r="C63" s="1212"/>
      <c r="D63" s="1212"/>
      <c r="E63" s="622"/>
      <c r="F63" s="389"/>
      <c r="G63" s="389"/>
      <c r="H63" s="389"/>
      <c r="I63" s="389"/>
      <c r="J63" s="389"/>
      <c r="K63" s="389"/>
      <c r="L63" s="389"/>
      <c r="M63" s="389"/>
      <c r="N63" s="389"/>
      <c r="O63" s="389"/>
      <c r="P63" s="389"/>
      <c r="Q63" s="389"/>
    </row>
    <row r="64" spans="1:25" ht="19" hidden="1">
      <c r="A64" s="1212"/>
      <c r="B64" s="1212"/>
      <c r="C64" s="1212"/>
      <c r="D64" s="1212"/>
      <c r="E64" s="622"/>
      <c r="F64" s="389"/>
      <c r="G64" s="389"/>
      <c r="H64" s="389"/>
      <c r="I64" s="389"/>
      <c r="J64" s="389"/>
      <c r="K64" s="389"/>
      <c r="L64" s="389"/>
      <c r="M64" s="389"/>
      <c r="N64" s="389"/>
      <c r="O64" s="389"/>
      <c r="P64" s="389"/>
      <c r="Q64" s="389"/>
    </row>
    <row r="65" spans="1:17" hidden="1">
      <c r="A65" s="624"/>
      <c r="B65" s="624"/>
      <c r="C65" s="610"/>
      <c r="D65" s="152"/>
      <c r="E65" s="389"/>
      <c r="F65" s="389"/>
      <c r="G65" s="389"/>
      <c r="H65" s="389"/>
      <c r="I65" s="389"/>
      <c r="J65" s="389"/>
      <c r="K65" s="389"/>
      <c r="L65" s="389"/>
      <c r="M65" s="389"/>
      <c r="N65" s="389"/>
      <c r="O65" s="389"/>
      <c r="P65" s="389"/>
      <c r="Q65" s="389"/>
    </row>
    <row r="66" spans="1:17" hidden="1">
      <c r="A66" s="389"/>
      <c r="B66" s="389"/>
      <c r="C66" s="389"/>
      <c r="D66" s="389"/>
      <c r="E66" s="389"/>
      <c r="F66" s="389"/>
      <c r="G66" s="389"/>
      <c r="H66" s="389"/>
      <c r="I66" s="389"/>
      <c r="J66" s="389"/>
      <c r="K66" s="389"/>
      <c r="L66" s="389"/>
      <c r="M66" s="389"/>
      <c r="N66" s="389"/>
      <c r="O66" s="389"/>
      <c r="P66" s="389"/>
      <c r="Q66" s="389"/>
    </row>
  </sheetData>
  <sheetProtection algorithmName="SHA-512" hashValue="/aQn6QnzRWoH+9jbaj3A/kHYgo3R8iHLyvPyRmKARTco4nG3zA68RxtUT0IalfiRdqF6g4p+0plIPGYjzRcxpw==" saltValue="ZOhDiAPPfa8hpW8Cztw3Vw==" spinCount="100000" sheet="1" objects="1" scenarios="1"/>
  <customSheetViews>
    <customSheetView guid="{2E52E5FF-9846-4DC5-A671-268FE925398C}" scale="80" showPageBreaks="1" fitToPage="1" printArea="1" hiddenColumns="1" view="pageBreakPreview">
      <selection activeCell="D20" sqref="D20"/>
      <pageMargins left="0.70866141732283472" right="0.70866141732283472" top="0.74803149606299213" bottom="0.74803149606299213" header="0.31496062992125984" footer="0.31496062992125984"/>
      <pageSetup paperSize="9" scale="48" orientation="landscape" r:id="rId1"/>
    </customSheetView>
    <customSheetView guid="{BADA99B3-B36A-4925-87A7-F72FC97D3DBA}" scale="80" showPageBreaks="1" fitToPage="1" printArea="1" view="pageBreakPreview" topLeftCell="A31">
      <selection activeCell="X35" sqref="X35"/>
      <pageMargins left="0.70866141732283472" right="0.70866141732283472" top="0.74803149606299213" bottom="0.74803149606299213" header="0.31496062992125984" footer="0.31496062992125984"/>
      <pageSetup paperSize="9" scale="48" orientation="landscape" r:id="rId2"/>
    </customSheetView>
  </customSheetViews>
  <mergeCells count="91">
    <mergeCell ref="A63:D64"/>
    <mergeCell ref="J48:K48"/>
    <mergeCell ref="N48:O48"/>
    <mergeCell ref="P48:Q48"/>
    <mergeCell ref="E58:F58"/>
    <mergeCell ref="A56:D57"/>
    <mergeCell ref="P49:P50"/>
    <mergeCell ref="Q49:Q50"/>
    <mergeCell ref="P56:P57"/>
    <mergeCell ref="Q56:Q57"/>
    <mergeCell ref="A59:D60"/>
    <mergeCell ref="A62:D62"/>
    <mergeCell ref="E62:F62"/>
    <mergeCell ref="J49:J50"/>
    <mergeCell ref="A50:D50"/>
    <mergeCell ref="A55:D55"/>
    <mergeCell ref="J40:J41"/>
    <mergeCell ref="L40:L41"/>
    <mergeCell ref="M40:M41"/>
    <mergeCell ref="J33:J34"/>
    <mergeCell ref="L33:L34"/>
    <mergeCell ref="D9:E9"/>
    <mergeCell ref="A58:D58"/>
    <mergeCell ref="E50:F50"/>
    <mergeCell ref="B43:C43"/>
    <mergeCell ref="B42:C42"/>
    <mergeCell ref="E55:F55"/>
    <mergeCell ref="B51:D52"/>
    <mergeCell ref="B44:C44"/>
    <mergeCell ref="B45:C45"/>
    <mergeCell ref="D40:D41"/>
    <mergeCell ref="B38:C38"/>
    <mergeCell ref="B9:C9"/>
    <mergeCell ref="B21:C21"/>
    <mergeCell ref="B24:C24"/>
    <mergeCell ref="B16:C16"/>
    <mergeCell ref="B17:C18"/>
    <mergeCell ref="I33:I34"/>
    <mergeCell ref="B37:C37"/>
    <mergeCell ref="F33:F34"/>
    <mergeCell ref="B23:C23"/>
    <mergeCell ref="D32:M32"/>
    <mergeCell ref="B29:C29"/>
    <mergeCell ref="B33:C34"/>
    <mergeCell ref="D33:D34"/>
    <mergeCell ref="E33:E34"/>
    <mergeCell ref="M33:M34"/>
    <mergeCell ref="G33:G34"/>
    <mergeCell ref="H33:H34"/>
    <mergeCell ref="B36:C36"/>
    <mergeCell ref="B26:C26"/>
    <mergeCell ref="B32:C32"/>
    <mergeCell ref="B35:C35"/>
    <mergeCell ref="B25:C25"/>
    <mergeCell ref="B27:C27"/>
    <mergeCell ref="B28:C28"/>
    <mergeCell ref="B22:C22"/>
    <mergeCell ref="B8:C8"/>
    <mergeCell ref="B5:C5"/>
    <mergeCell ref="A2:Q3"/>
    <mergeCell ref="B4:D4"/>
    <mergeCell ref="N1:Q1"/>
    <mergeCell ref="B6:C6"/>
    <mergeCell ref="D5:E5"/>
    <mergeCell ref="D6:E6"/>
    <mergeCell ref="D7:E7"/>
    <mergeCell ref="D8:E8"/>
    <mergeCell ref="N56:N57"/>
    <mergeCell ref="O56:O57"/>
    <mergeCell ref="L48:M48"/>
    <mergeCell ref="J56:J57"/>
    <mergeCell ref="K56:K57"/>
    <mergeCell ref="K49:K50"/>
    <mergeCell ref="L56:L57"/>
    <mergeCell ref="M56:M57"/>
    <mergeCell ref="N49:N50"/>
    <mergeCell ref="O49:O50"/>
    <mergeCell ref="L49:L50"/>
    <mergeCell ref="M49:M50"/>
    <mergeCell ref="I49:I50"/>
    <mergeCell ref="I56:I57"/>
    <mergeCell ref="H56:H57"/>
    <mergeCell ref="H40:H41"/>
    <mergeCell ref="B40:C41"/>
    <mergeCell ref="E40:E41"/>
    <mergeCell ref="F40:F41"/>
    <mergeCell ref="H48:I48"/>
    <mergeCell ref="H49:H50"/>
    <mergeCell ref="A53:G53"/>
    <mergeCell ref="G40:G41"/>
    <mergeCell ref="I40:I41"/>
  </mergeCells>
  <phoneticPr fontId="4"/>
  <conditionalFormatting sqref="I27:O28 D22:O23">
    <cfRule type="expression" dxfId="4" priority="2">
      <formula>D$21=""</formula>
    </cfRule>
  </conditionalFormatting>
  <conditionalFormatting sqref="D27:H28">
    <cfRule type="expression" dxfId="3" priority="345">
      <formula>D$21=""</formula>
    </cfRule>
  </conditionalFormatting>
  <dataValidations count="5">
    <dataValidation type="list" allowBlank="1" showInputMessage="1" showErrorMessage="1" sqref="D18:E18 G18:I18" xr:uid="{00000000-0002-0000-0D00-000000000000}">
      <formula1>$Y$3:$Y$4</formula1>
    </dataValidation>
    <dataValidation type="list" allowBlank="1" showInputMessage="1" showErrorMessage="1" sqref="K18" xr:uid="{00000000-0002-0000-0D00-000001000000}">
      <formula1>$Y$2:$Y$4</formula1>
    </dataValidation>
    <dataValidation type="list" allowBlank="1" showInputMessage="1" showErrorMessage="1" sqref="L18" xr:uid="{00000000-0002-0000-0D00-000002000000}">
      <formula1>$AA$2:$AA$5</formula1>
    </dataValidation>
    <dataValidation type="list" allowBlank="1" showInputMessage="1" showErrorMessage="1" sqref="J18" xr:uid="{00000000-0002-0000-0D00-000003000000}">
      <formula1>$Z$2:$Z$7</formula1>
    </dataValidation>
    <dataValidation type="whole" operator="greaterThanOrEqual" allowBlank="1" showInputMessage="1" showErrorMessage="1" sqref="F18" xr:uid="{00000000-0002-0000-0D00-000004000000}">
      <formula1>0</formula1>
    </dataValidation>
  </dataValidations>
  <printOptions horizontalCentered="1"/>
  <pageMargins left="0.70866141732283472" right="0.70866141732283472" top="0.74803149606299213" bottom="0.74803149606299213" header="0.31496062992125984" footer="0.31496062992125984"/>
  <pageSetup paperSize="9" scale="52"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tabColor theme="6" tint="0.59999389629810485"/>
    <pageSetUpPr fitToPage="1"/>
  </sheetPr>
  <dimension ref="A1:AE63"/>
  <sheetViews>
    <sheetView view="pageBreakPreview" zoomScale="55" zoomScaleNormal="70" zoomScaleSheetLayoutView="55" workbookViewId="0">
      <selection activeCell="D8" sqref="D8:E8"/>
    </sheetView>
  </sheetViews>
  <sheetFormatPr defaultColWidth="8.90625" defaultRowHeight="16.5" outlineLevelCol="1"/>
  <cols>
    <col min="1" max="1" width="18" style="390" customWidth="1"/>
    <col min="2" max="3" width="11.90625" style="390" customWidth="1"/>
    <col min="4" max="7" width="17.453125" style="390" customWidth="1"/>
    <col min="8" max="8" width="19.90625" style="390" customWidth="1"/>
    <col min="9" max="17" width="17.453125" style="390" customWidth="1"/>
    <col min="18" max="20" width="15.6328125" style="390" hidden="1" customWidth="1" outlineLevel="1"/>
    <col min="21" max="23" width="8.90625" style="390" hidden="1" customWidth="1" outlineLevel="1"/>
    <col min="24" max="24" width="10.26953125" style="390" hidden="1" customWidth="1" outlineLevel="1"/>
    <col min="25" max="30" width="8.90625" style="390" hidden="1" customWidth="1" outlineLevel="1"/>
    <col min="31" max="31" width="8.90625" style="390" collapsed="1"/>
    <col min="32" max="16384" width="8.90625" style="390"/>
  </cols>
  <sheetData>
    <row r="1" spans="1:30" ht="20.149999999999999" customHeight="1" thickBot="1">
      <c r="A1" s="525" t="str">
        <f ca="1">RIGHT(CELL("filename",A4),LEN(CELL("filename",A4))-FIND("]",CELL("filename",A4)))</f>
        <v>入力（加算）事19</v>
      </c>
      <c r="B1" s="389"/>
      <c r="C1" s="389"/>
      <c r="D1" s="389"/>
      <c r="E1" s="389"/>
      <c r="F1" s="389"/>
      <c r="G1" s="389"/>
      <c r="H1" s="389"/>
      <c r="I1" s="389"/>
      <c r="J1" s="389"/>
      <c r="K1" s="389"/>
      <c r="L1" s="389"/>
      <c r="M1" s="389"/>
      <c r="N1" s="1136" t="e">
        <f>CONCATENATE(#REF!,"/",#REF!,"/",#REF!)</f>
        <v>#REF!</v>
      </c>
      <c r="O1" s="1136"/>
      <c r="P1" s="1136"/>
      <c r="Q1" s="1136"/>
      <c r="W1" s="394" t="s">
        <v>66</v>
      </c>
      <c r="X1" s="524" t="s">
        <v>84</v>
      </c>
      <c r="Y1" s="393" t="s">
        <v>82</v>
      </c>
      <c r="Z1" s="393" t="s">
        <v>133</v>
      </c>
      <c r="AA1" s="394" t="s">
        <v>143</v>
      </c>
      <c r="AB1" s="394" t="s">
        <v>81</v>
      </c>
      <c r="AC1" s="393" t="s">
        <v>80</v>
      </c>
      <c r="AD1" s="394" t="s">
        <v>149</v>
      </c>
    </row>
    <row r="2" spans="1:30" ht="20.149999999999999" customHeight="1" thickBot="1">
      <c r="A2" s="1202" t="s">
        <v>437</v>
      </c>
      <c r="B2" s="1202"/>
      <c r="C2" s="1202"/>
      <c r="D2" s="1202"/>
      <c r="E2" s="1202"/>
      <c r="F2" s="1202"/>
      <c r="G2" s="1202"/>
      <c r="H2" s="1202"/>
      <c r="I2" s="1202"/>
      <c r="J2" s="1202"/>
      <c r="K2" s="1202"/>
      <c r="L2" s="1202"/>
      <c r="M2" s="1202"/>
      <c r="N2" s="1202"/>
      <c r="O2" s="1202"/>
      <c r="P2" s="1202"/>
      <c r="Q2" s="1202"/>
      <c r="W2" s="526"/>
      <c r="X2" s="527">
        <f>IF(ISERROR(VLOOKUP($D$10,$W$3:$X$14,2,FALSE)+1-VLOOKUP($D$9,$W$3:$X$14,2,FALSE)),0,VLOOKUP($D$10,$W$3:$X$14,2,FALSE)+1-VLOOKUP($D$9,$W$3:$X$14,2,FALSE))</f>
        <v>12</v>
      </c>
      <c r="Y2" s="393"/>
      <c r="Z2" s="393"/>
      <c r="AA2" s="394"/>
      <c r="AB2" s="394"/>
      <c r="AC2" s="393"/>
      <c r="AD2" s="604">
        <f>IF($K$30="あり",VLOOKUP($D$8,#REF!,58,TRUE),1)</f>
        <v>1</v>
      </c>
    </row>
    <row r="3" spans="1:30" ht="20.149999999999999" customHeight="1">
      <c r="A3" s="1202"/>
      <c r="B3" s="1202"/>
      <c r="C3" s="1202"/>
      <c r="D3" s="1202"/>
      <c r="E3" s="1202"/>
      <c r="F3" s="1202"/>
      <c r="G3" s="1202"/>
      <c r="H3" s="1202"/>
      <c r="I3" s="1202"/>
      <c r="J3" s="1202"/>
      <c r="K3" s="1202"/>
      <c r="L3" s="1202"/>
      <c r="M3" s="1202"/>
      <c r="N3" s="1202"/>
      <c r="O3" s="1202"/>
      <c r="P3" s="1202"/>
      <c r="Q3" s="1202"/>
      <c r="W3" s="391">
        <v>4</v>
      </c>
      <c r="X3" s="392">
        <v>1</v>
      </c>
      <c r="Y3" s="393" t="s">
        <v>18</v>
      </c>
      <c r="Z3" s="2" t="s">
        <v>87</v>
      </c>
      <c r="AA3" s="394" t="s">
        <v>141</v>
      </c>
      <c r="AB3" s="1">
        <v>3</v>
      </c>
      <c r="AC3" s="2">
        <v>6.3</v>
      </c>
    </row>
    <row r="4" spans="1:30" ht="20.149999999999999" customHeight="1">
      <c r="A4" s="389"/>
      <c r="B4" s="389"/>
      <c r="C4" s="389"/>
      <c r="D4" s="389"/>
      <c r="E4" s="389"/>
      <c r="F4" s="690"/>
      <c r="G4" s="690"/>
      <c r="H4" s="690"/>
      <c r="I4" s="690"/>
      <c r="J4" s="690"/>
      <c r="K4" s="690"/>
      <c r="L4" s="690"/>
      <c r="M4" s="690"/>
      <c r="N4" s="690"/>
      <c r="O4" s="389"/>
      <c r="P4" s="389"/>
      <c r="Q4" s="389"/>
      <c r="W4" s="391">
        <v>5</v>
      </c>
      <c r="X4" s="392">
        <v>2</v>
      </c>
      <c r="Y4" s="393" t="s">
        <v>19</v>
      </c>
      <c r="Z4" s="2" t="s">
        <v>135</v>
      </c>
      <c r="AA4" s="394" t="s">
        <v>144</v>
      </c>
      <c r="AB4" s="1">
        <v>4</v>
      </c>
      <c r="AC4" s="2">
        <v>4.3</v>
      </c>
    </row>
    <row r="5" spans="1:30" ht="20.149999999999999" customHeight="1">
      <c r="A5" s="389"/>
      <c r="B5" s="1084" t="s">
        <v>399</v>
      </c>
      <c r="C5" s="1084"/>
      <c r="D5" s="1084"/>
      <c r="E5" s="389"/>
      <c r="F5" s="690"/>
      <c r="G5" s="690"/>
      <c r="H5" s="690"/>
      <c r="I5" s="690"/>
      <c r="J5" s="690"/>
      <c r="K5" s="690"/>
      <c r="L5" s="690"/>
      <c r="M5" s="690"/>
      <c r="N5" s="690"/>
      <c r="O5" s="582" t="s">
        <v>56</v>
      </c>
      <c r="P5" s="389"/>
      <c r="Q5" s="389"/>
      <c r="W5" s="391">
        <v>6</v>
      </c>
      <c r="X5" s="392">
        <v>3</v>
      </c>
      <c r="Z5" s="4" t="s">
        <v>136</v>
      </c>
      <c r="AA5" s="394" t="s">
        <v>142</v>
      </c>
      <c r="AB5" s="3">
        <v>5</v>
      </c>
      <c r="AC5" s="4">
        <v>2.4</v>
      </c>
    </row>
    <row r="6" spans="1:30" ht="33" customHeight="1">
      <c r="A6" s="389"/>
      <c r="B6" s="1201" t="s">
        <v>3</v>
      </c>
      <c r="C6" s="1201"/>
      <c r="D6" s="896"/>
      <c r="E6" s="896"/>
      <c r="F6" s="690"/>
      <c r="G6" s="690"/>
      <c r="H6" s="690"/>
      <c r="I6" s="690"/>
      <c r="J6" s="690"/>
      <c r="K6" s="690"/>
      <c r="L6" s="690"/>
      <c r="M6" s="690"/>
      <c r="N6" s="690"/>
      <c r="O6" s="535" t="s">
        <v>57</v>
      </c>
      <c r="P6" s="389" t="s">
        <v>54</v>
      </c>
      <c r="Q6" s="389"/>
      <c r="W6" s="391">
        <v>7</v>
      </c>
      <c r="X6" s="392">
        <v>4</v>
      </c>
      <c r="Z6" s="4" t="s">
        <v>137</v>
      </c>
      <c r="AB6" s="1">
        <v>6</v>
      </c>
      <c r="AC6" s="2">
        <v>1.1000000000000001</v>
      </c>
    </row>
    <row r="7" spans="1:30" ht="33" customHeight="1">
      <c r="A7" s="389"/>
      <c r="B7" s="1201" t="s">
        <v>4</v>
      </c>
      <c r="C7" s="1201"/>
      <c r="D7" s="896" t="s">
        <v>69</v>
      </c>
      <c r="E7" s="896"/>
      <c r="F7" s="690"/>
      <c r="G7" s="690"/>
      <c r="H7" s="690"/>
      <c r="I7" s="690"/>
      <c r="J7" s="690"/>
      <c r="K7" s="690"/>
      <c r="L7" s="690"/>
      <c r="M7" s="690"/>
      <c r="N7" s="690"/>
      <c r="O7" s="536" t="s">
        <v>58</v>
      </c>
      <c r="P7" s="525" t="s">
        <v>59</v>
      </c>
      <c r="Q7" s="389"/>
      <c r="W7" s="391">
        <v>8</v>
      </c>
      <c r="X7" s="392">
        <v>5</v>
      </c>
      <c r="Z7" s="4" t="s">
        <v>138</v>
      </c>
    </row>
    <row r="8" spans="1:30" ht="33" customHeight="1">
      <c r="A8" s="389"/>
      <c r="B8" s="816" t="s">
        <v>2</v>
      </c>
      <c r="C8" s="816" t="s">
        <v>22</v>
      </c>
      <c r="D8" s="956"/>
      <c r="E8" s="956"/>
      <c r="F8" s="690"/>
      <c r="G8" s="690"/>
      <c r="H8" s="690"/>
      <c r="I8" s="690"/>
      <c r="J8" s="690"/>
      <c r="K8" s="690"/>
      <c r="L8" s="690"/>
      <c r="M8" s="690"/>
      <c r="N8" s="690"/>
      <c r="O8" s="389"/>
      <c r="P8" s="389"/>
      <c r="Q8" s="389"/>
      <c r="W8" s="391">
        <v>9</v>
      </c>
      <c r="X8" s="392">
        <v>6</v>
      </c>
    </row>
    <row r="9" spans="1:30" ht="33" customHeight="1">
      <c r="A9" s="389"/>
      <c r="B9" s="1201" t="s">
        <v>66</v>
      </c>
      <c r="C9" s="1201"/>
      <c r="D9" s="1188">
        <v>4</v>
      </c>
      <c r="E9" s="1188"/>
      <c r="F9" s="690"/>
      <c r="G9" s="690"/>
      <c r="H9" s="690"/>
      <c r="I9" s="690"/>
      <c r="J9" s="690"/>
      <c r="K9" s="690"/>
      <c r="L9" s="690"/>
      <c r="M9" s="690"/>
      <c r="N9" s="690"/>
      <c r="O9" s="389"/>
      <c r="P9" s="389"/>
      <c r="Q9" s="389"/>
      <c r="W9" s="391">
        <v>10</v>
      </c>
      <c r="X9" s="392">
        <v>7</v>
      </c>
    </row>
    <row r="10" spans="1:30" ht="33" customHeight="1">
      <c r="A10" s="389"/>
      <c r="B10" s="1201" t="s">
        <v>108</v>
      </c>
      <c r="C10" s="1201"/>
      <c r="D10" s="1188">
        <v>3</v>
      </c>
      <c r="E10" s="1188"/>
      <c r="F10" s="690"/>
      <c r="G10" s="690"/>
      <c r="H10" s="690"/>
      <c r="I10" s="690"/>
      <c r="J10" s="690"/>
      <c r="K10" s="690"/>
      <c r="L10" s="690"/>
      <c r="M10" s="690"/>
      <c r="N10" s="690"/>
      <c r="O10" s="389"/>
      <c r="P10" s="389"/>
      <c r="Q10" s="389"/>
      <c r="W10" s="391">
        <v>11</v>
      </c>
      <c r="X10" s="392">
        <v>8</v>
      </c>
    </row>
    <row r="11" spans="1:30" ht="20.149999999999999" customHeight="1">
      <c r="A11" s="389"/>
      <c r="B11" s="389"/>
      <c r="C11" s="389"/>
      <c r="D11" s="389"/>
      <c r="E11" s="389"/>
      <c r="F11" s="690"/>
      <c r="G11" s="690"/>
      <c r="H11" s="690"/>
      <c r="I11" s="690"/>
      <c r="J11" s="690"/>
      <c r="K11" s="690"/>
      <c r="L11" s="690"/>
      <c r="M11" s="690"/>
      <c r="N11" s="690"/>
      <c r="O11" s="389"/>
      <c r="P11" s="389"/>
      <c r="Q11" s="389"/>
      <c r="W11" s="391">
        <v>12</v>
      </c>
      <c r="X11" s="392">
        <v>9</v>
      </c>
    </row>
    <row r="12" spans="1:30" ht="20.149999999999999" hidden="1" customHeight="1">
      <c r="A12" s="389"/>
      <c r="B12" s="389"/>
      <c r="C12" s="389"/>
      <c r="D12" s="389"/>
      <c r="E12" s="389"/>
      <c r="F12" s="690"/>
      <c r="G12" s="690"/>
      <c r="H12" s="690"/>
      <c r="I12" s="690"/>
      <c r="J12" s="690"/>
      <c r="K12" s="690"/>
      <c r="L12" s="690"/>
      <c r="M12" s="690"/>
      <c r="N12" s="690"/>
      <c r="O12" s="389"/>
      <c r="P12" s="389"/>
      <c r="Q12" s="389"/>
      <c r="W12" s="391">
        <v>1</v>
      </c>
      <c r="X12" s="392">
        <v>10</v>
      </c>
    </row>
    <row r="13" spans="1:30" ht="20.149999999999999" hidden="1" customHeight="1">
      <c r="A13" s="389"/>
      <c r="B13" s="389"/>
      <c r="C13" s="389"/>
      <c r="D13" s="389"/>
      <c r="E13" s="389"/>
      <c r="F13" s="690"/>
      <c r="G13" s="690"/>
      <c r="H13" s="690"/>
      <c r="I13" s="690"/>
      <c r="J13" s="690"/>
      <c r="K13" s="690"/>
      <c r="L13" s="690"/>
      <c r="M13" s="690"/>
      <c r="N13" s="690"/>
      <c r="O13" s="389"/>
      <c r="P13" s="389"/>
      <c r="Q13" s="389"/>
      <c r="W13" s="391">
        <v>2</v>
      </c>
      <c r="X13" s="392">
        <v>11</v>
      </c>
    </row>
    <row r="14" spans="1:30" ht="19.5" customHeight="1">
      <c r="A14" s="389"/>
      <c r="B14" s="389"/>
      <c r="C14" s="389"/>
      <c r="D14" s="389"/>
      <c r="E14" s="389"/>
      <c r="F14" s="690"/>
      <c r="G14" s="690"/>
      <c r="H14" s="690"/>
      <c r="I14" s="690"/>
      <c r="J14" s="690"/>
      <c r="K14" s="690"/>
      <c r="L14" s="690"/>
      <c r="M14" s="690"/>
      <c r="N14" s="690"/>
      <c r="O14" s="389"/>
      <c r="P14" s="389"/>
      <c r="Q14" s="389"/>
      <c r="W14" s="391">
        <v>3</v>
      </c>
      <c r="X14" s="392">
        <v>12</v>
      </c>
    </row>
    <row r="15" spans="1:30" ht="20.149999999999999" customHeight="1">
      <c r="A15" s="389"/>
      <c r="B15" s="389"/>
      <c r="C15" s="389"/>
      <c r="D15" s="389"/>
      <c r="E15" s="389"/>
      <c r="F15" s="109"/>
      <c r="G15" s="539"/>
      <c r="H15" s="539"/>
      <c r="I15" s="15"/>
      <c r="J15" s="128"/>
      <c r="K15" s="690"/>
      <c r="L15" s="690"/>
      <c r="M15" s="690"/>
      <c r="N15" s="690"/>
      <c r="O15" s="389"/>
      <c r="P15" s="389"/>
      <c r="Q15" s="389"/>
    </row>
    <row r="16" spans="1:30" ht="20.149999999999999" customHeight="1">
      <c r="A16" s="389"/>
      <c r="B16" s="1220" t="s">
        <v>357</v>
      </c>
      <c r="C16" s="1220"/>
      <c r="D16" s="1220"/>
      <c r="E16" s="1220"/>
      <c r="F16" s="1220"/>
      <c r="G16" s="109"/>
      <c r="H16" s="109"/>
      <c r="I16" s="109"/>
      <c r="J16" s="109"/>
      <c r="K16" s="109"/>
      <c r="L16" s="109"/>
      <c r="M16" s="109"/>
      <c r="N16" s="109"/>
      <c r="O16" s="109"/>
      <c r="P16" s="389"/>
      <c r="Q16" s="389"/>
    </row>
    <row r="17" spans="1:24" ht="29.25" customHeight="1">
      <c r="A17" s="389"/>
      <c r="B17" s="1209" t="s">
        <v>33</v>
      </c>
      <c r="C17" s="1210"/>
      <c r="D17" s="445" t="str">
        <f>IF(AND(VLOOKUP($D$9,$W$3:$X$14,2,FALSE)&lt;=1,VLOOKUP($D$10,$W$3:$X$14,2,FALSE)&gt;=1),"4月","")</f>
        <v>4月</v>
      </c>
      <c r="E17" s="445" t="str">
        <f>IF(AND(VLOOKUP($D$9,$W$3:$X$14,2,FALSE)&lt;=2,VLOOKUP($D$10,$W$3:$X$14,2,FALSE)&gt;=2),"5月","")</f>
        <v>5月</v>
      </c>
      <c r="F17" s="445" t="str">
        <f>IF(AND(VLOOKUP($D$9,$W$3:$X$14,2,FALSE)&lt;=3,VLOOKUP($D$10,$W$3:$X$14,2,FALSE)&gt;=3),"6月","")</f>
        <v>6月</v>
      </c>
      <c r="G17" s="445" t="str">
        <f>IF(AND(VLOOKUP($D$9,$W$3:$X$14,2,FALSE)&lt;=4,VLOOKUP($D$10,$W$3:$X$14,2,FALSE)&gt;=4),"7月","")</f>
        <v>7月</v>
      </c>
      <c r="H17" s="445" t="str">
        <f>IF(AND(VLOOKUP($D$9,$W$3:$X$14,2,FALSE)&lt;=5,VLOOKUP($D$10,$W$3:$X$14,2,FALSE)&gt;=5),"8月","")</f>
        <v>8月</v>
      </c>
      <c r="I17" s="445" t="str">
        <f>IF(AND(VLOOKUP($D$9,$W$3:$X$14,2,FALSE)&lt;=6,VLOOKUP($D$10,$W$3:$X$14,2,FALSE)&gt;=6),"9月","")</f>
        <v>9月</v>
      </c>
      <c r="J17" s="445" t="str">
        <f>IF(AND(VLOOKUP($D$9,$W$3:$X$14,2,FALSE)&lt;=7,VLOOKUP($D$10,$W$3:$X$14,2,FALSE)&gt;=7),"10月","")</f>
        <v>10月</v>
      </c>
      <c r="K17" s="445" t="str">
        <f>IF(AND(VLOOKUP($D$9,$W$3:$X$14,2,FALSE)&lt;=8,VLOOKUP($D$10,$W$3:$X$14,2,FALSE)&gt;=8),"11月","")</f>
        <v>11月</v>
      </c>
      <c r="L17" s="445" t="str">
        <f>IF(AND(VLOOKUP($D$9,$W$3:$X$14,2,FALSE)&lt;=9,VLOOKUP($D$10,$W$3:$X$14,2,FALSE)&gt;=9),"12月","")</f>
        <v>12月</v>
      </c>
      <c r="M17" s="445" t="str">
        <f>IF(AND(VLOOKUP($D$9,$W$3:$X$14,2,FALSE)&lt;=10,VLOOKUP($D$10,$W$3:$X$14,2,FALSE)&gt;=10),"1月","")</f>
        <v>1月</v>
      </c>
      <c r="N17" s="445" t="str">
        <f>IF(AND(VLOOKUP($D$9,$W$3:$X$14,2,FALSE)&lt;=11,VLOOKUP($D$10,$W$3:$X$14,2,FALSE)&gt;=11),"2月","")</f>
        <v>2月</v>
      </c>
      <c r="O17" s="445" t="str">
        <f>IF(AND(VLOOKUP($D$9,$W$3:$X$14,2,FALSE)&lt;=12,VLOOKUP($D$10,$W$3:$X$14,2,FALSE)&gt;=12),"3月","")</f>
        <v>3月</v>
      </c>
      <c r="P17" s="445" t="s">
        <v>20</v>
      </c>
      <c r="Q17" s="445" t="s">
        <v>1</v>
      </c>
    </row>
    <row r="18" spans="1:24" ht="29.25" customHeight="1">
      <c r="A18" s="389"/>
      <c r="B18" s="1079" t="s">
        <v>41</v>
      </c>
      <c r="C18" s="1204"/>
      <c r="D18" s="608"/>
      <c r="E18" s="608"/>
      <c r="F18" s="608"/>
      <c r="G18" s="608"/>
      <c r="H18" s="608"/>
      <c r="I18" s="608"/>
      <c r="J18" s="608"/>
      <c r="K18" s="608"/>
      <c r="L18" s="608"/>
      <c r="M18" s="608"/>
      <c r="N18" s="608"/>
      <c r="O18" s="608"/>
      <c r="P18" s="546">
        <f>SUM(D18:O18)</f>
        <v>0</v>
      </c>
      <c r="Q18" s="546">
        <f>IF(ISERROR(ROUND(P18/$X$2,0)),0,ROUND(P18/$X$2,0))</f>
        <v>0</v>
      </c>
    </row>
    <row r="19" spans="1:24" ht="29.25" customHeight="1">
      <c r="A19" s="389"/>
      <c r="B19" s="896" t="s">
        <v>40</v>
      </c>
      <c r="C19" s="896"/>
      <c r="D19" s="608"/>
      <c r="E19" s="608"/>
      <c r="F19" s="608"/>
      <c r="G19" s="608"/>
      <c r="H19" s="608"/>
      <c r="I19" s="608"/>
      <c r="J19" s="608"/>
      <c r="K19" s="608"/>
      <c r="L19" s="608"/>
      <c r="M19" s="608"/>
      <c r="N19" s="608"/>
      <c r="O19" s="608"/>
      <c r="P19" s="546">
        <f>SUM(D19:O19)</f>
        <v>0</v>
      </c>
      <c r="Q19" s="546">
        <f>IF(ISERROR(ROUND(P19/$X$2,0)),0,ROUND(P19/$X$2,0))</f>
        <v>0</v>
      </c>
    </row>
    <row r="20" spans="1:24" ht="29.25" customHeight="1">
      <c r="A20" s="389"/>
      <c r="B20" s="896" t="s">
        <v>0</v>
      </c>
      <c r="C20" s="896"/>
      <c r="D20" s="546">
        <f t="shared" ref="D20:O20" si="0">SUM(D18:D19)</f>
        <v>0</v>
      </c>
      <c r="E20" s="546">
        <f t="shared" si="0"/>
        <v>0</v>
      </c>
      <c r="F20" s="546">
        <f t="shared" si="0"/>
        <v>0</v>
      </c>
      <c r="G20" s="546">
        <f t="shared" si="0"/>
        <v>0</v>
      </c>
      <c r="H20" s="546">
        <f t="shared" si="0"/>
        <v>0</v>
      </c>
      <c r="I20" s="546">
        <f t="shared" si="0"/>
        <v>0</v>
      </c>
      <c r="J20" s="546">
        <f t="shared" si="0"/>
        <v>0</v>
      </c>
      <c r="K20" s="546">
        <f t="shared" si="0"/>
        <v>0</v>
      </c>
      <c r="L20" s="546">
        <f t="shared" si="0"/>
        <v>0</v>
      </c>
      <c r="M20" s="546">
        <f t="shared" si="0"/>
        <v>0</v>
      </c>
      <c r="N20" s="546">
        <f t="shared" si="0"/>
        <v>0</v>
      </c>
      <c r="O20" s="546">
        <f t="shared" si="0"/>
        <v>0</v>
      </c>
      <c r="P20" s="546">
        <f>SUM(D20:O20)</f>
        <v>0</v>
      </c>
      <c r="Q20" s="546">
        <f>SUM(Q18:Q19)</f>
        <v>0</v>
      </c>
    </row>
    <row r="21" spans="1:24" ht="29.25" customHeight="1">
      <c r="A21" s="389"/>
      <c r="B21" s="1221"/>
      <c r="C21" s="1221"/>
      <c r="D21" s="389"/>
      <c r="E21" s="389"/>
      <c r="F21" s="389"/>
      <c r="G21" s="389"/>
      <c r="H21" s="389"/>
      <c r="I21" s="389"/>
      <c r="J21" s="389"/>
      <c r="K21" s="389"/>
      <c r="L21" s="389"/>
      <c r="M21" s="389"/>
      <c r="N21" s="389"/>
      <c r="O21" s="389"/>
      <c r="P21" s="389"/>
      <c r="Q21" s="389"/>
    </row>
    <row r="22" spans="1:24" ht="29.25" customHeight="1">
      <c r="A22" s="389"/>
      <c r="B22" s="1209" t="s">
        <v>34</v>
      </c>
      <c r="C22" s="1210"/>
      <c r="D22" s="445" t="str">
        <f t="shared" ref="D22:O22" si="1">D17</f>
        <v>4月</v>
      </c>
      <c r="E22" s="445" t="str">
        <f t="shared" si="1"/>
        <v>5月</v>
      </c>
      <c r="F22" s="445" t="str">
        <f t="shared" si="1"/>
        <v>6月</v>
      </c>
      <c r="G22" s="445" t="str">
        <f t="shared" si="1"/>
        <v>7月</v>
      </c>
      <c r="H22" s="445" t="str">
        <f t="shared" si="1"/>
        <v>8月</v>
      </c>
      <c r="I22" s="445" t="str">
        <f t="shared" si="1"/>
        <v>9月</v>
      </c>
      <c r="J22" s="445" t="str">
        <f t="shared" si="1"/>
        <v>10月</v>
      </c>
      <c r="K22" s="445" t="str">
        <f t="shared" si="1"/>
        <v>11月</v>
      </c>
      <c r="L22" s="445" t="str">
        <f t="shared" si="1"/>
        <v>12月</v>
      </c>
      <c r="M22" s="445" t="str">
        <f t="shared" si="1"/>
        <v>1月</v>
      </c>
      <c r="N22" s="445" t="str">
        <f t="shared" si="1"/>
        <v>2月</v>
      </c>
      <c r="O22" s="445" t="str">
        <f t="shared" si="1"/>
        <v>3月</v>
      </c>
      <c r="P22" s="445" t="s">
        <v>20</v>
      </c>
      <c r="Q22" s="445" t="s">
        <v>1</v>
      </c>
    </row>
    <row r="23" spans="1:24" ht="29.25" customHeight="1">
      <c r="A23" s="389"/>
      <c r="B23" s="1079" t="s">
        <v>41</v>
      </c>
      <c r="C23" s="1204"/>
      <c r="D23" s="608"/>
      <c r="E23" s="608"/>
      <c r="F23" s="608"/>
      <c r="G23" s="608"/>
      <c r="H23" s="608"/>
      <c r="I23" s="608"/>
      <c r="J23" s="608"/>
      <c r="K23" s="608"/>
      <c r="L23" s="608"/>
      <c r="M23" s="608"/>
      <c r="N23" s="608"/>
      <c r="O23" s="608"/>
      <c r="P23" s="546">
        <f>SUM(D23:O23)</f>
        <v>0</v>
      </c>
      <c r="Q23" s="546">
        <f>IF(ISERROR(ROUND(P23/$X$2,0)),0,ROUND(P23/$X$2,0))</f>
        <v>0</v>
      </c>
    </row>
    <row r="24" spans="1:24" ht="29.25" customHeight="1">
      <c r="A24" s="389"/>
      <c r="B24" s="896" t="s">
        <v>40</v>
      </c>
      <c r="C24" s="896"/>
      <c r="D24" s="608"/>
      <c r="E24" s="608"/>
      <c r="F24" s="608"/>
      <c r="G24" s="608"/>
      <c r="H24" s="608"/>
      <c r="I24" s="608"/>
      <c r="J24" s="608"/>
      <c r="K24" s="608"/>
      <c r="L24" s="608"/>
      <c r="M24" s="608"/>
      <c r="N24" s="608"/>
      <c r="O24" s="608"/>
      <c r="P24" s="546">
        <f>SUM(D24:O24)</f>
        <v>0</v>
      </c>
      <c r="Q24" s="546">
        <f>IF(ISERROR(ROUND(P24/$X$2,0)),0,ROUND(P24/$X$2,0))</f>
        <v>0</v>
      </c>
    </row>
    <row r="25" spans="1:24" ht="29.25" customHeight="1">
      <c r="A25" s="389"/>
      <c r="B25" s="896" t="s">
        <v>0</v>
      </c>
      <c r="C25" s="896"/>
      <c r="D25" s="546">
        <f t="shared" ref="D25:O25" si="2">SUM(D23:D24)</f>
        <v>0</v>
      </c>
      <c r="E25" s="546">
        <f t="shared" si="2"/>
        <v>0</v>
      </c>
      <c r="F25" s="546">
        <f t="shared" si="2"/>
        <v>0</v>
      </c>
      <c r="G25" s="546">
        <f t="shared" si="2"/>
        <v>0</v>
      </c>
      <c r="H25" s="546">
        <f t="shared" si="2"/>
        <v>0</v>
      </c>
      <c r="I25" s="546">
        <f t="shared" si="2"/>
        <v>0</v>
      </c>
      <c r="J25" s="546">
        <f t="shared" si="2"/>
        <v>0</v>
      </c>
      <c r="K25" s="546">
        <f t="shared" si="2"/>
        <v>0</v>
      </c>
      <c r="L25" s="546">
        <f t="shared" si="2"/>
        <v>0</v>
      </c>
      <c r="M25" s="546">
        <f t="shared" si="2"/>
        <v>0</v>
      </c>
      <c r="N25" s="546">
        <f t="shared" si="2"/>
        <v>0</v>
      </c>
      <c r="O25" s="546">
        <f t="shared" si="2"/>
        <v>0</v>
      </c>
      <c r="P25" s="546">
        <f>SUM(D25:O25)</f>
        <v>0</v>
      </c>
      <c r="Q25" s="546">
        <f>SUM(Q23:Q24)</f>
        <v>0</v>
      </c>
    </row>
    <row r="26" spans="1:24" ht="35.25" customHeight="1">
      <c r="A26" s="389"/>
      <c r="B26" s="587"/>
      <c r="C26" s="609"/>
      <c r="D26" s="609"/>
      <c r="E26" s="609"/>
      <c r="F26" s="609"/>
      <c r="G26" s="609"/>
      <c r="H26" s="609"/>
      <c r="I26" s="609"/>
      <c r="J26" s="609"/>
      <c r="K26" s="609"/>
      <c r="L26" s="609"/>
      <c r="M26" s="609"/>
      <c r="N26" s="609"/>
      <c r="O26" s="109"/>
      <c r="P26" s="389"/>
      <c r="Q26" s="389"/>
    </row>
    <row r="27" spans="1:24" ht="20.149999999999999" customHeight="1">
      <c r="A27" s="389"/>
      <c r="B27" s="128"/>
      <c r="C27" s="128"/>
      <c r="D27" s="109"/>
      <c r="E27" s="109"/>
      <c r="F27" s="109"/>
      <c r="G27" s="109"/>
      <c r="H27" s="109"/>
      <c r="I27" s="109"/>
      <c r="J27" s="109"/>
      <c r="K27" s="109"/>
      <c r="L27" s="109"/>
      <c r="M27" s="109"/>
      <c r="N27" s="109"/>
      <c r="O27" s="109"/>
      <c r="P27" s="109"/>
      <c r="Q27" s="540"/>
    </row>
    <row r="28" spans="1:24" ht="29.25" customHeight="1">
      <c r="A28" s="389"/>
      <c r="B28" s="1092" t="s">
        <v>55</v>
      </c>
      <c r="C28" s="1092"/>
      <c r="D28" s="129" t="s">
        <v>158</v>
      </c>
      <c r="E28" s="130"/>
      <c r="F28" s="130"/>
      <c r="G28" s="130"/>
      <c r="H28" s="455" t="s">
        <v>112</v>
      </c>
      <c r="I28" s="130"/>
      <c r="J28" s="131"/>
      <c r="K28" s="132" t="s">
        <v>113</v>
      </c>
      <c r="L28" s="456" t="s">
        <v>114</v>
      </c>
      <c r="M28" s="109"/>
      <c r="N28" s="109"/>
      <c r="O28" s="109"/>
      <c r="P28" s="109"/>
      <c r="Q28" s="389"/>
    </row>
    <row r="29" spans="1:24" ht="102" customHeight="1">
      <c r="A29" s="389"/>
      <c r="B29" s="896" t="s">
        <v>37</v>
      </c>
      <c r="C29" s="896"/>
      <c r="D29" s="17" t="s">
        <v>9</v>
      </c>
      <c r="E29" s="17" t="s">
        <v>152</v>
      </c>
      <c r="F29" s="867" t="s">
        <v>65</v>
      </c>
      <c r="G29" s="17" t="s">
        <v>28</v>
      </c>
      <c r="H29" s="17" t="s">
        <v>39</v>
      </c>
      <c r="I29" s="17" t="s">
        <v>154</v>
      </c>
      <c r="J29" s="17" t="s">
        <v>131</v>
      </c>
      <c r="K29" s="17" t="s">
        <v>140</v>
      </c>
      <c r="L29" s="127" t="s">
        <v>139</v>
      </c>
      <c r="M29" s="26"/>
      <c r="N29" s="454"/>
      <c r="O29" s="128"/>
      <c r="P29" s="128"/>
      <c r="Q29" s="389"/>
      <c r="S29" s="572"/>
      <c r="T29" s="572"/>
      <c r="U29" s="572"/>
    </row>
    <row r="30" spans="1:24" ht="41.25" customHeight="1">
      <c r="A30" s="389"/>
      <c r="B30" s="896"/>
      <c r="C30" s="896"/>
      <c r="D30" s="445" t="s">
        <v>53</v>
      </c>
      <c r="E30" s="14"/>
      <c r="F30" s="386"/>
      <c r="G30" s="387"/>
      <c r="H30" s="14"/>
      <c r="I30" s="14"/>
      <c r="J30" s="14"/>
      <c r="K30" s="14"/>
      <c r="L30" s="14"/>
      <c r="M30" s="109"/>
      <c r="N30" s="128"/>
      <c r="O30" s="128"/>
      <c r="P30" s="128"/>
      <c r="Q30" s="389"/>
      <c r="R30" s="389"/>
      <c r="S30" s="572"/>
      <c r="T30" s="572"/>
      <c r="U30" s="572"/>
    </row>
    <row r="31" spans="1:24" ht="44.25" customHeight="1">
      <c r="A31" s="389"/>
      <c r="B31" s="128"/>
      <c r="C31" s="128"/>
      <c r="D31" s="128"/>
      <c r="E31" s="128"/>
      <c r="F31" s="128"/>
      <c r="G31" s="128"/>
      <c r="H31" s="128"/>
      <c r="I31" s="128"/>
      <c r="J31" s="128"/>
      <c r="K31" s="128"/>
      <c r="L31" s="128"/>
      <c r="M31" s="128"/>
      <c r="N31" s="128"/>
      <c r="O31" s="389"/>
      <c r="P31" s="389"/>
      <c r="Q31" s="7"/>
      <c r="R31" s="389"/>
      <c r="S31" s="544"/>
      <c r="T31" s="544"/>
      <c r="U31" s="652"/>
      <c r="W31" s="572"/>
      <c r="X31" s="572"/>
    </row>
    <row r="32" spans="1:24" ht="20.149999999999999" hidden="1" customHeight="1" thickBot="1">
      <c r="A32" s="389"/>
      <c r="B32" s="1084" t="s">
        <v>63</v>
      </c>
      <c r="C32" s="1084"/>
      <c r="D32" s="1096" t="s">
        <v>64</v>
      </c>
      <c r="E32" s="1097"/>
      <c r="F32" s="1097"/>
      <c r="G32" s="1097"/>
      <c r="H32" s="1097"/>
      <c r="I32" s="1097"/>
      <c r="J32" s="1097"/>
      <c r="K32" s="1097"/>
      <c r="L32" s="1097"/>
      <c r="M32" s="1098"/>
      <c r="N32" s="389"/>
      <c r="O32" s="389"/>
      <c r="P32" s="389"/>
      <c r="Q32" s="389"/>
      <c r="S32" s="109"/>
      <c r="T32" s="109"/>
      <c r="U32" s="572"/>
      <c r="W32" s="598"/>
      <c r="X32" s="598"/>
    </row>
    <row r="33" spans="1:24" ht="47.25" hidden="1" customHeight="1">
      <c r="A33" s="389"/>
      <c r="B33" s="1139" t="s">
        <v>35</v>
      </c>
      <c r="C33" s="1181"/>
      <c r="D33" s="1205" t="s">
        <v>9</v>
      </c>
      <c r="E33" s="1205" t="s">
        <v>38</v>
      </c>
      <c r="F33" s="1205" t="s">
        <v>27</v>
      </c>
      <c r="G33" s="1205" t="s">
        <v>28</v>
      </c>
      <c r="H33" s="1225" t="s">
        <v>39</v>
      </c>
      <c r="I33" s="1205" t="s">
        <v>170</v>
      </c>
      <c r="J33" s="1216" t="s">
        <v>131</v>
      </c>
      <c r="K33" s="32" t="s">
        <v>148</v>
      </c>
      <c r="L33" s="1222" t="s">
        <v>139</v>
      </c>
      <c r="M33" s="1215" t="s">
        <v>60</v>
      </c>
      <c r="N33" s="389"/>
      <c r="O33" s="389"/>
      <c r="P33" s="389"/>
      <c r="Q33" s="389"/>
      <c r="R33" s="389"/>
      <c r="S33" s="109"/>
      <c r="T33" s="109"/>
      <c r="U33" s="572"/>
      <c r="W33" s="598"/>
      <c r="X33" s="598"/>
    </row>
    <row r="34" spans="1:24" ht="47.25" hidden="1" customHeight="1">
      <c r="A34" s="389"/>
      <c r="B34" s="1141"/>
      <c r="C34" s="1182"/>
      <c r="D34" s="1184"/>
      <c r="E34" s="1184"/>
      <c r="F34" s="1184"/>
      <c r="G34" s="1184"/>
      <c r="H34" s="1184"/>
      <c r="I34" s="1184"/>
      <c r="J34" s="1214"/>
      <c r="K34" s="30" t="str">
        <f>IF($AD$2=1,"",CONCATENATE("（乗除調整",TEXT($AD$2,"##/100"),")"))</f>
        <v/>
      </c>
      <c r="L34" s="1195"/>
      <c r="M34" s="1207"/>
      <c r="N34" s="389"/>
      <c r="O34" s="389"/>
      <c r="P34" s="389"/>
      <c r="Q34" s="389"/>
      <c r="R34" s="109"/>
      <c r="S34" s="572"/>
      <c r="T34" s="572"/>
      <c r="U34" s="572"/>
      <c r="W34" s="598"/>
      <c r="X34" s="598"/>
    </row>
    <row r="35" spans="1:24" ht="20.149999999999999" hidden="1" customHeight="1">
      <c r="A35" s="389"/>
      <c r="B35" s="896" t="s">
        <v>24</v>
      </c>
      <c r="C35" s="1079"/>
      <c r="D35" s="546" t="e">
        <f>IF($D$30="あり",VLOOKUP($D$8,#REF!,12,TRUE),0)</f>
        <v>#REF!</v>
      </c>
      <c r="E35" s="550"/>
      <c r="F35" s="546">
        <f>IF(ISERROR(#REF!),0,#REF!)</f>
        <v>0</v>
      </c>
      <c r="G35" s="546">
        <f>IF($G$30="あり",VLOOKUP($D$8,#REF!,36,TRUE),0)</f>
        <v>0</v>
      </c>
      <c r="H35" s="546">
        <f>IF(H$30="あり",IF(ISERROR(-ROUNDDOWN(SUM($D35,$G35)*VLOOKUP($D$8,#REF!,47,TRUE),-1)),0,-ROUNDDOWN(SUM($D35,$G35)*VLOOKUP($D$8,#REF!,47,TRUE),-1)),0)</f>
        <v>0</v>
      </c>
      <c r="I35" s="546">
        <f>IF($I$30="あり",-VLOOKUP($D$8,#REF!,51,TRUE),0)</f>
        <v>0</v>
      </c>
      <c r="J35" s="547">
        <f>-IFERROR(IF(ROUNDDOWN(SUM($D35,$E35,$G35)*VLOOKUP($J$30,#REF!,2,FALSE),-1)&lt;10,ROUNDDOWN(SUM($D35,$E35,$G35)*VLOOKUP($J$30,#REF!,2,FALSE),0),ROUNDDOWN(SUM($D35,$E35,$G35)*VLOOKUP($J$30,#REF!,2,FALSE),-1)),0)</f>
        <v>0</v>
      </c>
      <c r="K35" s="586" t="e">
        <f>IF($AD$2=1,SUM($D35:$J35),(IF(ROUNDDOWN(SUM($D35:$J35)*$AD$2,-1)&lt;10,ROUNDDOWN(SUM($D35:$J35)*$AD$2,0),(ROUNDDOWN(SUM($D35:$J35)*$AD$2,-1)))))</f>
        <v>#REF!</v>
      </c>
      <c r="L35" s="628">
        <f>IF(L$30="配置",IF(ROUNDDOWN(#REF!/$I$62,-1)&lt;10,ROUNDDOWN(#REF!/$I$62,0),ROUNDDOWN(#REF!/$I$62,-1)),IF(L$30="兼務",IF(ROUNDDOWN(#REF!/$I$62,-1)&lt;10,ROUNDDOWN(#REF!/$I$62,0),ROUNDDOWN(#REF!/$I$62,-1)),0))</f>
        <v>0</v>
      </c>
      <c r="M35" s="555">
        <f>IF(ISERROR(SUM(K35:L35)),0,SUM(K35:L35))</f>
        <v>0</v>
      </c>
      <c r="N35" s="389"/>
      <c r="O35" s="389"/>
      <c r="P35" s="389"/>
      <c r="Q35" s="389"/>
      <c r="R35" s="109"/>
      <c r="S35" s="551"/>
      <c r="T35" s="573"/>
      <c r="U35" s="572"/>
      <c r="W35" s="598"/>
      <c r="X35" s="598"/>
    </row>
    <row r="36" spans="1:24" ht="20.149999999999999" hidden="1" customHeight="1">
      <c r="A36" s="389"/>
      <c r="B36" s="896" t="s">
        <v>23</v>
      </c>
      <c r="C36" s="1079"/>
      <c r="D36" s="546" t="e">
        <f>IF($D$30="あり",VLOOKUP($D$8,#REF!,12,TRUE),0)</f>
        <v>#REF!</v>
      </c>
      <c r="E36" s="550"/>
      <c r="F36" s="546">
        <f t="shared" ref="F36:G38" si="3">F35</f>
        <v>0</v>
      </c>
      <c r="G36" s="546">
        <f t="shared" si="3"/>
        <v>0</v>
      </c>
      <c r="H36" s="546">
        <f>IF(H$30="あり",IF(ISERROR(-ROUNDDOWN(SUM($D36,$G36)*VLOOKUP($D$8,#REF!,47,TRUE),-1)),0,-ROUNDDOWN(SUM($D36,$G36)*VLOOKUP($D$8,#REF!,47,TRUE),-1)),0)</f>
        <v>0</v>
      </c>
      <c r="I36" s="546">
        <f>I35</f>
        <v>0</v>
      </c>
      <c r="J36" s="547">
        <f>-IFERROR(IF(ROUNDDOWN(SUM($D36,$E36,$G36)*VLOOKUP($J$30,#REF!,2,FALSE),-1)&lt;10,ROUNDDOWN(SUM($D36,$E36,$G36)*VLOOKUP($J$30,#REF!,2,FALSE),0),ROUNDDOWN(SUM($D36,$E36,$G36)*VLOOKUP($J$30,#REF!,2,FALSE),-1)),0)</f>
        <v>0</v>
      </c>
      <c r="K36" s="586" t="e">
        <f>IF($AD$2=1,SUM($D36:$J36),(IF(ROUNDDOWN(SUM($D36:$J36)*$AD$2,-1)&lt;10,ROUNDDOWN(SUM($D36:$J36)*$AD$2,0),(ROUNDDOWN(SUM($D36:$J36)*$AD$2,-1)))))</f>
        <v>#REF!</v>
      </c>
      <c r="L36" s="628">
        <f>L35</f>
        <v>0</v>
      </c>
      <c r="M36" s="555">
        <f>IF(ISERROR(SUM(K36:L36)),0,SUM(K36:L36))</f>
        <v>0</v>
      </c>
      <c r="N36" s="389"/>
      <c r="O36" s="389"/>
      <c r="P36" s="389"/>
      <c r="Q36" s="389"/>
      <c r="R36" s="109"/>
      <c r="S36" s="551"/>
      <c r="T36" s="573"/>
      <c r="U36" s="572"/>
      <c r="W36" s="598"/>
      <c r="X36" s="598"/>
    </row>
    <row r="37" spans="1:24" ht="20.149999999999999" hidden="1" customHeight="1">
      <c r="A37" s="389"/>
      <c r="B37" s="896" t="s">
        <v>41</v>
      </c>
      <c r="C37" s="1079"/>
      <c r="D37" s="546" t="e">
        <f>D35</f>
        <v>#REF!</v>
      </c>
      <c r="E37" s="546">
        <f>IF(AND($E$30="あり",$Q18&gt;=1),VLOOKUP($D$8,#REF!,21,TRUE),0)</f>
        <v>0</v>
      </c>
      <c r="F37" s="546">
        <f t="shared" si="3"/>
        <v>0</v>
      </c>
      <c r="G37" s="546">
        <f t="shared" si="3"/>
        <v>0</v>
      </c>
      <c r="H37" s="546">
        <f>IF(H$30="あり",IF(ISERROR(-ROUNDDOWN(SUM($D37,$G37)*VLOOKUP($D$8,#REF!,47,TRUE),-1)),0,-ROUNDDOWN(SUM($D37,$G37)*VLOOKUP($D$8,#REF!,47,TRUE),-1)),0)</f>
        <v>0</v>
      </c>
      <c r="I37" s="546">
        <f>I35</f>
        <v>0</v>
      </c>
      <c r="J37" s="547">
        <f>-IFERROR(IF(ROUNDDOWN(SUM($D37,$E37,$G37)*VLOOKUP($J$30,#REF!,2,FALSE),-1)&lt;10,ROUNDDOWN(SUM($D37,$E37,$G37)*VLOOKUP($J$30,#REF!,2,FALSE),0),ROUNDDOWN(SUM($D37,$E37,$G37)*VLOOKUP($J$30,#REF!,2,FALSE),-1)),0)</f>
        <v>0</v>
      </c>
      <c r="K37" s="586" t="e">
        <f>IF($AD$2=1,SUM($D37:$J37),(IF(ROUNDDOWN(SUM($D37:$J37)*$AD$2,-1)&lt;10,ROUNDDOWN(SUM($D37:$J37)*$AD$2,0),(ROUNDDOWN(SUM($D37:$J37)*$AD$2,-1)))))</f>
        <v>#REF!</v>
      </c>
      <c r="L37" s="628">
        <f>L35</f>
        <v>0</v>
      </c>
      <c r="M37" s="555">
        <f>IF(ISERROR(SUM(K37:L37)),0,SUM(K37:L37))</f>
        <v>0</v>
      </c>
      <c r="N37" s="389"/>
      <c r="O37" s="389"/>
      <c r="P37" s="389"/>
      <c r="Q37" s="389"/>
      <c r="R37" s="109"/>
      <c r="S37" s="551"/>
      <c r="T37" s="574"/>
      <c r="U37" s="572"/>
      <c r="W37" s="598"/>
      <c r="X37" s="598"/>
    </row>
    <row r="38" spans="1:24" hidden="1">
      <c r="A38" s="389"/>
      <c r="B38" s="896" t="s">
        <v>40</v>
      </c>
      <c r="C38" s="1079"/>
      <c r="D38" s="546" t="e">
        <f>D36</f>
        <v>#REF!</v>
      </c>
      <c r="E38" s="546">
        <f>IF(AND($E$30="あり",$Q19&gt;=1),VLOOKUP($D$8,#REF!,21,TRUE),0)</f>
        <v>0</v>
      </c>
      <c r="F38" s="546">
        <f t="shared" si="3"/>
        <v>0</v>
      </c>
      <c r="G38" s="546">
        <f t="shared" si="3"/>
        <v>0</v>
      </c>
      <c r="H38" s="546">
        <f>IF(H$30="あり",IF(ISERROR(-ROUNDDOWN(SUM($D38,$G38)*VLOOKUP($D$8,#REF!,47,TRUE),-1)),0,-ROUNDDOWN(SUM($D38,$G38)*VLOOKUP($D$8,#REF!,47,TRUE),-1)),0)</f>
        <v>0</v>
      </c>
      <c r="I38" s="546">
        <f>I35</f>
        <v>0</v>
      </c>
      <c r="J38" s="547">
        <f>-IFERROR(IF(ROUNDDOWN(SUM($D38,$E38,$G38)*VLOOKUP($J$30,#REF!,2,FALSE),-1)&lt;10,ROUNDDOWN(SUM($D38,$E38,$G38)*VLOOKUP($J$30,#REF!,2,FALSE),0),ROUNDDOWN(SUM($D38,$E38,$G38)*VLOOKUP($J$30,#REF!,2,FALSE),-1)),0)</f>
        <v>0</v>
      </c>
      <c r="K38" s="586" t="e">
        <f>IF($AD$2=1,SUM($D38:$J38),(IF(ROUNDDOWN(SUM($D38:$J38)*$AD$2,-1)&lt;10,ROUNDDOWN(SUM($D38:$J38)*$AD$2,0),(ROUNDDOWN(SUM($D38:$J38)*$AD$2,-1)))))</f>
        <v>#REF!</v>
      </c>
      <c r="L38" s="628">
        <f>L35</f>
        <v>0</v>
      </c>
      <c r="M38" s="555">
        <f>IF(ISERROR(SUM(K38:L38)),0,SUM(K38:L38))</f>
        <v>0</v>
      </c>
      <c r="N38" s="389"/>
      <c r="O38" s="389"/>
      <c r="P38" s="389"/>
      <c r="Q38" s="389"/>
      <c r="R38" s="109"/>
      <c r="S38" s="544"/>
      <c r="T38" s="544"/>
      <c r="U38" s="652"/>
      <c r="W38" s="598"/>
      <c r="X38" s="598"/>
    </row>
    <row r="39" spans="1:24" ht="20.149999999999999" hidden="1" customHeight="1">
      <c r="A39" s="389"/>
      <c r="B39" s="389"/>
      <c r="C39" s="389"/>
      <c r="D39" s="389"/>
      <c r="E39" s="389"/>
      <c r="F39" s="389"/>
      <c r="G39" s="389"/>
      <c r="H39" s="389"/>
      <c r="I39" s="389"/>
      <c r="J39" s="389"/>
      <c r="K39" s="389"/>
      <c r="L39" s="389"/>
      <c r="M39" s="616"/>
      <c r="N39" s="389"/>
      <c r="O39" s="389"/>
      <c r="P39" s="389"/>
      <c r="Q39" s="389"/>
      <c r="R39" s="109"/>
      <c r="S39" s="109"/>
      <c r="T39" s="109"/>
      <c r="U39" s="572"/>
      <c r="W39" s="598"/>
      <c r="X39" s="598"/>
    </row>
    <row r="40" spans="1:24" ht="47.25" hidden="1" customHeight="1">
      <c r="A40" s="389"/>
      <c r="B40" s="1139" t="s">
        <v>36</v>
      </c>
      <c r="C40" s="1181"/>
      <c r="D40" s="1183" t="s">
        <v>9</v>
      </c>
      <c r="E40" s="1183" t="s">
        <v>38</v>
      </c>
      <c r="F40" s="1183" t="s">
        <v>27</v>
      </c>
      <c r="G40" s="1183" t="s">
        <v>28</v>
      </c>
      <c r="H40" s="1183" t="s">
        <v>39</v>
      </c>
      <c r="I40" s="1183" t="s">
        <v>169</v>
      </c>
      <c r="J40" s="1213" t="s">
        <v>131</v>
      </c>
      <c r="K40" s="31" t="s">
        <v>148</v>
      </c>
      <c r="L40" s="1223" t="s">
        <v>139</v>
      </c>
      <c r="M40" s="1215" t="s">
        <v>61</v>
      </c>
      <c r="N40" s="389"/>
      <c r="O40" s="389"/>
      <c r="P40" s="389"/>
      <c r="Q40" s="389"/>
      <c r="R40" s="389"/>
      <c r="S40" s="109"/>
      <c r="T40" s="109"/>
      <c r="U40" s="572"/>
      <c r="W40" s="598"/>
      <c r="X40" s="598"/>
    </row>
    <row r="41" spans="1:24" ht="47.25" hidden="1" customHeight="1">
      <c r="A41" s="389"/>
      <c r="B41" s="1141"/>
      <c r="C41" s="1182"/>
      <c r="D41" s="1184"/>
      <c r="E41" s="1184"/>
      <c r="F41" s="1184"/>
      <c r="G41" s="1184"/>
      <c r="H41" s="1184"/>
      <c r="I41" s="1184"/>
      <c r="J41" s="1214"/>
      <c r="K41" s="30" t="str">
        <f>IF($AD$2=1,"",CONCATENATE("（乗除調整",TEXT($AD$2,"##/100"),")"))</f>
        <v/>
      </c>
      <c r="L41" s="1224"/>
      <c r="M41" s="1207"/>
      <c r="N41" s="389"/>
      <c r="O41" s="389"/>
      <c r="P41" s="389"/>
      <c r="Q41" s="389"/>
      <c r="R41" s="109"/>
      <c r="S41" s="7"/>
      <c r="T41" s="610"/>
      <c r="U41" s="572"/>
      <c r="W41" s="572"/>
      <c r="X41" s="598"/>
    </row>
    <row r="42" spans="1:24" ht="20.149999999999999" hidden="1" customHeight="1">
      <c r="A42" s="389"/>
      <c r="B42" s="896" t="s">
        <v>24</v>
      </c>
      <c r="C42" s="1079"/>
      <c r="D42" s="546" t="e">
        <f>IF($D$30="あり",VLOOKUP($D$8,#REF!,15,TRUE),0)</f>
        <v>#REF!</v>
      </c>
      <c r="E42" s="550"/>
      <c r="F42" s="546">
        <f>IF(ISERROR(#REF!),0,#REF!)</f>
        <v>0</v>
      </c>
      <c r="G42" s="546">
        <f>IF($G$30="あり",VLOOKUP($D$8,#REF!,36,TRUE),0)</f>
        <v>0</v>
      </c>
      <c r="H42" s="546">
        <f>IF(H$30="あり",IF(ISERROR(-ROUNDDOWN(SUM($D42,$G42)*VLOOKUP($D$8,#REF!,47,TRUE),-1)),0,-ROUNDDOWN(SUM($D42,$G42)*VLOOKUP($D$8,#REF!,47,TRUE),-1)),0)</f>
        <v>0</v>
      </c>
      <c r="I42" s="546">
        <f>IF($I$30="あり",-VLOOKUP($D$8,#REF!,51,TRUE),0)</f>
        <v>0</v>
      </c>
      <c r="J42" s="547">
        <f>-IFERROR(IF(ROUNDDOWN(SUM($D42,$E42,$G42)*VLOOKUP($J$30,#REF!,2,FALSE),-1)&lt;10,ROUNDDOWN(SUM($D42,$E42,$G42)*VLOOKUP($J$30,#REF!,2,FALSE),0),ROUNDDOWN(SUM($D42,$E42,$G42)*VLOOKUP($J$30,#REF!,2,FALSE),-1)),0)</f>
        <v>0</v>
      </c>
      <c r="K42" s="586" t="e">
        <f>IF($AD$2=1,SUM($D42:$J42),(IF(ROUNDDOWN(SUM($D42:$J42)*$AD$2,-1)&lt;10,ROUNDDOWN(SUM($D42:$J42)*$AD$2,0),(ROUNDDOWN(SUM($D42:$J42)*$AD$2,-1)))))</f>
        <v>#REF!</v>
      </c>
      <c r="L42" s="628">
        <f>IF(L$30="配置",IF(ROUNDDOWN(#REF!/$I$62,-1)&lt;10,ROUNDDOWN(#REF!/$I$62,0),ROUNDDOWN(#REF!/$I$62,-1)),IF(L$30="兼務",IF(ROUNDDOWN(#REF!/$I$62,-1)&lt;10,ROUNDDOWN(#REF!/$I$62,0),ROUNDDOWN(#REF!/$I$62,-1)),0))</f>
        <v>0</v>
      </c>
      <c r="M42" s="555">
        <f>IF(ISERROR(SUM(D42:J42)),0,SUM(D42:J42))</f>
        <v>0</v>
      </c>
      <c r="N42" s="389"/>
      <c r="O42" s="389"/>
      <c r="P42" s="389"/>
      <c r="Q42" s="389"/>
      <c r="R42" s="109"/>
      <c r="S42" s="551"/>
      <c r="T42" s="573"/>
      <c r="U42" s="572"/>
      <c r="W42" s="572"/>
      <c r="X42" s="574"/>
    </row>
    <row r="43" spans="1:24" ht="20.149999999999999" hidden="1" customHeight="1">
      <c r="A43" s="389"/>
      <c r="B43" s="896" t="s">
        <v>23</v>
      </c>
      <c r="C43" s="1079"/>
      <c r="D43" s="546" t="e">
        <f>IF($D$30="あり",VLOOKUP($D$8,#REF!,15,TRUE),0)</f>
        <v>#REF!</v>
      </c>
      <c r="E43" s="550"/>
      <c r="F43" s="546">
        <f t="shared" ref="F43:G45" si="4">F42</f>
        <v>0</v>
      </c>
      <c r="G43" s="546">
        <f t="shared" si="4"/>
        <v>0</v>
      </c>
      <c r="H43" s="546">
        <f>IF(H$30="あり",IF(ISERROR(-ROUNDDOWN(SUM($D43,$G43)*VLOOKUP($D$8,#REF!,47,TRUE),-1)),0,-ROUNDDOWN(SUM($D43,$G43)*VLOOKUP($D$8,#REF!,47,TRUE),-1)),0)</f>
        <v>0</v>
      </c>
      <c r="I43" s="546">
        <f>I42</f>
        <v>0</v>
      </c>
      <c r="J43" s="547">
        <f>-IFERROR(IF(ROUNDDOWN(SUM($D43,$E43,$G43)*VLOOKUP($J$30,#REF!,2,FALSE),-1)&lt;10,ROUNDDOWN(SUM($D43,$E43,$G43)*VLOOKUP($J$30,#REF!,2,FALSE),0),ROUNDDOWN(SUM($D43,$E43,$G43)*VLOOKUP($J$30,#REF!,2,FALSE),-1)),0)</f>
        <v>0</v>
      </c>
      <c r="K43" s="586" t="e">
        <f>IF($AD$2=1,SUM($D43:$J43),(IF(ROUNDDOWN(SUM($D43:$J43)*$AD$2,-1)&lt;10,ROUNDDOWN(SUM($D43:$J43)*$AD$2,0),(ROUNDDOWN(SUM($D43:$J43)*$AD$2,-1)))))</f>
        <v>#REF!</v>
      </c>
      <c r="L43" s="628">
        <f>L42</f>
        <v>0</v>
      </c>
      <c r="M43" s="555">
        <f>IF(ISERROR(SUM(D43:J43)),0,SUM(D43:J43))</f>
        <v>0</v>
      </c>
      <c r="N43" s="389"/>
      <c r="O43" s="389"/>
      <c r="P43" s="389"/>
      <c r="Q43" s="389"/>
      <c r="R43" s="109"/>
      <c r="S43" s="551"/>
      <c r="T43" s="573"/>
    </row>
    <row r="44" spans="1:24" ht="20.149999999999999" hidden="1" customHeight="1">
      <c r="A44" s="389"/>
      <c r="B44" s="896" t="s">
        <v>41</v>
      </c>
      <c r="C44" s="1079"/>
      <c r="D44" s="546" t="e">
        <f>D42</f>
        <v>#REF!</v>
      </c>
      <c r="E44" s="546">
        <f>IF(AND($E$30="あり",$Q23&gt;=1),VLOOKUP($D$8,#REF!,21,TRUE),0)</f>
        <v>0</v>
      </c>
      <c r="F44" s="546">
        <f t="shared" si="4"/>
        <v>0</v>
      </c>
      <c r="G44" s="546">
        <f t="shared" si="4"/>
        <v>0</v>
      </c>
      <c r="H44" s="546">
        <f>IF(H$30="あり",IF(ISERROR(-ROUNDDOWN(SUM($D44,$G44)*VLOOKUP($D$8,#REF!,47,TRUE),-1)),0,-ROUNDDOWN(SUM($D44,$G44)*VLOOKUP($D$8,#REF!,47,TRUE),-1)),0)</f>
        <v>0</v>
      </c>
      <c r="I44" s="546">
        <f>I42</f>
        <v>0</v>
      </c>
      <c r="J44" s="547">
        <f>-IFERROR(IF(ROUNDDOWN(SUM($D44,$E44,$G44)*VLOOKUP($J$30,#REF!,2,FALSE),-1)&lt;10,ROUNDDOWN(SUM($D44,$E44,$G44)*VLOOKUP($J$30,#REF!,2,FALSE),0),ROUNDDOWN(SUM($D44,$E44,$G44)*VLOOKUP($J$30,#REF!,2,FALSE),-1)),0)</f>
        <v>0</v>
      </c>
      <c r="K44" s="586" t="e">
        <f>IF($AD$2=1,SUM($D44:$J44),(IF(ROUNDDOWN(SUM($D44:$J44)*$AD$2,-1)&lt;10,ROUNDDOWN(SUM($D44:$J44)*$AD$2,0),(ROUNDDOWN(SUM($D44:$J44)*$AD$2,-1)))))</f>
        <v>#REF!</v>
      </c>
      <c r="L44" s="628">
        <f>L42</f>
        <v>0</v>
      </c>
      <c r="M44" s="555">
        <f>IF(ISERROR(SUM(D44:J44)),0,SUM(D44:J44))</f>
        <v>0</v>
      </c>
      <c r="N44" s="389"/>
      <c r="O44" s="389"/>
      <c r="P44" s="389"/>
      <c r="Q44" s="389"/>
      <c r="R44" s="109"/>
      <c r="S44" s="551"/>
      <c r="T44" s="574"/>
      <c r="W44" s="445">
        <v>2015</v>
      </c>
      <c r="X44" s="4">
        <v>6.1</v>
      </c>
    </row>
    <row r="45" spans="1:24" ht="20.149999999999999" hidden="1" customHeight="1">
      <c r="A45" s="389"/>
      <c r="B45" s="896" t="s">
        <v>40</v>
      </c>
      <c r="C45" s="1079"/>
      <c r="D45" s="546" t="e">
        <f>D43</f>
        <v>#REF!</v>
      </c>
      <c r="E45" s="546">
        <f>IF(AND($E$30="あり",$Q24&gt;=1),VLOOKUP($D$8,#REF!,21,TRUE),0)</f>
        <v>0</v>
      </c>
      <c r="F45" s="546">
        <f t="shared" si="4"/>
        <v>0</v>
      </c>
      <c r="G45" s="546">
        <f t="shared" si="4"/>
        <v>0</v>
      </c>
      <c r="H45" s="546">
        <f>IF(H$30="あり",IF(ISERROR(-ROUNDDOWN(SUM($D45,$G45)*VLOOKUP($D$8,#REF!,47,TRUE),-1)),0,-ROUNDDOWN(SUM($D45,$G45)*VLOOKUP($D$8,#REF!,47,TRUE),-1)),0)</f>
        <v>0</v>
      </c>
      <c r="I45" s="546">
        <f>I42</f>
        <v>0</v>
      </c>
      <c r="J45" s="547">
        <f>-IFERROR(IF(ROUNDDOWN(SUM($D45,$E45,$G45)*VLOOKUP($J$30,#REF!,2,FALSE),-1)&lt;10,ROUNDDOWN(SUM($D45,$E45,$G45)*VLOOKUP($J$30,#REF!,2,FALSE),0),ROUNDDOWN(SUM($D45,$E45,$G45)*VLOOKUP($J$30,#REF!,2,FALSE),-1)),0)</f>
        <v>0</v>
      </c>
      <c r="K45" s="586" t="e">
        <f>IF($AD$2=1,SUM($D45:$J45),(IF(ROUNDDOWN(SUM($D45:$J45)*$AD$2,-1)&lt;10,ROUNDDOWN(SUM($D45:$J45)*$AD$2,0),(ROUNDDOWN(SUM($D45:$J45)*$AD$2,-1)))))</f>
        <v>#REF!</v>
      </c>
      <c r="L45" s="628">
        <f>L42</f>
        <v>0</v>
      </c>
      <c r="M45" s="555">
        <f>IF(ISERROR(SUM(D45:J45)),0,SUM(D45:J45))</f>
        <v>0</v>
      </c>
      <c r="N45" s="389"/>
      <c r="O45" s="389"/>
      <c r="P45" s="389"/>
      <c r="Q45" s="389"/>
      <c r="R45" s="109"/>
      <c r="S45" s="551"/>
      <c r="T45" s="574"/>
      <c r="W45" s="445">
        <v>2016</v>
      </c>
      <c r="X45" s="2">
        <v>4.2</v>
      </c>
    </row>
    <row r="46" spans="1:24" ht="20.149999999999999" hidden="1" customHeight="1">
      <c r="A46" s="389"/>
      <c r="B46" s="523"/>
      <c r="C46" s="523"/>
      <c r="D46" s="523"/>
      <c r="E46" s="523"/>
      <c r="F46" s="523"/>
      <c r="G46" s="523"/>
      <c r="H46" s="523"/>
      <c r="I46" s="523"/>
      <c r="J46" s="523"/>
      <c r="K46" s="523"/>
      <c r="L46" s="523"/>
      <c r="M46" s="523"/>
      <c r="N46" s="389"/>
      <c r="O46" s="389"/>
      <c r="P46" s="389"/>
      <c r="Q46" s="389"/>
      <c r="R46" s="109"/>
      <c r="S46" s="128"/>
      <c r="W46" s="445">
        <v>2017</v>
      </c>
      <c r="X46" s="2">
        <v>2.9</v>
      </c>
    </row>
    <row r="47" spans="1:24" ht="20.149999999999999" hidden="1" customHeight="1" thickBot="1">
      <c r="A47" s="389"/>
      <c r="B47" s="523"/>
      <c r="C47" s="523"/>
      <c r="D47" s="523"/>
      <c r="E47" s="523"/>
      <c r="F47" s="523"/>
      <c r="G47" s="523"/>
      <c r="H47" s="523"/>
      <c r="I47" s="523"/>
      <c r="J47" s="523"/>
      <c r="K47" s="523"/>
      <c r="L47" s="523"/>
      <c r="M47" s="523"/>
      <c r="N47" s="128"/>
      <c r="O47" s="565"/>
      <c r="P47" s="128"/>
      <c r="Q47" s="565"/>
      <c r="R47" s="109"/>
      <c r="S47" s="128"/>
      <c r="W47" s="445">
        <v>2018</v>
      </c>
      <c r="X47" s="2">
        <v>1.8</v>
      </c>
    </row>
    <row r="48" spans="1:24" ht="44.25" hidden="1" customHeight="1" thickBot="1">
      <c r="A48" s="389"/>
      <c r="B48" s="553" t="s">
        <v>62</v>
      </c>
      <c r="C48" s="523"/>
      <c r="D48" s="523"/>
      <c r="E48" s="523"/>
      <c r="F48" s="523"/>
      <c r="G48" s="523"/>
      <c r="H48" s="553" t="s">
        <v>386</v>
      </c>
      <c r="I48" s="553"/>
      <c r="J48" s="1155" t="s">
        <v>48</v>
      </c>
      <c r="K48" s="1156"/>
      <c r="L48" s="938" t="s">
        <v>385</v>
      </c>
      <c r="M48" s="939"/>
      <c r="N48" s="940" t="s">
        <v>435</v>
      </c>
      <c r="O48" s="941"/>
      <c r="P48" s="940" t="s">
        <v>436</v>
      </c>
      <c r="Q48" s="941"/>
      <c r="R48" s="109"/>
      <c r="W48" s="445">
        <v>2019</v>
      </c>
      <c r="X48" s="2">
        <v>1</v>
      </c>
    </row>
    <row r="49" spans="1:24" ht="30" hidden="1" customHeight="1">
      <c r="A49" s="389"/>
      <c r="B49" s="389"/>
      <c r="C49" s="389"/>
      <c r="D49" s="389"/>
      <c r="E49" s="389"/>
      <c r="F49" s="389"/>
      <c r="G49" s="389"/>
      <c r="H49" s="1185" t="s">
        <v>35</v>
      </c>
      <c r="I49" s="1198" t="s">
        <v>458</v>
      </c>
      <c r="J49" s="1196" t="str">
        <f>"A×賃金改善率（"&amp;$I$6&amp;"％）"</f>
        <v>A×賃金改善率（％）</v>
      </c>
      <c r="K49" s="1193" t="str">
        <f>CONCATENATE("×利用児童数×",$X$2,"月")</f>
        <v>×利用児童数×12月</v>
      </c>
      <c r="L49" s="1196" t="str">
        <f>"A×加算Ⅰ新規事由に係る率（"&amp;$I$7&amp;"％）"</f>
        <v>A×加算Ⅰ新規事由に係る率（％）</v>
      </c>
      <c r="M49" s="1193" t="str">
        <f>CONCATENATE("×利用児童数×",$X$2,"月")</f>
        <v>×利用児童数×12月</v>
      </c>
      <c r="N49" s="1196" t="str">
        <f>"A×人勧影響率（"&amp;$I$9&amp;"％）"</f>
        <v>A×人勧影響率（％）</v>
      </c>
      <c r="O49" s="1193" t="str">
        <f>CONCATENATE("×利用児童数×",$X$2,"月")</f>
        <v>×利用児童数×12月</v>
      </c>
      <c r="P49" s="1196" t="str">
        <f>"A×人勧影響率（"&amp;$I$11&amp;"％）"</f>
        <v>A×人勧影響率（％）</v>
      </c>
      <c r="Q49" s="1193" t="str">
        <f>CONCATENATE("×利用児童数×",$X$2,"月")</f>
        <v>×利用児童数×12月</v>
      </c>
    </row>
    <row r="50" spans="1:24" ht="27" hidden="1" customHeight="1">
      <c r="A50" s="1078" t="s">
        <v>474</v>
      </c>
      <c r="B50" s="1078"/>
      <c r="C50" s="1078"/>
      <c r="D50" s="1078"/>
      <c r="E50" s="1133">
        <f>$K$62</f>
        <v>0</v>
      </c>
      <c r="F50" s="1133"/>
      <c r="G50" s="389"/>
      <c r="H50" s="1178"/>
      <c r="I50" s="1199"/>
      <c r="J50" s="1190"/>
      <c r="K50" s="1192"/>
      <c r="L50" s="1190"/>
      <c r="M50" s="1192"/>
      <c r="N50" s="1190"/>
      <c r="O50" s="1192"/>
      <c r="P50" s="1190"/>
      <c r="Q50" s="1192"/>
      <c r="X50" s="569"/>
    </row>
    <row r="51" spans="1:24" ht="24" hidden="1" customHeight="1">
      <c r="A51" s="1212" t="str">
        <f>CONCATENATE("（賃金改善要件（",I6,"％）分）")</f>
        <v>（賃金改善要件（％）分）</v>
      </c>
      <c r="B51" s="1212"/>
      <c r="C51" s="1212"/>
      <c r="D51" s="1212"/>
      <c r="E51" s="558"/>
      <c r="F51" s="389"/>
      <c r="G51" s="389"/>
      <c r="H51" s="665" t="s">
        <v>24</v>
      </c>
      <c r="I51" s="677">
        <f>'入力（児童数-本園)'!Y3-I53</f>
        <v>0</v>
      </c>
      <c r="J51" s="556">
        <f>M35*$I$6</f>
        <v>0</v>
      </c>
      <c r="K51" s="557">
        <f>J51*$I51*$X$2</f>
        <v>0</v>
      </c>
      <c r="L51" s="556">
        <f>ROUNDDOWN($M35*$I$7,0)</f>
        <v>0</v>
      </c>
      <c r="M51" s="557">
        <f>L51*$I51*$X$2</f>
        <v>0</v>
      </c>
      <c r="N51" s="576">
        <f>ROUNDDOWN($M35*$I$9,0)</f>
        <v>0</v>
      </c>
      <c r="O51" s="577">
        <f>N51*$I51*$X$2</f>
        <v>0</v>
      </c>
      <c r="P51" s="556">
        <f>ROUNDDOWN($M35*$I$11,0)</f>
        <v>0</v>
      </c>
      <c r="Q51" s="557">
        <f>P51*$I51*$X$2</f>
        <v>0</v>
      </c>
    </row>
    <row r="52" spans="1:24" ht="18.75" hidden="1" customHeight="1">
      <c r="A52" s="1219" t="s">
        <v>489</v>
      </c>
      <c r="B52" s="1219"/>
      <c r="C52" s="1219"/>
      <c r="D52" s="1219"/>
      <c r="E52" s="1219"/>
      <c r="F52" s="1219"/>
      <c r="G52" s="389"/>
      <c r="H52" s="665" t="s">
        <v>23</v>
      </c>
      <c r="I52" s="677">
        <f>SUM('入力（児童数-本園)'!Y4:Y6)-I54</f>
        <v>0</v>
      </c>
      <c r="J52" s="556">
        <f>M36*$I$6</f>
        <v>0</v>
      </c>
      <c r="K52" s="557">
        <f>J52*$I52*$X$2</f>
        <v>0</v>
      </c>
      <c r="L52" s="556">
        <f>ROUNDDOWN($M36*$I$7,0)</f>
        <v>0</v>
      </c>
      <c r="M52" s="557">
        <f>L52*$I52*$X$2</f>
        <v>0</v>
      </c>
      <c r="N52" s="576">
        <f>ROUNDDOWN($M36*$I$9,0)</f>
        <v>0</v>
      </c>
      <c r="O52" s="577">
        <f>N52*$I52*$X$2</f>
        <v>0</v>
      </c>
      <c r="P52" s="556">
        <f>ROUNDDOWN($M36*$I$11,0)</f>
        <v>0</v>
      </c>
      <c r="Q52" s="557">
        <f>P52*$I52*$X$2</f>
        <v>0</v>
      </c>
    </row>
    <row r="53" spans="1:24" ht="19" hidden="1">
      <c r="A53" s="564"/>
      <c r="B53" s="564"/>
      <c r="C53" s="564"/>
      <c r="D53" s="564"/>
      <c r="E53" s="564"/>
      <c r="F53" s="389"/>
      <c r="G53" s="389"/>
      <c r="H53" s="665" t="s">
        <v>41</v>
      </c>
      <c r="I53" s="678">
        <f>Q18</f>
        <v>0</v>
      </c>
      <c r="J53" s="556">
        <f>M37*$I$6</f>
        <v>0</v>
      </c>
      <c r="K53" s="557">
        <f>J53*$Q18*$X$2</f>
        <v>0</v>
      </c>
      <c r="L53" s="556">
        <f>ROUNDDOWN($M37*$I$7,0)</f>
        <v>0</v>
      </c>
      <c r="M53" s="557">
        <f>L53*$Q18*$X$2</f>
        <v>0</v>
      </c>
      <c r="N53" s="576">
        <f>ROUNDDOWN($M37*$I$9,0)</f>
        <v>0</v>
      </c>
      <c r="O53" s="577">
        <f>N53*$Q18*$X$2</f>
        <v>0</v>
      </c>
      <c r="P53" s="556">
        <f>ROUNDDOWN($M37*$I$11,0)</f>
        <v>0</v>
      </c>
      <c r="Q53" s="557">
        <f>P53*$Q18*$X$2</f>
        <v>0</v>
      </c>
    </row>
    <row r="54" spans="1:24" ht="24" hidden="1" customHeight="1">
      <c r="A54" s="1078" t="s">
        <v>382</v>
      </c>
      <c r="B54" s="1078"/>
      <c r="C54" s="1078"/>
      <c r="D54" s="1078"/>
      <c r="E54" s="1115">
        <f>$M$62</f>
        <v>0</v>
      </c>
      <c r="F54" s="1115"/>
      <c r="G54" s="389"/>
      <c r="H54" s="665" t="s">
        <v>40</v>
      </c>
      <c r="I54" s="678">
        <f>Q19</f>
        <v>0</v>
      </c>
      <c r="J54" s="556">
        <f>M38*$I$6</f>
        <v>0</v>
      </c>
      <c r="K54" s="557">
        <f>J54*$Q19*$X$2</f>
        <v>0</v>
      </c>
      <c r="L54" s="556">
        <f>ROUNDDOWN($M38*$I$7,0)</f>
        <v>0</v>
      </c>
      <c r="M54" s="557">
        <f>L54*$Q19*$X$2</f>
        <v>0</v>
      </c>
      <c r="N54" s="576">
        <f>ROUNDDOWN($M38*$I$9,0)</f>
        <v>0</v>
      </c>
      <c r="O54" s="577">
        <f>N54*$Q19*$X$2</f>
        <v>0</v>
      </c>
      <c r="P54" s="556">
        <f>ROUNDDOWN($M38*$I$11,0)</f>
        <v>0</v>
      </c>
      <c r="Q54" s="557">
        <f>P54*$Q19*$X$2</f>
        <v>0</v>
      </c>
    </row>
    <row r="55" spans="1:24" ht="27.75" hidden="1" customHeight="1" thickBot="1">
      <c r="A55" s="1212" t="str">
        <f>CONCATENATE("（加算Ⅰ新規事由に係る加算率（",I7,"％）分）")</f>
        <v>（加算Ⅰ新規事由に係る加算率（％）分）</v>
      </c>
      <c r="B55" s="1212"/>
      <c r="C55" s="1212"/>
      <c r="D55" s="1212"/>
      <c r="E55" s="558"/>
      <c r="F55" s="389"/>
      <c r="G55" s="389"/>
      <c r="H55" s="619"/>
      <c r="I55" s="638"/>
      <c r="J55" s="389"/>
      <c r="K55" s="389"/>
      <c r="L55" s="389"/>
      <c r="M55" s="389"/>
      <c r="N55" s="389"/>
      <c r="O55" s="389"/>
      <c r="P55" s="389"/>
      <c r="Q55" s="389"/>
    </row>
    <row r="56" spans="1:24" ht="30" hidden="1" customHeight="1">
      <c r="A56" s="389"/>
      <c r="B56" s="389"/>
      <c r="C56" s="389"/>
      <c r="D56" s="389"/>
      <c r="E56" s="389"/>
      <c r="F56" s="389"/>
      <c r="G56" s="389"/>
      <c r="H56" s="1177" t="s">
        <v>36</v>
      </c>
      <c r="I56" s="1200" t="s">
        <v>458</v>
      </c>
      <c r="J56" s="1196" t="str">
        <f>"B×賃金改善率（"&amp;$I$6&amp;"％）"</f>
        <v>B×賃金改善率（％）</v>
      </c>
      <c r="K56" s="1193" t="str">
        <f>CONCATENATE("×利用児童数×",$X$2,"月")</f>
        <v>×利用児童数×12月</v>
      </c>
      <c r="L56" s="1196" t="str">
        <f>"B×加算Ⅰ新規事由に係る率（"&amp;$I$7&amp;"％）"</f>
        <v>B×加算Ⅰ新規事由に係る率（％）</v>
      </c>
      <c r="M56" s="1193" t="str">
        <f>CONCATENATE("×利用児童数×",$X$2,"月")</f>
        <v>×利用児童数×12月</v>
      </c>
      <c r="N56" s="1196" t="str">
        <f>"B×人勧影響率（"&amp;$I$9&amp;"％）"</f>
        <v>B×人勧影響率（％）</v>
      </c>
      <c r="O56" s="1193" t="str">
        <f>CONCATENATE("×利用児童数×",$X$2,"月")</f>
        <v>×利用児童数×12月</v>
      </c>
      <c r="P56" s="1196" t="str">
        <f>"B×人勧影響率（"&amp;$I$11&amp;"％）"</f>
        <v>B×人勧影響率（％）</v>
      </c>
      <c r="Q56" s="1193" t="str">
        <f>CONCATENATE("×利用児童数×",$X$2,"月")</f>
        <v>×利用児童数×12月</v>
      </c>
    </row>
    <row r="57" spans="1:24" ht="27" hidden="1" customHeight="1">
      <c r="A57" s="1078" t="s">
        <v>381</v>
      </c>
      <c r="B57" s="1078"/>
      <c r="C57" s="1078"/>
      <c r="D57" s="1078"/>
      <c r="E57" s="1154">
        <f>$O$62</f>
        <v>0</v>
      </c>
      <c r="F57" s="1154"/>
      <c r="G57" s="389"/>
      <c r="H57" s="1178"/>
      <c r="I57" s="1199"/>
      <c r="J57" s="1190"/>
      <c r="K57" s="1192"/>
      <c r="L57" s="1190"/>
      <c r="M57" s="1192"/>
      <c r="N57" s="1190"/>
      <c r="O57" s="1192"/>
      <c r="P57" s="1190"/>
      <c r="Q57" s="1192"/>
    </row>
    <row r="58" spans="1:24" ht="17.25" hidden="1" customHeight="1">
      <c r="A58" s="1212" t="str">
        <f>CONCATENATE("（処遇Ⅰの基準年度の翌年～当年度まで（",I9,"％）分）")</f>
        <v>（処遇Ⅰの基準年度の翌年～当年度まで（％）分）</v>
      </c>
      <c r="B58" s="1212"/>
      <c r="C58" s="1212"/>
      <c r="D58" s="1212"/>
      <c r="E58" s="558"/>
      <c r="F58" s="389"/>
      <c r="G58" s="389"/>
      <c r="H58" s="665" t="s">
        <v>24</v>
      </c>
      <c r="I58" s="677">
        <f>'入力（児童数-本園)'!Z3-I60</f>
        <v>0</v>
      </c>
      <c r="J58" s="556">
        <f>M42*$I$6</f>
        <v>0</v>
      </c>
      <c r="K58" s="557">
        <f>J58*$I58*$X$2</f>
        <v>0</v>
      </c>
      <c r="L58" s="556">
        <f>ROUNDDOWN($M42*$I$7,0)</f>
        <v>0</v>
      </c>
      <c r="M58" s="557">
        <f>L58*$I58*$X$2</f>
        <v>0</v>
      </c>
      <c r="N58" s="576">
        <f>ROUNDDOWN($M42*$I$9,0)</f>
        <v>0</v>
      </c>
      <c r="O58" s="577">
        <f>N58*$I58*$X$2</f>
        <v>0</v>
      </c>
      <c r="P58" s="556">
        <f>ROUNDDOWN($M42*$I$11,0)</f>
        <v>0</v>
      </c>
      <c r="Q58" s="557">
        <f>P58*$I58*$X$2</f>
        <v>0</v>
      </c>
    </row>
    <row r="59" spans="1:24" hidden="1">
      <c r="A59" s="1212"/>
      <c r="B59" s="1212"/>
      <c r="C59" s="1212"/>
      <c r="D59" s="1212"/>
      <c r="E59" s="389"/>
      <c r="F59" s="389"/>
      <c r="G59" s="389"/>
      <c r="H59" s="665" t="s">
        <v>23</v>
      </c>
      <c r="I59" s="677">
        <f>SUM('入力（児童数-本園)'!Z4:Z6)-I61</f>
        <v>0</v>
      </c>
      <c r="J59" s="556">
        <f>M43*$I$6</f>
        <v>0</v>
      </c>
      <c r="K59" s="557">
        <f>J59*$I59*$X$2</f>
        <v>0</v>
      </c>
      <c r="L59" s="556">
        <f>ROUNDDOWN($M43*$I$7,0)</f>
        <v>0</v>
      </c>
      <c r="M59" s="557">
        <f>L59*$I59*$X$2</f>
        <v>0</v>
      </c>
      <c r="N59" s="576">
        <f>ROUNDDOWN($M43*$I$9,0)</f>
        <v>0</v>
      </c>
      <c r="O59" s="577">
        <f>N59*$I59*$X$2</f>
        <v>0</v>
      </c>
      <c r="P59" s="556">
        <f>ROUNDDOWN($M43*$I$11,0)</f>
        <v>0</v>
      </c>
      <c r="Q59" s="557">
        <f>P59*$I59*$X$2</f>
        <v>0</v>
      </c>
    </row>
    <row r="60" spans="1:24" ht="23.5" hidden="1">
      <c r="A60" s="1078" t="s">
        <v>381</v>
      </c>
      <c r="B60" s="1078"/>
      <c r="C60" s="1078"/>
      <c r="D60" s="1078"/>
      <c r="E60" s="1154">
        <f>$Q$62</f>
        <v>0</v>
      </c>
      <c r="F60" s="1154"/>
      <c r="G60" s="389"/>
      <c r="H60" s="665" t="s">
        <v>41</v>
      </c>
      <c r="I60" s="678">
        <f>Q23</f>
        <v>0</v>
      </c>
      <c r="J60" s="556">
        <f>M44*$I$6</f>
        <v>0</v>
      </c>
      <c r="K60" s="557">
        <f>J60*$Q23*$X$2</f>
        <v>0</v>
      </c>
      <c r="L60" s="556">
        <f>ROUNDDOWN($M44*$I$7,0)</f>
        <v>0</v>
      </c>
      <c r="M60" s="557">
        <f>L60*$Q23*$X$2</f>
        <v>0</v>
      </c>
      <c r="N60" s="576">
        <f>ROUNDDOWN($M44*$I$9,0)</f>
        <v>0</v>
      </c>
      <c r="O60" s="577">
        <f>N60*$Q23*$X$2</f>
        <v>0</v>
      </c>
      <c r="P60" s="556">
        <f>ROUNDDOWN($M44*$I$11,0)</f>
        <v>0</v>
      </c>
      <c r="Q60" s="557">
        <f>P60*$Q23*$X$2</f>
        <v>0</v>
      </c>
    </row>
    <row r="61" spans="1:24" ht="18" hidden="1" customHeight="1" thickBot="1">
      <c r="A61" s="1212" t="str">
        <f>CONCATENATE("（処遇Ⅱの基準年度の翌年～当年度まで（",I11,"％）分）")</f>
        <v>（処遇Ⅱの基準年度の翌年～当年度まで（％）分）</v>
      </c>
      <c r="B61" s="1212"/>
      <c r="C61" s="1212"/>
      <c r="D61" s="1212"/>
      <c r="E61" s="389"/>
      <c r="F61" s="389"/>
      <c r="G61" s="629"/>
      <c r="H61" s="665" t="s">
        <v>40</v>
      </c>
      <c r="I61" s="679">
        <f>Q24</f>
        <v>0</v>
      </c>
      <c r="J61" s="556">
        <f>M45*$I$6</f>
        <v>0</v>
      </c>
      <c r="K61" s="623">
        <f>J61*$Q24*$X$2</f>
        <v>0</v>
      </c>
      <c r="L61" s="556">
        <f>ROUNDDOWN($M45*$I$7,0)</f>
        <v>0</v>
      </c>
      <c r="M61" s="623">
        <f>L61*$Q24*$X$2</f>
        <v>0</v>
      </c>
      <c r="N61" s="576">
        <f>ROUNDDOWN($M45*$I$9,0)</f>
        <v>0</v>
      </c>
      <c r="O61" s="625">
        <f>N61*$Q24*$X$2</f>
        <v>0</v>
      </c>
      <c r="P61" s="556">
        <f>ROUNDDOWN($M45*$I$11,0)</f>
        <v>0</v>
      </c>
      <c r="Q61" s="623">
        <f>P61*$Q24*$X$2</f>
        <v>0</v>
      </c>
    </row>
    <row r="62" spans="1:24" ht="17.5" hidden="1" thickTop="1" thickBot="1">
      <c r="A62" s="1212"/>
      <c r="B62" s="1212"/>
      <c r="C62" s="1212"/>
      <c r="D62" s="1212"/>
      <c r="E62" s="389"/>
      <c r="F62" s="389"/>
      <c r="G62" s="389"/>
      <c r="H62" s="561" t="s">
        <v>0</v>
      </c>
      <c r="I62" s="674">
        <f>SUM(Q20,Q25,I51:I52,I58:I59)</f>
        <v>0</v>
      </c>
      <c r="J62" s="563" t="s">
        <v>67</v>
      </c>
      <c r="K62" s="597">
        <f>ROUNDDOWN(SUM(K51:K54,K58:K61),-3)</f>
        <v>0</v>
      </c>
      <c r="L62" s="563" t="s">
        <v>67</v>
      </c>
      <c r="M62" s="597">
        <f>ROUNDDOWN(SUM(M51:M54,M58:M61),-3)</f>
        <v>0</v>
      </c>
      <c r="N62" s="563" t="s">
        <v>0</v>
      </c>
      <c r="O62" s="601">
        <f>ROUNDDOWN(SUM(O51:O54,O58:O61),-3)</f>
        <v>0</v>
      </c>
      <c r="P62" s="563" t="s">
        <v>0</v>
      </c>
      <c r="Q62" s="597">
        <f>ROUNDDOWN(SUM(Q51:Q54,Q58:Q61),-3)</f>
        <v>0</v>
      </c>
    </row>
    <row r="63" spans="1:24">
      <c r="C63" s="572"/>
      <c r="D63" s="24"/>
    </row>
  </sheetData>
  <sheetProtection algorithmName="SHA-512" hashValue="BK7rfE0JoBqnPSlmmcShJ+3M+wMc+9jS2JRtDmyrpGwNeTAS8hS+wyfBMZYg0sZ1GbaYUrE/LH9rYcZkCNa8sg==" saltValue="1W9BkqhYMRWv0PmBf4poeg==" spinCount="100000" sheet="1" objects="1" scenarios="1"/>
  <customSheetViews>
    <customSheetView guid="{2E52E5FF-9846-4DC5-A671-268FE925398C}" scale="80" showPageBreaks="1" fitToPage="1" printArea="1" hiddenColumns="1" view="pageBreakPreview">
      <selection activeCell="D15" sqref="D15"/>
      <pageMargins left="0.70866141732283472" right="0.70866141732283472" top="0.74803149606299213" bottom="0.74803149606299213" header="0.31496062992125984" footer="0.31496062992125984"/>
      <pageSetup paperSize="9" scale="49" orientation="landscape" r:id="rId1"/>
    </customSheetView>
    <customSheetView guid="{BADA99B3-B36A-4925-87A7-F72FC97D3DBA}" scale="80" showPageBreaks="1" fitToPage="1" printArea="1" view="pageBreakPreview" topLeftCell="A25">
      <selection activeCell="T43" sqref="T43"/>
      <pageMargins left="0.70866141732283472" right="0.70866141732283472" top="0.74803149606299213" bottom="0.74803149606299213" header="0.31496062992125984" footer="0.31496062992125984"/>
      <pageSetup paperSize="9" scale="49" orientation="landscape" r:id="rId2"/>
    </customSheetView>
  </customSheetViews>
  <mergeCells count="91">
    <mergeCell ref="N1:Q1"/>
    <mergeCell ref="P49:P50"/>
    <mergeCell ref="Q49:Q50"/>
    <mergeCell ref="P56:P57"/>
    <mergeCell ref="Q56:Q57"/>
    <mergeCell ref="P48:Q48"/>
    <mergeCell ref="N56:N57"/>
    <mergeCell ref="O56:O57"/>
    <mergeCell ref="E60:F60"/>
    <mergeCell ref="J48:K48"/>
    <mergeCell ref="A61:D62"/>
    <mergeCell ref="O49:O50"/>
    <mergeCell ref="N49:N50"/>
    <mergeCell ref="A50:D50"/>
    <mergeCell ref="A51:D51"/>
    <mergeCell ref="A54:D54"/>
    <mergeCell ref="A55:D55"/>
    <mergeCell ref="K56:K57"/>
    <mergeCell ref="L56:L57"/>
    <mergeCell ref="M56:M57"/>
    <mergeCell ref="N48:O48"/>
    <mergeCell ref="M49:M50"/>
    <mergeCell ref="K49:K50"/>
    <mergeCell ref="L49:L50"/>
    <mergeCell ref="A58:D59"/>
    <mergeCell ref="B6:C6"/>
    <mergeCell ref="A2:Q3"/>
    <mergeCell ref="B5:D5"/>
    <mergeCell ref="D6:E6"/>
    <mergeCell ref="D7:E7"/>
    <mergeCell ref="D8:E8"/>
    <mergeCell ref="B7:C7"/>
    <mergeCell ref="D33:D34"/>
    <mergeCell ref="E33:E34"/>
    <mergeCell ref="F33:F34"/>
    <mergeCell ref="H49:H50"/>
    <mergeCell ref="I49:I50"/>
    <mergeCell ref="H56:H57"/>
    <mergeCell ref="I56:I57"/>
    <mergeCell ref="J49:J50"/>
    <mergeCell ref="B32:C32"/>
    <mergeCell ref="I33:I34"/>
    <mergeCell ref="J33:J34"/>
    <mergeCell ref="B33:C34"/>
    <mergeCell ref="H33:H34"/>
    <mergeCell ref="D32:M32"/>
    <mergeCell ref="I40:I41"/>
    <mergeCell ref="G33:G34"/>
    <mergeCell ref="B36:C36"/>
    <mergeCell ref="L33:L34"/>
    <mergeCell ref="M33:M34"/>
    <mergeCell ref="J40:J41"/>
    <mergeCell ref="L40:L41"/>
    <mergeCell ref="M40:M41"/>
    <mergeCell ref="D9:E9"/>
    <mergeCell ref="D10:E10"/>
    <mergeCell ref="B38:C38"/>
    <mergeCell ref="B35:C35"/>
    <mergeCell ref="L48:M48"/>
    <mergeCell ref="B43:C43"/>
    <mergeCell ref="B42:C42"/>
    <mergeCell ref="B44:C44"/>
    <mergeCell ref="B45:C45"/>
    <mergeCell ref="B40:C41"/>
    <mergeCell ref="D40:D41"/>
    <mergeCell ref="E40:E41"/>
    <mergeCell ref="F40:F41"/>
    <mergeCell ref="G40:G41"/>
    <mergeCell ref="H40:H41"/>
    <mergeCell ref="B37:C37"/>
    <mergeCell ref="B9:C9"/>
    <mergeCell ref="B10:C10"/>
    <mergeCell ref="A60:D60"/>
    <mergeCell ref="B16:F16"/>
    <mergeCell ref="B17:C17"/>
    <mergeCell ref="B22:C22"/>
    <mergeCell ref="B25:C25"/>
    <mergeCell ref="B19:C19"/>
    <mergeCell ref="B20:C20"/>
    <mergeCell ref="B21:C21"/>
    <mergeCell ref="B18:C18"/>
    <mergeCell ref="B23:C23"/>
    <mergeCell ref="B24:C24"/>
    <mergeCell ref="B28:C28"/>
    <mergeCell ref="B29:C30"/>
    <mergeCell ref="E50:F50"/>
    <mergeCell ref="E57:F57"/>
    <mergeCell ref="J56:J57"/>
    <mergeCell ref="A52:F52"/>
    <mergeCell ref="E54:F54"/>
    <mergeCell ref="A57:D57"/>
  </mergeCells>
  <phoneticPr fontId="4"/>
  <conditionalFormatting sqref="D18:O19 D23:O24">
    <cfRule type="expression" dxfId="2" priority="2">
      <formula>D$17=""</formula>
    </cfRule>
  </conditionalFormatting>
  <dataValidations count="5">
    <dataValidation type="list" allowBlank="1" showInputMessage="1" showErrorMessage="1" sqref="D30:E30 G30:I30" xr:uid="{00000000-0002-0000-0F00-000000000000}">
      <formula1>$Y$3:$Y$4</formula1>
    </dataValidation>
    <dataValidation type="list" allowBlank="1" showInputMessage="1" showErrorMessage="1" sqref="L30" xr:uid="{00000000-0002-0000-0F00-000001000000}">
      <formula1>$AA$2:$AA$5</formula1>
    </dataValidation>
    <dataValidation type="list" allowBlank="1" showInputMessage="1" showErrorMessage="1" sqref="K30" xr:uid="{00000000-0002-0000-0F00-000002000000}">
      <formula1>$Y$2:$Y$4</formula1>
    </dataValidation>
    <dataValidation type="list" allowBlank="1" showInputMessage="1" showErrorMessage="1" sqref="J30" xr:uid="{00000000-0002-0000-0F00-000003000000}">
      <formula1>$Z$2:$Z$7</formula1>
    </dataValidation>
    <dataValidation type="whole" operator="greaterThanOrEqual" allowBlank="1" showInputMessage="1" showErrorMessage="1" sqref="F30" xr:uid="{00000000-0002-0000-0F00-000004000000}">
      <formula1>0</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sheetPr>
  <dimension ref="A2:C24"/>
  <sheetViews>
    <sheetView view="pageBreakPreview" zoomScaleNormal="100" zoomScaleSheetLayoutView="100" workbookViewId="0">
      <selection activeCell="M15" sqref="M15"/>
    </sheetView>
  </sheetViews>
  <sheetFormatPr defaultRowHeight="13"/>
  <cols>
    <col min="1" max="1" width="12.7265625" customWidth="1"/>
    <col min="2" max="2" width="38.90625" bestFit="1" customWidth="1"/>
    <col min="3" max="3" width="110.90625" customWidth="1"/>
  </cols>
  <sheetData>
    <row r="2" spans="1:3" ht="16.5">
      <c r="A2" s="689" t="s">
        <v>465</v>
      </c>
      <c r="B2" s="690"/>
      <c r="C2" s="690"/>
    </row>
    <row r="3" spans="1:3" ht="16.5">
      <c r="A3" s="691"/>
      <c r="B3" s="690"/>
      <c r="C3" s="690"/>
    </row>
    <row r="4" spans="1:3" ht="16.5">
      <c r="A4" s="692" t="s">
        <v>472</v>
      </c>
      <c r="B4" s="690"/>
      <c r="C4" s="690"/>
    </row>
    <row r="5" spans="1:3" ht="24.75" customHeight="1">
      <c r="A5" s="690"/>
      <c r="B5" s="804" t="s">
        <v>466</v>
      </c>
      <c r="C5" s="805" t="s">
        <v>471</v>
      </c>
    </row>
    <row r="6" spans="1:3" ht="33" customHeight="1">
      <c r="A6" s="690"/>
      <c r="B6" s="804" t="s">
        <v>467</v>
      </c>
      <c r="C6" s="806" t="s">
        <v>492</v>
      </c>
    </row>
    <row r="7" spans="1:3" ht="24.75" customHeight="1">
      <c r="A7" s="690"/>
      <c r="B7" s="804" t="s">
        <v>468</v>
      </c>
      <c r="C7" s="807" t="s">
        <v>470</v>
      </c>
    </row>
    <row r="8" spans="1:3" ht="33" customHeight="1">
      <c r="A8" s="690"/>
      <c r="B8" s="808" t="s">
        <v>469</v>
      </c>
      <c r="C8" s="806" t="s">
        <v>493</v>
      </c>
    </row>
    <row r="9" spans="1:3" ht="33" customHeight="1">
      <c r="A9" s="690"/>
      <c r="B9" s="804" t="s">
        <v>494</v>
      </c>
      <c r="C9" s="809" t="s">
        <v>495</v>
      </c>
    </row>
    <row r="10" spans="1:3" ht="33" customHeight="1">
      <c r="A10" s="690"/>
      <c r="B10" s="804" t="s">
        <v>473</v>
      </c>
      <c r="C10" s="806" t="s">
        <v>496</v>
      </c>
    </row>
    <row r="11" spans="1:3" ht="17.25" customHeight="1">
      <c r="A11" s="690"/>
      <c r="B11" s="693"/>
      <c r="C11" s="693"/>
    </row>
    <row r="12" spans="1:3" ht="16.5">
      <c r="A12" s="690"/>
      <c r="B12" s="694"/>
      <c r="C12" s="690"/>
    </row>
    <row r="13" spans="1:3" ht="16.5">
      <c r="A13" s="690"/>
      <c r="B13" s="694"/>
      <c r="C13" s="690"/>
    </row>
    <row r="14" spans="1:3" ht="16.5">
      <c r="A14" s="690"/>
      <c r="B14" s="691"/>
      <c r="C14" s="690"/>
    </row>
    <row r="15" spans="1:3" ht="16.5">
      <c r="A15" s="690"/>
      <c r="B15" s="691"/>
      <c r="C15" s="690"/>
    </row>
    <row r="16" spans="1:3" ht="16.5">
      <c r="A16" s="690"/>
      <c r="B16" s="691"/>
      <c r="C16" s="690"/>
    </row>
    <row r="17" spans="1:3" ht="16.5">
      <c r="A17" s="690"/>
      <c r="B17" s="691"/>
      <c r="C17" s="690"/>
    </row>
    <row r="18" spans="1:3" ht="16.5">
      <c r="A18" s="690"/>
      <c r="B18" s="691"/>
      <c r="C18" s="690"/>
    </row>
    <row r="19" spans="1:3" ht="16.5">
      <c r="A19" s="690"/>
      <c r="B19" s="691"/>
      <c r="C19" s="690"/>
    </row>
    <row r="20" spans="1:3" ht="16.5">
      <c r="A20" s="690"/>
      <c r="B20" s="691"/>
      <c r="C20" s="690"/>
    </row>
    <row r="21" spans="1:3" ht="16.5">
      <c r="A21" s="690"/>
      <c r="B21" s="691"/>
      <c r="C21" s="690"/>
    </row>
    <row r="22" spans="1:3" ht="16.5">
      <c r="A22" s="690"/>
      <c r="B22" s="695"/>
      <c r="C22" s="696"/>
    </row>
    <row r="23" spans="1:3" ht="16.5">
      <c r="A23" s="690"/>
      <c r="B23" s="695"/>
      <c r="C23" s="696"/>
    </row>
    <row r="24" spans="1:3" ht="16.5">
      <c r="A24" s="690"/>
      <c r="B24" s="696"/>
      <c r="C24" s="696"/>
    </row>
  </sheetData>
  <sheetProtection algorithmName="SHA-512" hashValue="9zF3Z7Lkd3yZ/CTLQdXu8Q26kElMLQpkr1Z9wKbBHHzktpQi/J2uFuYgSeI4Dz8EkP/WaFzvglEUSmjrau+/5w==" saltValue="xoXeWf09t280cJ4YwEy5Cg==" spinCount="100000" sheet="1" objects="1" scenarios="1"/>
  <customSheetViews>
    <customSheetView guid="{2E52E5FF-9846-4DC5-A671-268FE925398C}" showPageBreaks="1" printArea="1" state="hidden" view="pageBreakPreview" topLeftCell="A10">
      <selection activeCell="E13" sqref="E13:E14"/>
      <pageMargins left="0.7" right="0.7" top="0.75" bottom="0.75" header="0.3" footer="0.3"/>
      <pageSetup paperSize="9" scale="82" orientation="landscape" r:id="rId1"/>
    </customSheetView>
    <customSheetView guid="{BADA99B3-B36A-4925-87A7-F72FC97D3DBA}" showPageBreaks="1" printArea="1" state="hidden" view="pageBreakPreview" topLeftCell="A10">
      <selection activeCell="E13" sqref="E13:E14"/>
      <pageMargins left="0.7" right="0.7" top="0.75" bottom="0.75" header="0.3" footer="0.3"/>
      <pageSetup paperSize="9" scale="82" orientation="landscape" r:id="rId2"/>
    </customSheetView>
  </customSheetViews>
  <phoneticPr fontId="4"/>
  <pageMargins left="0.7" right="0.7" top="0.75" bottom="0.75" header="0.3" footer="0.3"/>
  <pageSetup paperSize="9" scale="82"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tabColor rgb="FFFFC000"/>
  </sheetPr>
  <dimension ref="A1:V112"/>
  <sheetViews>
    <sheetView view="pageBreakPreview" zoomScaleNormal="100" zoomScaleSheetLayoutView="100" workbookViewId="0"/>
  </sheetViews>
  <sheetFormatPr defaultRowHeight="13" outlineLevelCol="1"/>
  <cols>
    <col min="1" max="1" width="2.90625" style="34" customWidth="1"/>
    <col min="2" max="2" width="3" style="34" customWidth="1"/>
    <col min="3" max="3" width="16.36328125" style="34" customWidth="1"/>
    <col min="4" max="4" width="22.7265625" style="34" customWidth="1"/>
    <col min="5" max="5" width="8" style="34" customWidth="1"/>
    <col min="6" max="6" width="6.08984375" style="234" bestFit="1" customWidth="1"/>
    <col min="7" max="7" width="12" style="234" customWidth="1"/>
    <col min="8" max="8" width="11.7265625" style="234" customWidth="1"/>
    <col min="9" max="9" width="8" style="234" customWidth="1"/>
    <col min="10" max="10" width="6.453125" style="234" customWidth="1"/>
    <col min="11" max="21" width="9" style="34" hidden="1" customWidth="1" outlineLevel="1"/>
    <col min="22" max="22" width="9" style="34" collapsed="1"/>
    <col min="23" max="264" width="9" style="34"/>
    <col min="265" max="265" width="2.90625" style="34" customWidth="1"/>
    <col min="266" max="266" width="3" style="34" customWidth="1"/>
    <col min="267" max="267" width="16.36328125" style="34" customWidth="1"/>
    <col min="268" max="268" width="25.453125" style="34" customWidth="1"/>
    <col min="269" max="269" width="8" style="34" customWidth="1"/>
    <col min="270" max="270" width="6.08984375" style="34" bestFit="1" customWidth="1"/>
    <col min="271" max="271" width="7.90625" style="34" bestFit="1" customWidth="1"/>
    <col min="272" max="272" width="13.26953125" style="34" bestFit="1" customWidth="1"/>
    <col min="273" max="273" width="9" style="34" customWidth="1"/>
    <col min="274" max="520" width="9" style="34"/>
    <col min="521" max="521" width="2.90625" style="34" customWidth="1"/>
    <col min="522" max="522" width="3" style="34" customWidth="1"/>
    <col min="523" max="523" width="16.36328125" style="34" customWidth="1"/>
    <col min="524" max="524" width="25.453125" style="34" customWidth="1"/>
    <col min="525" max="525" width="8" style="34" customWidth="1"/>
    <col min="526" max="526" width="6.08984375" style="34" bestFit="1" customWidth="1"/>
    <col min="527" max="527" width="7.90625" style="34" bestFit="1" customWidth="1"/>
    <col min="528" max="528" width="13.26953125" style="34" bestFit="1" customWidth="1"/>
    <col min="529" max="529" width="9" style="34" customWidth="1"/>
    <col min="530" max="776" width="9" style="34"/>
    <col min="777" max="777" width="2.90625" style="34" customWidth="1"/>
    <col min="778" max="778" width="3" style="34" customWidth="1"/>
    <col min="779" max="779" width="16.36328125" style="34" customWidth="1"/>
    <col min="780" max="780" width="25.453125" style="34" customWidth="1"/>
    <col min="781" max="781" width="8" style="34" customWidth="1"/>
    <col min="782" max="782" width="6.08984375" style="34" bestFit="1" customWidth="1"/>
    <col min="783" max="783" width="7.90625" style="34" bestFit="1" customWidth="1"/>
    <col min="784" max="784" width="13.26953125" style="34" bestFit="1" customWidth="1"/>
    <col min="785" max="785" width="9" style="34" customWidth="1"/>
    <col min="786" max="1032" width="9" style="34"/>
    <col min="1033" max="1033" width="2.90625" style="34" customWidth="1"/>
    <col min="1034" max="1034" width="3" style="34" customWidth="1"/>
    <col min="1035" max="1035" width="16.36328125" style="34" customWidth="1"/>
    <col min="1036" max="1036" width="25.453125" style="34" customWidth="1"/>
    <col min="1037" max="1037" width="8" style="34" customWidth="1"/>
    <col min="1038" max="1038" width="6.08984375" style="34" bestFit="1" customWidth="1"/>
    <col min="1039" max="1039" width="7.90625" style="34" bestFit="1" customWidth="1"/>
    <col min="1040" max="1040" width="13.26953125" style="34" bestFit="1" customWidth="1"/>
    <col min="1041" max="1041" width="9" style="34" customWidth="1"/>
    <col min="1042" max="1288" width="9" style="34"/>
    <col min="1289" max="1289" width="2.90625" style="34" customWidth="1"/>
    <col min="1290" max="1290" width="3" style="34" customWidth="1"/>
    <col min="1291" max="1291" width="16.36328125" style="34" customWidth="1"/>
    <col min="1292" max="1292" width="25.453125" style="34" customWidth="1"/>
    <col min="1293" max="1293" width="8" style="34" customWidth="1"/>
    <col min="1294" max="1294" width="6.08984375" style="34" bestFit="1" customWidth="1"/>
    <col min="1295" max="1295" width="7.90625" style="34" bestFit="1" customWidth="1"/>
    <col min="1296" max="1296" width="13.26953125" style="34" bestFit="1" customWidth="1"/>
    <col min="1297" max="1297" width="9" style="34" customWidth="1"/>
    <col min="1298" max="1544" width="9" style="34"/>
    <col min="1545" max="1545" width="2.90625" style="34" customWidth="1"/>
    <col min="1546" max="1546" width="3" style="34" customWidth="1"/>
    <col min="1547" max="1547" width="16.36328125" style="34" customWidth="1"/>
    <col min="1548" max="1548" width="25.453125" style="34" customWidth="1"/>
    <col min="1549" max="1549" width="8" style="34" customWidth="1"/>
    <col min="1550" max="1550" width="6.08984375" style="34" bestFit="1" customWidth="1"/>
    <col min="1551" max="1551" width="7.90625" style="34" bestFit="1" customWidth="1"/>
    <col min="1552" max="1552" width="13.26953125" style="34" bestFit="1" customWidth="1"/>
    <col min="1553" max="1553" width="9" style="34" customWidth="1"/>
    <col min="1554" max="1800" width="9" style="34"/>
    <col min="1801" max="1801" width="2.90625" style="34" customWidth="1"/>
    <col min="1802" max="1802" width="3" style="34" customWidth="1"/>
    <col min="1803" max="1803" width="16.36328125" style="34" customWidth="1"/>
    <col min="1804" max="1804" width="25.453125" style="34" customWidth="1"/>
    <col min="1805" max="1805" width="8" style="34" customWidth="1"/>
    <col min="1806" max="1806" width="6.08984375" style="34" bestFit="1" customWidth="1"/>
    <col min="1807" max="1807" width="7.90625" style="34" bestFit="1" customWidth="1"/>
    <col min="1808" max="1808" width="13.26953125" style="34" bestFit="1" customWidth="1"/>
    <col min="1809" max="1809" width="9" style="34" customWidth="1"/>
    <col min="1810" max="2056" width="9" style="34"/>
    <col min="2057" max="2057" width="2.90625" style="34" customWidth="1"/>
    <col min="2058" max="2058" width="3" style="34" customWidth="1"/>
    <col min="2059" max="2059" width="16.36328125" style="34" customWidth="1"/>
    <col min="2060" max="2060" width="25.453125" style="34" customWidth="1"/>
    <col min="2061" max="2061" width="8" style="34" customWidth="1"/>
    <col min="2062" max="2062" width="6.08984375" style="34" bestFit="1" customWidth="1"/>
    <col min="2063" max="2063" width="7.90625" style="34" bestFit="1" customWidth="1"/>
    <col min="2064" max="2064" width="13.26953125" style="34" bestFit="1" customWidth="1"/>
    <col min="2065" max="2065" width="9" style="34" customWidth="1"/>
    <col min="2066" max="2312" width="9" style="34"/>
    <col min="2313" max="2313" width="2.90625" style="34" customWidth="1"/>
    <col min="2314" max="2314" width="3" style="34" customWidth="1"/>
    <col min="2315" max="2315" width="16.36328125" style="34" customWidth="1"/>
    <col min="2316" max="2316" width="25.453125" style="34" customWidth="1"/>
    <col min="2317" max="2317" width="8" style="34" customWidth="1"/>
    <col min="2318" max="2318" width="6.08984375" style="34" bestFit="1" customWidth="1"/>
    <col min="2319" max="2319" width="7.90625" style="34" bestFit="1" customWidth="1"/>
    <col min="2320" max="2320" width="13.26953125" style="34" bestFit="1" customWidth="1"/>
    <col min="2321" max="2321" width="9" style="34" customWidth="1"/>
    <col min="2322" max="2568" width="9" style="34"/>
    <col min="2569" max="2569" width="2.90625" style="34" customWidth="1"/>
    <col min="2570" max="2570" width="3" style="34" customWidth="1"/>
    <col min="2571" max="2571" width="16.36328125" style="34" customWidth="1"/>
    <col min="2572" max="2572" width="25.453125" style="34" customWidth="1"/>
    <col min="2573" max="2573" width="8" style="34" customWidth="1"/>
    <col min="2574" max="2574" width="6.08984375" style="34" bestFit="1" customWidth="1"/>
    <col min="2575" max="2575" width="7.90625" style="34" bestFit="1" customWidth="1"/>
    <col min="2576" max="2576" width="13.26953125" style="34" bestFit="1" customWidth="1"/>
    <col min="2577" max="2577" width="9" style="34" customWidth="1"/>
    <col min="2578" max="2824" width="9" style="34"/>
    <col min="2825" max="2825" width="2.90625" style="34" customWidth="1"/>
    <col min="2826" max="2826" width="3" style="34" customWidth="1"/>
    <col min="2827" max="2827" width="16.36328125" style="34" customWidth="1"/>
    <col min="2828" max="2828" width="25.453125" style="34" customWidth="1"/>
    <col min="2829" max="2829" width="8" style="34" customWidth="1"/>
    <col min="2830" max="2830" width="6.08984375" style="34" bestFit="1" customWidth="1"/>
    <col min="2831" max="2831" width="7.90625" style="34" bestFit="1" customWidth="1"/>
    <col min="2832" max="2832" width="13.26953125" style="34" bestFit="1" customWidth="1"/>
    <col min="2833" max="2833" width="9" style="34" customWidth="1"/>
    <col min="2834" max="3080" width="9" style="34"/>
    <col min="3081" max="3081" width="2.90625" style="34" customWidth="1"/>
    <col min="3082" max="3082" width="3" style="34" customWidth="1"/>
    <col min="3083" max="3083" width="16.36328125" style="34" customWidth="1"/>
    <col min="3084" max="3084" width="25.453125" style="34" customWidth="1"/>
    <col min="3085" max="3085" width="8" style="34" customWidth="1"/>
    <col min="3086" max="3086" width="6.08984375" style="34" bestFit="1" customWidth="1"/>
    <col min="3087" max="3087" width="7.90625" style="34" bestFit="1" customWidth="1"/>
    <col min="3088" max="3088" width="13.26953125" style="34" bestFit="1" customWidth="1"/>
    <col min="3089" max="3089" width="9" style="34" customWidth="1"/>
    <col min="3090" max="3336" width="9" style="34"/>
    <col min="3337" max="3337" width="2.90625" style="34" customWidth="1"/>
    <col min="3338" max="3338" width="3" style="34" customWidth="1"/>
    <col min="3339" max="3339" width="16.36328125" style="34" customWidth="1"/>
    <col min="3340" max="3340" width="25.453125" style="34" customWidth="1"/>
    <col min="3341" max="3341" width="8" style="34" customWidth="1"/>
    <col min="3342" max="3342" width="6.08984375" style="34" bestFit="1" customWidth="1"/>
    <col min="3343" max="3343" width="7.90625" style="34" bestFit="1" customWidth="1"/>
    <col min="3344" max="3344" width="13.26953125" style="34" bestFit="1" customWidth="1"/>
    <col min="3345" max="3345" width="9" style="34" customWidth="1"/>
    <col min="3346" max="3592" width="9" style="34"/>
    <col min="3593" max="3593" width="2.90625" style="34" customWidth="1"/>
    <col min="3594" max="3594" width="3" style="34" customWidth="1"/>
    <col min="3595" max="3595" width="16.36328125" style="34" customWidth="1"/>
    <col min="3596" max="3596" width="25.453125" style="34" customWidth="1"/>
    <col min="3597" max="3597" width="8" style="34" customWidth="1"/>
    <col min="3598" max="3598" width="6.08984375" style="34" bestFit="1" customWidth="1"/>
    <col min="3599" max="3599" width="7.90625" style="34" bestFit="1" customWidth="1"/>
    <col min="3600" max="3600" width="13.26953125" style="34" bestFit="1" customWidth="1"/>
    <col min="3601" max="3601" width="9" style="34" customWidth="1"/>
    <col min="3602" max="3848" width="9" style="34"/>
    <col min="3849" max="3849" width="2.90625" style="34" customWidth="1"/>
    <col min="3850" max="3850" width="3" style="34" customWidth="1"/>
    <col min="3851" max="3851" width="16.36328125" style="34" customWidth="1"/>
    <col min="3852" max="3852" width="25.453125" style="34" customWidth="1"/>
    <col min="3853" max="3853" width="8" style="34" customWidth="1"/>
    <col min="3854" max="3854" width="6.08984375" style="34" bestFit="1" customWidth="1"/>
    <col min="3855" max="3855" width="7.90625" style="34" bestFit="1" customWidth="1"/>
    <col min="3856" max="3856" width="13.26953125" style="34" bestFit="1" customWidth="1"/>
    <col min="3857" max="3857" width="9" style="34" customWidth="1"/>
    <col min="3858" max="4104" width="9" style="34"/>
    <col min="4105" max="4105" width="2.90625" style="34" customWidth="1"/>
    <col min="4106" max="4106" width="3" style="34" customWidth="1"/>
    <col min="4107" max="4107" width="16.36328125" style="34" customWidth="1"/>
    <col min="4108" max="4108" width="25.453125" style="34" customWidth="1"/>
    <col min="4109" max="4109" width="8" style="34" customWidth="1"/>
    <col min="4110" max="4110" width="6.08984375" style="34" bestFit="1" customWidth="1"/>
    <col min="4111" max="4111" width="7.90625" style="34" bestFit="1" customWidth="1"/>
    <col min="4112" max="4112" width="13.26953125" style="34" bestFit="1" customWidth="1"/>
    <col min="4113" max="4113" width="9" style="34" customWidth="1"/>
    <col min="4114" max="4360" width="9" style="34"/>
    <col min="4361" max="4361" width="2.90625" style="34" customWidth="1"/>
    <col min="4362" max="4362" width="3" style="34" customWidth="1"/>
    <col min="4363" max="4363" width="16.36328125" style="34" customWidth="1"/>
    <col min="4364" max="4364" width="25.453125" style="34" customWidth="1"/>
    <col min="4365" max="4365" width="8" style="34" customWidth="1"/>
    <col min="4366" max="4366" width="6.08984375" style="34" bestFit="1" customWidth="1"/>
    <col min="4367" max="4367" width="7.90625" style="34" bestFit="1" customWidth="1"/>
    <col min="4368" max="4368" width="13.26953125" style="34" bestFit="1" customWidth="1"/>
    <col min="4369" max="4369" width="9" style="34" customWidth="1"/>
    <col min="4370" max="4616" width="9" style="34"/>
    <col min="4617" max="4617" width="2.90625" style="34" customWidth="1"/>
    <col min="4618" max="4618" width="3" style="34" customWidth="1"/>
    <col min="4619" max="4619" width="16.36328125" style="34" customWidth="1"/>
    <col min="4620" max="4620" width="25.453125" style="34" customWidth="1"/>
    <col min="4621" max="4621" width="8" style="34" customWidth="1"/>
    <col min="4622" max="4622" width="6.08984375" style="34" bestFit="1" customWidth="1"/>
    <col min="4623" max="4623" width="7.90625" style="34" bestFit="1" customWidth="1"/>
    <col min="4624" max="4624" width="13.26953125" style="34" bestFit="1" customWidth="1"/>
    <col min="4625" max="4625" width="9" style="34" customWidth="1"/>
    <col min="4626" max="4872" width="9" style="34"/>
    <col min="4873" max="4873" width="2.90625" style="34" customWidth="1"/>
    <col min="4874" max="4874" width="3" style="34" customWidth="1"/>
    <col min="4875" max="4875" width="16.36328125" style="34" customWidth="1"/>
    <col min="4876" max="4876" width="25.453125" style="34" customWidth="1"/>
    <col min="4877" max="4877" width="8" style="34" customWidth="1"/>
    <col min="4878" max="4878" width="6.08984375" style="34" bestFit="1" customWidth="1"/>
    <col min="4879" max="4879" width="7.90625" style="34" bestFit="1" customWidth="1"/>
    <col min="4880" max="4880" width="13.26953125" style="34" bestFit="1" customWidth="1"/>
    <col min="4881" max="4881" width="9" style="34" customWidth="1"/>
    <col min="4882" max="5128" width="9" style="34"/>
    <col min="5129" max="5129" width="2.90625" style="34" customWidth="1"/>
    <col min="5130" max="5130" width="3" style="34" customWidth="1"/>
    <col min="5131" max="5131" width="16.36328125" style="34" customWidth="1"/>
    <col min="5132" max="5132" width="25.453125" style="34" customWidth="1"/>
    <col min="5133" max="5133" width="8" style="34" customWidth="1"/>
    <col min="5134" max="5134" width="6.08984375" style="34" bestFit="1" customWidth="1"/>
    <col min="5135" max="5135" width="7.90625" style="34" bestFit="1" customWidth="1"/>
    <col min="5136" max="5136" width="13.26953125" style="34" bestFit="1" customWidth="1"/>
    <col min="5137" max="5137" width="9" style="34" customWidth="1"/>
    <col min="5138" max="5384" width="9" style="34"/>
    <col min="5385" max="5385" width="2.90625" style="34" customWidth="1"/>
    <col min="5386" max="5386" width="3" style="34" customWidth="1"/>
    <col min="5387" max="5387" width="16.36328125" style="34" customWidth="1"/>
    <col min="5388" max="5388" width="25.453125" style="34" customWidth="1"/>
    <col min="5389" max="5389" width="8" style="34" customWidth="1"/>
    <col min="5390" max="5390" width="6.08984375" style="34" bestFit="1" customWidth="1"/>
    <col min="5391" max="5391" width="7.90625" style="34" bestFit="1" customWidth="1"/>
    <col min="5392" max="5392" width="13.26953125" style="34" bestFit="1" customWidth="1"/>
    <col min="5393" max="5393" width="9" style="34" customWidth="1"/>
    <col min="5394" max="5640" width="9" style="34"/>
    <col min="5641" max="5641" width="2.90625" style="34" customWidth="1"/>
    <col min="5642" max="5642" width="3" style="34" customWidth="1"/>
    <col min="5643" max="5643" width="16.36328125" style="34" customWidth="1"/>
    <col min="5644" max="5644" width="25.453125" style="34" customWidth="1"/>
    <col min="5645" max="5645" width="8" style="34" customWidth="1"/>
    <col min="5646" max="5646" width="6.08984375" style="34" bestFit="1" customWidth="1"/>
    <col min="5647" max="5647" width="7.90625" style="34" bestFit="1" customWidth="1"/>
    <col min="5648" max="5648" width="13.26953125" style="34" bestFit="1" customWidth="1"/>
    <col min="5649" max="5649" width="9" style="34" customWidth="1"/>
    <col min="5650" max="5896" width="9" style="34"/>
    <col min="5897" max="5897" width="2.90625" style="34" customWidth="1"/>
    <col min="5898" max="5898" width="3" style="34" customWidth="1"/>
    <col min="5899" max="5899" width="16.36328125" style="34" customWidth="1"/>
    <col min="5900" max="5900" width="25.453125" style="34" customWidth="1"/>
    <col min="5901" max="5901" width="8" style="34" customWidth="1"/>
    <col min="5902" max="5902" width="6.08984375" style="34" bestFit="1" customWidth="1"/>
    <col min="5903" max="5903" width="7.90625" style="34" bestFit="1" customWidth="1"/>
    <col min="5904" max="5904" width="13.26953125" style="34" bestFit="1" customWidth="1"/>
    <col min="5905" max="5905" width="9" style="34" customWidth="1"/>
    <col min="5906" max="6152" width="9" style="34"/>
    <col min="6153" max="6153" width="2.90625" style="34" customWidth="1"/>
    <col min="6154" max="6154" width="3" style="34" customWidth="1"/>
    <col min="6155" max="6155" width="16.36328125" style="34" customWidth="1"/>
    <col min="6156" max="6156" width="25.453125" style="34" customWidth="1"/>
    <col min="6157" max="6157" width="8" style="34" customWidth="1"/>
    <col min="6158" max="6158" width="6.08984375" style="34" bestFit="1" customWidth="1"/>
    <col min="6159" max="6159" width="7.90625" style="34" bestFit="1" customWidth="1"/>
    <col min="6160" max="6160" width="13.26953125" style="34" bestFit="1" customWidth="1"/>
    <col min="6161" max="6161" width="9" style="34" customWidth="1"/>
    <col min="6162" max="6408" width="9" style="34"/>
    <col min="6409" max="6409" width="2.90625" style="34" customWidth="1"/>
    <col min="6410" max="6410" width="3" style="34" customWidth="1"/>
    <col min="6411" max="6411" width="16.36328125" style="34" customWidth="1"/>
    <col min="6412" max="6412" width="25.453125" style="34" customWidth="1"/>
    <col min="6413" max="6413" width="8" style="34" customWidth="1"/>
    <col min="6414" max="6414" width="6.08984375" style="34" bestFit="1" customWidth="1"/>
    <col min="6415" max="6415" width="7.90625" style="34" bestFit="1" customWidth="1"/>
    <col min="6416" max="6416" width="13.26953125" style="34" bestFit="1" customWidth="1"/>
    <col min="6417" max="6417" width="9" style="34" customWidth="1"/>
    <col min="6418" max="6664" width="9" style="34"/>
    <col min="6665" max="6665" width="2.90625" style="34" customWidth="1"/>
    <col min="6666" max="6666" width="3" style="34" customWidth="1"/>
    <col min="6667" max="6667" width="16.36328125" style="34" customWidth="1"/>
    <col min="6668" max="6668" width="25.453125" style="34" customWidth="1"/>
    <col min="6669" max="6669" width="8" style="34" customWidth="1"/>
    <col min="6670" max="6670" width="6.08984375" style="34" bestFit="1" customWidth="1"/>
    <col min="6671" max="6671" width="7.90625" style="34" bestFit="1" customWidth="1"/>
    <col min="6672" max="6672" width="13.26953125" style="34" bestFit="1" customWidth="1"/>
    <col min="6673" max="6673" width="9" style="34" customWidth="1"/>
    <col min="6674" max="6920" width="9" style="34"/>
    <col min="6921" max="6921" width="2.90625" style="34" customWidth="1"/>
    <col min="6922" max="6922" width="3" style="34" customWidth="1"/>
    <col min="6923" max="6923" width="16.36328125" style="34" customWidth="1"/>
    <col min="6924" max="6924" width="25.453125" style="34" customWidth="1"/>
    <col min="6925" max="6925" width="8" style="34" customWidth="1"/>
    <col min="6926" max="6926" width="6.08984375" style="34" bestFit="1" customWidth="1"/>
    <col min="6927" max="6927" width="7.90625" style="34" bestFit="1" customWidth="1"/>
    <col min="6928" max="6928" width="13.26953125" style="34" bestFit="1" customWidth="1"/>
    <col min="6929" max="6929" width="9" style="34" customWidth="1"/>
    <col min="6930" max="7176" width="9" style="34"/>
    <col min="7177" max="7177" width="2.90625" style="34" customWidth="1"/>
    <col min="7178" max="7178" width="3" style="34" customWidth="1"/>
    <col min="7179" max="7179" width="16.36328125" style="34" customWidth="1"/>
    <col min="7180" max="7180" width="25.453125" style="34" customWidth="1"/>
    <col min="7181" max="7181" width="8" style="34" customWidth="1"/>
    <col min="7182" max="7182" width="6.08984375" style="34" bestFit="1" customWidth="1"/>
    <col min="7183" max="7183" width="7.90625" style="34" bestFit="1" customWidth="1"/>
    <col min="7184" max="7184" width="13.26953125" style="34" bestFit="1" customWidth="1"/>
    <col min="7185" max="7185" width="9" style="34" customWidth="1"/>
    <col min="7186" max="7432" width="9" style="34"/>
    <col min="7433" max="7433" width="2.90625" style="34" customWidth="1"/>
    <col min="7434" max="7434" width="3" style="34" customWidth="1"/>
    <col min="7435" max="7435" width="16.36328125" style="34" customWidth="1"/>
    <col min="7436" max="7436" width="25.453125" style="34" customWidth="1"/>
    <col min="7437" max="7437" width="8" style="34" customWidth="1"/>
    <col min="7438" max="7438" width="6.08984375" style="34" bestFit="1" customWidth="1"/>
    <col min="7439" max="7439" width="7.90625" style="34" bestFit="1" customWidth="1"/>
    <col min="7440" max="7440" width="13.26953125" style="34" bestFit="1" customWidth="1"/>
    <col min="7441" max="7441" width="9" style="34" customWidth="1"/>
    <col min="7442" max="7688" width="9" style="34"/>
    <col min="7689" max="7689" width="2.90625" style="34" customWidth="1"/>
    <col min="7690" max="7690" width="3" style="34" customWidth="1"/>
    <col min="7691" max="7691" width="16.36328125" style="34" customWidth="1"/>
    <col min="7692" max="7692" width="25.453125" style="34" customWidth="1"/>
    <col min="7693" max="7693" width="8" style="34" customWidth="1"/>
    <col min="7694" max="7694" width="6.08984375" style="34" bestFit="1" customWidth="1"/>
    <col min="7695" max="7695" width="7.90625" style="34" bestFit="1" customWidth="1"/>
    <col min="7696" max="7696" width="13.26953125" style="34" bestFit="1" customWidth="1"/>
    <col min="7697" max="7697" width="9" style="34" customWidth="1"/>
    <col min="7698" max="7944" width="9" style="34"/>
    <col min="7945" max="7945" width="2.90625" style="34" customWidth="1"/>
    <col min="7946" max="7946" width="3" style="34" customWidth="1"/>
    <col min="7947" max="7947" width="16.36328125" style="34" customWidth="1"/>
    <col min="7948" max="7948" width="25.453125" style="34" customWidth="1"/>
    <col min="7949" max="7949" width="8" style="34" customWidth="1"/>
    <col min="7950" max="7950" width="6.08984375" style="34" bestFit="1" customWidth="1"/>
    <col min="7951" max="7951" width="7.90625" style="34" bestFit="1" customWidth="1"/>
    <col min="7952" max="7952" width="13.26953125" style="34" bestFit="1" customWidth="1"/>
    <col min="7953" max="7953" width="9" style="34" customWidth="1"/>
    <col min="7954" max="8200" width="9" style="34"/>
    <col min="8201" max="8201" width="2.90625" style="34" customWidth="1"/>
    <col min="8202" max="8202" width="3" style="34" customWidth="1"/>
    <col min="8203" max="8203" width="16.36328125" style="34" customWidth="1"/>
    <col min="8204" max="8204" width="25.453125" style="34" customWidth="1"/>
    <col min="8205" max="8205" width="8" style="34" customWidth="1"/>
    <col min="8206" max="8206" width="6.08984375" style="34" bestFit="1" customWidth="1"/>
    <col min="8207" max="8207" width="7.90625" style="34" bestFit="1" customWidth="1"/>
    <col min="8208" max="8208" width="13.26953125" style="34" bestFit="1" customWidth="1"/>
    <col min="8209" max="8209" width="9" style="34" customWidth="1"/>
    <col min="8210" max="8456" width="9" style="34"/>
    <col min="8457" max="8457" width="2.90625" style="34" customWidth="1"/>
    <col min="8458" max="8458" width="3" style="34" customWidth="1"/>
    <col min="8459" max="8459" width="16.36328125" style="34" customWidth="1"/>
    <col min="8460" max="8460" width="25.453125" style="34" customWidth="1"/>
    <col min="8461" max="8461" width="8" style="34" customWidth="1"/>
    <col min="8462" max="8462" width="6.08984375" style="34" bestFit="1" customWidth="1"/>
    <col min="8463" max="8463" width="7.90625" style="34" bestFit="1" customWidth="1"/>
    <col min="8464" max="8464" width="13.26953125" style="34" bestFit="1" customWidth="1"/>
    <col min="8465" max="8465" width="9" style="34" customWidth="1"/>
    <col min="8466" max="8712" width="9" style="34"/>
    <col min="8713" max="8713" width="2.90625" style="34" customWidth="1"/>
    <col min="8714" max="8714" width="3" style="34" customWidth="1"/>
    <col min="8715" max="8715" width="16.36328125" style="34" customWidth="1"/>
    <col min="8716" max="8716" width="25.453125" style="34" customWidth="1"/>
    <col min="8717" max="8717" width="8" style="34" customWidth="1"/>
    <col min="8718" max="8718" width="6.08984375" style="34" bestFit="1" customWidth="1"/>
    <col min="8719" max="8719" width="7.90625" style="34" bestFit="1" customWidth="1"/>
    <col min="8720" max="8720" width="13.26953125" style="34" bestFit="1" customWidth="1"/>
    <col min="8721" max="8721" width="9" style="34" customWidth="1"/>
    <col min="8722" max="8968" width="9" style="34"/>
    <col min="8969" max="8969" width="2.90625" style="34" customWidth="1"/>
    <col min="8970" max="8970" width="3" style="34" customWidth="1"/>
    <col min="8971" max="8971" width="16.36328125" style="34" customWidth="1"/>
    <col min="8972" max="8972" width="25.453125" style="34" customWidth="1"/>
    <col min="8973" max="8973" width="8" style="34" customWidth="1"/>
    <col min="8974" max="8974" width="6.08984375" style="34" bestFit="1" customWidth="1"/>
    <col min="8975" max="8975" width="7.90625" style="34" bestFit="1" customWidth="1"/>
    <col min="8976" max="8976" width="13.26953125" style="34" bestFit="1" customWidth="1"/>
    <col min="8977" max="8977" width="9" style="34" customWidth="1"/>
    <col min="8978" max="9224" width="9" style="34"/>
    <col min="9225" max="9225" width="2.90625" style="34" customWidth="1"/>
    <col min="9226" max="9226" width="3" style="34" customWidth="1"/>
    <col min="9227" max="9227" width="16.36328125" style="34" customWidth="1"/>
    <col min="9228" max="9228" width="25.453125" style="34" customWidth="1"/>
    <col min="9229" max="9229" width="8" style="34" customWidth="1"/>
    <col min="9230" max="9230" width="6.08984375" style="34" bestFit="1" customWidth="1"/>
    <col min="9231" max="9231" width="7.90625" style="34" bestFit="1" customWidth="1"/>
    <col min="9232" max="9232" width="13.26953125" style="34" bestFit="1" customWidth="1"/>
    <col min="9233" max="9233" width="9" style="34" customWidth="1"/>
    <col min="9234" max="9480" width="9" style="34"/>
    <col min="9481" max="9481" width="2.90625" style="34" customWidth="1"/>
    <col min="9482" max="9482" width="3" style="34" customWidth="1"/>
    <col min="9483" max="9483" width="16.36328125" style="34" customWidth="1"/>
    <col min="9484" max="9484" width="25.453125" style="34" customWidth="1"/>
    <col min="9485" max="9485" width="8" style="34" customWidth="1"/>
    <col min="9486" max="9486" width="6.08984375" style="34" bestFit="1" customWidth="1"/>
    <col min="9487" max="9487" width="7.90625" style="34" bestFit="1" customWidth="1"/>
    <col min="9488" max="9488" width="13.26953125" style="34" bestFit="1" customWidth="1"/>
    <col min="9489" max="9489" width="9" style="34" customWidth="1"/>
    <col min="9490" max="9736" width="9" style="34"/>
    <col min="9737" max="9737" width="2.90625" style="34" customWidth="1"/>
    <col min="9738" max="9738" width="3" style="34" customWidth="1"/>
    <col min="9739" max="9739" width="16.36328125" style="34" customWidth="1"/>
    <col min="9740" max="9740" width="25.453125" style="34" customWidth="1"/>
    <col min="9741" max="9741" width="8" style="34" customWidth="1"/>
    <col min="9742" max="9742" width="6.08984375" style="34" bestFit="1" customWidth="1"/>
    <col min="9743" max="9743" width="7.90625" style="34" bestFit="1" customWidth="1"/>
    <col min="9744" max="9744" width="13.26953125" style="34" bestFit="1" customWidth="1"/>
    <col min="9745" max="9745" width="9" style="34" customWidth="1"/>
    <col min="9746" max="9992" width="9" style="34"/>
    <col min="9993" max="9993" width="2.90625" style="34" customWidth="1"/>
    <col min="9994" max="9994" width="3" style="34" customWidth="1"/>
    <col min="9995" max="9995" width="16.36328125" style="34" customWidth="1"/>
    <col min="9996" max="9996" width="25.453125" style="34" customWidth="1"/>
    <col min="9997" max="9997" width="8" style="34" customWidth="1"/>
    <col min="9998" max="9998" width="6.08984375" style="34" bestFit="1" customWidth="1"/>
    <col min="9999" max="9999" width="7.90625" style="34" bestFit="1" customWidth="1"/>
    <col min="10000" max="10000" width="13.26953125" style="34" bestFit="1" customWidth="1"/>
    <col min="10001" max="10001" width="9" style="34" customWidth="1"/>
    <col min="10002" max="10248" width="9" style="34"/>
    <col min="10249" max="10249" width="2.90625" style="34" customWidth="1"/>
    <col min="10250" max="10250" width="3" style="34" customWidth="1"/>
    <col min="10251" max="10251" width="16.36328125" style="34" customWidth="1"/>
    <col min="10252" max="10252" width="25.453125" style="34" customWidth="1"/>
    <col min="10253" max="10253" width="8" style="34" customWidth="1"/>
    <col min="10254" max="10254" width="6.08984375" style="34" bestFit="1" customWidth="1"/>
    <col min="10255" max="10255" width="7.90625" style="34" bestFit="1" customWidth="1"/>
    <col min="10256" max="10256" width="13.26953125" style="34" bestFit="1" customWidth="1"/>
    <col min="10257" max="10257" width="9" style="34" customWidth="1"/>
    <col min="10258" max="10504" width="9" style="34"/>
    <col min="10505" max="10505" width="2.90625" style="34" customWidth="1"/>
    <col min="10506" max="10506" width="3" style="34" customWidth="1"/>
    <col min="10507" max="10507" width="16.36328125" style="34" customWidth="1"/>
    <col min="10508" max="10508" width="25.453125" style="34" customWidth="1"/>
    <col min="10509" max="10509" width="8" style="34" customWidth="1"/>
    <col min="10510" max="10510" width="6.08984375" style="34" bestFit="1" customWidth="1"/>
    <col min="10511" max="10511" width="7.90625" style="34" bestFit="1" customWidth="1"/>
    <col min="10512" max="10512" width="13.26953125" style="34" bestFit="1" customWidth="1"/>
    <col min="10513" max="10513" width="9" style="34" customWidth="1"/>
    <col min="10514" max="10760" width="9" style="34"/>
    <col min="10761" max="10761" width="2.90625" style="34" customWidth="1"/>
    <col min="10762" max="10762" width="3" style="34" customWidth="1"/>
    <col min="10763" max="10763" width="16.36328125" style="34" customWidth="1"/>
    <col min="10764" max="10764" width="25.453125" style="34" customWidth="1"/>
    <col min="10765" max="10765" width="8" style="34" customWidth="1"/>
    <col min="10766" max="10766" width="6.08984375" style="34" bestFit="1" customWidth="1"/>
    <col min="10767" max="10767" width="7.90625" style="34" bestFit="1" customWidth="1"/>
    <col min="10768" max="10768" width="13.26953125" style="34" bestFit="1" customWidth="1"/>
    <col min="10769" max="10769" width="9" style="34" customWidth="1"/>
    <col min="10770" max="11016" width="9" style="34"/>
    <col min="11017" max="11017" width="2.90625" style="34" customWidth="1"/>
    <col min="11018" max="11018" width="3" style="34" customWidth="1"/>
    <col min="11019" max="11019" width="16.36328125" style="34" customWidth="1"/>
    <col min="11020" max="11020" width="25.453125" style="34" customWidth="1"/>
    <col min="11021" max="11021" width="8" style="34" customWidth="1"/>
    <col min="11022" max="11022" width="6.08984375" style="34" bestFit="1" customWidth="1"/>
    <col min="11023" max="11023" width="7.90625" style="34" bestFit="1" customWidth="1"/>
    <col min="11024" max="11024" width="13.26953125" style="34" bestFit="1" customWidth="1"/>
    <col min="11025" max="11025" width="9" style="34" customWidth="1"/>
    <col min="11026" max="11272" width="9" style="34"/>
    <col min="11273" max="11273" width="2.90625" style="34" customWidth="1"/>
    <col min="11274" max="11274" width="3" style="34" customWidth="1"/>
    <col min="11275" max="11275" width="16.36328125" style="34" customWidth="1"/>
    <col min="11276" max="11276" width="25.453125" style="34" customWidth="1"/>
    <col min="11277" max="11277" width="8" style="34" customWidth="1"/>
    <col min="11278" max="11278" width="6.08984375" style="34" bestFit="1" customWidth="1"/>
    <col min="11279" max="11279" width="7.90625" style="34" bestFit="1" customWidth="1"/>
    <col min="11280" max="11280" width="13.26953125" style="34" bestFit="1" customWidth="1"/>
    <col min="11281" max="11281" width="9" style="34" customWidth="1"/>
    <col min="11282" max="11528" width="9" style="34"/>
    <col min="11529" max="11529" width="2.90625" style="34" customWidth="1"/>
    <col min="11530" max="11530" width="3" style="34" customWidth="1"/>
    <col min="11531" max="11531" width="16.36328125" style="34" customWidth="1"/>
    <col min="11532" max="11532" width="25.453125" style="34" customWidth="1"/>
    <col min="11533" max="11533" width="8" style="34" customWidth="1"/>
    <col min="11534" max="11534" width="6.08984375" style="34" bestFit="1" customWidth="1"/>
    <col min="11535" max="11535" width="7.90625" style="34" bestFit="1" customWidth="1"/>
    <col min="11536" max="11536" width="13.26953125" style="34" bestFit="1" customWidth="1"/>
    <col min="11537" max="11537" width="9" style="34" customWidth="1"/>
    <col min="11538" max="11784" width="9" style="34"/>
    <col min="11785" max="11785" width="2.90625" style="34" customWidth="1"/>
    <col min="11786" max="11786" width="3" style="34" customWidth="1"/>
    <col min="11787" max="11787" width="16.36328125" style="34" customWidth="1"/>
    <col min="11788" max="11788" width="25.453125" style="34" customWidth="1"/>
    <col min="11789" max="11789" width="8" style="34" customWidth="1"/>
    <col min="11790" max="11790" width="6.08984375" style="34" bestFit="1" customWidth="1"/>
    <col min="11791" max="11791" width="7.90625" style="34" bestFit="1" customWidth="1"/>
    <col min="11792" max="11792" width="13.26953125" style="34" bestFit="1" customWidth="1"/>
    <col min="11793" max="11793" width="9" style="34" customWidth="1"/>
    <col min="11794" max="12040" width="9" style="34"/>
    <col min="12041" max="12041" width="2.90625" style="34" customWidth="1"/>
    <col min="12042" max="12042" width="3" style="34" customWidth="1"/>
    <col min="12043" max="12043" width="16.36328125" style="34" customWidth="1"/>
    <col min="12044" max="12044" width="25.453125" style="34" customWidth="1"/>
    <col min="12045" max="12045" width="8" style="34" customWidth="1"/>
    <col min="12046" max="12046" width="6.08984375" style="34" bestFit="1" customWidth="1"/>
    <col min="12047" max="12047" width="7.90625" style="34" bestFit="1" customWidth="1"/>
    <col min="12048" max="12048" width="13.26953125" style="34" bestFit="1" customWidth="1"/>
    <col min="12049" max="12049" width="9" style="34" customWidth="1"/>
    <col min="12050" max="12296" width="9" style="34"/>
    <col min="12297" max="12297" width="2.90625" style="34" customWidth="1"/>
    <col min="12298" max="12298" width="3" style="34" customWidth="1"/>
    <col min="12299" max="12299" width="16.36328125" style="34" customWidth="1"/>
    <col min="12300" max="12300" width="25.453125" style="34" customWidth="1"/>
    <col min="12301" max="12301" width="8" style="34" customWidth="1"/>
    <col min="12302" max="12302" width="6.08984375" style="34" bestFit="1" customWidth="1"/>
    <col min="12303" max="12303" width="7.90625" style="34" bestFit="1" customWidth="1"/>
    <col min="12304" max="12304" width="13.26953125" style="34" bestFit="1" customWidth="1"/>
    <col min="12305" max="12305" width="9" style="34" customWidth="1"/>
    <col min="12306" max="12552" width="9" style="34"/>
    <col min="12553" max="12553" width="2.90625" style="34" customWidth="1"/>
    <col min="12554" max="12554" width="3" style="34" customWidth="1"/>
    <col min="12555" max="12555" width="16.36328125" style="34" customWidth="1"/>
    <col min="12556" max="12556" width="25.453125" style="34" customWidth="1"/>
    <col min="12557" max="12557" width="8" style="34" customWidth="1"/>
    <col min="12558" max="12558" width="6.08984375" style="34" bestFit="1" customWidth="1"/>
    <col min="12559" max="12559" width="7.90625" style="34" bestFit="1" customWidth="1"/>
    <col min="12560" max="12560" width="13.26953125" style="34" bestFit="1" customWidth="1"/>
    <col min="12561" max="12561" width="9" style="34" customWidth="1"/>
    <col min="12562" max="12808" width="9" style="34"/>
    <col min="12809" max="12809" width="2.90625" style="34" customWidth="1"/>
    <col min="12810" max="12810" width="3" style="34" customWidth="1"/>
    <col min="12811" max="12811" width="16.36328125" style="34" customWidth="1"/>
    <col min="12812" max="12812" width="25.453125" style="34" customWidth="1"/>
    <col min="12813" max="12813" width="8" style="34" customWidth="1"/>
    <col min="12814" max="12814" width="6.08984375" style="34" bestFit="1" customWidth="1"/>
    <col min="12815" max="12815" width="7.90625" style="34" bestFit="1" customWidth="1"/>
    <col min="12816" max="12816" width="13.26953125" style="34" bestFit="1" customWidth="1"/>
    <col min="12817" max="12817" width="9" style="34" customWidth="1"/>
    <col min="12818" max="13064" width="9" style="34"/>
    <col min="13065" max="13065" width="2.90625" style="34" customWidth="1"/>
    <col min="13066" max="13066" width="3" style="34" customWidth="1"/>
    <col min="13067" max="13067" width="16.36328125" style="34" customWidth="1"/>
    <col min="13068" max="13068" width="25.453125" style="34" customWidth="1"/>
    <col min="13069" max="13069" width="8" style="34" customWidth="1"/>
    <col min="13070" max="13070" width="6.08984375" style="34" bestFit="1" customWidth="1"/>
    <col min="13071" max="13071" width="7.90625" style="34" bestFit="1" customWidth="1"/>
    <col min="13072" max="13072" width="13.26953125" style="34" bestFit="1" customWidth="1"/>
    <col min="13073" max="13073" width="9" style="34" customWidth="1"/>
    <col min="13074" max="13320" width="9" style="34"/>
    <col min="13321" max="13321" width="2.90625" style="34" customWidth="1"/>
    <col min="13322" max="13322" width="3" style="34" customWidth="1"/>
    <col min="13323" max="13323" width="16.36328125" style="34" customWidth="1"/>
    <col min="13324" max="13324" width="25.453125" style="34" customWidth="1"/>
    <col min="13325" max="13325" width="8" style="34" customWidth="1"/>
    <col min="13326" max="13326" width="6.08984375" style="34" bestFit="1" customWidth="1"/>
    <col min="13327" max="13327" width="7.90625" style="34" bestFit="1" customWidth="1"/>
    <col min="13328" max="13328" width="13.26953125" style="34" bestFit="1" customWidth="1"/>
    <col min="13329" max="13329" width="9" style="34" customWidth="1"/>
    <col min="13330" max="13576" width="9" style="34"/>
    <col min="13577" max="13577" width="2.90625" style="34" customWidth="1"/>
    <col min="13578" max="13578" width="3" style="34" customWidth="1"/>
    <col min="13579" max="13579" width="16.36328125" style="34" customWidth="1"/>
    <col min="13580" max="13580" width="25.453125" style="34" customWidth="1"/>
    <col min="13581" max="13581" width="8" style="34" customWidth="1"/>
    <col min="13582" max="13582" width="6.08984375" style="34" bestFit="1" customWidth="1"/>
    <col min="13583" max="13583" width="7.90625" style="34" bestFit="1" customWidth="1"/>
    <col min="13584" max="13584" width="13.26953125" style="34" bestFit="1" customWidth="1"/>
    <col min="13585" max="13585" width="9" style="34" customWidth="1"/>
    <col min="13586" max="13832" width="9" style="34"/>
    <col min="13833" max="13833" width="2.90625" style="34" customWidth="1"/>
    <col min="13834" max="13834" width="3" style="34" customWidth="1"/>
    <col min="13835" max="13835" width="16.36328125" style="34" customWidth="1"/>
    <col min="13836" max="13836" width="25.453125" style="34" customWidth="1"/>
    <col min="13837" max="13837" width="8" style="34" customWidth="1"/>
    <col min="13838" max="13838" width="6.08984375" style="34" bestFit="1" customWidth="1"/>
    <col min="13839" max="13839" width="7.90625" style="34" bestFit="1" customWidth="1"/>
    <col min="13840" max="13840" width="13.26953125" style="34" bestFit="1" customWidth="1"/>
    <col min="13841" max="13841" width="9" style="34" customWidth="1"/>
    <col min="13842" max="14088" width="9" style="34"/>
    <col min="14089" max="14089" width="2.90625" style="34" customWidth="1"/>
    <col min="14090" max="14090" width="3" style="34" customWidth="1"/>
    <col min="14091" max="14091" width="16.36328125" style="34" customWidth="1"/>
    <col min="14092" max="14092" width="25.453125" style="34" customWidth="1"/>
    <col min="14093" max="14093" width="8" style="34" customWidth="1"/>
    <col min="14094" max="14094" width="6.08984375" style="34" bestFit="1" customWidth="1"/>
    <col min="14095" max="14095" width="7.90625" style="34" bestFit="1" customWidth="1"/>
    <col min="14096" max="14096" width="13.26953125" style="34" bestFit="1" customWidth="1"/>
    <col min="14097" max="14097" width="9" style="34" customWidth="1"/>
    <col min="14098" max="14344" width="9" style="34"/>
    <col min="14345" max="14345" width="2.90625" style="34" customWidth="1"/>
    <col min="14346" max="14346" width="3" style="34" customWidth="1"/>
    <col min="14347" max="14347" width="16.36328125" style="34" customWidth="1"/>
    <col min="14348" max="14348" width="25.453125" style="34" customWidth="1"/>
    <col min="14349" max="14349" width="8" style="34" customWidth="1"/>
    <col min="14350" max="14350" width="6.08984375" style="34" bestFit="1" customWidth="1"/>
    <col min="14351" max="14351" width="7.90625" style="34" bestFit="1" customWidth="1"/>
    <col min="14352" max="14352" width="13.26953125" style="34" bestFit="1" customWidth="1"/>
    <col min="14353" max="14353" width="9" style="34" customWidth="1"/>
    <col min="14354" max="14600" width="9" style="34"/>
    <col min="14601" max="14601" width="2.90625" style="34" customWidth="1"/>
    <col min="14602" max="14602" width="3" style="34" customWidth="1"/>
    <col min="14603" max="14603" width="16.36328125" style="34" customWidth="1"/>
    <col min="14604" max="14604" width="25.453125" style="34" customWidth="1"/>
    <col min="14605" max="14605" width="8" style="34" customWidth="1"/>
    <col min="14606" max="14606" width="6.08984375" style="34" bestFit="1" customWidth="1"/>
    <col min="14607" max="14607" width="7.90625" style="34" bestFit="1" customWidth="1"/>
    <col min="14608" max="14608" width="13.26953125" style="34" bestFit="1" customWidth="1"/>
    <col min="14609" max="14609" width="9" style="34" customWidth="1"/>
    <col min="14610" max="14856" width="9" style="34"/>
    <col min="14857" max="14857" width="2.90625" style="34" customWidth="1"/>
    <col min="14858" max="14858" width="3" style="34" customWidth="1"/>
    <col min="14859" max="14859" width="16.36328125" style="34" customWidth="1"/>
    <col min="14860" max="14860" width="25.453125" style="34" customWidth="1"/>
    <col min="14861" max="14861" width="8" style="34" customWidth="1"/>
    <col min="14862" max="14862" width="6.08984375" style="34" bestFit="1" customWidth="1"/>
    <col min="14863" max="14863" width="7.90625" style="34" bestFit="1" customWidth="1"/>
    <col min="14864" max="14864" width="13.26953125" style="34" bestFit="1" customWidth="1"/>
    <col min="14865" max="14865" width="9" style="34" customWidth="1"/>
    <col min="14866" max="15112" width="9" style="34"/>
    <col min="15113" max="15113" width="2.90625" style="34" customWidth="1"/>
    <col min="15114" max="15114" width="3" style="34" customWidth="1"/>
    <col min="15115" max="15115" width="16.36328125" style="34" customWidth="1"/>
    <col min="15116" max="15116" width="25.453125" style="34" customWidth="1"/>
    <col min="15117" max="15117" width="8" style="34" customWidth="1"/>
    <col min="15118" max="15118" width="6.08984375" style="34" bestFit="1" customWidth="1"/>
    <col min="15119" max="15119" width="7.90625" style="34" bestFit="1" customWidth="1"/>
    <col min="15120" max="15120" width="13.26953125" style="34" bestFit="1" customWidth="1"/>
    <col min="15121" max="15121" width="9" style="34" customWidth="1"/>
    <col min="15122" max="15368" width="9" style="34"/>
    <col min="15369" max="15369" width="2.90625" style="34" customWidth="1"/>
    <col min="15370" max="15370" width="3" style="34" customWidth="1"/>
    <col min="15371" max="15371" width="16.36328125" style="34" customWidth="1"/>
    <col min="15372" max="15372" width="25.453125" style="34" customWidth="1"/>
    <col min="15373" max="15373" width="8" style="34" customWidth="1"/>
    <col min="15374" max="15374" width="6.08984375" style="34" bestFit="1" customWidth="1"/>
    <col min="15375" max="15375" width="7.90625" style="34" bestFit="1" customWidth="1"/>
    <col min="15376" max="15376" width="13.26953125" style="34" bestFit="1" customWidth="1"/>
    <col min="15377" max="15377" width="9" style="34" customWidth="1"/>
    <col min="15378" max="15624" width="9" style="34"/>
    <col min="15625" max="15625" width="2.90625" style="34" customWidth="1"/>
    <col min="15626" max="15626" width="3" style="34" customWidth="1"/>
    <col min="15627" max="15627" width="16.36328125" style="34" customWidth="1"/>
    <col min="15628" max="15628" width="25.453125" style="34" customWidth="1"/>
    <col min="15629" max="15629" width="8" style="34" customWidth="1"/>
    <col min="15630" max="15630" width="6.08984375" style="34" bestFit="1" customWidth="1"/>
    <col min="15631" max="15631" width="7.90625" style="34" bestFit="1" customWidth="1"/>
    <col min="15632" max="15632" width="13.26953125" style="34" bestFit="1" customWidth="1"/>
    <col min="15633" max="15633" width="9" style="34" customWidth="1"/>
    <col min="15634" max="15880" width="9" style="34"/>
    <col min="15881" max="15881" width="2.90625" style="34" customWidth="1"/>
    <col min="15882" max="15882" width="3" style="34" customWidth="1"/>
    <col min="15883" max="15883" width="16.36328125" style="34" customWidth="1"/>
    <col min="15884" max="15884" width="25.453125" style="34" customWidth="1"/>
    <col min="15885" max="15885" width="8" style="34" customWidth="1"/>
    <col min="15886" max="15886" width="6.08984375" style="34" bestFit="1" customWidth="1"/>
    <col min="15887" max="15887" width="7.90625" style="34" bestFit="1" customWidth="1"/>
    <col min="15888" max="15888" width="13.26953125" style="34" bestFit="1" customWidth="1"/>
    <col min="15889" max="15889" width="9" style="34" customWidth="1"/>
    <col min="15890" max="16136" width="9" style="34"/>
    <col min="16137" max="16137" width="2.90625" style="34" customWidth="1"/>
    <col min="16138" max="16138" width="3" style="34" customWidth="1"/>
    <col min="16139" max="16139" width="16.36328125" style="34" customWidth="1"/>
    <col min="16140" max="16140" width="25.453125" style="34" customWidth="1"/>
    <col min="16141" max="16141" width="8" style="34" customWidth="1"/>
    <col min="16142" max="16142" width="6.08984375" style="34" bestFit="1" customWidth="1"/>
    <col min="16143" max="16143" width="7.90625" style="34" bestFit="1" customWidth="1"/>
    <col min="16144" max="16144" width="13.26953125" style="34" bestFit="1" customWidth="1"/>
    <col min="16145" max="16145" width="9" style="34" customWidth="1"/>
    <col min="16146" max="16384" width="9" style="34"/>
  </cols>
  <sheetData>
    <row r="1" spans="1:21" ht="14">
      <c r="A1" s="123" t="s">
        <v>380</v>
      </c>
      <c r="B1" s="36"/>
      <c r="C1" s="36"/>
      <c r="D1" s="36"/>
      <c r="E1" s="36"/>
      <c r="F1" s="168"/>
      <c r="G1" s="1176" t="e">
        <f>CONCATENATE(#REF!,"/",#REF!,"/",#REF!)</f>
        <v>#REF!</v>
      </c>
      <c r="H1" s="1176"/>
      <c r="I1" s="1176"/>
      <c r="J1" s="705"/>
    </row>
    <row r="2" spans="1:21" s="68" customFormat="1" ht="31.5" customHeight="1">
      <c r="A2" s="1125" t="s">
        <v>523</v>
      </c>
      <c r="B2" s="1125"/>
      <c r="C2" s="1125"/>
      <c r="D2" s="1125"/>
      <c r="E2" s="1125"/>
      <c r="F2" s="1125"/>
      <c r="G2" s="1125"/>
      <c r="H2" s="1125"/>
      <c r="I2" s="1125"/>
      <c r="J2" s="702"/>
      <c r="L2" s="35" t="s">
        <v>82</v>
      </c>
      <c r="M2" s="35" t="s">
        <v>319</v>
      </c>
      <c r="O2" s="35" t="s">
        <v>369</v>
      </c>
      <c r="P2" s="35" t="s">
        <v>463</v>
      </c>
      <c r="Q2" s="35" t="s">
        <v>464</v>
      </c>
      <c r="R2" s="35" t="s">
        <v>368</v>
      </c>
      <c r="S2" s="35" t="s">
        <v>365</v>
      </c>
      <c r="T2" s="35" t="s">
        <v>366</v>
      </c>
      <c r="U2" s="35" t="s">
        <v>367</v>
      </c>
    </row>
    <row r="3" spans="1:21" s="68" customFormat="1" ht="20.149999999999999" customHeight="1">
      <c r="A3" s="314"/>
      <c r="B3" s="314"/>
      <c r="C3" s="314"/>
      <c r="D3" s="314"/>
      <c r="E3" s="314"/>
      <c r="F3" s="314"/>
      <c r="G3" s="314"/>
      <c r="H3" s="314"/>
      <c r="I3" s="314"/>
      <c r="J3" s="702"/>
      <c r="L3" s="35"/>
      <c r="M3" s="35"/>
      <c r="O3" s="35"/>
      <c r="P3" s="35"/>
      <c r="Q3" s="35"/>
      <c r="R3" s="35"/>
      <c r="S3" s="35"/>
      <c r="T3" s="35"/>
      <c r="U3" s="35"/>
    </row>
    <row r="4" spans="1:21" s="68" customFormat="1" ht="20.149999999999999" customHeight="1">
      <c r="A4" s="314"/>
      <c r="B4" s="314"/>
      <c r="C4" s="314"/>
      <c r="D4" s="314"/>
      <c r="E4" s="1255" t="s">
        <v>370</v>
      </c>
      <c r="F4" s="1256"/>
      <c r="G4" s="1259" t="e">
        <f>CONCATENATE(#REF!)</f>
        <v>#REF!</v>
      </c>
      <c r="H4" s="1260"/>
      <c r="I4" s="1261"/>
      <c r="J4" s="776"/>
      <c r="L4" s="35"/>
      <c r="M4" s="35"/>
      <c r="O4" s="35"/>
      <c r="P4" s="35"/>
      <c r="Q4" s="35"/>
      <c r="R4" s="35"/>
      <c r="S4" s="35"/>
      <c r="T4" s="35"/>
      <c r="U4" s="35"/>
    </row>
    <row r="5" spans="1:21" s="68" customFormat="1" ht="20.149999999999999" customHeight="1">
      <c r="A5" s="314"/>
      <c r="B5" s="314"/>
      <c r="C5" s="314"/>
      <c r="D5" s="314"/>
      <c r="E5" s="1257"/>
      <c r="F5" s="1258"/>
      <c r="G5" s="1262"/>
      <c r="H5" s="1263"/>
      <c r="I5" s="1264"/>
      <c r="J5" s="776"/>
      <c r="L5" s="35"/>
      <c r="M5" s="35"/>
      <c r="O5" s="35"/>
      <c r="P5" s="35"/>
      <c r="Q5" s="35"/>
      <c r="R5" s="35"/>
      <c r="S5" s="35"/>
      <c r="T5" s="35"/>
      <c r="U5" s="35"/>
    </row>
    <row r="6" spans="1:21" ht="20.149999999999999" customHeight="1">
      <c r="A6" s="1253"/>
      <c r="B6" s="1253"/>
      <c r="C6" s="1253"/>
      <c r="D6" s="1253"/>
      <c r="E6" s="776"/>
      <c r="F6" s="776"/>
      <c r="G6" s="776"/>
      <c r="H6" s="776"/>
      <c r="I6" s="776"/>
      <c r="J6" s="776"/>
      <c r="L6" s="35"/>
      <c r="M6" s="35"/>
      <c r="N6" s="367" t="s">
        <v>119</v>
      </c>
      <c r="O6" s="114">
        <f>SUM('入力（加算）A'!Q24,'入力（加算）A'!Q29)</f>
        <v>0</v>
      </c>
      <c r="P6" s="114">
        <f>SUM('入力（加算）A'!Q22,'入力（加算）A'!Q27)</f>
        <v>0</v>
      </c>
      <c r="Q6" s="114">
        <f>SUM('入力（加算）A'!Q23,'入力（加算）A'!Q28)</f>
        <v>0</v>
      </c>
      <c r="R6" s="114" t="str">
        <f>CONCATENATE('入力（加算）A'!E18)</f>
        <v/>
      </c>
      <c r="S6" s="35">
        <f>'入力（加算）A'!F18</f>
        <v>0</v>
      </c>
      <c r="T6" s="35">
        <f>'入力（加算）A'!L18</f>
        <v>0</v>
      </c>
      <c r="U6" s="35" t="str">
        <f>CONCATENATE('入力（加算）A'!H18)</f>
        <v/>
      </c>
    </row>
    <row r="7" spans="1:21" ht="19.5" customHeight="1" thickBot="1">
      <c r="A7" s="1254"/>
      <c r="B7" s="1254"/>
      <c r="C7" s="1254"/>
      <c r="D7" s="1254"/>
      <c r="E7" s="124"/>
      <c r="F7" s="168"/>
      <c r="G7" s="168"/>
      <c r="H7" s="168"/>
      <c r="I7" s="168"/>
      <c r="J7" s="168"/>
      <c r="L7" s="35" t="s">
        <v>186</v>
      </c>
      <c r="M7" s="35">
        <v>1</v>
      </c>
      <c r="N7" s="368" t="s">
        <v>121</v>
      </c>
      <c r="O7" s="115">
        <f>SUM('入力（加算）事19'!Q20,'入力（加算）事19'!Q25)</f>
        <v>0</v>
      </c>
      <c r="P7" s="115">
        <f>SUM('入力（加算）事19'!Q18,'入力（加算）事19'!Q23)</f>
        <v>0</v>
      </c>
      <c r="Q7" s="115">
        <f>SUM('入力（加算）事19'!Q19,'入力（加算）事19'!Q24)</f>
        <v>0</v>
      </c>
      <c r="R7" s="115" t="str">
        <f>CONCATENATE('入力（加算）事19'!E30)</f>
        <v/>
      </c>
      <c r="S7" s="116">
        <f>'入力（加算）事19'!F30</f>
        <v>0</v>
      </c>
      <c r="T7" s="116">
        <f>'入力（加算）事19'!L30</f>
        <v>0</v>
      </c>
      <c r="U7" s="116" t="str">
        <f>CONCATENATE('入力（加算）事19'!H30)</f>
        <v/>
      </c>
    </row>
    <row r="8" spans="1:21" ht="20.149999999999999" customHeight="1" thickBot="1">
      <c r="A8" s="352"/>
      <c r="B8" s="36"/>
      <c r="C8" s="237" t="s">
        <v>320</v>
      </c>
      <c r="D8" s="120">
        <f>IF('入力（加算）A'!D7="",'入力（加算）事19'!D8,'入力（加算）A'!D7)</f>
        <v>0</v>
      </c>
      <c r="E8" s="36"/>
      <c r="F8" s="168"/>
      <c r="G8" s="168"/>
      <c r="H8" s="187" t="s">
        <v>374</v>
      </c>
      <c r="I8" s="188">
        <v>12</v>
      </c>
      <c r="J8" s="353"/>
      <c r="L8" s="35" t="s">
        <v>188</v>
      </c>
      <c r="M8" s="71">
        <v>2</v>
      </c>
      <c r="N8" s="117" t="str">
        <f>IF('入力（加算）A'!D7,"小規模Ａ型","事業所内（19人以下Ａ）")</f>
        <v>事業所内（19人以下Ａ）</v>
      </c>
      <c r="O8" s="118">
        <f>IFERROR(VLOOKUP($N$8,$N$6:$U$7,2,FALSE),0)</f>
        <v>0</v>
      </c>
      <c r="P8" s="118">
        <f>IFERROR(VLOOKUP($N$8,$N$6:$U$7,3,FALSE),0)</f>
        <v>0</v>
      </c>
      <c r="Q8" s="118">
        <f>IFERROR(VLOOKUP($N$8,$N$6:$U$7,4,FALSE),0)</f>
        <v>0</v>
      </c>
      <c r="R8" s="118" t="str">
        <f>IFERROR(VLOOKUP($N$8,$N$6:$U$7,5,FALSE),"")</f>
        <v/>
      </c>
      <c r="S8" s="118">
        <f>IFERROR(VLOOKUP($N$8,$N$6:$U$7,6,FALSE),0)</f>
        <v>0</v>
      </c>
      <c r="T8" s="118">
        <f>IFERROR(VLOOKUP($N$8,$N$6:$U$7,7,FALSE),0)</f>
        <v>0</v>
      </c>
      <c r="U8" s="119" t="str">
        <f>IFERROR(VLOOKUP($N$8,$N$6:$U$7,8,FALSE),"")</f>
        <v/>
      </c>
    </row>
    <row r="9" spans="1:21" ht="19.5" customHeight="1">
      <c r="A9" s="36"/>
      <c r="B9" s="36"/>
      <c r="C9" s="36"/>
      <c r="D9" s="36"/>
      <c r="E9" s="1054" t="str">
        <f>IF(OR(SUM(F13:F16)&gt;D8*1.2),"↓警告：定員の120％を超過しています。","")</f>
        <v/>
      </c>
      <c r="F9" s="1054"/>
      <c r="G9" s="1054"/>
      <c r="H9" s="1054"/>
      <c r="I9" s="1054"/>
      <c r="J9" s="700"/>
      <c r="M9" s="35">
        <v>3</v>
      </c>
      <c r="N9" s="86"/>
      <c r="O9" s="86"/>
      <c r="P9" s="86"/>
      <c r="Q9" s="86"/>
      <c r="R9" s="86"/>
      <c r="S9" s="86"/>
      <c r="T9" s="86"/>
      <c r="U9" s="86"/>
    </row>
    <row r="10" spans="1:21" ht="19.5" customHeight="1" thickBot="1">
      <c r="A10" s="774" t="s">
        <v>281</v>
      </c>
      <c r="B10" s="36"/>
      <c r="C10" s="36"/>
      <c r="D10" s="36"/>
      <c r="E10" s="1054"/>
      <c r="F10" s="1054"/>
      <c r="G10" s="1054"/>
      <c r="H10" s="1054"/>
      <c r="I10" s="1054"/>
      <c r="J10" s="700"/>
      <c r="M10" s="35">
        <v>4</v>
      </c>
      <c r="N10" s="86"/>
      <c r="O10" s="86"/>
      <c r="P10" s="86"/>
      <c r="Q10" s="86"/>
      <c r="R10" s="86"/>
      <c r="S10" s="86"/>
      <c r="T10" s="86"/>
      <c r="U10" s="86"/>
    </row>
    <row r="11" spans="1:21" ht="26.25" customHeight="1">
      <c r="A11" s="36"/>
      <c r="B11" s="1029"/>
      <c r="C11" s="1030"/>
      <c r="D11" s="1234"/>
      <c r="E11" s="188" t="s">
        <v>199</v>
      </c>
      <c r="F11" s="325" t="s">
        <v>200</v>
      </c>
      <c r="G11" s="1235" t="s">
        <v>201</v>
      </c>
      <c r="H11" s="1236"/>
      <c r="I11" s="168"/>
      <c r="J11" s="168"/>
      <c r="M11" s="35">
        <v>5</v>
      </c>
      <c r="N11" s="86"/>
      <c r="O11" s="86"/>
      <c r="P11" s="86"/>
      <c r="Q11" s="86"/>
      <c r="R11" s="86"/>
      <c r="S11" s="86"/>
      <c r="T11" s="86"/>
      <c r="U11" s="86"/>
    </row>
    <row r="12" spans="1:21" ht="24.75" customHeight="1" thickBot="1">
      <c r="A12" s="47"/>
      <c r="B12" s="310" t="s">
        <v>202</v>
      </c>
      <c r="C12" s="326" t="s">
        <v>283</v>
      </c>
      <c r="D12" s="326"/>
      <c r="E12" s="327"/>
      <c r="F12" s="328"/>
      <c r="G12" s="329"/>
      <c r="H12" s="330"/>
      <c r="I12" s="168"/>
      <c r="J12" s="168"/>
    </row>
    <row r="13" spans="1:21" ht="24.75" customHeight="1" thickBot="1">
      <c r="A13" s="47"/>
      <c r="B13" s="209"/>
      <c r="C13" s="1237" t="s">
        <v>438</v>
      </c>
      <c r="D13" s="1238"/>
      <c r="E13" s="354"/>
      <c r="F13" s="355">
        <f>'入力（児童数-本園)'!AB3</f>
        <v>0</v>
      </c>
      <c r="G13" s="203">
        <f>F13*1/30</f>
        <v>0</v>
      </c>
      <c r="H13" s="204">
        <f>ROUNDDOWN(G13,1)</f>
        <v>0</v>
      </c>
      <c r="I13" s="168"/>
      <c r="J13" s="168"/>
    </row>
    <row r="14" spans="1:21" ht="24.75" customHeight="1" thickBot="1">
      <c r="A14" s="47"/>
      <c r="B14" s="209"/>
      <c r="C14" s="1239" t="s">
        <v>439</v>
      </c>
      <c r="D14" s="1240"/>
      <c r="E14" s="356"/>
      <c r="F14" s="355">
        <f>'入力（児童数-本園)'!AB4</f>
        <v>0</v>
      </c>
      <c r="G14" s="203">
        <f>F14*1/20</f>
        <v>0</v>
      </c>
      <c r="H14" s="204">
        <f>ROUNDDOWN(G14,1)</f>
        <v>0</v>
      </c>
      <c r="I14" s="168"/>
      <c r="J14" s="168"/>
    </row>
    <row r="15" spans="1:21" ht="24.75" customHeight="1" thickBot="1">
      <c r="A15" s="47"/>
      <c r="B15" s="195"/>
      <c r="C15" s="1241" t="s">
        <v>440</v>
      </c>
      <c r="D15" s="1242"/>
      <c r="E15" s="200"/>
      <c r="F15" s="355">
        <f>'入力（児童数-本園)'!AB6-Q8</f>
        <v>0</v>
      </c>
      <c r="G15" s="203">
        <f>F15*1/6</f>
        <v>0</v>
      </c>
      <c r="H15" s="204">
        <f>ROUNDDOWN(G15,1)</f>
        <v>0</v>
      </c>
      <c r="I15" s="168"/>
      <c r="J15" s="168"/>
    </row>
    <row r="16" spans="1:21" ht="24.75" customHeight="1" thickBot="1">
      <c r="A16" s="47"/>
      <c r="B16" s="195"/>
      <c r="C16" s="1241" t="s">
        <v>441</v>
      </c>
      <c r="D16" s="1242"/>
      <c r="E16" s="200"/>
      <c r="F16" s="355">
        <f>'入力（児童数-本園)'!AB7-P8</f>
        <v>0</v>
      </c>
      <c r="G16" s="203">
        <f>F16*1/3</f>
        <v>0</v>
      </c>
      <c r="H16" s="204">
        <f>ROUNDDOWN(G16,1)</f>
        <v>0</v>
      </c>
      <c r="I16" s="168"/>
      <c r="J16" s="168"/>
      <c r="K16" s="357"/>
    </row>
    <row r="17" spans="1:11" ht="24.75" customHeight="1" thickBot="1">
      <c r="A17" s="47"/>
      <c r="B17" s="195"/>
      <c r="C17" s="1243" t="s">
        <v>321</v>
      </c>
      <c r="D17" s="1244"/>
      <c r="E17" s="333" t="str">
        <f>IF(O8&gt;0,R8,"なし")</f>
        <v>なし</v>
      </c>
      <c r="F17" s="338">
        <f>IF(E17="あり",O8,0)</f>
        <v>0</v>
      </c>
      <c r="G17" s="203">
        <f>IF(E17="あり",F17/2,0)</f>
        <v>0</v>
      </c>
      <c r="H17" s="204">
        <f>ROUNDDOWN(G17,1)</f>
        <v>0</v>
      </c>
      <c r="I17" s="168"/>
      <c r="J17" s="168"/>
      <c r="K17" s="357"/>
    </row>
    <row r="18" spans="1:11" ht="24.75" customHeight="1" thickBot="1">
      <c r="A18" s="47"/>
      <c r="B18" s="209"/>
      <c r="C18" s="1232" t="s">
        <v>322</v>
      </c>
      <c r="D18" s="1233"/>
      <c r="E18" s="369"/>
      <c r="F18" s="370"/>
      <c r="G18" s="371"/>
      <c r="H18" s="372">
        <v>1</v>
      </c>
      <c r="I18" s="168"/>
      <c r="J18" s="168"/>
      <c r="K18" s="357"/>
    </row>
    <row r="19" spans="1:11" ht="24.75" customHeight="1" thickTop="1">
      <c r="A19" s="47"/>
      <c r="B19" s="209"/>
      <c r="C19" s="1247" t="s">
        <v>247</v>
      </c>
      <c r="D19" s="1248"/>
      <c r="E19" s="360"/>
      <c r="F19" s="335"/>
      <c r="G19" s="210"/>
      <c r="H19" s="211">
        <f>ROUND(SUM(H15:H18),0)</f>
        <v>1</v>
      </c>
      <c r="I19" s="168"/>
      <c r="J19" s="168"/>
      <c r="K19" s="357"/>
    </row>
    <row r="20" spans="1:11" ht="24.75" customHeight="1">
      <c r="A20" s="47"/>
      <c r="B20" s="189" t="s">
        <v>248</v>
      </c>
      <c r="C20" s="1030" t="s">
        <v>292</v>
      </c>
      <c r="D20" s="1234"/>
      <c r="E20" s="337" t="str">
        <f>IF(SUM('入力（児童数-本園)'!Y3:Y6)&gt;0,"あり","なし")</f>
        <v>なし</v>
      </c>
      <c r="F20" s="336"/>
      <c r="G20" s="212"/>
      <c r="H20" s="213">
        <f>IF(E20="あり",0.4,0)</f>
        <v>0</v>
      </c>
      <c r="I20" s="168"/>
      <c r="J20" s="168"/>
      <c r="K20" s="357"/>
    </row>
    <row r="21" spans="1:11" ht="24.75" customHeight="1">
      <c r="A21" s="47"/>
      <c r="B21" s="189" t="s">
        <v>250</v>
      </c>
      <c r="C21" s="1249" t="s">
        <v>256</v>
      </c>
      <c r="D21" s="1250"/>
      <c r="E21" s="337" t="str">
        <f>IF(AND(S8&gt;0,ISNUMBER(S8)),"あり","なし")</f>
        <v>なし</v>
      </c>
      <c r="F21" s="336"/>
      <c r="G21" s="212"/>
      <c r="H21" s="213">
        <f>IF(E21="あり",0.5,0)</f>
        <v>0</v>
      </c>
      <c r="I21" s="168"/>
      <c r="J21" s="168"/>
    </row>
    <row r="22" spans="1:11" ht="24.75" customHeight="1">
      <c r="A22" s="47"/>
      <c r="B22" s="189" t="s">
        <v>323</v>
      </c>
      <c r="C22" s="852" t="s">
        <v>222</v>
      </c>
      <c r="D22" s="866"/>
      <c r="E22" s="337" t="str">
        <f>IF(T8="配置","あり","なし")</f>
        <v>なし</v>
      </c>
      <c r="F22" s="336"/>
      <c r="G22" s="212"/>
      <c r="H22" s="851">
        <f>IF(E22="あり",0.6,0)</f>
        <v>0</v>
      </c>
      <c r="I22" s="168"/>
      <c r="J22" s="168"/>
    </row>
    <row r="23" spans="1:11" ht="24.75" customHeight="1">
      <c r="A23" s="47"/>
      <c r="B23" s="189" t="s">
        <v>324</v>
      </c>
      <c r="C23" s="1251" t="s">
        <v>325</v>
      </c>
      <c r="D23" s="1252"/>
      <c r="E23" s="337" t="str">
        <f>CONCATENATE(U8)</f>
        <v/>
      </c>
      <c r="F23" s="336"/>
      <c r="G23" s="212"/>
      <c r="H23" s="339">
        <f>IF(E23="あり",-1,0)</f>
        <v>0</v>
      </c>
      <c r="I23" s="168"/>
      <c r="J23" s="168"/>
    </row>
    <row r="24" spans="1:11" ht="24.75" customHeight="1" thickBot="1">
      <c r="A24" s="47"/>
      <c r="B24" s="361" t="s">
        <v>491</v>
      </c>
      <c r="C24" s="362"/>
      <c r="D24" s="362"/>
      <c r="E24" s="363"/>
      <c r="F24" s="364"/>
      <c r="G24" s="365"/>
      <c r="H24" s="342">
        <v>1.3</v>
      </c>
      <c r="I24" s="168"/>
      <c r="J24" s="168"/>
    </row>
    <row r="25" spans="1:11" ht="24.75" customHeight="1" thickTop="1" thickBot="1">
      <c r="A25" s="47"/>
      <c r="B25" s="220" t="s">
        <v>228</v>
      </c>
      <c r="C25" s="47"/>
      <c r="D25" s="47"/>
      <c r="E25" s="47"/>
      <c r="F25" s="343"/>
      <c r="G25" s="221"/>
      <c r="H25" s="222">
        <f>SUM(H19:H24)</f>
        <v>2.2999999999999998</v>
      </c>
      <c r="I25" s="168"/>
      <c r="J25" s="168"/>
    </row>
    <row r="26" spans="1:11" ht="24.75" customHeight="1" thickBot="1">
      <c r="A26" s="47"/>
      <c r="B26" s="775" t="s">
        <v>229</v>
      </c>
      <c r="C26" s="373"/>
      <c r="D26" s="373"/>
      <c r="E26" s="373"/>
      <c r="F26" s="374"/>
      <c r="G26" s="223"/>
      <c r="H26" s="344">
        <f>ROUND(H25,0)</f>
        <v>2</v>
      </c>
      <c r="I26" s="168"/>
      <c r="J26" s="168"/>
    </row>
    <row r="27" spans="1:11" ht="24.75" customHeight="1">
      <c r="A27" s="47"/>
      <c r="B27" s="53"/>
      <c r="C27" s="47"/>
      <c r="D27" s="47"/>
      <c r="E27" s="47"/>
      <c r="F27" s="225"/>
      <c r="G27" s="226"/>
      <c r="H27" s="227"/>
      <c r="I27" s="225"/>
      <c r="J27" s="225"/>
    </row>
    <row r="28" spans="1:11" ht="24.75" customHeight="1" thickBot="1">
      <c r="A28" s="710" t="s">
        <v>231</v>
      </c>
      <c r="B28" s="699"/>
      <c r="C28" s="699"/>
      <c r="D28" s="699"/>
      <c r="E28" s="47"/>
      <c r="F28" s="47"/>
      <c r="G28" s="226"/>
      <c r="H28" s="227"/>
      <c r="I28" s="225"/>
      <c r="J28" s="225"/>
    </row>
    <row r="29" spans="1:11" ht="24.75" customHeight="1" thickBot="1">
      <c r="A29" s="699"/>
      <c r="B29" s="1245" t="s">
        <v>232</v>
      </c>
      <c r="C29" s="1246"/>
      <c r="D29" s="1246"/>
      <c r="E29" s="783">
        <f>H26/3</f>
        <v>0.66666666666666663</v>
      </c>
      <c r="F29" s="375">
        <f>IF(ROUND(E29,0)=0,1,ROUND(E29,0))</f>
        <v>1</v>
      </c>
      <c r="G29" s="226"/>
      <c r="H29" s="227"/>
      <c r="I29" s="225"/>
      <c r="J29" s="225"/>
    </row>
    <row r="30" spans="1:11" ht="24.75" customHeight="1" thickBot="1">
      <c r="A30" s="699"/>
      <c r="B30" s="1245" t="s">
        <v>233</v>
      </c>
      <c r="C30" s="1246"/>
      <c r="D30" s="1246"/>
      <c r="E30" s="783">
        <f>H26/5</f>
        <v>0.4</v>
      </c>
      <c r="F30" s="375">
        <f>IF(ROUND(E30,0)=0,1,ROUND(E30,0))</f>
        <v>1</v>
      </c>
      <c r="G30" s="226"/>
      <c r="H30" s="227"/>
      <c r="I30" s="225"/>
      <c r="J30" s="225"/>
    </row>
    <row r="31" spans="1:11" ht="24.75" customHeight="1">
      <c r="A31" s="47"/>
      <c r="B31" s="376"/>
      <c r="C31" s="376"/>
      <c r="D31" s="376"/>
      <c r="E31" s="376"/>
      <c r="F31" s="376"/>
      <c r="G31" s="377"/>
      <c r="H31" s="378"/>
      <c r="I31" s="36"/>
      <c r="J31" s="36"/>
    </row>
    <row r="32" spans="1:11" ht="24.75" customHeight="1">
      <c r="A32" s="710" t="s">
        <v>481</v>
      </c>
      <c r="B32" s="36"/>
      <c r="C32" s="36"/>
      <c r="D32" s="36"/>
      <c r="E32" s="36"/>
      <c r="F32" s="168"/>
      <c r="G32" s="168"/>
      <c r="H32" s="168"/>
      <c r="I32" s="168"/>
      <c r="J32" s="168"/>
    </row>
    <row r="33" spans="1:15" ht="24.75" customHeight="1">
      <c r="A33" s="36"/>
      <c r="B33" s="36"/>
      <c r="C33" s="36"/>
      <c r="D33" s="735" t="s">
        <v>483</v>
      </c>
      <c r="E33" s="784" t="s">
        <v>480</v>
      </c>
      <c r="F33" s="1230" t="s">
        <v>482</v>
      </c>
      <c r="G33" s="1230"/>
      <c r="H33" s="1230"/>
      <c r="I33" s="784" t="s">
        <v>475</v>
      </c>
      <c r="J33" s="777"/>
      <c r="N33" s="35" t="s">
        <v>375</v>
      </c>
      <c r="O33" s="122">
        <v>40000</v>
      </c>
    </row>
    <row r="34" spans="1:15" ht="24.75" customHeight="1">
      <c r="A34" s="36"/>
      <c r="B34" s="1228" t="s">
        <v>477</v>
      </c>
      <c r="C34" s="1229"/>
      <c r="D34" s="733">
        <f>I8*F29*O33</f>
        <v>480000</v>
      </c>
      <c r="E34" s="709">
        <f>O33</f>
        <v>40000</v>
      </c>
      <c r="F34" s="1231">
        <f>I8*F29*O35</f>
        <v>588120</v>
      </c>
      <c r="G34" s="1231"/>
      <c r="H34" s="1231"/>
      <c r="I34" s="709">
        <f>O35</f>
        <v>49010</v>
      </c>
      <c r="J34" s="778"/>
      <c r="N34" s="35" t="s">
        <v>376</v>
      </c>
      <c r="O34" s="122">
        <v>5000</v>
      </c>
    </row>
    <row r="35" spans="1:15" ht="24.75" customHeight="1">
      <c r="A35" s="36"/>
      <c r="B35" s="1228" t="s">
        <v>478</v>
      </c>
      <c r="C35" s="1229"/>
      <c r="D35" s="733">
        <f>I8*F30*O34</f>
        <v>60000</v>
      </c>
      <c r="E35" s="709">
        <f>O34</f>
        <v>5000</v>
      </c>
      <c r="F35" s="1231">
        <f>I8*F30*O36</f>
        <v>73560</v>
      </c>
      <c r="G35" s="1231"/>
      <c r="H35" s="1231"/>
      <c r="I35" s="709">
        <f>O36</f>
        <v>6130</v>
      </c>
      <c r="J35" s="778"/>
      <c r="N35" s="35" t="s">
        <v>486</v>
      </c>
      <c r="O35" s="122">
        <v>49010</v>
      </c>
    </row>
    <row r="36" spans="1:15" ht="24.75" customHeight="1">
      <c r="A36" s="36"/>
      <c r="B36" s="1228" t="s">
        <v>377</v>
      </c>
      <c r="C36" s="1229"/>
      <c r="D36" s="734">
        <f>SUM(D34:D35)</f>
        <v>540000</v>
      </c>
      <c r="E36" s="740"/>
      <c r="F36" s="1231">
        <f>SUM(F34:G35)</f>
        <v>661680</v>
      </c>
      <c r="G36" s="1231"/>
      <c r="H36" s="1231"/>
      <c r="I36" s="720"/>
      <c r="J36" s="225"/>
      <c r="N36" s="35" t="s">
        <v>487</v>
      </c>
      <c r="O36" s="122">
        <v>6130</v>
      </c>
    </row>
    <row r="37" spans="1:15" ht="24.75" customHeight="1">
      <c r="A37" s="36"/>
      <c r="B37" s="36"/>
      <c r="C37" s="36"/>
      <c r="D37" s="36"/>
      <c r="E37" s="736"/>
      <c r="F37" s="699"/>
      <c r="G37" s="699"/>
      <c r="H37" s="699"/>
      <c r="I37" s="168"/>
      <c r="J37" s="168"/>
    </row>
    <row r="38" spans="1:15" ht="24.75" customHeight="1">
      <c r="A38" s="36"/>
      <c r="B38" s="36"/>
      <c r="C38" s="36"/>
      <c r="D38" s="36"/>
      <c r="E38" s="1226" t="s">
        <v>488</v>
      </c>
      <c r="F38" s="1226"/>
      <c r="G38" s="1227"/>
      <c r="H38" s="738">
        <f>ROUNDDOWN(F36*0.2,-1)</f>
        <v>132330</v>
      </c>
      <c r="I38" s="168"/>
      <c r="J38" s="168"/>
    </row>
    <row r="39" spans="1:15" ht="24.75" customHeight="1">
      <c r="A39" s="36"/>
      <c r="B39" s="36"/>
      <c r="C39" s="36"/>
      <c r="D39" s="36"/>
      <c r="E39" s="779"/>
      <c r="F39" s="781" t="s">
        <v>484</v>
      </c>
      <c r="G39" s="780"/>
      <c r="H39" s="36"/>
      <c r="I39" s="36"/>
      <c r="J39" s="36"/>
    </row>
    <row r="40" spans="1:15" ht="24.75" customHeight="1">
      <c r="F40" s="34"/>
      <c r="G40" s="34"/>
      <c r="H40" s="34"/>
      <c r="I40" s="34"/>
      <c r="J40" s="34"/>
    </row>
    <row r="41" spans="1:15" ht="24.75" customHeight="1">
      <c r="F41" s="34"/>
      <c r="G41" s="34"/>
      <c r="H41" s="34"/>
      <c r="I41" s="34"/>
      <c r="J41" s="34"/>
    </row>
    <row r="42" spans="1:15" ht="33.75" customHeight="1">
      <c r="F42" s="34"/>
      <c r="G42" s="34"/>
      <c r="H42" s="34"/>
      <c r="I42" s="34"/>
      <c r="J42" s="34"/>
    </row>
    <row r="43" spans="1:15" ht="33.75" customHeight="1">
      <c r="F43" s="34"/>
      <c r="G43" s="34"/>
      <c r="H43" s="34"/>
      <c r="I43" s="34"/>
      <c r="J43" s="34"/>
    </row>
    <row r="44" spans="1:15" ht="33.75" customHeight="1">
      <c r="F44" s="34"/>
      <c r="G44" s="34"/>
      <c r="H44" s="34"/>
      <c r="I44" s="34"/>
      <c r="J44" s="34"/>
    </row>
    <row r="45" spans="1:15" ht="33.75" customHeight="1">
      <c r="F45" s="34"/>
      <c r="G45" s="34"/>
      <c r="H45" s="34"/>
      <c r="I45" s="34"/>
      <c r="J45" s="34"/>
    </row>
    <row r="46" spans="1:15" ht="33.75" customHeight="1">
      <c r="F46" s="34"/>
      <c r="G46" s="34"/>
      <c r="H46" s="34"/>
      <c r="I46" s="34"/>
      <c r="J46" s="34"/>
    </row>
    <row r="47" spans="1:15" ht="33.75" customHeight="1">
      <c r="F47" s="34"/>
      <c r="G47" s="34"/>
      <c r="H47" s="34"/>
      <c r="I47" s="34"/>
      <c r="J47" s="34"/>
    </row>
    <row r="48" spans="1:15" ht="33.75" customHeight="1">
      <c r="F48" s="34"/>
      <c r="G48" s="34"/>
      <c r="H48" s="34"/>
      <c r="I48" s="34"/>
      <c r="J48" s="34"/>
    </row>
    <row r="49" s="34" customFormat="1" ht="33.75" customHeight="1"/>
    <row r="50" s="34" customFormat="1" ht="33.75" customHeight="1"/>
    <row r="51" s="34" customFormat="1" ht="33.75" customHeight="1"/>
    <row r="52" s="34" customFormat="1" ht="20.25" customHeight="1"/>
    <row r="53" s="34" customFormat="1" ht="20.25" customHeight="1"/>
    <row r="54" s="34" customFormat="1" ht="20.25" customHeight="1"/>
    <row r="55" s="34" customFormat="1" ht="20.25" customHeight="1"/>
    <row r="56" s="34" customFormat="1" ht="20.25" customHeight="1"/>
    <row r="57" s="34" customFormat="1" ht="20.25" customHeight="1"/>
    <row r="58" s="34" customFormat="1" ht="20.25" customHeight="1"/>
    <row r="59" s="34" customFormat="1" ht="20.25" customHeight="1"/>
    <row r="60" s="34" customFormat="1" ht="20.25" customHeight="1"/>
    <row r="61" s="34" customFormat="1" ht="20.25" customHeight="1"/>
    <row r="62" s="34" customFormat="1" ht="20.25" customHeight="1"/>
    <row r="63" s="34" customFormat="1" ht="20.25" customHeight="1"/>
    <row r="64" s="34" customFormat="1" ht="20.25" customHeight="1"/>
    <row r="65" s="34" customFormat="1" ht="20.25" customHeight="1"/>
    <row r="66" s="34" customFormat="1" ht="20.25" customHeight="1"/>
    <row r="67" s="34" customFormat="1" ht="20.25" customHeight="1"/>
    <row r="68" s="34" customFormat="1" ht="20.25" customHeight="1"/>
    <row r="69" s="34" customFormat="1" ht="20.25" customHeight="1"/>
    <row r="70" s="34" customFormat="1" ht="20.25" customHeight="1"/>
    <row r="71" s="34" customFormat="1" ht="20.25" customHeight="1"/>
    <row r="72" s="34" customFormat="1" ht="20.25" customHeight="1"/>
    <row r="73" s="34" customFormat="1" ht="20.25" customHeight="1"/>
    <row r="74" s="34" customFormat="1" ht="20.25" customHeight="1"/>
    <row r="75" s="34" customFormat="1" ht="20.25" customHeight="1"/>
    <row r="76" s="34" customFormat="1" ht="20.25" customHeight="1"/>
    <row r="77" s="34" customFormat="1" ht="20.25" customHeight="1"/>
    <row r="78" s="34" customFormat="1" ht="20.25" customHeight="1"/>
    <row r="79" s="34" customFormat="1" ht="20.25" customHeight="1"/>
    <row r="80" s="34" customFormat="1" ht="20.25" customHeight="1"/>
    <row r="81" s="34" customFormat="1" ht="20.25" customHeight="1"/>
    <row r="82" s="34" customFormat="1" ht="20.25" customHeight="1"/>
    <row r="83" s="34" customFormat="1" ht="20.25" customHeight="1"/>
    <row r="84" s="34" customFormat="1" ht="20.25" customHeight="1"/>
    <row r="85" s="34" customFormat="1" ht="20.25" customHeight="1"/>
    <row r="86" s="34" customFormat="1" ht="20.25" customHeight="1"/>
    <row r="87" s="34" customFormat="1" ht="20.25" customHeight="1"/>
    <row r="88" s="34" customFormat="1" ht="20.25" customHeight="1"/>
    <row r="89" s="34" customFormat="1" ht="20.25" customHeight="1"/>
    <row r="90" s="34" customFormat="1" ht="20.25" customHeight="1"/>
    <row r="91" s="34" customFormat="1" ht="20.25" customHeight="1"/>
    <row r="92" s="34" customFormat="1" ht="20.25" customHeight="1"/>
    <row r="93" s="34" customFormat="1" ht="20.25" customHeight="1"/>
    <row r="94" s="34" customFormat="1" ht="20.25" customHeight="1"/>
    <row r="95" s="34" customFormat="1" ht="20.25" customHeight="1"/>
    <row r="96" s="34" customFormat="1" ht="20.25" customHeight="1"/>
    <row r="97" spans="6:10" ht="20.25" customHeight="1">
      <c r="F97" s="34"/>
      <c r="G97" s="34"/>
      <c r="H97" s="34"/>
      <c r="I97" s="34"/>
      <c r="J97" s="34"/>
    </row>
    <row r="98" spans="6:10" ht="20.25" customHeight="1">
      <c r="F98" s="34"/>
      <c r="G98" s="34"/>
      <c r="H98" s="34"/>
      <c r="I98" s="34"/>
      <c r="J98" s="34"/>
    </row>
    <row r="99" spans="6:10" ht="20.25" customHeight="1">
      <c r="F99" s="34"/>
      <c r="G99" s="34"/>
      <c r="H99" s="34"/>
      <c r="I99" s="34"/>
      <c r="J99" s="34"/>
    </row>
    <row r="100" spans="6:10" ht="20.25" customHeight="1">
      <c r="F100" s="34"/>
      <c r="G100" s="34"/>
      <c r="H100" s="34"/>
      <c r="I100" s="34"/>
      <c r="J100" s="34"/>
    </row>
    <row r="101" spans="6:10" ht="20.25" customHeight="1">
      <c r="F101" s="34"/>
      <c r="G101" s="34"/>
      <c r="H101" s="34"/>
      <c r="I101" s="34"/>
      <c r="J101" s="34"/>
    </row>
    <row r="102" spans="6:10" ht="20.25" customHeight="1">
      <c r="F102" s="34"/>
      <c r="G102" s="34"/>
      <c r="H102" s="34"/>
      <c r="I102" s="34"/>
      <c r="J102" s="34"/>
    </row>
    <row r="103" spans="6:10" ht="20.25" customHeight="1">
      <c r="F103" s="34"/>
      <c r="G103" s="34"/>
      <c r="H103" s="34"/>
      <c r="I103" s="34"/>
      <c r="J103" s="34"/>
    </row>
    <row r="104" spans="6:10" ht="20.25" customHeight="1"/>
    <row r="105" spans="6:10" ht="20.25" customHeight="1"/>
    <row r="106" spans="6:10" ht="20.25" customHeight="1"/>
    <row r="107" spans="6:10" ht="20.25" customHeight="1"/>
    <row r="108" spans="6:10" ht="20.25" customHeight="1"/>
    <row r="109" spans="6:10" ht="20.25" customHeight="1"/>
    <row r="110" spans="6:10" ht="20.25" customHeight="1"/>
    <row r="111" spans="6:10" ht="20.25" customHeight="1"/>
    <row r="112" spans="6:10" ht="20.25" customHeight="1"/>
  </sheetData>
  <sheetProtection algorithmName="SHA-512" hashValue="TCCxBA7xO/UuVx4c9fgPGP8zqVFnqAeynCgDFY1Y33TqmrPDd4BlNfPgYAhXft5NY/hfucIIqGlCXj1zZP7q4g==" saltValue="iP0F4mYtNlocmbX/qLeyHQ==" spinCount="100000" sheet="1" objects="1" scenarios="1"/>
  <customSheetViews>
    <customSheetView guid="{2E52E5FF-9846-4DC5-A671-268FE925398C}" showPageBreaks="1" printArea="1" view="pageBreakPreview">
      <selection activeCell="I24" sqref="I24"/>
      <pageMargins left="0.7" right="0.7" top="0.75" bottom="0.75" header="0.3" footer="0.3"/>
      <pageSetup paperSize="9" scale="87" orientation="portrait" r:id="rId1"/>
    </customSheetView>
    <customSheetView guid="{BADA99B3-B36A-4925-87A7-F72FC97D3DBA}" showPageBreaks="1" printArea="1" view="pageBreakPreview">
      <selection activeCell="I24" sqref="I24"/>
      <pageMargins left="0.7" right="0.7" top="0.75" bottom="0.75" header="0.3" footer="0.3"/>
      <pageSetup paperSize="9" scale="87" orientation="portrait" r:id="rId2"/>
    </customSheetView>
  </customSheetViews>
  <mergeCells count="28">
    <mergeCell ref="A2:I2"/>
    <mergeCell ref="A6:D7"/>
    <mergeCell ref="E4:F5"/>
    <mergeCell ref="G4:I5"/>
    <mergeCell ref="G1:I1"/>
    <mergeCell ref="B29:D29"/>
    <mergeCell ref="B30:D30"/>
    <mergeCell ref="C19:D19"/>
    <mergeCell ref="C20:D20"/>
    <mergeCell ref="C21:D21"/>
    <mergeCell ref="C23:D23"/>
    <mergeCell ref="C18:D18"/>
    <mergeCell ref="E9:I10"/>
    <mergeCell ref="B11:D11"/>
    <mergeCell ref="G11:H11"/>
    <mergeCell ref="C13:D13"/>
    <mergeCell ref="C14:D14"/>
    <mergeCell ref="C15:D15"/>
    <mergeCell ref="C16:D16"/>
    <mergeCell ref="C17:D17"/>
    <mergeCell ref="E38:G38"/>
    <mergeCell ref="B36:C36"/>
    <mergeCell ref="F33:H33"/>
    <mergeCell ref="F34:H34"/>
    <mergeCell ref="F35:H35"/>
    <mergeCell ref="F36:H36"/>
    <mergeCell ref="B34:C34"/>
    <mergeCell ref="B35:C35"/>
  </mergeCells>
  <phoneticPr fontId="36"/>
  <dataValidations count="3">
    <dataValidation type="list" errorStyle="warning" showInputMessage="1" showErrorMessage="1" sqref="F17" xr:uid="{00000000-0002-0000-2B00-000000000000}">
      <formula1>$M$6:$M$11</formula1>
    </dataValidation>
    <dataValidation type="list" errorStyle="warning" showInputMessage="1" showErrorMessage="1" sqref="E17 E20:E23" xr:uid="{00000000-0002-0000-2B00-000001000000}">
      <formula1>$L$6:$L$8</formula1>
    </dataValidation>
    <dataValidation type="list" allowBlank="1" showInputMessage="1" showErrorMessage="1" sqref="WVU983066:WVU98306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E65550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E131086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E196622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E262158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E327694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E393230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E458766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E524302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E589838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E655374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E720910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E786446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E851982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E917518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E983054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WLY983066:WLY983068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E65553:E65555 JI65562:JI65564 TE65562:TE65564 ADA65562:ADA65564 AMW65562:AMW65564 AWS65562:AWS65564 BGO65562:BGO65564 BQK65562:BQK65564 CAG65562:CAG65564 CKC65562:CKC65564 CTY65562:CTY65564 DDU65562:DDU65564 DNQ65562:DNQ65564 DXM65562:DXM65564 EHI65562:EHI65564 ERE65562:ERE65564 FBA65562:FBA65564 FKW65562:FKW65564 FUS65562:FUS65564 GEO65562:GEO65564 GOK65562:GOK65564 GYG65562:GYG65564 HIC65562:HIC65564 HRY65562:HRY65564 IBU65562:IBU65564 ILQ65562:ILQ65564 IVM65562:IVM65564 JFI65562:JFI65564 JPE65562:JPE65564 JZA65562:JZA65564 KIW65562:KIW65564 KSS65562:KSS65564 LCO65562:LCO65564 LMK65562:LMK65564 LWG65562:LWG65564 MGC65562:MGC65564 MPY65562:MPY65564 MZU65562:MZU65564 NJQ65562:NJQ65564 NTM65562:NTM65564 ODI65562:ODI65564 ONE65562:ONE65564 OXA65562:OXA65564 PGW65562:PGW65564 PQS65562:PQS65564 QAO65562:QAO65564 QKK65562:QKK65564 QUG65562:QUG65564 REC65562:REC65564 RNY65562:RNY65564 RXU65562:RXU65564 SHQ65562:SHQ65564 SRM65562:SRM65564 TBI65562:TBI65564 TLE65562:TLE65564 TVA65562:TVA65564 UEW65562:UEW65564 UOS65562:UOS65564 UYO65562:UYO65564 VIK65562:VIK65564 VSG65562:VSG65564 WCC65562:WCC65564 WLY65562:WLY65564 WVU65562:WVU65564 E131089:E131091 JI131098:JI131100 TE131098:TE131100 ADA131098:ADA131100 AMW131098:AMW131100 AWS131098:AWS131100 BGO131098:BGO131100 BQK131098:BQK131100 CAG131098:CAG131100 CKC131098:CKC131100 CTY131098:CTY131100 DDU131098:DDU131100 DNQ131098:DNQ131100 DXM131098:DXM131100 EHI131098:EHI131100 ERE131098:ERE131100 FBA131098:FBA131100 FKW131098:FKW131100 FUS131098:FUS131100 GEO131098:GEO131100 GOK131098:GOK131100 GYG131098:GYG131100 HIC131098:HIC131100 HRY131098:HRY131100 IBU131098:IBU131100 ILQ131098:ILQ131100 IVM131098:IVM131100 JFI131098:JFI131100 JPE131098:JPE131100 JZA131098:JZA131100 KIW131098:KIW131100 KSS131098:KSS131100 LCO131098:LCO131100 LMK131098:LMK131100 LWG131098:LWG131100 MGC131098:MGC131100 MPY131098:MPY131100 MZU131098:MZU131100 NJQ131098:NJQ131100 NTM131098:NTM131100 ODI131098:ODI131100 ONE131098:ONE131100 OXA131098:OXA131100 PGW131098:PGW131100 PQS131098:PQS131100 QAO131098:QAO131100 QKK131098:QKK131100 QUG131098:QUG131100 REC131098:REC131100 RNY131098:RNY131100 RXU131098:RXU131100 SHQ131098:SHQ131100 SRM131098:SRM131100 TBI131098:TBI131100 TLE131098:TLE131100 TVA131098:TVA131100 UEW131098:UEW131100 UOS131098:UOS131100 UYO131098:UYO131100 VIK131098:VIK131100 VSG131098:VSG131100 WCC131098:WCC131100 WLY131098:WLY131100 WVU131098:WVU131100 E196625:E196627 JI196634:JI196636 TE196634:TE196636 ADA196634:ADA196636 AMW196634:AMW196636 AWS196634:AWS196636 BGO196634:BGO196636 BQK196634:BQK196636 CAG196634:CAG196636 CKC196634:CKC196636 CTY196634:CTY196636 DDU196634:DDU196636 DNQ196634:DNQ196636 DXM196634:DXM196636 EHI196634:EHI196636 ERE196634:ERE196636 FBA196634:FBA196636 FKW196634:FKW196636 FUS196634:FUS196636 GEO196634:GEO196636 GOK196634:GOK196636 GYG196634:GYG196636 HIC196634:HIC196636 HRY196634:HRY196636 IBU196634:IBU196636 ILQ196634:ILQ196636 IVM196634:IVM196636 JFI196634:JFI196636 JPE196634:JPE196636 JZA196634:JZA196636 KIW196634:KIW196636 KSS196634:KSS196636 LCO196634:LCO196636 LMK196634:LMK196636 LWG196634:LWG196636 MGC196634:MGC196636 MPY196634:MPY196636 MZU196634:MZU196636 NJQ196634:NJQ196636 NTM196634:NTM196636 ODI196634:ODI196636 ONE196634:ONE196636 OXA196634:OXA196636 PGW196634:PGW196636 PQS196634:PQS196636 QAO196634:QAO196636 QKK196634:QKK196636 QUG196634:QUG196636 REC196634:REC196636 RNY196634:RNY196636 RXU196634:RXU196636 SHQ196634:SHQ196636 SRM196634:SRM196636 TBI196634:TBI196636 TLE196634:TLE196636 TVA196634:TVA196636 UEW196634:UEW196636 UOS196634:UOS196636 UYO196634:UYO196636 VIK196634:VIK196636 VSG196634:VSG196636 WCC196634:WCC196636 WLY196634:WLY196636 WVU196634:WVU196636 E262161:E262163 JI262170:JI262172 TE262170:TE262172 ADA262170:ADA262172 AMW262170:AMW262172 AWS262170:AWS262172 BGO262170:BGO262172 BQK262170:BQK262172 CAG262170:CAG262172 CKC262170:CKC262172 CTY262170:CTY262172 DDU262170:DDU262172 DNQ262170:DNQ262172 DXM262170:DXM262172 EHI262170:EHI262172 ERE262170:ERE262172 FBA262170:FBA262172 FKW262170:FKW262172 FUS262170:FUS262172 GEO262170:GEO262172 GOK262170:GOK262172 GYG262170:GYG262172 HIC262170:HIC262172 HRY262170:HRY262172 IBU262170:IBU262172 ILQ262170:ILQ262172 IVM262170:IVM262172 JFI262170:JFI262172 JPE262170:JPE262172 JZA262170:JZA262172 KIW262170:KIW262172 KSS262170:KSS262172 LCO262170:LCO262172 LMK262170:LMK262172 LWG262170:LWG262172 MGC262170:MGC262172 MPY262170:MPY262172 MZU262170:MZU262172 NJQ262170:NJQ262172 NTM262170:NTM262172 ODI262170:ODI262172 ONE262170:ONE262172 OXA262170:OXA262172 PGW262170:PGW262172 PQS262170:PQS262172 QAO262170:QAO262172 QKK262170:QKK262172 QUG262170:QUG262172 REC262170:REC262172 RNY262170:RNY262172 RXU262170:RXU262172 SHQ262170:SHQ262172 SRM262170:SRM262172 TBI262170:TBI262172 TLE262170:TLE262172 TVA262170:TVA262172 UEW262170:UEW262172 UOS262170:UOS262172 UYO262170:UYO262172 VIK262170:VIK262172 VSG262170:VSG262172 WCC262170:WCC262172 WLY262170:WLY262172 WVU262170:WVU262172 E327697:E327699 JI327706:JI327708 TE327706:TE327708 ADA327706:ADA327708 AMW327706:AMW327708 AWS327706:AWS327708 BGO327706:BGO327708 BQK327706:BQK327708 CAG327706:CAG327708 CKC327706:CKC327708 CTY327706:CTY327708 DDU327706:DDU327708 DNQ327706:DNQ327708 DXM327706:DXM327708 EHI327706:EHI327708 ERE327706:ERE327708 FBA327706:FBA327708 FKW327706:FKW327708 FUS327706:FUS327708 GEO327706:GEO327708 GOK327706:GOK327708 GYG327706:GYG327708 HIC327706:HIC327708 HRY327706:HRY327708 IBU327706:IBU327708 ILQ327706:ILQ327708 IVM327706:IVM327708 JFI327706:JFI327708 JPE327706:JPE327708 JZA327706:JZA327708 KIW327706:KIW327708 KSS327706:KSS327708 LCO327706:LCO327708 LMK327706:LMK327708 LWG327706:LWG327708 MGC327706:MGC327708 MPY327706:MPY327708 MZU327706:MZU327708 NJQ327706:NJQ327708 NTM327706:NTM327708 ODI327706:ODI327708 ONE327706:ONE327708 OXA327706:OXA327708 PGW327706:PGW327708 PQS327706:PQS327708 QAO327706:QAO327708 QKK327706:QKK327708 QUG327706:QUG327708 REC327706:REC327708 RNY327706:RNY327708 RXU327706:RXU327708 SHQ327706:SHQ327708 SRM327706:SRM327708 TBI327706:TBI327708 TLE327706:TLE327708 TVA327706:TVA327708 UEW327706:UEW327708 UOS327706:UOS327708 UYO327706:UYO327708 VIK327706:VIK327708 VSG327706:VSG327708 WCC327706:WCC327708 WLY327706:WLY327708 WVU327706:WVU327708 E393233:E393235 JI393242:JI393244 TE393242:TE393244 ADA393242:ADA393244 AMW393242:AMW393244 AWS393242:AWS393244 BGO393242:BGO393244 BQK393242:BQK393244 CAG393242:CAG393244 CKC393242:CKC393244 CTY393242:CTY393244 DDU393242:DDU393244 DNQ393242:DNQ393244 DXM393242:DXM393244 EHI393242:EHI393244 ERE393242:ERE393244 FBA393242:FBA393244 FKW393242:FKW393244 FUS393242:FUS393244 GEO393242:GEO393244 GOK393242:GOK393244 GYG393242:GYG393244 HIC393242:HIC393244 HRY393242:HRY393244 IBU393242:IBU393244 ILQ393242:ILQ393244 IVM393242:IVM393244 JFI393242:JFI393244 JPE393242:JPE393244 JZA393242:JZA393244 KIW393242:KIW393244 KSS393242:KSS393244 LCO393242:LCO393244 LMK393242:LMK393244 LWG393242:LWG393244 MGC393242:MGC393244 MPY393242:MPY393244 MZU393242:MZU393244 NJQ393242:NJQ393244 NTM393242:NTM393244 ODI393242:ODI393244 ONE393242:ONE393244 OXA393242:OXA393244 PGW393242:PGW393244 PQS393242:PQS393244 QAO393242:QAO393244 QKK393242:QKK393244 QUG393242:QUG393244 REC393242:REC393244 RNY393242:RNY393244 RXU393242:RXU393244 SHQ393242:SHQ393244 SRM393242:SRM393244 TBI393242:TBI393244 TLE393242:TLE393244 TVA393242:TVA393244 UEW393242:UEW393244 UOS393242:UOS393244 UYO393242:UYO393244 VIK393242:VIK393244 VSG393242:VSG393244 WCC393242:WCC393244 WLY393242:WLY393244 WVU393242:WVU393244 E458769:E458771 JI458778:JI458780 TE458778:TE458780 ADA458778:ADA458780 AMW458778:AMW458780 AWS458778:AWS458780 BGO458778:BGO458780 BQK458778:BQK458780 CAG458778:CAG458780 CKC458778:CKC458780 CTY458778:CTY458780 DDU458778:DDU458780 DNQ458778:DNQ458780 DXM458778:DXM458780 EHI458778:EHI458780 ERE458778:ERE458780 FBA458778:FBA458780 FKW458778:FKW458780 FUS458778:FUS458780 GEO458778:GEO458780 GOK458778:GOK458780 GYG458778:GYG458780 HIC458778:HIC458780 HRY458778:HRY458780 IBU458778:IBU458780 ILQ458778:ILQ458780 IVM458778:IVM458780 JFI458778:JFI458780 JPE458778:JPE458780 JZA458778:JZA458780 KIW458778:KIW458780 KSS458778:KSS458780 LCO458778:LCO458780 LMK458778:LMK458780 LWG458778:LWG458780 MGC458778:MGC458780 MPY458778:MPY458780 MZU458778:MZU458780 NJQ458778:NJQ458780 NTM458778:NTM458780 ODI458778:ODI458780 ONE458778:ONE458780 OXA458778:OXA458780 PGW458778:PGW458780 PQS458778:PQS458780 QAO458778:QAO458780 QKK458778:QKK458780 QUG458778:QUG458780 REC458778:REC458780 RNY458778:RNY458780 RXU458778:RXU458780 SHQ458778:SHQ458780 SRM458778:SRM458780 TBI458778:TBI458780 TLE458778:TLE458780 TVA458778:TVA458780 UEW458778:UEW458780 UOS458778:UOS458780 UYO458778:UYO458780 VIK458778:VIK458780 VSG458778:VSG458780 WCC458778:WCC458780 WLY458778:WLY458780 WVU458778:WVU458780 E524305:E524307 JI524314:JI524316 TE524314:TE524316 ADA524314:ADA524316 AMW524314:AMW524316 AWS524314:AWS524316 BGO524314:BGO524316 BQK524314:BQK524316 CAG524314:CAG524316 CKC524314:CKC524316 CTY524314:CTY524316 DDU524314:DDU524316 DNQ524314:DNQ524316 DXM524314:DXM524316 EHI524314:EHI524316 ERE524314:ERE524316 FBA524314:FBA524316 FKW524314:FKW524316 FUS524314:FUS524316 GEO524314:GEO524316 GOK524314:GOK524316 GYG524314:GYG524316 HIC524314:HIC524316 HRY524314:HRY524316 IBU524314:IBU524316 ILQ524314:ILQ524316 IVM524314:IVM524316 JFI524314:JFI524316 JPE524314:JPE524316 JZA524314:JZA524316 KIW524314:KIW524316 KSS524314:KSS524316 LCO524314:LCO524316 LMK524314:LMK524316 LWG524314:LWG524316 MGC524314:MGC524316 MPY524314:MPY524316 MZU524314:MZU524316 NJQ524314:NJQ524316 NTM524314:NTM524316 ODI524314:ODI524316 ONE524314:ONE524316 OXA524314:OXA524316 PGW524314:PGW524316 PQS524314:PQS524316 QAO524314:QAO524316 QKK524314:QKK524316 QUG524314:QUG524316 REC524314:REC524316 RNY524314:RNY524316 RXU524314:RXU524316 SHQ524314:SHQ524316 SRM524314:SRM524316 TBI524314:TBI524316 TLE524314:TLE524316 TVA524314:TVA524316 UEW524314:UEW524316 UOS524314:UOS524316 UYO524314:UYO524316 VIK524314:VIK524316 VSG524314:VSG524316 WCC524314:WCC524316 WLY524314:WLY524316 WVU524314:WVU524316 E589841:E589843 JI589850:JI589852 TE589850:TE589852 ADA589850:ADA589852 AMW589850:AMW589852 AWS589850:AWS589852 BGO589850:BGO589852 BQK589850:BQK589852 CAG589850:CAG589852 CKC589850:CKC589852 CTY589850:CTY589852 DDU589850:DDU589852 DNQ589850:DNQ589852 DXM589850:DXM589852 EHI589850:EHI589852 ERE589850:ERE589852 FBA589850:FBA589852 FKW589850:FKW589852 FUS589850:FUS589852 GEO589850:GEO589852 GOK589850:GOK589852 GYG589850:GYG589852 HIC589850:HIC589852 HRY589850:HRY589852 IBU589850:IBU589852 ILQ589850:ILQ589852 IVM589850:IVM589852 JFI589850:JFI589852 JPE589850:JPE589852 JZA589850:JZA589852 KIW589850:KIW589852 KSS589850:KSS589852 LCO589850:LCO589852 LMK589850:LMK589852 LWG589850:LWG589852 MGC589850:MGC589852 MPY589850:MPY589852 MZU589850:MZU589852 NJQ589850:NJQ589852 NTM589850:NTM589852 ODI589850:ODI589852 ONE589850:ONE589852 OXA589850:OXA589852 PGW589850:PGW589852 PQS589850:PQS589852 QAO589850:QAO589852 QKK589850:QKK589852 QUG589850:QUG589852 REC589850:REC589852 RNY589850:RNY589852 RXU589850:RXU589852 SHQ589850:SHQ589852 SRM589850:SRM589852 TBI589850:TBI589852 TLE589850:TLE589852 TVA589850:TVA589852 UEW589850:UEW589852 UOS589850:UOS589852 UYO589850:UYO589852 VIK589850:VIK589852 VSG589850:VSG589852 WCC589850:WCC589852 WLY589850:WLY589852 WVU589850:WVU589852 E655377:E655379 JI655386:JI655388 TE655386:TE655388 ADA655386:ADA655388 AMW655386:AMW655388 AWS655386:AWS655388 BGO655386:BGO655388 BQK655386:BQK655388 CAG655386:CAG655388 CKC655386:CKC655388 CTY655386:CTY655388 DDU655386:DDU655388 DNQ655386:DNQ655388 DXM655386:DXM655388 EHI655386:EHI655388 ERE655386:ERE655388 FBA655386:FBA655388 FKW655386:FKW655388 FUS655386:FUS655388 GEO655386:GEO655388 GOK655386:GOK655388 GYG655386:GYG655388 HIC655386:HIC655388 HRY655386:HRY655388 IBU655386:IBU655388 ILQ655386:ILQ655388 IVM655386:IVM655388 JFI655386:JFI655388 JPE655386:JPE655388 JZA655386:JZA655388 KIW655386:KIW655388 KSS655386:KSS655388 LCO655386:LCO655388 LMK655386:LMK655388 LWG655386:LWG655388 MGC655386:MGC655388 MPY655386:MPY655388 MZU655386:MZU655388 NJQ655386:NJQ655388 NTM655386:NTM655388 ODI655386:ODI655388 ONE655386:ONE655388 OXA655386:OXA655388 PGW655386:PGW655388 PQS655386:PQS655388 QAO655386:QAO655388 QKK655386:QKK655388 QUG655386:QUG655388 REC655386:REC655388 RNY655386:RNY655388 RXU655386:RXU655388 SHQ655386:SHQ655388 SRM655386:SRM655388 TBI655386:TBI655388 TLE655386:TLE655388 TVA655386:TVA655388 UEW655386:UEW655388 UOS655386:UOS655388 UYO655386:UYO655388 VIK655386:VIK655388 VSG655386:VSG655388 WCC655386:WCC655388 WLY655386:WLY655388 WVU655386:WVU655388 E720913:E720915 JI720922:JI720924 TE720922:TE720924 ADA720922:ADA720924 AMW720922:AMW720924 AWS720922:AWS720924 BGO720922:BGO720924 BQK720922:BQK720924 CAG720922:CAG720924 CKC720922:CKC720924 CTY720922:CTY720924 DDU720922:DDU720924 DNQ720922:DNQ720924 DXM720922:DXM720924 EHI720922:EHI720924 ERE720922:ERE720924 FBA720922:FBA720924 FKW720922:FKW720924 FUS720922:FUS720924 GEO720922:GEO720924 GOK720922:GOK720924 GYG720922:GYG720924 HIC720922:HIC720924 HRY720922:HRY720924 IBU720922:IBU720924 ILQ720922:ILQ720924 IVM720922:IVM720924 JFI720922:JFI720924 JPE720922:JPE720924 JZA720922:JZA720924 KIW720922:KIW720924 KSS720922:KSS720924 LCO720922:LCO720924 LMK720922:LMK720924 LWG720922:LWG720924 MGC720922:MGC720924 MPY720922:MPY720924 MZU720922:MZU720924 NJQ720922:NJQ720924 NTM720922:NTM720924 ODI720922:ODI720924 ONE720922:ONE720924 OXA720922:OXA720924 PGW720922:PGW720924 PQS720922:PQS720924 QAO720922:QAO720924 QKK720922:QKK720924 QUG720922:QUG720924 REC720922:REC720924 RNY720922:RNY720924 RXU720922:RXU720924 SHQ720922:SHQ720924 SRM720922:SRM720924 TBI720922:TBI720924 TLE720922:TLE720924 TVA720922:TVA720924 UEW720922:UEW720924 UOS720922:UOS720924 UYO720922:UYO720924 VIK720922:VIK720924 VSG720922:VSG720924 WCC720922:WCC720924 WLY720922:WLY720924 WVU720922:WVU720924 E786449:E786451 JI786458:JI786460 TE786458:TE786460 ADA786458:ADA786460 AMW786458:AMW786460 AWS786458:AWS786460 BGO786458:BGO786460 BQK786458:BQK786460 CAG786458:CAG786460 CKC786458:CKC786460 CTY786458:CTY786460 DDU786458:DDU786460 DNQ786458:DNQ786460 DXM786458:DXM786460 EHI786458:EHI786460 ERE786458:ERE786460 FBA786458:FBA786460 FKW786458:FKW786460 FUS786458:FUS786460 GEO786458:GEO786460 GOK786458:GOK786460 GYG786458:GYG786460 HIC786458:HIC786460 HRY786458:HRY786460 IBU786458:IBU786460 ILQ786458:ILQ786460 IVM786458:IVM786460 JFI786458:JFI786460 JPE786458:JPE786460 JZA786458:JZA786460 KIW786458:KIW786460 KSS786458:KSS786460 LCO786458:LCO786460 LMK786458:LMK786460 LWG786458:LWG786460 MGC786458:MGC786460 MPY786458:MPY786460 MZU786458:MZU786460 NJQ786458:NJQ786460 NTM786458:NTM786460 ODI786458:ODI786460 ONE786458:ONE786460 OXA786458:OXA786460 PGW786458:PGW786460 PQS786458:PQS786460 QAO786458:QAO786460 QKK786458:QKK786460 QUG786458:QUG786460 REC786458:REC786460 RNY786458:RNY786460 RXU786458:RXU786460 SHQ786458:SHQ786460 SRM786458:SRM786460 TBI786458:TBI786460 TLE786458:TLE786460 TVA786458:TVA786460 UEW786458:UEW786460 UOS786458:UOS786460 UYO786458:UYO786460 VIK786458:VIK786460 VSG786458:VSG786460 WCC786458:WCC786460 WLY786458:WLY786460 WVU786458:WVU786460 E851985:E851987 JI851994:JI851996 TE851994:TE851996 ADA851994:ADA851996 AMW851994:AMW851996 AWS851994:AWS851996 BGO851994:BGO851996 BQK851994:BQK851996 CAG851994:CAG851996 CKC851994:CKC851996 CTY851994:CTY851996 DDU851994:DDU851996 DNQ851994:DNQ851996 DXM851994:DXM851996 EHI851994:EHI851996 ERE851994:ERE851996 FBA851994:FBA851996 FKW851994:FKW851996 FUS851994:FUS851996 GEO851994:GEO851996 GOK851994:GOK851996 GYG851994:GYG851996 HIC851994:HIC851996 HRY851994:HRY851996 IBU851994:IBU851996 ILQ851994:ILQ851996 IVM851994:IVM851996 JFI851994:JFI851996 JPE851994:JPE851996 JZA851994:JZA851996 KIW851994:KIW851996 KSS851994:KSS851996 LCO851994:LCO851996 LMK851994:LMK851996 LWG851994:LWG851996 MGC851994:MGC851996 MPY851994:MPY851996 MZU851994:MZU851996 NJQ851994:NJQ851996 NTM851994:NTM851996 ODI851994:ODI851996 ONE851994:ONE851996 OXA851994:OXA851996 PGW851994:PGW851996 PQS851994:PQS851996 QAO851994:QAO851996 QKK851994:QKK851996 QUG851994:QUG851996 REC851994:REC851996 RNY851994:RNY851996 RXU851994:RXU851996 SHQ851994:SHQ851996 SRM851994:SRM851996 TBI851994:TBI851996 TLE851994:TLE851996 TVA851994:TVA851996 UEW851994:UEW851996 UOS851994:UOS851996 UYO851994:UYO851996 VIK851994:VIK851996 VSG851994:VSG851996 WCC851994:WCC851996 WLY851994:WLY851996 WVU851994:WVU851996 E917521:E917523 JI917530:JI917532 TE917530:TE917532 ADA917530:ADA917532 AMW917530:AMW917532 AWS917530:AWS917532 BGO917530:BGO917532 BQK917530:BQK917532 CAG917530:CAG917532 CKC917530:CKC917532 CTY917530:CTY917532 DDU917530:DDU917532 DNQ917530:DNQ917532 DXM917530:DXM917532 EHI917530:EHI917532 ERE917530:ERE917532 FBA917530:FBA917532 FKW917530:FKW917532 FUS917530:FUS917532 GEO917530:GEO917532 GOK917530:GOK917532 GYG917530:GYG917532 HIC917530:HIC917532 HRY917530:HRY917532 IBU917530:IBU917532 ILQ917530:ILQ917532 IVM917530:IVM917532 JFI917530:JFI917532 JPE917530:JPE917532 JZA917530:JZA917532 KIW917530:KIW917532 KSS917530:KSS917532 LCO917530:LCO917532 LMK917530:LMK917532 LWG917530:LWG917532 MGC917530:MGC917532 MPY917530:MPY917532 MZU917530:MZU917532 NJQ917530:NJQ917532 NTM917530:NTM917532 ODI917530:ODI917532 ONE917530:ONE917532 OXA917530:OXA917532 PGW917530:PGW917532 PQS917530:PQS917532 QAO917530:QAO917532 QKK917530:QKK917532 QUG917530:QUG917532 REC917530:REC917532 RNY917530:RNY917532 RXU917530:RXU917532 SHQ917530:SHQ917532 SRM917530:SRM917532 TBI917530:TBI917532 TLE917530:TLE917532 TVA917530:TVA917532 UEW917530:UEW917532 UOS917530:UOS917532 UYO917530:UYO917532 VIK917530:VIK917532 VSG917530:VSG917532 WCC917530:WCC917532 WLY917530:WLY917532 WVU917530:WVU917532 E983057:E983059 JI983066:JI983068 TE983066:TE983068 ADA983066:ADA983068 AMW983066:AMW983068 AWS983066:AWS983068 BGO983066:BGO983068 BQK983066:BQK983068 CAG983066:CAG983068 CKC983066:CKC983068 CTY983066:CTY983068 DDU983066:DDU983068 DNQ983066:DNQ983068 DXM983066:DXM983068 EHI983066:EHI983068 ERE983066:ERE983068 FBA983066:FBA983068 FKW983066:FKW983068 FUS983066:FUS983068 GEO983066:GEO983068 GOK983066:GOK983068 GYG983066:GYG983068 HIC983066:HIC983068 HRY983066:HRY983068 IBU983066:IBU983068 ILQ983066:ILQ983068 IVM983066:IVM983068 JFI983066:JFI983068 JPE983066:JPE983068 JZA983066:JZA983068 KIW983066:KIW983068 KSS983066:KSS983068 LCO983066:LCO983068 LMK983066:LMK983068 LWG983066:LWG983068 MGC983066:MGC983068 MPY983066:MPY983068 MZU983066:MZU983068 NJQ983066:NJQ983068 NTM983066:NTM983068 ODI983066:ODI983068 ONE983066:ONE983068 OXA983066:OXA983068 PGW983066:PGW983068 PQS983066:PQS983068 QAO983066:QAO983068 QKK983066:QKK983068 QUG983066:QUG983068 REC983066:REC983068 RNY983066:RNY983068 RXU983066:RXU983068 SHQ983066:SHQ983068 SRM983066:SRM983068 TBI983066:TBI983068 TLE983066:TLE983068 TVA983066:TVA983068 UEW983066:UEW983068 UOS983066:UOS983068 UYO983066:UYO983068 VIK983066:VIK983068 VSG983066:VSG983068 WCC983066:WCC983068" xr:uid="{00000000-0002-0000-2B00-000002000000}">
      <formula1>"　,あり,なし"</formula1>
    </dataValidation>
  </dataValidations>
  <pageMargins left="0.7" right="0.7" top="0.75" bottom="0.75" header="0.3" footer="0.3"/>
  <pageSetup paperSize="9" scale="84"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0A6D-9128-47A8-83A4-6F042800EFC5}">
  <sheetPr>
    <tabColor theme="1"/>
  </sheetPr>
  <dimension ref="A1"/>
  <sheetViews>
    <sheetView workbookViewId="0"/>
  </sheetViews>
  <sheetFormatPr defaultRowHeight="13"/>
  <sheetData/>
  <sheetProtection algorithmName="SHA-512" hashValue="zUYEH/Iqq9z2DSu/k3+c2yENCbX2eK+m9DWRxEpTLA9eU5V/L9B8C7IGQM2Bnji6OPHmfZPYTLaluSHXhbXYaA==" saltValue="zsbbwchkZ4LlB43vzYZCzg==" spinCount="100000" sheet="1" objects="1" scenarios="1"/>
  <phoneticPr fontId="3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tabColor theme="6" tint="0.59999389629810485"/>
    <pageSetUpPr fitToPage="1"/>
  </sheetPr>
  <dimension ref="A1:AE63"/>
  <sheetViews>
    <sheetView view="pageBreakPreview" zoomScale="60" zoomScaleNormal="70" workbookViewId="0">
      <selection activeCell="D8" sqref="D8:E8"/>
    </sheetView>
  </sheetViews>
  <sheetFormatPr defaultColWidth="8.90625" defaultRowHeight="16.5" outlineLevelCol="1"/>
  <cols>
    <col min="1" max="1" width="8.90625" style="390"/>
    <col min="2" max="3" width="11.90625" style="390" customWidth="1"/>
    <col min="4" max="16" width="15.7265625" style="390" customWidth="1"/>
    <col min="17" max="17" width="15.90625" style="390" customWidth="1"/>
    <col min="18" max="20" width="15.6328125" style="390" hidden="1" customWidth="1" outlineLevel="1"/>
    <col min="21" max="23" width="8.90625" style="390" hidden="1" customWidth="1" outlineLevel="1"/>
    <col min="24" max="24" width="10.26953125" style="390" hidden="1" customWidth="1" outlineLevel="1"/>
    <col min="25" max="30" width="8.90625" style="390" hidden="1" customWidth="1" outlineLevel="1"/>
    <col min="31" max="31" width="8.90625" style="390" collapsed="1"/>
    <col min="32" max="16384" width="8.90625" style="390"/>
  </cols>
  <sheetData>
    <row r="1" spans="1:30" ht="17" thickBot="1">
      <c r="A1" s="525" t="str">
        <f ca="1">RIGHT(CELL("filename",A4),LEN(CELL("filename",A4))-FIND("]",CELL("filename",A4)))</f>
        <v>入力（加算）事20</v>
      </c>
      <c r="B1" s="389"/>
      <c r="C1" s="389"/>
      <c r="D1" s="389"/>
      <c r="E1" s="389"/>
      <c r="F1" s="389"/>
      <c r="G1" s="389"/>
      <c r="H1" s="389"/>
      <c r="I1" s="389"/>
      <c r="J1" s="389"/>
      <c r="K1" s="389"/>
      <c r="L1" s="389"/>
      <c r="M1" s="389"/>
      <c r="N1" s="1136" t="e">
        <f>CONCATENATE(#REF!,"/",#REF!,"/",#REF!)</f>
        <v>#REF!</v>
      </c>
      <c r="O1" s="1136"/>
      <c r="P1" s="1136"/>
      <c r="Q1" s="1136"/>
      <c r="W1" s="394" t="s">
        <v>66</v>
      </c>
      <c r="X1" s="524" t="s">
        <v>84</v>
      </c>
      <c r="Y1" s="393" t="s">
        <v>82</v>
      </c>
      <c r="Z1" s="393" t="s">
        <v>133</v>
      </c>
      <c r="AA1" s="394" t="s">
        <v>143</v>
      </c>
      <c r="AB1" s="394" t="s">
        <v>81</v>
      </c>
      <c r="AC1" s="393" t="s">
        <v>80</v>
      </c>
      <c r="AD1" s="394" t="s">
        <v>149</v>
      </c>
    </row>
    <row r="2" spans="1:30" ht="18.75" customHeight="1" thickBot="1">
      <c r="A2" s="1202" t="s">
        <v>437</v>
      </c>
      <c r="B2" s="1202"/>
      <c r="C2" s="1202"/>
      <c r="D2" s="1202"/>
      <c r="E2" s="1202"/>
      <c r="F2" s="1202"/>
      <c r="G2" s="1202"/>
      <c r="H2" s="1202"/>
      <c r="I2" s="1202"/>
      <c r="J2" s="1202"/>
      <c r="K2" s="1202"/>
      <c r="L2" s="1202"/>
      <c r="M2" s="1202"/>
      <c r="N2" s="1202"/>
      <c r="O2" s="1202"/>
      <c r="P2" s="1202"/>
      <c r="Q2" s="1202"/>
      <c r="W2" s="526"/>
      <c r="X2" s="527">
        <f>IF(ISERROR(VLOOKUP($D$10,$W$3:$X$14,2,FALSE)+1-VLOOKUP($D$9,$W$3:$X$14,2,FALSE)),0,VLOOKUP($D$10,$W$3:$X$14,2,FALSE)+1-VLOOKUP($D$9,$W$3:$X$14,2,FALSE))</f>
        <v>12</v>
      </c>
      <c r="Y2" s="393"/>
      <c r="Z2" s="393"/>
      <c r="AA2" s="394"/>
      <c r="AB2" s="394"/>
      <c r="AC2" s="393"/>
      <c r="AD2" s="604">
        <f>IF($K$30="あり",VLOOKUP($D$8,#REF!,58,TRUE),1)</f>
        <v>1</v>
      </c>
    </row>
    <row r="3" spans="1:30" ht="18" customHeight="1">
      <c r="A3" s="1202"/>
      <c r="B3" s="1202"/>
      <c r="C3" s="1202"/>
      <c r="D3" s="1202"/>
      <c r="E3" s="1202"/>
      <c r="F3" s="1202"/>
      <c r="G3" s="1202"/>
      <c r="H3" s="1202"/>
      <c r="I3" s="1202"/>
      <c r="J3" s="1202"/>
      <c r="K3" s="1202"/>
      <c r="L3" s="1202"/>
      <c r="M3" s="1202"/>
      <c r="N3" s="1202"/>
      <c r="O3" s="1202"/>
      <c r="P3" s="1202"/>
      <c r="Q3" s="1202"/>
      <c r="W3" s="391">
        <v>4</v>
      </c>
      <c r="X3" s="392">
        <v>1</v>
      </c>
      <c r="Y3" s="393" t="s">
        <v>18</v>
      </c>
      <c r="Z3" s="2" t="s">
        <v>87</v>
      </c>
      <c r="AA3" s="394" t="s">
        <v>141</v>
      </c>
      <c r="AB3" s="1">
        <v>3</v>
      </c>
      <c r="AC3" s="2">
        <v>6.3</v>
      </c>
    </row>
    <row r="4" spans="1:30">
      <c r="A4" s="389"/>
      <c r="B4" s="389"/>
      <c r="C4" s="389"/>
      <c r="D4" s="389"/>
      <c r="E4" s="389"/>
      <c r="F4" s="389"/>
      <c r="G4" s="389"/>
      <c r="H4" s="389"/>
      <c r="I4" s="389"/>
      <c r="J4" s="389"/>
      <c r="K4" s="389"/>
      <c r="L4" s="389"/>
      <c r="M4" s="389"/>
      <c r="N4" s="389"/>
      <c r="O4" s="389"/>
      <c r="P4" s="389"/>
      <c r="Q4" s="389"/>
      <c r="W4" s="391">
        <v>5</v>
      </c>
      <c r="X4" s="392">
        <v>2</v>
      </c>
      <c r="Y4" s="393" t="s">
        <v>19</v>
      </c>
      <c r="Z4" s="2" t="s">
        <v>135</v>
      </c>
      <c r="AA4" s="394" t="s">
        <v>144</v>
      </c>
      <c r="AB4" s="1">
        <v>4</v>
      </c>
      <c r="AC4" s="2">
        <v>4.3</v>
      </c>
    </row>
    <row r="5" spans="1:30" ht="21">
      <c r="A5" s="389"/>
      <c r="B5" s="1084" t="s">
        <v>397</v>
      </c>
      <c r="C5" s="1084"/>
      <c r="D5" s="1084"/>
      <c r="E5" s="389"/>
      <c r="F5" s="690"/>
      <c r="G5" s="690"/>
      <c r="H5" s="690"/>
      <c r="I5" s="690"/>
      <c r="J5" s="690"/>
      <c r="K5" s="690"/>
      <c r="L5" s="690"/>
      <c r="M5" s="690"/>
      <c r="N5" s="690"/>
      <c r="O5" s="690"/>
      <c r="P5" s="690"/>
      <c r="Q5" s="690"/>
      <c r="W5" s="391">
        <v>6</v>
      </c>
      <c r="X5" s="392">
        <v>3</v>
      </c>
      <c r="Z5" s="4" t="s">
        <v>136</v>
      </c>
      <c r="AA5" s="394" t="s">
        <v>142</v>
      </c>
      <c r="AB5" s="3">
        <v>5</v>
      </c>
      <c r="AC5" s="4">
        <v>2.4</v>
      </c>
    </row>
    <row r="6" spans="1:30" ht="32.25" customHeight="1">
      <c r="A6" s="389"/>
      <c r="B6" s="1201" t="s">
        <v>3</v>
      </c>
      <c r="C6" s="1201"/>
      <c r="D6" s="896"/>
      <c r="E6" s="896"/>
      <c r="F6" s="690"/>
      <c r="G6" s="690"/>
      <c r="H6" s="690"/>
      <c r="I6" s="690"/>
      <c r="J6" s="690"/>
      <c r="K6" s="690"/>
      <c r="L6" s="690"/>
      <c r="M6" s="690"/>
      <c r="N6" s="690"/>
      <c r="O6" s="690"/>
      <c r="P6" s="690"/>
      <c r="Q6" s="690"/>
      <c r="W6" s="391">
        <v>7</v>
      </c>
      <c r="X6" s="392">
        <v>4</v>
      </c>
      <c r="Z6" s="4" t="s">
        <v>137</v>
      </c>
      <c r="AB6" s="1">
        <v>6</v>
      </c>
      <c r="AC6" s="2">
        <v>1.1000000000000001</v>
      </c>
    </row>
    <row r="7" spans="1:30" ht="32.25" customHeight="1">
      <c r="A7" s="389"/>
      <c r="B7" s="1201" t="s">
        <v>4</v>
      </c>
      <c r="C7" s="1201"/>
      <c r="D7" s="896" t="s">
        <v>45</v>
      </c>
      <c r="E7" s="896"/>
      <c r="F7" s="690"/>
      <c r="G7" s="690"/>
      <c r="H7" s="690"/>
      <c r="I7" s="690"/>
      <c r="J7" s="690"/>
      <c r="K7" s="690"/>
      <c r="L7" s="690"/>
      <c r="M7" s="690"/>
      <c r="N7" s="690"/>
      <c r="O7" s="690"/>
      <c r="P7" s="690"/>
      <c r="Q7" s="690"/>
      <c r="W7" s="391">
        <v>8</v>
      </c>
      <c r="X7" s="392">
        <v>5</v>
      </c>
      <c r="Z7" s="4" t="s">
        <v>138</v>
      </c>
    </row>
    <row r="8" spans="1:30" ht="32.25" customHeight="1">
      <c r="A8" s="389"/>
      <c r="B8" s="816" t="s">
        <v>2</v>
      </c>
      <c r="C8" s="816" t="s">
        <v>22</v>
      </c>
      <c r="D8" s="956"/>
      <c r="E8" s="956"/>
      <c r="F8" s="690"/>
      <c r="G8" s="690"/>
      <c r="H8" s="690"/>
      <c r="I8" s="690"/>
      <c r="J8" s="690"/>
      <c r="K8" s="690"/>
      <c r="L8" s="690"/>
      <c r="M8" s="690"/>
      <c r="N8" s="690"/>
      <c r="O8" s="690"/>
      <c r="P8" s="690"/>
      <c r="Q8" s="690"/>
      <c r="W8" s="391">
        <v>9</v>
      </c>
      <c r="X8" s="392">
        <v>6</v>
      </c>
    </row>
    <row r="9" spans="1:30" ht="32.25" customHeight="1">
      <c r="A9" s="389"/>
      <c r="B9" s="1201" t="s">
        <v>66</v>
      </c>
      <c r="C9" s="1201"/>
      <c r="D9" s="1188">
        <v>4</v>
      </c>
      <c r="E9" s="1188"/>
      <c r="F9" s="690"/>
      <c r="G9" s="690"/>
      <c r="H9" s="690"/>
      <c r="I9" s="690"/>
      <c r="J9" s="690"/>
      <c r="K9" s="690"/>
      <c r="L9" s="690"/>
      <c r="M9" s="690"/>
      <c r="N9" s="690"/>
      <c r="O9" s="690"/>
      <c r="P9" s="690"/>
      <c r="Q9" s="690"/>
      <c r="W9" s="391">
        <v>10</v>
      </c>
      <c r="X9" s="392">
        <v>7</v>
      </c>
    </row>
    <row r="10" spans="1:30" ht="32.25" customHeight="1">
      <c r="A10" s="389"/>
      <c r="B10" s="1201" t="s">
        <v>108</v>
      </c>
      <c r="C10" s="1201"/>
      <c r="D10" s="1188">
        <v>3</v>
      </c>
      <c r="E10" s="1188"/>
      <c r="F10" s="690"/>
      <c r="G10" s="690"/>
      <c r="H10" s="690"/>
      <c r="I10" s="690"/>
      <c r="J10" s="690"/>
      <c r="K10" s="690"/>
      <c r="L10" s="690"/>
      <c r="M10" s="690"/>
      <c r="N10" s="690"/>
      <c r="O10" s="690"/>
      <c r="P10" s="690"/>
      <c r="Q10" s="690"/>
      <c r="W10" s="391">
        <v>11</v>
      </c>
      <c r="X10" s="392">
        <v>8</v>
      </c>
    </row>
    <row r="11" spans="1:30">
      <c r="A11" s="389"/>
      <c r="B11" s="389"/>
      <c r="C11" s="389"/>
      <c r="D11" s="389"/>
      <c r="E11" s="389"/>
      <c r="F11" s="690"/>
      <c r="G11" s="690"/>
      <c r="H11" s="690"/>
      <c r="I11" s="690"/>
      <c r="J11" s="690"/>
      <c r="K11" s="690"/>
      <c r="L11" s="690"/>
      <c r="M11" s="690"/>
      <c r="N11" s="690"/>
      <c r="O11" s="690"/>
      <c r="P11" s="690"/>
      <c r="Q11" s="690"/>
      <c r="W11" s="391">
        <v>12</v>
      </c>
      <c r="X11" s="392">
        <v>9</v>
      </c>
    </row>
    <row r="12" spans="1:30" hidden="1">
      <c r="A12" s="389"/>
      <c r="B12" s="389"/>
      <c r="C12" s="389"/>
      <c r="D12" s="389"/>
      <c r="E12" s="389"/>
      <c r="F12" s="690"/>
      <c r="G12" s="690"/>
      <c r="H12" s="690"/>
      <c r="I12" s="690"/>
      <c r="J12" s="690"/>
      <c r="K12" s="690"/>
      <c r="L12" s="690"/>
      <c r="M12" s="690"/>
      <c r="N12" s="690"/>
      <c r="O12" s="690"/>
      <c r="P12" s="690"/>
      <c r="Q12" s="690"/>
      <c r="W12" s="391">
        <v>1</v>
      </c>
      <c r="X12" s="392">
        <v>10</v>
      </c>
    </row>
    <row r="13" spans="1:30" hidden="1">
      <c r="A13" s="389"/>
      <c r="B13" s="389"/>
      <c r="C13" s="389"/>
      <c r="D13" s="389"/>
      <c r="E13" s="389"/>
      <c r="F13" s="690"/>
      <c r="G13" s="690"/>
      <c r="H13" s="690"/>
      <c r="I13" s="690"/>
      <c r="J13" s="690"/>
      <c r="K13" s="690"/>
      <c r="L13" s="690"/>
      <c r="M13" s="690"/>
      <c r="N13" s="690"/>
      <c r="O13" s="690"/>
      <c r="P13" s="690"/>
      <c r="Q13" s="690"/>
      <c r="W13" s="391">
        <v>2</v>
      </c>
      <c r="X13" s="392">
        <v>11</v>
      </c>
    </row>
    <row r="14" spans="1:30" hidden="1">
      <c r="A14" s="389"/>
      <c r="B14" s="389"/>
      <c r="C14" s="389"/>
      <c r="D14" s="389"/>
      <c r="E14" s="389"/>
      <c r="F14" s="690"/>
      <c r="G14" s="690"/>
      <c r="H14" s="690"/>
      <c r="I14" s="690"/>
      <c r="J14" s="690"/>
      <c r="K14" s="690"/>
      <c r="L14" s="690"/>
      <c r="M14" s="690"/>
      <c r="N14" s="690"/>
      <c r="O14" s="690"/>
      <c r="P14" s="690"/>
      <c r="Q14" s="690"/>
      <c r="W14" s="391">
        <v>3</v>
      </c>
      <c r="X14" s="392">
        <v>12</v>
      </c>
    </row>
    <row r="15" spans="1:30">
      <c r="A15" s="389"/>
      <c r="B15" s="389"/>
      <c r="C15" s="389"/>
      <c r="D15" s="389"/>
      <c r="E15" s="389"/>
      <c r="F15" s="690"/>
      <c r="G15" s="690"/>
      <c r="H15" s="690"/>
      <c r="I15" s="690"/>
      <c r="J15" s="690"/>
      <c r="K15" s="690"/>
      <c r="L15" s="690"/>
      <c r="M15" s="690"/>
      <c r="N15" s="690"/>
      <c r="O15" s="690"/>
      <c r="P15" s="690"/>
      <c r="Q15" s="690"/>
    </row>
    <row r="16" spans="1:30" ht="21">
      <c r="A16" s="389"/>
      <c r="B16" s="606" t="s">
        <v>357</v>
      </c>
      <c r="C16" s="606"/>
      <c r="D16" s="606"/>
      <c r="E16" s="606"/>
      <c r="F16" s="645"/>
      <c r="G16" s="109"/>
      <c r="H16" s="109"/>
      <c r="I16" s="109"/>
      <c r="J16" s="109"/>
      <c r="K16" s="109"/>
      <c r="L16" s="109"/>
      <c r="M16" s="109"/>
      <c r="N16" s="109"/>
      <c r="O16" s="109"/>
      <c r="P16" s="389"/>
      <c r="Q16" s="389"/>
    </row>
    <row r="17" spans="1:24">
      <c r="A17" s="389"/>
      <c r="B17" s="1209" t="s">
        <v>33</v>
      </c>
      <c r="C17" s="1210"/>
      <c r="D17" s="445" t="str">
        <f>IF(AND(VLOOKUP($D$9,$W$3:$X$14,2,FALSE)&lt;=1,VLOOKUP($D$10,$W$3:$X$14,2,FALSE)&gt;=1),"4月","")</f>
        <v>4月</v>
      </c>
      <c r="E17" s="445" t="str">
        <f>IF(AND(VLOOKUP($D$9,$W$3:$X$14,2,FALSE)&lt;=2,VLOOKUP($D$10,$W$3:$X$14,2,FALSE)&gt;=2),"5月","")</f>
        <v>5月</v>
      </c>
      <c r="F17" s="445" t="str">
        <f>IF(AND(VLOOKUP($D$9,$W$3:$X$14,2,FALSE)&lt;=3,VLOOKUP($D$10,$W$3:$X$14,2,FALSE)&gt;=3),"6月","")</f>
        <v>6月</v>
      </c>
      <c r="G17" s="445" t="str">
        <f>IF(AND(VLOOKUP($D$9,$W$3:$X$14,2,FALSE)&lt;=4,VLOOKUP($D$10,$W$3:$X$14,2,FALSE)&gt;=4),"7月","")</f>
        <v>7月</v>
      </c>
      <c r="H17" s="445" t="str">
        <f>IF(AND(VLOOKUP($D$9,$W$3:$X$14,2,FALSE)&lt;=5,VLOOKUP($D$10,$W$3:$X$14,2,FALSE)&gt;=5),"8月","")</f>
        <v>8月</v>
      </c>
      <c r="I17" s="445" t="str">
        <f>IF(AND(VLOOKUP($D$9,$W$3:$X$14,2,FALSE)&lt;=6,VLOOKUP($D$10,$W$3:$X$14,2,FALSE)&gt;=6),"9月","")</f>
        <v>9月</v>
      </c>
      <c r="J17" s="445" t="str">
        <f>IF(AND(VLOOKUP($D$9,$W$3:$X$14,2,FALSE)&lt;=7,VLOOKUP($D$10,$W$3:$X$14,2,FALSE)&gt;=7),"10月","")</f>
        <v>10月</v>
      </c>
      <c r="K17" s="445" t="str">
        <f>IF(AND(VLOOKUP($D$9,$W$3:$X$14,2,FALSE)&lt;=8,VLOOKUP($D$10,$W$3:$X$14,2,FALSE)&gt;=8),"11月","")</f>
        <v>11月</v>
      </c>
      <c r="L17" s="445" t="str">
        <f>IF(AND(VLOOKUP($D$9,$W$3:$X$14,2,FALSE)&lt;=9,VLOOKUP($D$10,$W$3:$X$14,2,FALSE)&gt;=9),"12月","")</f>
        <v>12月</v>
      </c>
      <c r="M17" s="445" t="str">
        <f>IF(AND(VLOOKUP($D$9,$W$3:$X$14,2,FALSE)&lt;=10,VLOOKUP($D$10,$W$3:$X$14,2,FALSE)&gt;=10),"1月","")</f>
        <v>1月</v>
      </c>
      <c r="N17" s="445" t="str">
        <f>IF(AND(VLOOKUP($D$9,$W$3:$X$14,2,FALSE)&lt;=11,VLOOKUP($D$10,$W$3:$X$14,2,FALSE)&gt;=11),"2月","")</f>
        <v>2月</v>
      </c>
      <c r="O17" s="445" t="str">
        <f>IF(AND(VLOOKUP($D$9,$W$3:$X$14,2,FALSE)&lt;=12,VLOOKUP($D$10,$W$3:$X$14,2,FALSE)&gt;=12),"3月","")</f>
        <v>3月</v>
      </c>
      <c r="P17" s="445" t="s">
        <v>52</v>
      </c>
      <c r="Q17" s="445" t="s">
        <v>1</v>
      </c>
    </row>
    <row r="18" spans="1:24">
      <c r="A18" s="389"/>
      <c r="B18" s="1079" t="s">
        <v>41</v>
      </c>
      <c r="C18" s="1204"/>
      <c r="D18" s="608"/>
      <c r="E18" s="608"/>
      <c r="F18" s="608"/>
      <c r="G18" s="608"/>
      <c r="H18" s="608"/>
      <c r="I18" s="608"/>
      <c r="J18" s="608"/>
      <c r="K18" s="608"/>
      <c r="L18" s="608"/>
      <c r="M18" s="608"/>
      <c r="N18" s="608"/>
      <c r="O18" s="608"/>
      <c r="P18" s="546">
        <f>SUM(D18:O18)</f>
        <v>0</v>
      </c>
      <c r="Q18" s="546">
        <f>IF(ISERROR(ROUND(P18/$X$2,0)),0,ROUND(P18/$X$2,0))</f>
        <v>0</v>
      </c>
    </row>
    <row r="19" spans="1:24">
      <c r="A19" s="389"/>
      <c r="B19" s="896" t="s">
        <v>40</v>
      </c>
      <c r="C19" s="896"/>
      <c r="D19" s="608"/>
      <c r="E19" s="608"/>
      <c r="F19" s="608"/>
      <c r="G19" s="608"/>
      <c r="H19" s="608"/>
      <c r="I19" s="608"/>
      <c r="J19" s="608"/>
      <c r="K19" s="608"/>
      <c r="L19" s="608"/>
      <c r="M19" s="608"/>
      <c r="N19" s="608"/>
      <c r="O19" s="608"/>
      <c r="P19" s="546">
        <f>SUM(D19:O19)</f>
        <v>0</v>
      </c>
      <c r="Q19" s="546">
        <f>IF(ISERROR(ROUND(P19/$X$2,0)),0,ROUND(P19/$X$2,0))</f>
        <v>0</v>
      </c>
    </row>
    <row r="20" spans="1:24">
      <c r="A20" s="389"/>
      <c r="B20" s="896" t="s">
        <v>0</v>
      </c>
      <c r="C20" s="896"/>
      <c r="D20" s="546">
        <f t="shared" ref="D20:O20" si="0">SUM(D18:D19)</f>
        <v>0</v>
      </c>
      <c r="E20" s="546">
        <f t="shared" si="0"/>
        <v>0</v>
      </c>
      <c r="F20" s="546">
        <f t="shared" si="0"/>
        <v>0</v>
      </c>
      <c r="G20" s="546">
        <f t="shared" si="0"/>
        <v>0</v>
      </c>
      <c r="H20" s="546">
        <f t="shared" si="0"/>
        <v>0</v>
      </c>
      <c r="I20" s="546">
        <f t="shared" si="0"/>
        <v>0</v>
      </c>
      <c r="J20" s="546">
        <f t="shared" si="0"/>
        <v>0</v>
      </c>
      <c r="K20" s="546">
        <f t="shared" si="0"/>
        <v>0</v>
      </c>
      <c r="L20" s="546">
        <f t="shared" si="0"/>
        <v>0</v>
      </c>
      <c r="M20" s="546">
        <f t="shared" si="0"/>
        <v>0</v>
      </c>
      <c r="N20" s="546">
        <f t="shared" si="0"/>
        <v>0</v>
      </c>
      <c r="O20" s="546">
        <f t="shared" si="0"/>
        <v>0</v>
      </c>
      <c r="P20" s="546">
        <f>SUM(D20:O20)</f>
        <v>0</v>
      </c>
      <c r="Q20" s="546">
        <f>SUM(Q18:Q19)</f>
        <v>0</v>
      </c>
    </row>
    <row r="21" spans="1:24">
      <c r="A21" s="389"/>
      <c r="B21" s="1221"/>
      <c r="C21" s="1221"/>
      <c r="D21" s="389"/>
      <c r="E21" s="389"/>
      <c r="F21" s="389"/>
      <c r="G21" s="389"/>
      <c r="H21" s="389"/>
      <c r="I21" s="389"/>
      <c r="J21" s="389"/>
      <c r="K21" s="389"/>
      <c r="L21" s="389"/>
      <c r="M21" s="389"/>
      <c r="N21" s="389"/>
      <c r="O21" s="389"/>
      <c r="P21" s="389"/>
      <c r="Q21" s="389"/>
    </row>
    <row r="22" spans="1:24">
      <c r="A22" s="389"/>
      <c r="B22" s="1209" t="s">
        <v>34</v>
      </c>
      <c r="C22" s="1210"/>
      <c r="D22" s="445" t="str">
        <f t="shared" ref="D22:O22" si="1">D17</f>
        <v>4月</v>
      </c>
      <c r="E22" s="445" t="str">
        <f t="shared" si="1"/>
        <v>5月</v>
      </c>
      <c r="F22" s="445" t="str">
        <f t="shared" si="1"/>
        <v>6月</v>
      </c>
      <c r="G22" s="445" t="str">
        <f t="shared" si="1"/>
        <v>7月</v>
      </c>
      <c r="H22" s="445" t="str">
        <f t="shared" si="1"/>
        <v>8月</v>
      </c>
      <c r="I22" s="445" t="str">
        <f t="shared" si="1"/>
        <v>9月</v>
      </c>
      <c r="J22" s="445" t="str">
        <f t="shared" si="1"/>
        <v>10月</v>
      </c>
      <c r="K22" s="445" t="str">
        <f t="shared" si="1"/>
        <v>11月</v>
      </c>
      <c r="L22" s="445" t="str">
        <f t="shared" si="1"/>
        <v>12月</v>
      </c>
      <c r="M22" s="445" t="str">
        <f t="shared" si="1"/>
        <v>1月</v>
      </c>
      <c r="N22" s="445" t="str">
        <f t="shared" si="1"/>
        <v>2月</v>
      </c>
      <c r="O22" s="445" t="str">
        <f t="shared" si="1"/>
        <v>3月</v>
      </c>
      <c r="P22" s="445" t="s">
        <v>52</v>
      </c>
      <c r="Q22" s="445" t="s">
        <v>1</v>
      </c>
    </row>
    <row r="23" spans="1:24">
      <c r="A23" s="389"/>
      <c r="B23" s="1079" t="s">
        <v>41</v>
      </c>
      <c r="C23" s="1204"/>
      <c r="D23" s="608"/>
      <c r="E23" s="608"/>
      <c r="F23" s="608"/>
      <c r="G23" s="608"/>
      <c r="H23" s="608"/>
      <c r="I23" s="608"/>
      <c r="J23" s="608"/>
      <c r="K23" s="608"/>
      <c r="L23" s="608"/>
      <c r="M23" s="608"/>
      <c r="N23" s="608"/>
      <c r="O23" s="608"/>
      <c r="P23" s="546">
        <f>SUM(D23:O23)</f>
        <v>0</v>
      </c>
      <c r="Q23" s="546">
        <f>IF(ISERROR(ROUND(P23/$X$2,0)),0,ROUND(P23/$X$2,0))</f>
        <v>0</v>
      </c>
    </row>
    <row r="24" spans="1:24">
      <c r="A24" s="389"/>
      <c r="B24" s="896" t="s">
        <v>40</v>
      </c>
      <c r="C24" s="896"/>
      <c r="D24" s="608"/>
      <c r="E24" s="608"/>
      <c r="F24" s="608"/>
      <c r="G24" s="608"/>
      <c r="H24" s="608"/>
      <c r="I24" s="608"/>
      <c r="J24" s="608"/>
      <c r="K24" s="608"/>
      <c r="L24" s="608"/>
      <c r="M24" s="608"/>
      <c r="N24" s="608"/>
      <c r="O24" s="608"/>
      <c r="P24" s="546">
        <f>SUM(D24:O24)</f>
        <v>0</v>
      </c>
      <c r="Q24" s="546">
        <f>IF(ISERROR(ROUND(P24/$X$2,0)),0,ROUND(P24/$X$2,0))</f>
        <v>0</v>
      </c>
    </row>
    <row r="25" spans="1:24">
      <c r="A25" s="389"/>
      <c r="B25" s="896" t="s">
        <v>0</v>
      </c>
      <c r="C25" s="896"/>
      <c r="D25" s="546">
        <f t="shared" ref="D25:O25" si="2">SUM(D23:D24)</f>
        <v>0</v>
      </c>
      <c r="E25" s="546">
        <f t="shared" si="2"/>
        <v>0</v>
      </c>
      <c r="F25" s="546">
        <f t="shared" si="2"/>
        <v>0</v>
      </c>
      <c r="G25" s="546">
        <f t="shared" si="2"/>
        <v>0</v>
      </c>
      <c r="H25" s="546">
        <f t="shared" si="2"/>
        <v>0</v>
      </c>
      <c r="I25" s="546">
        <f t="shared" si="2"/>
        <v>0</v>
      </c>
      <c r="J25" s="546">
        <f t="shared" si="2"/>
        <v>0</v>
      </c>
      <c r="K25" s="546">
        <f t="shared" si="2"/>
        <v>0</v>
      </c>
      <c r="L25" s="546">
        <f t="shared" si="2"/>
        <v>0</v>
      </c>
      <c r="M25" s="546">
        <f t="shared" si="2"/>
        <v>0</v>
      </c>
      <c r="N25" s="546">
        <f t="shared" si="2"/>
        <v>0</v>
      </c>
      <c r="O25" s="546">
        <f t="shared" si="2"/>
        <v>0</v>
      </c>
      <c r="P25" s="546">
        <f>SUM(D25:O25)</f>
        <v>0</v>
      </c>
      <c r="Q25" s="546">
        <f>SUM(Q23:Q24)</f>
        <v>0</v>
      </c>
    </row>
    <row r="26" spans="1:24">
      <c r="A26" s="389"/>
      <c r="B26" s="587"/>
      <c r="C26" s="587"/>
      <c r="D26" s="587"/>
      <c r="E26" s="587"/>
      <c r="F26" s="587"/>
      <c r="G26" s="587"/>
      <c r="H26" s="587"/>
      <c r="I26" s="587"/>
      <c r="J26" s="587"/>
      <c r="K26" s="587"/>
      <c r="L26" s="587"/>
      <c r="M26" s="587"/>
      <c r="N26" s="609"/>
      <c r="O26" s="109"/>
      <c r="P26" s="389"/>
      <c r="Q26" s="389"/>
    </row>
    <row r="27" spans="1:24">
      <c r="A27" s="389"/>
      <c r="B27" s="128"/>
      <c r="C27" s="128"/>
      <c r="D27" s="128"/>
      <c r="E27" s="128"/>
      <c r="F27" s="128"/>
      <c r="G27" s="128"/>
      <c r="H27" s="128"/>
      <c r="I27" s="128"/>
      <c r="J27" s="128"/>
      <c r="K27" s="128"/>
      <c r="L27" s="128"/>
      <c r="M27" s="128"/>
      <c r="N27" s="109"/>
      <c r="O27" s="109"/>
      <c r="P27" s="109"/>
      <c r="Q27" s="540"/>
    </row>
    <row r="28" spans="1:24" ht="21">
      <c r="A28" s="389"/>
      <c r="B28" s="1092" t="s">
        <v>55</v>
      </c>
      <c r="C28" s="1092"/>
      <c r="D28" s="129" t="s">
        <v>158</v>
      </c>
      <c r="E28" s="130"/>
      <c r="F28" s="130"/>
      <c r="G28" s="130"/>
      <c r="H28" s="129" t="s">
        <v>112</v>
      </c>
      <c r="I28" s="130"/>
      <c r="J28" s="131"/>
      <c r="K28" s="132" t="s">
        <v>113</v>
      </c>
      <c r="L28" s="456" t="s">
        <v>114</v>
      </c>
      <c r="M28" s="109"/>
      <c r="N28" s="109"/>
      <c r="O28" s="109"/>
      <c r="P28" s="109"/>
      <c r="Q28" s="389"/>
    </row>
    <row r="29" spans="1:24" ht="118.5" customHeight="1">
      <c r="A29" s="389"/>
      <c r="B29" s="896" t="s">
        <v>37</v>
      </c>
      <c r="C29" s="896"/>
      <c r="D29" s="17" t="s">
        <v>9</v>
      </c>
      <c r="E29" s="17" t="s">
        <v>152</v>
      </c>
      <c r="F29" s="867" t="s">
        <v>65</v>
      </c>
      <c r="G29" s="17" t="s">
        <v>28</v>
      </c>
      <c r="H29" s="17" t="s">
        <v>39</v>
      </c>
      <c r="I29" s="27" t="s">
        <v>170</v>
      </c>
      <c r="J29" s="17" t="s">
        <v>30</v>
      </c>
      <c r="K29" s="17" t="s">
        <v>140</v>
      </c>
      <c r="L29" s="127" t="s">
        <v>139</v>
      </c>
      <c r="M29" s="26"/>
      <c r="N29" s="454"/>
      <c r="O29" s="128"/>
      <c r="P29" s="128"/>
      <c r="Q29" s="389"/>
      <c r="S29" s="572"/>
      <c r="T29" s="572"/>
      <c r="U29" s="572"/>
    </row>
    <row r="30" spans="1:24">
      <c r="A30" s="389"/>
      <c r="B30" s="896"/>
      <c r="C30" s="896"/>
      <c r="D30" s="445" t="s">
        <v>53</v>
      </c>
      <c r="E30" s="14"/>
      <c r="F30" s="386"/>
      <c r="G30" s="387"/>
      <c r="H30" s="14"/>
      <c r="I30" s="14"/>
      <c r="J30" s="14"/>
      <c r="K30" s="14"/>
      <c r="L30" s="14"/>
      <c r="M30" s="109"/>
      <c r="N30" s="128"/>
      <c r="O30" s="128"/>
      <c r="P30" s="128"/>
      <c r="Q30" s="389"/>
      <c r="R30" s="389"/>
      <c r="S30" s="572"/>
      <c r="T30" s="572"/>
      <c r="U30" s="572"/>
    </row>
    <row r="31" spans="1:24" ht="27.75" customHeight="1">
      <c r="A31" s="389"/>
      <c r="B31" s="128"/>
      <c r="C31" s="128"/>
      <c r="D31" s="128"/>
      <c r="E31" s="128"/>
      <c r="F31" s="128"/>
      <c r="G31" s="128"/>
      <c r="H31" s="128"/>
      <c r="I31" s="128"/>
      <c r="J31" s="128"/>
      <c r="K31" s="128"/>
      <c r="L31" s="128"/>
      <c r="M31" s="128"/>
      <c r="N31" s="128"/>
      <c r="O31" s="128"/>
      <c r="P31" s="389"/>
      <c r="Q31" s="389"/>
      <c r="R31" s="389"/>
      <c r="S31" s="544"/>
      <c r="T31" s="544"/>
      <c r="U31" s="652"/>
      <c r="W31" s="572"/>
      <c r="X31" s="572"/>
    </row>
    <row r="32" spans="1:24" ht="21.5" hidden="1" thickBot="1">
      <c r="A32" s="389"/>
      <c r="B32" s="1084" t="s">
        <v>63</v>
      </c>
      <c r="C32" s="1084"/>
      <c r="D32" s="646" t="s">
        <v>64</v>
      </c>
      <c r="E32" s="647"/>
      <c r="F32" s="647"/>
      <c r="G32" s="647"/>
      <c r="H32" s="647"/>
      <c r="I32" s="647"/>
      <c r="J32" s="647"/>
      <c r="K32" s="648"/>
      <c r="L32" s="647"/>
      <c r="M32" s="648"/>
      <c r="N32" s="389"/>
      <c r="O32" s="389"/>
      <c r="P32" s="389"/>
      <c r="Q32" s="389"/>
      <c r="R32" s="13"/>
      <c r="S32" s="109"/>
      <c r="T32" s="109"/>
      <c r="U32" s="572"/>
      <c r="W32" s="598"/>
      <c r="X32" s="598"/>
    </row>
    <row r="33" spans="1:24" ht="59.25" hidden="1" customHeight="1">
      <c r="A33" s="389"/>
      <c r="B33" s="1139" t="s">
        <v>35</v>
      </c>
      <c r="C33" s="1181"/>
      <c r="D33" s="1205" t="s">
        <v>9</v>
      </c>
      <c r="E33" s="1205" t="s">
        <v>38</v>
      </c>
      <c r="F33" s="1205" t="s">
        <v>27</v>
      </c>
      <c r="G33" s="1205" t="s">
        <v>28</v>
      </c>
      <c r="H33" s="1205" t="s">
        <v>39</v>
      </c>
      <c r="I33" s="1205" t="s">
        <v>170</v>
      </c>
      <c r="J33" s="1216" t="s">
        <v>131</v>
      </c>
      <c r="K33" s="32" t="s">
        <v>148</v>
      </c>
      <c r="L33" s="1222" t="s">
        <v>139</v>
      </c>
      <c r="M33" s="1206" t="s">
        <v>60</v>
      </c>
      <c r="N33" s="389"/>
      <c r="O33" s="389"/>
      <c r="P33" s="389"/>
      <c r="Q33" s="389"/>
      <c r="R33" s="573"/>
      <c r="S33" s="109"/>
      <c r="T33" s="109"/>
      <c r="U33" s="572"/>
      <c r="W33" s="598"/>
      <c r="X33" s="598"/>
    </row>
    <row r="34" spans="1:24" ht="59.25" hidden="1" customHeight="1">
      <c r="A34" s="389"/>
      <c r="B34" s="1141"/>
      <c r="C34" s="1182"/>
      <c r="D34" s="1184"/>
      <c r="E34" s="1184"/>
      <c r="F34" s="1184"/>
      <c r="G34" s="1184"/>
      <c r="H34" s="1184"/>
      <c r="I34" s="1184"/>
      <c r="J34" s="1214"/>
      <c r="K34" s="30" t="str">
        <f>IF($AD$2=1,"",CONCATENATE("（乗除調整",TEXT($AD$2,"##/100"),")"))</f>
        <v/>
      </c>
      <c r="L34" s="1195"/>
      <c r="M34" s="1207"/>
      <c r="N34" s="389"/>
      <c r="O34" s="389"/>
      <c r="P34" s="389"/>
      <c r="Q34" s="389"/>
      <c r="R34" s="109"/>
      <c r="S34" s="551"/>
      <c r="T34" s="574"/>
      <c r="U34" s="572"/>
      <c r="W34" s="598"/>
      <c r="X34" s="598"/>
    </row>
    <row r="35" spans="1:24" hidden="1">
      <c r="A35" s="389"/>
      <c r="B35" s="896" t="s">
        <v>24</v>
      </c>
      <c r="C35" s="1079"/>
      <c r="D35" s="546" t="e">
        <f>IF($D$30="あり",VLOOKUP($D$8,#REF!,12,TRUE),0)</f>
        <v>#REF!</v>
      </c>
      <c r="E35" s="550"/>
      <c r="F35" s="546">
        <f>IF(ISERROR(#REF!),0,#REF!)</f>
        <v>0</v>
      </c>
      <c r="G35" s="546">
        <f>IF($G$30="あり",VLOOKUP($D$8,#REF!,36,TRUE),0)</f>
        <v>0</v>
      </c>
      <c r="H35" s="546">
        <f>IF(H$30="あり",IF(ISERROR(-ROUNDDOWN(SUM($D35,$G35)*VLOOKUP($D$8,#REF!,47,TRUE),-1)),0,-ROUNDDOWN(SUM($D35,$G35)*VLOOKUP($D$8,#REF!,47,TRUE),-1)),0)</f>
        <v>0</v>
      </c>
      <c r="I35" s="546">
        <f>IF($I$30="あり",-VLOOKUP($D$8,#REF!,51,TRUE),0)</f>
        <v>0</v>
      </c>
      <c r="J35" s="546">
        <f>-IFERROR(IF(ROUNDDOWN(SUM($D35,$E35,$G35)*VLOOKUP($J$30,#REF!,2,FALSE),-1)&lt;10,ROUNDDOWN(SUM($D35,$E35,$G35)*VLOOKUP($J$30,#REF!,2,FALSE),0),ROUNDDOWN(SUM($D35,$E35,$G35)*VLOOKUP($J$30,#REF!,2,FALSE),-1)),0)</f>
        <v>0</v>
      </c>
      <c r="K35" s="586" t="e">
        <f>IF($AD$2=1,SUM($D35:$J35),(IF(ROUNDDOWN(SUM($D35:$J35)*$AD$2,-1)&lt;10,ROUNDDOWN(SUM($D35:$J35)*$AD$2,0),(ROUNDDOWN(SUM($D35:$J35)*$AD$2,-1)))))</f>
        <v>#REF!</v>
      </c>
      <c r="L35" s="628">
        <f>IF(L$30="配置",IF(ROUNDDOWN(#REF!/$I$62,-1)&lt;10,ROUNDDOWN(#REF!/$I$62,0),ROUNDDOWN(#REF!/$I$62,-1)),IF(L$30="兼務",IF(ROUNDDOWN(#REF!/$I$62,-1)&lt;10,ROUNDDOWN(#REF!/$I$62,0),ROUNDDOWN(#REF!/$I$62,-1)),0))</f>
        <v>0</v>
      </c>
      <c r="M35" s="555">
        <f>IF(ISERROR(SUM(K35:L35)),0,SUM(K35:L35))</f>
        <v>0</v>
      </c>
      <c r="N35" s="389"/>
      <c r="O35" s="389"/>
      <c r="P35" s="389"/>
      <c r="Q35" s="389"/>
      <c r="R35" s="109"/>
      <c r="S35" s="551"/>
      <c r="T35" s="13"/>
      <c r="U35" s="572"/>
      <c r="W35" s="598"/>
      <c r="X35" s="598"/>
    </row>
    <row r="36" spans="1:24" hidden="1">
      <c r="A36" s="389"/>
      <c r="B36" s="896" t="s">
        <v>23</v>
      </c>
      <c r="C36" s="1079"/>
      <c r="D36" s="546" t="e">
        <f>IF($D$30="あり",VLOOKUP($D$8,#REF!,12,TRUE),0)</f>
        <v>#REF!</v>
      </c>
      <c r="E36" s="550"/>
      <c r="F36" s="546">
        <f t="shared" ref="F36:G38" si="3">F35</f>
        <v>0</v>
      </c>
      <c r="G36" s="546">
        <f t="shared" si="3"/>
        <v>0</v>
      </c>
      <c r="H36" s="546">
        <f>IF(H$30="あり",IF(ISERROR(-ROUNDDOWN(SUM($D36,$G36)*VLOOKUP($D$8,#REF!,47,TRUE),-1)),0,-ROUNDDOWN(SUM($D36,$G36)*VLOOKUP($D$8,#REF!,47,TRUE),-1)),0)</f>
        <v>0</v>
      </c>
      <c r="I36" s="546">
        <f>I35</f>
        <v>0</v>
      </c>
      <c r="J36" s="546">
        <f>-IFERROR(IF(ROUNDDOWN(SUM($D36,$E36,$G36)*VLOOKUP($J$30,#REF!,2,FALSE),-1)&lt;10,ROUNDDOWN(SUM($D36,$E36,$G36)*VLOOKUP($J$30,#REF!,2,FALSE),0),ROUNDDOWN(SUM($D36,$E36,$G36)*VLOOKUP($J$30,#REF!,2,FALSE),-1)),0)</f>
        <v>0</v>
      </c>
      <c r="K36" s="586" t="e">
        <f>IF($AD$2=1,SUM($D36:$J36),(IF(ROUNDDOWN(SUM($D36:$J36)*$AD$2,-1)&lt;10,ROUNDDOWN(SUM($D36:$J36)*$AD$2,0),(ROUNDDOWN(SUM($D36:$J36)*$AD$2,-1)))))</f>
        <v>#REF!</v>
      </c>
      <c r="L36" s="628">
        <f>L35</f>
        <v>0</v>
      </c>
      <c r="M36" s="555">
        <f>IF(ISERROR(SUM(K36:L36)),0,SUM(K36:L36))</f>
        <v>0</v>
      </c>
      <c r="N36" s="389"/>
      <c r="O36" s="389"/>
      <c r="P36" s="389"/>
      <c r="Q36" s="389"/>
      <c r="R36" s="109"/>
      <c r="S36" s="544"/>
      <c r="T36" s="544"/>
      <c r="U36" s="652"/>
      <c r="W36" s="598"/>
      <c r="X36" s="598"/>
    </row>
    <row r="37" spans="1:24" hidden="1">
      <c r="A37" s="389"/>
      <c r="B37" s="896" t="s">
        <v>41</v>
      </c>
      <c r="C37" s="1079"/>
      <c r="D37" s="546" t="e">
        <f>D35</f>
        <v>#REF!</v>
      </c>
      <c r="E37" s="546">
        <f>IF(AND($E$30="あり",$Q18&gt;=1),VLOOKUP($D$8,#REF!,21,TRUE),0)</f>
        <v>0</v>
      </c>
      <c r="F37" s="546">
        <f t="shared" si="3"/>
        <v>0</v>
      </c>
      <c r="G37" s="546">
        <f t="shared" si="3"/>
        <v>0</v>
      </c>
      <c r="H37" s="546">
        <f>IF(H$30="あり",IF(ISERROR(-ROUNDDOWN(SUM($D37,$G37)*VLOOKUP($D$8,#REF!,47,TRUE),-1)),0,-ROUNDDOWN(SUM($D37,$G37)*VLOOKUP($D$8,#REF!,47,TRUE),-1)),0)</f>
        <v>0</v>
      </c>
      <c r="I37" s="546">
        <f>I35</f>
        <v>0</v>
      </c>
      <c r="J37" s="546">
        <f>-IFERROR(IF(ROUNDDOWN(SUM($D37,$E37,$G37)*VLOOKUP($J$30,#REF!,2,FALSE),-1)&lt;10,ROUNDDOWN(SUM($D37,$E37,$G37)*VLOOKUP($J$30,#REF!,2,FALSE),0),ROUNDDOWN(SUM($D37,$E37,$G37)*VLOOKUP($J$30,#REF!,2,FALSE),-1)),0)</f>
        <v>0</v>
      </c>
      <c r="K37" s="586" t="e">
        <f>IF($AD$2=1,SUM($D37:$J37),(IF(ROUNDDOWN(SUM($D37:$J37)*$AD$2,-1)&lt;10,ROUNDDOWN(SUM($D37:$J37)*$AD$2,0),(ROUNDDOWN(SUM($D37:$J37)*$AD$2,-1)))))</f>
        <v>#REF!</v>
      </c>
      <c r="L37" s="628">
        <f>L35</f>
        <v>0</v>
      </c>
      <c r="M37" s="555">
        <f>IF(ISERROR(SUM(K37:L37)),0,SUM(K37:L37))</f>
        <v>0</v>
      </c>
      <c r="N37" s="389"/>
      <c r="O37" s="389"/>
      <c r="P37" s="389"/>
      <c r="Q37" s="389"/>
      <c r="R37" s="109"/>
      <c r="S37" s="109"/>
      <c r="T37" s="109"/>
      <c r="U37" s="572"/>
      <c r="W37" s="598"/>
      <c r="X37" s="598"/>
    </row>
    <row r="38" spans="1:24" hidden="1">
      <c r="A38" s="389"/>
      <c r="B38" s="896" t="s">
        <v>40</v>
      </c>
      <c r="C38" s="1079"/>
      <c r="D38" s="546" t="e">
        <f>D36</f>
        <v>#REF!</v>
      </c>
      <c r="E38" s="546">
        <f>IF(AND($E$30="あり",$Q19&gt;=1),VLOOKUP($D$8,#REF!,21,TRUE),0)</f>
        <v>0</v>
      </c>
      <c r="F38" s="546">
        <f t="shared" si="3"/>
        <v>0</v>
      </c>
      <c r="G38" s="546">
        <f t="shared" si="3"/>
        <v>0</v>
      </c>
      <c r="H38" s="546">
        <f>IF(H$30="あり",IF(ISERROR(-ROUNDDOWN(SUM($D38,$G38)*VLOOKUP($D$8,#REF!,47,TRUE),-1)),0,-ROUNDDOWN(SUM($D38,$G38)*VLOOKUP($D$8,#REF!,47,TRUE),-1)),0)</f>
        <v>0</v>
      </c>
      <c r="I38" s="546">
        <f>I35</f>
        <v>0</v>
      </c>
      <c r="J38" s="546">
        <f>-IFERROR(IF(ROUNDDOWN(SUM($D38,$E38,$G38)*VLOOKUP($J$30,#REF!,2,FALSE),-1)&lt;10,ROUNDDOWN(SUM($D38,$E38,$G38)*VLOOKUP($J$30,#REF!,2,FALSE),0),ROUNDDOWN(SUM($D38,$E38,$G38)*VLOOKUP($J$30,#REF!,2,FALSE),-1)),0)</f>
        <v>0</v>
      </c>
      <c r="K38" s="586" t="e">
        <f>IF($AD$2=1,SUM($D38:$J38),(IF(ROUNDDOWN(SUM($D38:$J38)*$AD$2,-1)&lt;10,ROUNDDOWN(SUM($D38:$J38)*$AD$2,0),(ROUNDDOWN(SUM($D38:$J38)*$AD$2,-1)))))</f>
        <v>#REF!</v>
      </c>
      <c r="L38" s="628">
        <f>L35</f>
        <v>0</v>
      </c>
      <c r="M38" s="555">
        <f>IF(ISERROR(SUM(K38:L38)),0,SUM(K38:L38))</f>
        <v>0</v>
      </c>
      <c r="N38" s="389"/>
      <c r="O38" s="389"/>
      <c r="P38" s="389"/>
      <c r="Q38" s="389"/>
      <c r="R38" s="109"/>
      <c r="S38" s="109"/>
      <c r="T38" s="109"/>
      <c r="U38" s="572"/>
      <c r="W38" s="598"/>
      <c r="X38" s="598"/>
    </row>
    <row r="39" spans="1:24" hidden="1">
      <c r="A39" s="389"/>
      <c r="B39" s="523"/>
      <c r="C39" s="523"/>
      <c r="D39" s="523"/>
      <c r="E39" s="523"/>
      <c r="F39" s="523"/>
      <c r="G39" s="523"/>
      <c r="H39" s="523"/>
      <c r="I39" s="523"/>
      <c r="J39" s="523"/>
      <c r="K39" s="523"/>
      <c r="L39" s="389"/>
      <c r="M39" s="616"/>
      <c r="N39" s="389"/>
      <c r="O39" s="389"/>
      <c r="P39" s="389"/>
      <c r="Q39" s="389"/>
      <c r="R39" s="109"/>
      <c r="S39" s="572"/>
      <c r="T39" s="610"/>
      <c r="U39" s="572"/>
      <c r="W39" s="598"/>
      <c r="X39" s="598"/>
    </row>
    <row r="40" spans="1:24" ht="59.25" hidden="1" customHeight="1">
      <c r="A40" s="389"/>
      <c r="B40" s="1139" t="s">
        <v>36</v>
      </c>
      <c r="C40" s="1181"/>
      <c r="D40" s="1183" t="s">
        <v>9</v>
      </c>
      <c r="E40" s="1183" t="s">
        <v>38</v>
      </c>
      <c r="F40" s="1183" t="s">
        <v>27</v>
      </c>
      <c r="G40" s="1183" t="s">
        <v>28</v>
      </c>
      <c r="H40" s="1183" t="s">
        <v>39</v>
      </c>
      <c r="I40" s="1183" t="s">
        <v>171</v>
      </c>
      <c r="J40" s="1265" t="s">
        <v>131</v>
      </c>
      <c r="K40" s="31" t="s">
        <v>148</v>
      </c>
      <c r="L40" s="1223" t="s">
        <v>139</v>
      </c>
      <c r="M40" s="1215" t="s">
        <v>61</v>
      </c>
      <c r="N40" s="389"/>
      <c r="O40" s="389"/>
      <c r="P40" s="389"/>
      <c r="Q40" s="389"/>
      <c r="R40" s="523"/>
      <c r="S40" s="572"/>
      <c r="T40" s="572"/>
      <c r="U40" s="572"/>
      <c r="W40" s="598"/>
      <c r="X40" s="598"/>
    </row>
    <row r="41" spans="1:24" ht="59.25" hidden="1" customHeight="1">
      <c r="A41" s="389"/>
      <c r="B41" s="1141"/>
      <c r="C41" s="1182"/>
      <c r="D41" s="1184"/>
      <c r="E41" s="1184"/>
      <c r="F41" s="1184"/>
      <c r="G41" s="1184"/>
      <c r="H41" s="1184"/>
      <c r="I41" s="1184"/>
      <c r="J41" s="1266"/>
      <c r="K41" s="30" t="str">
        <f>IF($AD$2=1,"",CONCATENATE("（乗除調整",TEXT($AD$2,"##/100"),")"))</f>
        <v/>
      </c>
      <c r="L41" s="1224"/>
      <c r="M41" s="1207"/>
      <c r="N41" s="389"/>
      <c r="O41" s="389"/>
      <c r="P41" s="389"/>
      <c r="Q41" s="389"/>
      <c r="R41" s="109"/>
      <c r="S41" s="572"/>
      <c r="T41" s="572"/>
      <c r="U41" s="572"/>
      <c r="W41" s="572"/>
      <c r="X41" s="598"/>
    </row>
    <row r="42" spans="1:24" hidden="1">
      <c r="A42" s="389"/>
      <c r="B42" s="896" t="s">
        <v>24</v>
      </c>
      <c r="C42" s="1079"/>
      <c r="D42" s="546" t="e">
        <f>IF($D$30="あり",VLOOKUP($D$8,#REF!,15,TRUE),0)</f>
        <v>#REF!</v>
      </c>
      <c r="E42" s="550"/>
      <c r="F42" s="546">
        <f>IF(ISERROR(#REF!),0,#REF!)</f>
        <v>0</v>
      </c>
      <c r="G42" s="546">
        <f>IF($G$30="あり",VLOOKUP($D$8,#REF!,36,TRUE),0)</f>
        <v>0</v>
      </c>
      <c r="H42" s="546">
        <f>IF(H$30="あり",IF(ISERROR(-ROUNDDOWN(SUM($D42,$G42)*VLOOKUP($D$8,#REF!,47,TRUE),-1)),0,-ROUNDDOWN(SUM($D42,$G42)*VLOOKUP($D$8,#REF!,47,TRUE),-1)),0)</f>
        <v>0</v>
      </c>
      <c r="I42" s="546">
        <f>IF($I$30="あり",-VLOOKUP($D$8,#REF!,51,TRUE),0)</f>
        <v>0</v>
      </c>
      <c r="J42" s="546">
        <f>-IFERROR(IF(ROUNDDOWN(SUM($D42,$E42,$G42)*VLOOKUP($J$30,#REF!,2,FALSE),-1)&lt;10,ROUNDDOWN(SUM($D42,$E42,$G42)*VLOOKUP($J$30,#REF!,2,FALSE),0),ROUNDDOWN(SUM($D42,$E42,$G42)*VLOOKUP($J$30,#REF!,2,FALSE),-1)),0)</f>
        <v>0</v>
      </c>
      <c r="K42" s="586" t="e">
        <f>IF($AD$2=1,SUM($D42:$J42),(IF(ROUNDDOWN(SUM($D42:$J42)*$AD$2,-1)&lt;10,ROUNDDOWN(SUM($D42:$J42)*$AD$2,0),(ROUNDDOWN(SUM($D42:$J42)*$AD$2,-1)))))</f>
        <v>#REF!</v>
      </c>
      <c r="L42" s="628">
        <f>IF(L$30="配置",IF(ROUNDDOWN(#REF!/$I$62,-1)&lt;10,ROUNDDOWN(#REF!/$I$62,0),ROUNDDOWN(#REF!/$I$62,-1)),IF(L$30="兼務",IF(ROUNDDOWN(#REF!/$I$62,-1)&lt;10,ROUNDDOWN(#REF!/$I$62,0),ROUNDDOWN(#REF!/$I$62,-1)),0))</f>
        <v>0</v>
      </c>
      <c r="M42" s="555">
        <f>IF(ISERROR(SUM(D42:J42)),0,SUM(D42:J42))</f>
        <v>0</v>
      </c>
      <c r="N42" s="389"/>
      <c r="O42" s="389"/>
      <c r="P42" s="389"/>
      <c r="Q42" s="389"/>
      <c r="R42" s="109"/>
      <c r="W42" s="572"/>
      <c r="X42" s="574"/>
    </row>
    <row r="43" spans="1:24" hidden="1">
      <c r="A43" s="389"/>
      <c r="B43" s="896" t="s">
        <v>23</v>
      </c>
      <c r="C43" s="1079"/>
      <c r="D43" s="546" t="e">
        <f>IF($D$30="あり",VLOOKUP($D$8,#REF!,15,TRUE),0)</f>
        <v>#REF!</v>
      </c>
      <c r="E43" s="550"/>
      <c r="F43" s="546">
        <f t="shared" ref="F43:G45" si="4">F42</f>
        <v>0</v>
      </c>
      <c r="G43" s="546">
        <f t="shared" si="4"/>
        <v>0</v>
      </c>
      <c r="H43" s="546">
        <f>IF(H$30="あり",IF(ISERROR(-ROUNDDOWN(SUM($D43,$G43)*VLOOKUP($D$8,#REF!,47,TRUE),-1)),0,-ROUNDDOWN(SUM($D43,$G43)*VLOOKUP($D$8,#REF!,47,TRUE),-1)),0)</f>
        <v>0</v>
      </c>
      <c r="I43" s="546">
        <f>I42</f>
        <v>0</v>
      </c>
      <c r="J43" s="546">
        <f>-IFERROR(IF(ROUNDDOWN(SUM($D43,$E43,$G43)*VLOOKUP($J$30,#REF!,2,FALSE),-1)&lt;10,ROUNDDOWN(SUM($D43,$E43,$G43)*VLOOKUP($J$30,#REF!,2,FALSE),0),ROUNDDOWN(SUM($D43,$E43,$G43)*VLOOKUP($J$30,#REF!,2,FALSE),-1)),0)</f>
        <v>0</v>
      </c>
      <c r="K43" s="586" t="e">
        <f>IF($AD$2=1,SUM($D43:$J43),(IF(ROUNDDOWN(SUM($D43:$J43)*$AD$2,-1)&lt;10,ROUNDDOWN(SUM($D43:$J43)*$AD$2,0),(ROUNDDOWN(SUM($D43:$J43)*$AD$2,-1)))))</f>
        <v>#REF!</v>
      </c>
      <c r="L43" s="628">
        <f>L42</f>
        <v>0</v>
      </c>
      <c r="M43" s="555">
        <f>IF(ISERROR(SUM(D43:J43)),0,SUM(D43:J43))</f>
        <v>0</v>
      </c>
      <c r="N43" s="389"/>
      <c r="O43" s="389"/>
      <c r="P43" s="389"/>
      <c r="Q43" s="389"/>
      <c r="R43" s="109"/>
      <c r="S43" s="551"/>
      <c r="T43" s="573"/>
    </row>
    <row r="44" spans="1:24" hidden="1">
      <c r="A44" s="389"/>
      <c r="B44" s="896" t="s">
        <v>41</v>
      </c>
      <c r="C44" s="1079"/>
      <c r="D44" s="546" t="e">
        <f>D42</f>
        <v>#REF!</v>
      </c>
      <c r="E44" s="546">
        <f>IF(AND($E$30="あり",$Q23&gt;=1),VLOOKUP($D$8,#REF!,21,TRUE),0)</f>
        <v>0</v>
      </c>
      <c r="F44" s="546">
        <f t="shared" si="4"/>
        <v>0</v>
      </c>
      <c r="G44" s="546">
        <f t="shared" si="4"/>
        <v>0</v>
      </c>
      <c r="H44" s="546">
        <f>IF(H$30="あり",IF(ISERROR(-ROUNDDOWN(SUM($D44,$G44)*VLOOKUP($D$8,#REF!,47,TRUE),-1)),0,-ROUNDDOWN(SUM($D44,$G44)*VLOOKUP($D$8,#REF!,47,TRUE),-1)),0)</f>
        <v>0</v>
      </c>
      <c r="I44" s="546">
        <f>I42</f>
        <v>0</v>
      </c>
      <c r="J44" s="546">
        <f>-IFERROR(IF(ROUNDDOWN(SUM($D44,$E44,$G44)*VLOOKUP($J$30,#REF!,2,FALSE),-1)&lt;10,ROUNDDOWN(SUM($D44,$E44,$G44)*VLOOKUP($J$30,#REF!,2,FALSE),0),ROUNDDOWN(SUM($D44,$E44,$G44)*VLOOKUP($J$30,#REF!,2,FALSE),-1)),0)</f>
        <v>0</v>
      </c>
      <c r="K44" s="586" t="e">
        <f>IF($AD$2=1,SUM($D44:$J44),(IF(ROUNDDOWN(SUM($D44:$J44)*$AD$2,-1)&lt;10,ROUNDDOWN(SUM($D44:$J44)*$AD$2,0),(ROUNDDOWN(SUM($D44:$J44)*$AD$2,-1)))))</f>
        <v>#REF!</v>
      </c>
      <c r="L44" s="628">
        <f>L42</f>
        <v>0</v>
      </c>
      <c r="M44" s="555">
        <f>IF(ISERROR(SUM(D44:J44)),0,SUM(D44:J44))</f>
        <v>0</v>
      </c>
      <c r="N44" s="389"/>
      <c r="O44" s="389"/>
      <c r="P44" s="389"/>
      <c r="Q44" s="389"/>
      <c r="R44" s="109"/>
      <c r="S44" s="551"/>
      <c r="T44" s="573"/>
      <c r="W44" s="445">
        <v>2015</v>
      </c>
      <c r="X44" s="4">
        <v>6.1</v>
      </c>
    </row>
    <row r="45" spans="1:24" ht="17" hidden="1" thickBot="1">
      <c r="A45" s="389"/>
      <c r="B45" s="896" t="s">
        <v>40</v>
      </c>
      <c r="C45" s="1079"/>
      <c r="D45" s="546" t="e">
        <f>D43</f>
        <v>#REF!</v>
      </c>
      <c r="E45" s="546">
        <f>IF(AND($E$30="あり",$Q24&gt;=1),VLOOKUP($D$8,#REF!,21,TRUE),0)</f>
        <v>0</v>
      </c>
      <c r="F45" s="546">
        <f t="shared" si="4"/>
        <v>0</v>
      </c>
      <c r="G45" s="546">
        <f t="shared" si="4"/>
        <v>0</v>
      </c>
      <c r="H45" s="546">
        <f>IF(H$30="あり",IF(ISERROR(-ROUNDDOWN(SUM($D45,$G45)*VLOOKUP($D$8,#REF!,47,TRUE),-1)),0,-ROUNDDOWN(SUM($D45,$G45)*VLOOKUP($D$8,#REF!,47,TRUE),-1)),0)</f>
        <v>0</v>
      </c>
      <c r="I45" s="546">
        <f>I42</f>
        <v>0</v>
      </c>
      <c r="J45" s="546">
        <f>-IFERROR(IF(ROUNDDOWN(SUM($D45,$E45,$G45)*VLOOKUP($J$30,#REF!,2,FALSE),-1)&lt;10,ROUNDDOWN(SUM($D45,$E45,$G45)*VLOOKUP($J$30,#REF!,2,FALSE),0),ROUNDDOWN(SUM($D45,$E45,$G45)*VLOOKUP($J$30,#REF!,2,FALSE),-1)),0)</f>
        <v>0</v>
      </c>
      <c r="K45" s="586" t="e">
        <f>IF($AD$2=1,SUM($D45:$J45),(IF(ROUNDDOWN(SUM($D45:$J45)*$AD$2,-1)&lt;10,ROUNDDOWN(SUM($D45:$J45)*$AD$2,0),(ROUNDDOWN(SUM($D45:$J45)*$AD$2,-1)))))</f>
        <v>#REF!</v>
      </c>
      <c r="L45" s="628">
        <f>L42</f>
        <v>0</v>
      </c>
      <c r="M45" s="559">
        <f>IF(ISERROR(SUM(D45:J45)),0,SUM(D45:J45))</f>
        <v>0</v>
      </c>
      <c r="N45" s="389"/>
      <c r="O45" s="389"/>
      <c r="P45" s="389"/>
      <c r="Q45" s="389"/>
      <c r="R45" s="109"/>
      <c r="S45" s="551"/>
      <c r="T45" s="574"/>
      <c r="W45" s="445">
        <v>2016</v>
      </c>
      <c r="X45" s="2">
        <v>4.2</v>
      </c>
    </row>
    <row r="46" spans="1:24" hidden="1">
      <c r="A46" s="389"/>
      <c r="B46" s="523"/>
      <c r="C46" s="523"/>
      <c r="D46" s="523"/>
      <c r="E46" s="523"/>
      <c r="F46" s="523"/>
      <c r="G46" s="523"/>
      <c r="H46" s="523"/>
      <c r="I46" s="523"/>
      <c r="J46" s="523"/>
      <c r="K46" s="523"/>
      <c r="L46" s="523"/>
      <c r="M46" s="523"/>
      <c r="N46" s="389"/>
      <c r="O46" s="389"/>
      <c r="P46" s="389"/>
      <c r="Q46" s="389"/>
      <c r="R46" s="109"/>
      <c r="S46" s="551"/>
      <c r="T46" s="574"/>
      <c r="W46" s="445">
        <v>2017</v>
      </c>
      <c r="X46" s="2">
        <v>2.9</v>
      </c>
    </row>
    <row r="47" spans="1:24" ht="17" hidden="1" thickBot="1">
      <c r="A47" s="389"/>
      <c r="B47" s="523"/>
      <c r="C47" s="523"/>
      <c r="D47" s="109"/>
      <c r="E47" s="109"/>
      <c r="F47" s="109"/>
      <c r="G47" s="109"/>
      <c r="H47" s="109"/>
      <c r="I47" s="109"/>
      <c r="J47" s="109"/>
      <c r="K47" s="565"/>
      <c r="L47" s="128"/>
      <c r="M47" s="565"/>
      <c r="N47" s="128"/>
      <c r="O47" s="565"/>
      <c r="P47" s="109"/>
      <c r="Q47" s="128"/>
      <c r="R47" s="109"/>
      <c r="S47" s="128"/>
      <c r="W47" s="445">
        <v>2018</v>
      </c>
      <c r="X47" s="2">
        <v>1.8</v>
      </c>
    </row>
    <row r="48" spans="1:24" ht="40.5" hidden="1" customHeight="1" thickBot="1">
      <c r="A48" s="389"/>
      <c r="B48" s="553" t="s">
        <v>62</v>
      </c>
      <c r="C48" s="523"/>
      <c r="D48" s="523"/>
      <c r="E48" s="523"/>
      <c r="F48" s="523"/>
      <c r="G48" s="523"/>
      <c r="H48" s="553" t="s">
        <v>400</v>
      </c>
      <c r="I48" s="553"/>
      <c r="J48" s="1155" t="s">
        <v>48</v>
      </c>
      <c r="K48" s="1156"/>
      <c r="L48" s="938" t="s">
        <v>385</v>
      </c>
      <c r="M48" s="939"/>
      <c r="N48" s="940" t="s">
        <v>435</v>
      </c>
      <c r="O48" s="941"/>
      <c r="P48" s="940" t="s">
        <v>436</v>
      </c>
      <c r="Q48" s="941"/>
      <c r="W48" s="445">
        <v>2019</v>
      </c>
      <c r="X48" s="2">
        <v>1</v>
      </c>
    </row>
    <row r="49" spans="1:24" ht="27.75" hidden="1" customHeight="1">
      <c r="A49" s="389"/>
      <c r="B49" s="389"/>
      <c r="C49" s="389"/>
      <c r="D49" s="389"/>
      <c r="E49" s="389"/>
      <c r="F49" s="389"/>
      <c r="G49" s="389"/>
      <c r="H49" s="1185" t="s">
        <v>35</v>
      </c>
      <c r="I49" s="1198" t="s">
        <v>458</v>
      </c>
      <c r="J49" s="1196" t="str">
        <f>"A×賃金改善率（"&amp;$I$6&amp;"％）"</f>
        <v>A×賃金改善率（％）</v>
      </c>
      <c r="K49" s="1193" t="str">
        <f>CONCATENATE("×利用児童数×",$X$2,"月")</f>
        <v>×利用児童数×12月</v>
      </c>
      <c r="L49" s="1196" t="str">
        <f>"A×加算Ⅰ新規事由に係る率（"&amp;$I$7&amp;"％）"</f>
        <v>A×加算Ⅰ新規事由に係る率（％）</v>
      </c>
      <c r="M49" s="1193" t="str">
        <f>CONCATENATE("×利用児童数×",$X$2,"月")</f>
        <v>×利用児童数×12月</v>
      </c>
      <c r="N49" s="1196" t="str">
        <f>"A×人勧影響率（"&amp;$I$9&amp;"％）"</f>
        <v>A×人勧影響率（％）</v>
      </c>
      <c r="O49" s="1193" t="str">
        <f>CONCATENATE("×利用児童数×",$X$2,"月")</f>
        <v>×利用児童数×12月</v>
      </c>
      <c r="P49" s="1196" t="str">
        <f>"A×人勧影響率（"&amp;$I$11&amp;"％）"</f>
        <v>A×人勧影響率（％）</v>
      </c>
      <c r="Q49" s="1193" t="str">
        <f>CONCATENATE("×利用児童数×",$X$2,"月")</f>
        <v>×利用児童数×12月</v>
      </c>
    </row>
    <row r="50" spans="1:24" ht="27.75" hidden="1" customHeight="1">
      <c r="A50" s="1078" t="s">
        <v>474</v>
      </c>
      <c r="B50" s="1078"/>
      <c r="C50" s="1078"/>
      <c r="D50" s="1078"/>
      <c r="E50" s="1133">
        <f>$K$62</f>
        <v>0</v>
      </c>
      <c r="F50" s="1133"/>
      <c r="G50" s="389"/>
      <c r="H50" s="1178"/>
      <c r="I50" s="1199"/>
      <c r="J50" s="1190"/>
      <c r="K50" s="1192"/>
      <c r="L50" s="1190"/>
      <c r="M50" s="1192"/>
      <c r="N50" s="1190"/>
      <c r="O50" s="1192"/>
      <c r="P50" s="1190"/>
      <c r="Q50" s="1192"/>
      <c r="X50" s="569"/>
    </row>
    <row r="51" spans="1:24" ht="24" hidden="1" customHeight="1">
      <c r="A51" s="1212" t="str">
        <f>CONCATENATE("（賃金改善要件（",I6,"％）分）")</f>
        <v>（賃金改善要件（％）分）</v>
      </c>
      <c r="B51" s="1212"/>
      <c r="C51" s="1212"/>
      <c r="D51" s="1212"/>
      <c r="E51" s="558"/>
      <c r="F51" s="389"/>
      <c r="G51" s="389"/>
      <c r="H51" s="665" t="s">
        <v>24</v>
      </c>
      <c r="I51" s="677">
        <f>'入力（児童数-本園)'!Y3-I53</f>
        <v>0</v>
      </c>
      <c r="J51" s="556">
        <f>M35*$I$6</f>
        <v>0</v>
      </c>
      <c r="K51" s="557">
        <f>J51*$I51*$X$2</f>
        <v>0</v>
      </c>
      <c r="L51" s="556" t="e">
        <f>ROUNDDOWN($K35*$I$7,0)</f>
        <v>#REF!</v>
      </c>
      <c r="M51" s="557" t="e">
        <f>L51*$I51*$X$2</f>
        <v>#REF!</v>
      </c>
      <c r="N51" s="576" t="e">
        <f>ROUNDDOWN($K35*$I$9,0)</f>
        <v>#REF!</v>
      </c>
      <c r="O51" s="577" t="e">
        <f>N51*$I51*$X$2</f>
        <v>#REF!</v>
      </c>
      <c r="P51" s="556" t="e">
        <f>ROUNDDOWN($K35*$I$11,0)</f>
        <v>#REF!</v>
      </c>
      <c r="Q51" s="557" t="e">
        <f>P51*$I51*$X$2</f>
        <v>#REF!</v>
      </c>
    </row>
    <row r="52" spans="1:24" ht="18.75" hidden="1" customHeight="1">
      <c r="A52" s="1267" t="s">
        <v>489</v>
      </c>
      <c r="B52" s="1267"/>
      <c r="C52" s="1267"/>
      <c r="D52" s="1267"/>
      <c r="E52" s="1267"/>
      <c r="F52" s="1267"/>
      <c r="G52" s="1268"/>
      <c r="H52" s="665" t="s">
        <v>23</v>
      </c>
      <c r="I52" s="677">
        <f>SUM('入力（児童数-本園)'!Y4:Y6)-I54</f>
        <v>0</v>
      </c>
      <c r="J52" s="556">
        <f>M36*$I$6</f>
        <v>0</v>
      </c>
      <c r="K52" s="557">
        <f>J52*$I52*$X$2</f>
        <v>0</v>
      </c>
      <c r="L52" s="556" t="e">
        <f>ROUNDDOWN($K36*$I$7,0)</f>
        <v>#REF!</v>
      </c>
      <c r="M52" s="557" t="e">
        <f>L52*$I52*$X$2</f>
        <v>#REF!</v>
      </c>
      <c r="N52" s="576" t="e">
        <f>ROUNDDOWN($K36*$I$9,0)</f>
        <v>#REF!</v>
      </c>
      <c r="O52" s="577" t="e">
        <f>N52*$I52*$X$2</f>
        <v>#REF!</v>
      </c>
      <c r="P52" s="556" t="e">
        <f>ROUNDDOWN($K36*$I$11,0)</f>
        <v>#REF!</v>
      </c>
      <c r="Q52" s="557" t="e">
        <f>P52*$I52*$X$2</f>
        <v>#REF!</v>
      </c>
    </row>
    <row r="53" spans="1:24" ht="19" hidden="1">
      <c r="A53" s="564"/>
      <c r="B53" s="564"/>
      <c r="C53" s="564"/>
      <c r="D53" s="564"/>
      <c r="E53" s="564"/>
      <c r="F53" s="389"/>
      <c r="G53" s="389"/>
      <c r="H53" s="665" t="s">
        <v>41</v>
      </c>
      <c r="I53" s="678">
        <f>Q18</f>
        <v>0</v>
      </c>
      <c r="J53" s="556">
        <f>M37*$I$6</f>
        <v>0</v>
      </c>
      <c r="K53" s="557">
        <f>J53*$Q18*$X$2</f>
        <v>0</v>
      </c>
      <c r="L53" s="556" t="e">
        <f>ROUNDDOWN($K37*$I$7,0)</f>
        <v>#REF!</v>
      </c>
      <c r="M53" s="557" t="e">
        <f>L53*$Q18*$X$2</f>
        <v>#REF!</v>
      </c>
      <c r="N53" s="576" t="e">
        <f>ROUNDDOWN($K37*$I$9,0)</f>
        <v>#REF!</v>
      </c>
      <c r="O53" s="577" t="e">
        <f>N53*$Q18*$X$2</f>
        <v>#REF!</v>
      </c>
      <c r="P53" s="556" t="e">
        <f>ROUNDDOWN($K37*$I$11,0)</f>
        <v>#REF!</v>
      </c>
      <c r="Q53" s="557" t="e">
        <f>P53*$Q18*$X$2</f>
        <v>#REF!</v>
      </c>
    </row>
    <row r="54" spans="1:24" ht="24" hidden="1" customHeight="1">
      <c r="A54" s="1078" t="s">
        <v>382</v>
      </c>
      <c r="B54" s="1078"/>
      <c r="C54" s="1078"/>
      <c r="D54" s="1078"/>
      <c r="E54" s="1115" t="e">
        <f>$M$62</f>
        <v>#REF!</v>
      </c>
      <c r="F54" s="1115"/>
      <c r="G54" s="389"/>
      <c r="H54" s="665" t="s">
        <v>40</v>
      </c>
      <c r="I54" s="678">
        <f>Q19</f>
        <v>0</v>
      </c>
      <c r="J54" s="556">
        <f>M38*$I$6</f>
        <v>0</v>
      </c>
      <c r="K54" s="557">
        <f>J54*$Q19*$X$2</f>
        <v>0</v>
      </c>
      <c r="L54" s="556" t="e">
        <f>ROUNDDOWN($K38*$I$7,0)</f>
        <v>#REF!</v>
      </c>
      <c r="M54" s="557" t="e">
        <f>L54*$Q19*$X$2</f>
        <v>#REF!</v>
      </c>
      <c r="N54" s="576" t="e">
        <f>ROUNDDOWN($K38*$I$9,0)</f>
        <v>#REF!</v>
      </c>
      <c r="O54" s="577" t="e">
        <f>N54*$Q19*$X$2</f>
        <v>#REF!</v>
      </c>
      <c r="P54" s="556" t="e">
        <f>ROUNDDOWN($K38*$I$11,0)</f>
        <v>#REF!</v>
      </c>
      <c r="Q54" s="557" t="e">
        <f>P54*$Q19*$X$2</f>
        <v>#REF!</v>
      </c>
    </row>
    <row r="55" spans="1:24" ht="22.5" hidden="1" customHeight="1" thickBot="1">
      <c r="A55" s="1212" t="str">
        <f>CONCATENATE("（加算Ⅰ新規事由に係る加算率（",I7,"％）分）")</f>
        <v>（加算Ⅰ新規事由に係る加算率（％）分）</v>
      </c>
      <c r="B55" s="1212"/>
      <c r="C55" s="1212"/>
      <c r="D55" s="1212"/>
      <c r="E55" s="558"/>
      <c r="F55" s="389"/>
      <c r="G55" s="389"/>
      <c r="H55" s="619"/>
      <c r="I55" s="638"/>
      <c r="J55" s="523"/>
      <c r="K55" s="523"/>
      <c r="L55" s="523"/>
      <c r="M55" s="523"/>
      <c r="N55" s="523"/>
      <c r="O55" s="523"/>
      <c r="P55" s="523"/>
      <c r="Q55" s="523"/>
    </row>
    <row r="56" spans="1:24" ht="27.75" hidden="1" customHeight="1">
      <c r="A56" s="389"/>
      <c r="B56" s="389"/>
      <c r="C56" s="389"/>
      <c r="D56" s="389"/>
      <c r="E56" s="389"/>
      <c r="F56" s="389"/>
      <c r="G56" s="389"/>
      <c r="H56" s="1177" t="s">
        <v>36</v>
      </c>
      <c r="I56" s="1200" t="s">
        <v>458</v>
      </c>
      <c r="J56" s="1196" t="str">
        <f>"B×賃金改善率（"&amp;$I$6&amp;"％）"</f>
        <v>B×賃金改善率（％）</v>
      </c>
      <c r="K56" s="1193" t="str">
        <f>CONCATENATE("×利用児童数×",$X$2,"月")</f>
        <v>×利用児童数×12月</v>
      </c>
      <c r="L56" s="1196" t="str">
        <f>"B×加算Ⅰ新規事由に係る率（"&amp;$I$7&amp;"％）"</f>
        <v>B×加算Ⅰ新規事由に係る率（％）</v>
      </c>
      <c r="M56" s="1193" t="str">
        <f>CONCATENATE("×利用児童数×",$X$2,"月")</f>
        <v>×利用児童数×12月</v>
      </c>
      <c r="N56" s="1196" t="str">
        <f>"B×人勧影響率（"&amp;$I$9&amp;"％）"</f>
        <v>B×人勧影響率（％）</v>
      </c>
      <c r="O56" s="1193" t="str">
        <f>CONCATENATE("×利用児童数×",$X$2,"月")</f>
        <v>×利用児童数×12月</v>
      </c>
      <c r="P56" s="1196" t="str">
        <f>"B×人勧影響率（"&amp;$I$11&amp;"％）"</f>
        <v>B×人勧影響率（％）</v>
      </c>
      <c r="Q56" s="1193" t="str">
        <f>CONCATENATE("×利用児童数×",$X$2,"月")</f>
        <v>×利用児童数×12月</v>
      </c>
    </row>
    <row r="57" spans="1:24" ht="27.75" hidden="1" customHeight="1">
      <c r="A57" s="1078" t="s">
        <v>381</v>
      </c>
      <c r="B57" s="1078"/>
      <c r="C57" s="1078"/>
      <c r="D57" s="1078"/>
      <c r="E57" s="1154" t="e">
        <f>$O$62</f>
        <v>#REF!</v>
      </c>
      <c r="F57" s="1154"/>
      <c r="G57" s="389"/>
      <c r="H57" s="1178"/>
      <c r="I57" s="1199"/>
      <c r="J57" s="1190"/>
      <c r="K57" s="1192"/>
      <c r="L57" s="1190"/>
      <c r="M57" s="1192"/>
      <c r="N57" s="1190"/>
      <c r="O57" s="1192"/>
      <c r="P57" s="1190"/>
      <c r="Q57" s="1192"/>
    </row>
    <row r="58" spans="1:24" ht="17.25" hidden="1" customHeight="1">
      <c r="A58" s="1212" t="str">
        <f>CONCATENATE("（処遇Ⅰの基準年度の翌年～当年度まで（",I9,"％）分）")</f>
        <v>（処遇Ⅰの基準年度の翌年～当年度まで（％）分）</v>
      </c>
      <c r="B58" s="1212"/>
      <c r="C58" s="1212"/>
      <c r="D58" s="1212"/>
      <c r="E58" s="558"/>
      <c r="F58" s="389"/>
      <c r="G58" s="389"/>
      <c r="H58" s="665" t="s">
        <v>24</v>
      </c>
      <c r="I58" s="677">
        <f>'入力（児童数-本園)'!Z3-I60</f>
        <v>0</v>
      </c>
      <c r="J58" s="556">
        <f>M42*$I$6</f>
        <v>0</v>
      </c>
      <c r="K58" s="557">
        <f>J58*$I58*$X$2</f>
        <v>0</v>
      </c>
      <c r="L58" s="556" t="e">
        <f>ROUNDDOWN($K42*$I$7,0)</f>
        <v>#REF!</v>
      </c>
      <c r="M58" s="557" t="e">
        <f>L58*$I58*$X$2</f>
        <v>#REF!</v>
      </c>
      <c r="N58" s="576" t="e">
        <f>ROUNDDOWN($K42*$I$9,0)</f>
        <v>#REF!</v>
      </c>
      <c r="O58" s="577" t="e">
        <f>N58*$I58*$X$2</f>
        <v>#REF!</v>
      </c>
      <c r="P58" s="556" t="e">
        <f>ROUNDDOWN($K42*$I$11,0)</f>
        <v>#REF!</v>
      </c>
      <c r="Q58" s="557" t="e">
        <f>P58*$I58*$X$2</f>
        <v>#REF!</v>
      </c>
    </row>
    <row r="59" spans="1:24" hidden="1">
      <c r="A59" s="1212"/>
      <c r="B59" s="1212"/>
      <c r="C59" s="1212"/>
      <c r="D59" s="1212"/>
      <c r="E59" s="389"/>
      <c r="F59" s="389"/>
      <c r="G59" s="389"/>
      <c r="H59" s="665" t="s">
        <v>23</v>
      </c>
      <c r="I59" s="677">
        <f>SUM('入力（児童数-本園)'!Z4:Z6)-I61</f>
        <v>0</v>
      </c>
      <c r="J59" s="556">
        <f>M43*$I$6</f>
        <v>0</v>
      </c>
      <c r="K59" s="557">
        <f>J59*$I59*$X$2</f>
        <v>0</v>
      </c>
      <c r="L59" s="556" t="e">
        <f>ROUNDDOWN($K43*$I$7,0)</f>
        <v>#REF!</v>
      </c>
      <c r="M59" s="557" t="e">
        <f>L59*$I59*$X$2</f>
        <v>#REF!</v>
      </c>
      <c r="N59" s="576" t="e">
        <f>ROUNDDOWN($K43*$I$9,0)</f>
        <v>#REF!</v>
      </c>
      <c r="O59" s="577" t="e">
        <f>N59*$I59*$X$2</f>
        <v>#REF!</v>
      </c>
      <c r="P59" s="556" t="e">
        <f>ROUNDDOWN($K43*$I$11,0)</f>
        <v>#REF!</v>
      </c>
      <c r="Q59" s="557" t="e">
        <f>P59*$I59*$X$2</f>
        <v>#REF!</v>
      </c>
    </row>
    <row r="60" spans="1:24" ht="24" hidden="1" customHeight="1">
      <c r="A60" s="1078" t="s">
        <v>381</v>
      </c>
      <c r="B60" s="1078"/>
      <c r="C60" s="1078"/>
      <c r="D60" s="1078"/>
      <c r="E60" s="1154" t="e">
        <f>$Q$62</f>
        <v>#REF!</v>
      </c>
      <c r="F60" s="1154"/>
      <c r="G60" s="389"/>
      <c r="H60" s="665" t="s">
        <v>41</v>
      </c>
      <c r="I60" s="678">
        <f>Q23</f>
        <v>0</v>
      </c>
      <c r="J60" s="556">
        <f>M44*$I$6</f>
        <v>0</v>
      </c>
      <c r="K60" s="557">
        <f>J60*$Q23*$X$2</f>
        <v>0</v>
      </c>
      <c r="L60" s="556" t="e">
        <f>ROUNDDOWN($K44*$I$7,0)</f>
        <v>#REF!</v>
      </c>
      <c r="M60" s="557" t="e">
        <f>L60*$Q23*$X$2</f>
        <v>#REF!</v>
      </c>
      <c r="N60" s="576" t="e">
        <f>ROUNDDOWN($K44*$I$9,0)</f>
        <v>#REF!</v>
      </c>
      <c r="O60" s="577" t="e">
        <f>N60*$Q23*$X$2</f>
        <v>#REF!</v>
      </c>
      <c r="P60" s="556" t="e">
        <f>ROUNDDOWN($K44*$I$11,0)</f>
        <v>#REF!</v>
      </c>
      <c r="Q60" s="557" t="e">
        <f>P60*$Q23*$X$2</f>
        <v>#REF!</v>
      </c>
    </row>
    <row r="61" spans="1:24" ht="18" hidden="1" customHeight="1" thickBot="1">
      <c r="A61" s="1212" t="str">
        <f>CONCATENATE("（処遇Ⅱの基準年度の翌年～当年度まで（",I11,"％）分）")</f>
        <v>（処遇Ⅱの基準年度の翌年～当年度まで（％）分）</v>
      </c>
      <c r="B61" s="1212"/>
      <c r="C61" s="1212"/>
      <c r="D61" s="1212"/>
      <c r="E61" s="389"/>
      <c r="F61" s="389"/>
      <c r="G61" s="389"/>
      <c r="H61" s="665" t="s">
        <v>40</v>
      </c>
      <c r="I61" s="679">
        <f>Q24</f>
        <v>0</v>
      </c>
      <c r="J61" s="556">
        <f>M45*$I$6</f>
        <v>0</v>
      </c>
      <c r="K61" s="623">
        <f>J61*$Q24*$X$2</f>
        <v>0</v>
      </c>
      <c r="L61" s="556" t="e">
        <f>ROUNDDOWN($K45*$I$7,0)</f>
        <v>#REF!</v>
      </c>
      <c r="M61" s="623" t="e">
        <f>L61*$Q24*$X$2</f>
        <v>#REF!</v>
      </c>
      <c r="N61" s="576" t="e">
        <f>ROUNDDOWN($K45*$I$9,0)</f>
        <v>#REF!</v>
      </c>
      <c r="O61" s="625" t="e">
        <f>N61*$Q24*$X$2</f>
        <v>#REF!</v>
      </c>
      <c r="P61" s="556" t="e">
        <f>ROUNDDOWN($K45*$I$11,0)</f>
        <v>#REF!</v>
      </c>
      <c r="Q61" s="623" t="e">
        <f>P61*$Q24*$X$2</f>
        <v>#REF!</v>
      </c>
    </row>
    <row r="62" spans="1:24" ht="17.5" hidden="1" thickTop="1" thickBot="1">
      <c r="A62" s="1212"/>
      <c r="B62" s="1212"/>
      <c r="C62" s="1212"/>
      <c r="D62" s="1212"/>
      <c r="E62" s="568"/>
      <c r="F62" s="389"/>
      <c r="G62" s="389"/>
      <c r="H62" s="561" t="s">
        <v>0</v>
      </c>
      <c r="I62" s="617">
        <f>SUM(Q20,Q25,I51:I52,I58:I59)</f>
        <v>0</v>
      </c>
      <c r="J62" s="561" t="s">
        <v>67</v>
      </c>
      <c r="K62" s="597">
        <f>ROUNDDOWN(SUM(K51:K54,K58:K61),-3)</f>
        <v>0</v>
      </c>
      <c r="L62" s="563" t="s">
        <v>67</v>
      </c>
      <c r="M62" s="597" t="e">
        <f>ROUNDDOWN(SUM(M51:M54,M58:M61),-3)</f>
        <v>#REF!</v>
      </c>
      <c r="N62" s="563" t="s">
        <v>0</v>
      </c>
      <c r="O62" s="601" t="e">
        <f>ROUNDDOWN(SUM(O51:O54,O58:O61),-3)</f>
        <v>#REF!</v>
      </c>
      <c r="P62" s="563" t="s">
        <v>0</v>
      </c>
      <c r="Q62" s="597" t="e">
        <f>ROUNDDOWN(SUM(Q51:Q54,Q58:Q61),-3)</f>
        <v>#REF!</v>
      </c>
    </row>
    <row r="63" spans="1:24">
      <c r="C63" s="572"/>
      <c r="D63" s="24"/>
    </row>
  </sheetData>
  <sheetProtection algorithmName="SHA-512" hashValue="2pY9GkVMlgN542/wt08PHYunL5cQtMElCIzTYNTV2otFS65i/oTsyhRn5Trjb6Acr6R1Z0jGBh+2WZ7dNemt6Q==" saltValue="/8XMVkYnypD8pAFmewRDag==" spinCount="100000" sheet="1" objects="1" scenarios="1"/>
  <customSheetViews>
    <customSheetView guid="{2E52E5FF-9846-4DC5-A671-268FE925398C}" scale="80" showPageBreaks="1" fitToPage="1" printArea="1" hiddenColumns="1" view="pageBreakPreview">
      <selection activeCell="D15" sqref="D15"/>
      <pageMargins left="0.70866141732283472" right="0.70866141732283472" top="0.74803149606299213" bottom="0.74803149606299213" header="0.31496062992125984" footer="0.31496062992125984"/>
      <pageSetup paperSize="9" scale="50" orientation="landscape" r:id="rId1"/>
    </customSheetView>
    <customSheetView guid="{BADA99B3-B36A-4925-87A7-F72FC97D3DBA}" scale="80" showPageBreaks="1" fitToPage="1" printArea="1" view="pageBreakPreview" topLeftCell="A27">
      <selection activeCell="T43" sqref="T43"/>
      <pageMargins left="0.70866141732283472" right="0.70866141732283472" top="0.74803149606299213" bottom="0.74803149606299213" header="0.31496062992125984" footer="0.31496062992125984"/>
      <pageSetup paperSize="9" scale="50" orientation="landscape" r:id="rId2"/>
    </customSheetView>
  </customSheetViews>
  <mergeCells count="89">
    <mergeCell ref="H56:H57"/>
    <mergeCell ref="F33:F34"/>
    <mergeCell ref="G33:G34"/>
    <mergeCell ref="H33:H34"/>
    <mergeCell ref="A52:G52"/>
    <mergeCell ref="H49:H50"/>
    <mergeCell ref="F40:F41"/>
    <mergeCell ref="H40:H41"/>
    <mergeCell ref="G40:G41"/>
    <mergeCell ref="E40:E41"/>
    <mergeCell ref="D33:D34"/>
    <mergeCell ref="E33:E34"/>
    <mergeCell ref="B44:C44"/>
    <mergeCell ref="B45:C45"/>
    <mergeCell ref="A61:D62"/>
    <mergeCell ref="A55:D55"/>
    <mergeCell ref="A57:D57"/>
    <mergeCell ref="E57:F57"/>
    <mergeCell ref="A50:D50"/>
    <mergeCell ref="E50:F50"/>
    <mergeCell ref="A51:D51"/>
    <mergeCell ref="A54:D54"/>
    <mergeCell ref="E54:F54"/>
    <mergeCell ref="A60:D60"/>
    <mergeCell ref="E60:F60"/>
    <mergeCell ref="P49:P50"/>
    <mergeCell ref="Q49:Q50"/>
    <mergeCell ref="N48:O48"/>
    <mergeCell ref="P48:Q48"/>
    <mergeCell ref="L48:M48"/>
    <mergeCell ref="J48:K48"/>
    <mergeCell ref="M49:M50"/>
    <mergeCell ref="I33:I34"/>
    <mergeCell ref="I40:I41"/>
    <mergeCell ref="J40:J41"/>
    <mergeCell ref="L40:L41"/>
    <mergeCell ref="M33:M34"/>
    <mergeCell ref="L33:L34"/>
    <mergeCell ref="J33:J34"/>
    <mergeCell ref="M40:M41"/>
    <mergeCell ref="P56:P57"/>
    <mergeCell ref="Q56:Q57"/>
    <mergeCell ref="A58:D59"/>
    <mergeCell ref="N49:N50"/>
    <mergeCell ref="O49:O50"/>
    <mergeCell ref="N56:N57"/>
    <mergeCell ref="O56:O57"/>
    <mergeCell ref="J56:J57"/>
    <mergeCell ref="K56:K57"/>
    <mergeCell ref="M56:M57"/>
    <mergeCell ref="L56:L57"/>
    <mergeCell ref="J49:J50"/>
    <mergeCell ref="K49:K50"/>
    <mergeCell ref="L49:L50"/>
    <mergeCell ref="I49:I50"/>
    <mergeCell ref="I56:I57"/>
    <mergeCell ref="B7:C7"/>
    <mergeCell ref="A2:Q3"/>
    <mergeCell ref="B6:C6"/>
    <mergeCell ref="B5:D5"/>
    <mergeCell ref="D6:E6"/>
    <mergeCell ref="D7:E7"/>
    <mergeCell ref="B24:C24"/>
    <mergeCell ref="B25:C25"/>
    <mergeCell ref="B28:C28"/>
    <mergeCell ref="B29:C30"/>
    <mergeCell ref="D10:E10"/>
    <mergeCell ref="B10:C10"/>
    <mergeCell ref="B23:C23"/>
    <mergeCell ref="B17:C17"/>
    <mergeCell ref="B18:C18"/>
    <mergeCell ref="B19:C19"/>
    <mergeCell ref="B20:C20"/>
    <mergeCell ref="N1:Q1"/>
    <mergeCell ref="B43:C43"/>
    <mergeCell ref="B9:C9"/>
    <mergeCell ref="B22:C22"/>
    <mergeCell ref="B38:C38"/>
    <mergeCell ref="D9:E9"/>
    <mergeCell ref="B37:C37"/>
    <mergeCell ref="B35:C35"/>
    <mergeCell ref="B33:C34"/>
    <mergeCell ref="B40:C41"/>
    <mergeCell ref="B21:C21"/>
    <mergeCell ref="B36:C36"/>
    <mergeCell ref="B42:C42"/>
    <mergeCell ref="D40:D41"/>
    <mergeCell ref="B32:C32"/>
    <mergeCell ref="D8:E8"/>
  </mergeCells>
  <phoneticPr fontId="4"/>
  <conditionalFormatting sqref="D18:O19 D23:O24">
    <cfRule type="expression" dxfId="1" priority="2">
      <formula>D$17=""</formula>
    </cfRule>
  </conditionalFormatting>
  <dataValidations count="5">
    <dataValidation type="list" allowBlank="1" showInputMessage="1" showErrorMessage="1" sqref="D30:E30 G30:I30" xr:uid="{00000000-0002-0000-1000-000000000000}">
      <formula1>$Y$3:$Y$4</formula1>
    </dataValidation>
    <dataValidation type="list" allowBlank="1" showInputMessage="1" showErrorMessage="1" sqref="K30" xr:uid="{00000000-0002-0000-1000-000001000000}">
      <formula1>$Y$2:$Y$4</formula1>
    </dataValidation>
    <dataValidation type="list" allowBlank="1" showInputMessage="1" showErrorMessage="1" sqref="J30" xr:uid="{00000000-0002-0000-1000-000002000000}">
      <formula1>$Z$2:$Z$7</formula1>
    </dataValidation>
    <dataValidation type="list" allowBlank="1" showInputMessage="1" showErrorMessage="1" sqref="L30" xr:uid="{00000000-0002-0000-1000-000003000000}">
      <formula1>$AA$2:$AA$5</formula1>
    </dataValidation>
    <dataValidation type="whole" operator="greaterThanOrEqual" allowBlank="1" showInputMessage="1" showErrorMessage="1" sqref="F30" xr:uid="{00000000-0002-0000-1000-000004000000}">
      <formula1>0</formula1>
    </dataValidation>
  </dataValidations>
  <printOptions horizontalCentered="1"/>
  <pageMargins left="0.70866141732283472" right="0.70866141732283472" top="0.74803149606299213" bottom="0.74803149606299213" header="0.31496062992125984" footer="0.31496062992125984"/>
  <pageSetup paperSize="9" scale="5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8">
    <tabColor rgb="FFFFC000"/>
  </sheetPr>
  <dimension ref="A1:P108"/>
  <sheetViews>
    <sheetView view="pageBreakPreview" zoomScaleNormal="100" zoomScaleSheetLayoutView="100" workbookViewId="0"/>
  </sheetViews>
  <sheetFormatPr defaultRowHeight="13" outlineLevelCol="1"/>
  <cols>
    <col min="1" max="1" width="2.90625" style="34" customWidth="1"/>
    <col min="2" max="2" width="3" style="34" customWidth="1"/>
    <col min="3" max="3" width="16.36328125" style="34" customWidth="1"/>
    <col min="4" max="4" width="22.7265625" style="34" customWidth="1"/>
    <col min="5" max="5" width="8" style="34" customWidth="1"/>
    <col min="6" max="6" width="6.08984375" style="234" bestFit="1" customWidth="1"/>
    <col min="7" max="7" width="12" style="234" customWidth="1"/>
    <col min="8" max="8" width="11.7265625" style="234" customWidth="1"/>
    <col min="9" max="9" width="8.08984375" style="234" customWidth="1"/>
    <col min="10" max="10" width="6.453125" style="234" customWidth="1"/>
    <col min="11" max="15" width="9" style="34" hidden="1" customWidth="1" outlineLevel="1"/>
    <col min="16" max="16" width="9" style="34" collapsed="1"/>
    <col min="17" max="257" width="9" style="34"/>
    <col min="258" max="258" width="2.90625" style="34" customWidth="1"/>
    <col min="259" max="259" width="3" style="34" customWidth="1"/>
    <col min="260" max="260" width="17.7265625" style="34" customWidth="1"/>
    <col min="261" max="261" width="22.6328125" style="34" customWidth="1"/>
    <col min="262" max="262" width="8" style="34" customWidth="1"/>
    <col min="263" max="263" width="6.08984375" style="34" bestFit="1" customWidth="1"/>
    <col min="264" max="264" width="7.90625" style="34" bestFit="1" customWidth="1"/>
    <col min="265" max="265" width="13.26953125" style="34" bestFit="1" customWidth="1"/>
    <col min="266" max="266" width="9" style="34" customWidth="1"/>
    <col min="267" max="513" width="9" style="34"/>
    <col min="514" max="514" width="2.90625" style="34" customWidth="1"/>
    <col min="515" max="515" width="3" style="34" customWidth="1"/>
    <col min="516" max="516" width="17.7265625" style="34" customWidth="1"/>
    <col min="517" max="517" width="22.6328125" style="34" customWidth="1"/>
    <col min="518" max="518" width="8" style="34" customWidth="1"/>
    <col min="519" max="519" width="6.08984375" style="34" bestFit="1" customWidth="1"/>
    <col min="520" max="520" width="7.90625" style="34" bestFit="1" customWidth="1"/>
    <col min="521" max="521" width="13.26953125" style="34" bestFit="1" customWidth="1"/>
    <col min="522" max="522" width="9" style="34" customWidth="1"/>
    <col min="523" max="769" width="9" style="34"/>
    <col min="770" max="770" width="2.90625" style="34" customWidth="1"/>
    <col min="771" max="771" width="3" style="34" customWidth="1"/>
    <col min="772" max="772" width="17.7265625" style="34" customWidth="1"/>
    <col min="773" max="773" width="22.6328125" style="34" customWidth="1"/>
    <col min="774" max="774" width="8" style="34" customWidth="1"/>
    <col min="775" max="775" width="6.08984375" style="34" bestFit="1" customWidth="1"/>
    <col min="776" max="776" width="7.90625" style="34" bestFit="1" customWidth="1"/>
    <col min="777" max="777" width="13.26953125" style="34" bestFit="1" customWidth="1"/>
    <col min="778" max="778" width="9" style="34" customWidth="1"/>
    <col min="779" max="1025" width="9" style="34"/>
    <col min="1026" max="1026" width="2.90625" style="34" customWidth="1"/>
    <col min="1027" max="1027" width="3" style="34" customWidth="1"/>
    <col min="1028" max="1028" width="17.7265625" style="34" customWidth="1"/>
    <col min="1029" max="1029" width="22.6328125" style="34" customWidth="1"/>
    <col min="1030" max="1030" width="8" style="34" customWidth="1"/>
    <col min="1031" max="1031" width="6.08984375" style="34" bestFit="1" customWidth="1"/>
    <col min="1032" max="1032" width="7.90625" style="34" bestFit="1" customWidth="1"/>
    <col min="1033" max="1033" width="13.26953125" style="34" bestFit="1" customWidth="1"/>
    <col min="1034" max="1034" width="9" style="34" customWidth="1"/>
    <col min="1035" max="1281" width="9" style="34"/>
    <col min="1282" max="1282" width="2.90625" style="34" customWidth="1"/>
    <col min="1283" max="1283" width="3" style="34" customWidth="1"/>
    <col min="1284" max="1284" width="17.7265625" style="34" customWidth="1"/>
    <col min="1285" max="1285" width="22.6328125" style="34" customWidth="1"/>
    <col min="1286" max="1286" width="8" style="34" customWidth="1"/>
    <col min="1287" max="1287" width="6.08984375" style="34" bestFit="1" customWidth="1"/>
    <col min="1288" max="1288" width="7.90625" style="34" bestFit="1" customWidth="1"/>
    <col min="1289" max="1289" width="13.26953125" style="34" bestFit="1" customWidth="1"/>
    <col min="1290" max="1290" width="9" style="34" customWidth="1"/>
    <col min="1291" max="1537" width="9" style="34"/>
    <col min="1538" max="1538" width="2.90625" style="34" customWidth="1"/>
    <col min="1539" max="1539" width="3" style="34" customWidth="1"/>
    <col min="1540" max="1540" width="17.7265625" style="34" customWidth="1"/>
    <col min="1541" max="1541" width="22.6328125" style="34" customWidth="1"/>
    <col min="1542" max="1542" width="8" style="34" customWidth="1"/>
    <col min="1543" max="1543" width="6.08984375" style="34" bestFit="1" customWidth="1"/>
    <col min="1544" max="1544" width="7.90625" style="34" bestFit="1" customWidth="1"/>
    <col min="1545" max="1545" width="13.26953125" style="34" bestFit="1" customWidth="1"/>
    <col min="1546" max="1546" width="9" style="34" customWidth="1"/>
    <col min="1547" max="1793" width="9" style="34"/>
    <col min="1794" max="1794" width="2.90625" style="34" customWidth="1"/>
    <col min="1795" max="1795" width="3" style="34" customWidth="1"/>
    <col min="1796" max="1796" width="17.7265625" style="34" customWidth="1"/>
    <col min="1797" max="1797" width="22.6328125" style="34" customWidth="1"/>
    <col min="1798" max="1798" width="8" style="34" customWidth="1"/>
    <col min="1799" max="1799" width="6.08984375" style="34" bestFit="1" customWidth="1"/>
    <col min="1800" max="1800" width="7.90625" style="34" bestFit="1" customWidth="1"/>
    <col min="1801" max="1801" width="13.26953125" style="34" bestFit="1" customWidth="1"/>
    <col min="1802" max="1802" width="9" style="34" customWidth="1"/>
    <col min="1803" max="2049" width="9" style="34"/>
    <col min="2050" max="2050" width="2.90625" style="34" customWidth="1"/>
    <col min="2051" max="2051" width="3" style="34" customWidth="1"/>
    <col min="2052" max="2052" width="17.7265625" style="34" customWidth="1"/>
    <col min="2053" max="2053" width="22.6328125" style="34" customWidth="1"/>
    <col min="2054" max="2054" width="8" style="34" customWidth="1"/>
    <col min="2055" max="2055" width="6.08984375" style="34" bestFit="1" customWidth="1"/>
    <col min="2056" max="2056" width="7.90625" style="34" bestFit="1" customWidth="1"/>
    <col min="2057" max="2057" width="13.26953125" style="34" bestFit="1" customWidth="1"/>
    <col min="2058" max="2058" width="9" style="34" customWidth="1"/>
    <col min="2059" max="2305" width="9" style="34"/>
    <col min="2306" max="2306" width="2.90625" style="34" customWidth="1"/>
    <col min="2307" max="2307" width="3" style="34" customWidth="1"/>
    <col min="2308" max="2308" width="17.7265625" style="34" customWidth="1"/>
    <col min="2309" max="2309" width="22.6328125" style="34" customWidth="1"/>
    <col min="2310" max="2310" width="8" style="34" customWidth="1"/>
    <col min="2311" max="2311" width="6.08984375" style="34" bestFit="1" customWidth="1"/>
    <col min="2312" max="2312" width="7.90625" style="34" bestFit="1" customWidth="1"/>
    <col min="2313" max="2313" width="13.26953125" style="34" bestFit="1" customWidth="1"/>
    <col min="2314" max="2314" width="9" style="34" customWidth="1"/>
    <col min="2315" max="2561" width="9" style="34"/>
    <col min="2562" max="2562" width="2.90625" style="34" customWidth="1"/>
    <col min="2563" max="2563" width="3" style="34" customWidth="1"/>
    <col min="2564" max="2564" width="17.7265625" style="34" customWidth="1"/>
    <col min="2565" max="2565" width="22.6328125" style="34" customWidth="1"/>
    <col min="2566" max="2566" width="8" style="34" customWidth="1"/>
    <col min="2567" max="2567" width="6.08984375" style="34" bestFit="1" customWidth="1"/>
    <col min="2568" max="2568" width="7.90625" style="34" bestFit="1" customWidth="1"/>
    <col min="2569" max="2569" width="13.26953125" style="34" bestFit="1" customWidth="1"/>
    <col min="2570" max="2570" width="9" style="34" customWidth="1"/>
    <col min="2571" max="2817" width="9" style="34"/>
    <col min="2818" max="2818" width="2.90625" style="34" customWidth="1"/>
    <col min="2819" max="2819" width="3" style="34" customWidth="1"/>
    <col min="2820" max="2820" width="17.7265625" style="34" customWidth="1"/>
    <col min="2821" max="2821" width="22.6328125" style="34" customWidth="1"/>
    <col min="2822" max="2822" width="8" style="34" customWidth="1"/>
    <col min="2823" max="2823" width="6.08984375" style="34" bestFit="1" customWidth="1"/>
    <col min="2824" max="2824" width="7.90625" style="34" bestFit="1" customWidth="1"/>
    <col min="2825" max="2825" width="13.26953125" style="34" bestFit="1" customWidth="1"/>
    <col min="2826" max="2826" width="9" style="34" customWidth="1"/>
    <col min="2827" max="3073" width="9" style="34"/>
    <col min="3074" max="3074" width="2.90625" style="34" customWidth="1"/>
    <col min="3075" max="3075" width="3" style="34" customWidth="1"/>
    <col min="3076" max="3076" width="17.7265625" style="34" customWidth="1"/>
    <col min="3077" max="3077" width="22.6328125" style="34" customWidth="1"/>
    <col min="3078" max="3078" width="8" style="34" customWidth="1"/>
    <col min="3079" max="3079" width="6.08984375" style="34" bestFit="1" customWidth="1"/>
    <col min="3080" max="3080" width="7.90625" style="34" bestFit="1" customWidth="1"/>
    <col min="3081" max="3081" width="13.26953125" style="34" bestFit="1" customWidth="1"/>
    <col min="3082" max="3082" width="9" style="34" customWidth="1"/>
    <col min="3083" max="3329" width="9" style="34"/>
    <col min="3330" max="3330" width="2.90625" style="34" customWidth="1"/>
    <col min="3331" max="3331" width="3" style="34" customWidth="1"/>
    <col min="3332" max="3332" width="17.7265625" style="34" customWidth="1"/>
    <col min="3333" max="3333" width="22.6328125" style="34" customWidth="1"/>
    <col min="3334" max="3334" width="8" style="34" customWidth="1"/>
    <col min="3335" max="3335" width="6.08984375" style="34" bestFit="1" customWidth="1"/>
    <col min="3336" max="3336" width="7.90625" style="34" bestFit="1" customWidth="1"/>
    <col min="3337" max="3337" width="13.26953125" style="34" bestFit="1" customWidth="1"/>
    <col min="3338" max="3338" width="9" style="34" customWidth="1"/>
    <col min="3339" max="3585" width="9" style="34"/>
    <col min="3586" max="3586" width="2.90625" style="34" customWidth="1"/>
    <col min="3587" max="3587" width="3" style="34" customWidth="1"/>
    <col min="3588" max="3588" width="17.7265625" style="34" customWidth="1"/>
    <col min="3589" max="3589" width="22.6328125" style="34" customWidth="1"/>
    <col min="3590" max="3590" width="8" style="34" customWidth="1"/>
    <col min="3591" max="3591" width="6.08984375" style="34" bestFit="1" customWidth="1"/>
    <col min="3592" max="3592" width="7.90625" style="34" bestFit="1" customWidth="1"/>
    <col min="3593" max="3593" width="13.26953125" style="34" bestFit="1" customWidth="1"/>
    <col min="3594" max="3594" width="9" style="34" customWidth="1"/>
    <col min="3595" max="3841" width="9" style="34"/>
    <col min="3842" max="3842" width="2.90625" style="34" customWidth="1"/>
    <col min="3843" max="3843" width="3" style="34" customWidth="1"/>
    <col min="3844" max="3844" width="17.7265625" style="34" customWidth="1"/>
    <col min="3845" max="3845" width="22.6328125" style="34" customWidth="1"/>
    <col min="3846" max="3846" width="8" style="34" customWidth="1"/>
    <col min="3847" max="3847" width="6.08984375" style="34" bestFit="1" customWidth="1"/>
    <col min="3848" max="3848" width="7.90625" style="34" bestFit="1" customWidth="1"/>
    <col min="3849" max="3849" width="13.26953125" style="34" bestFit="1" customWidth="1"/>
    <col min="3850" max="3850" width="9" style="34" customWidth="1"/>
    <col min="3851" max="4097" width="9" style="34"/>
    <col min="4098" max="4098" width="2.90625" style="34" customWidth="1"/>
    <col min="4099" max="4099" width="3" style="34" customWidth="1"/>
    <col min="4100" max="4100" width="17.7265625" style="34" customWidth="1"/>
    <col min="4101" max="4101" width="22.6328125" style="34" customWidth="1"/>
    <col min="4102" max="4102" width="8" style="34" customWidth="1"/>
    <col min="4103" max="4103" width="6.08984375" style="34" bestFit="1" customWidth="1"/>
    <col min="4104" max="4104" width="7.90625" style="34" bestFit="1" customWidth="1"/>
    <col min="4105" max="4105" width="13.26953125" style="34" bestFit="1" customWidth="1"/>
    <col min="4106" max="4106" width="9" style="34" customWidth="1"/>
    <col min="4107" max="4353" width="9" style="34"/>
    <col min="4354" max="4354" width="2.90625" style="34" customWidth="1"/>
    <col min="4355" max="4355" width="3" style="34" customWidth="1"/>
    <col min="4356" max="4356" width="17.7265625" style="34" customWidth="1"/>
    <col min="4357" max="4357" width="22.6328125" style="34" customWidth="1"/>
    <col min="4358" max="4358" width="8" style="34" customWidth="1"/>
    <col min="4359" max="4359" width="6.08984375" style="34" bestFit="1" customWidth="1"/>
    <col min="4360" max="4360" width="7.90625" style="34" bestFit="1" customWidth="1"/>
    <col min="4361" max="4361" width="13.26953125" style="34" bestFit="1" customWidth="1"/>
    <col min="4362" max="4362" width="9" style="34" customWidth="1"/>
    <col min="4363" max="4609" width="9" style="34"/>
    <col min="4610" max="4610" width="2.90625" style="34" customWidth="1"/>
    <col min="4611" max="4611" width="3" style="34" customWidth="1"/>
    <col min="4612" max="4612" width="17.7265625" style="34" customWidth="1"/>
    <col min="4613" max="4613" width="22.6328125" style="34" customWidth="1"/>
    <col min="4614" max="4614" width="8" style="34" customWidth="1"/>
    <col min="4615" max="4615" width="6.08984375" style="34" bestFit="1" customWidth="1"/>
    <col min="4616" max="4616" width="7.90625" style="34" bestFit="1" customWidth="1"/>
    <col min="4617" max="4617" width="13.26953125" style="34" bestFit="1" customWidth="1"/>
    <col min="4618" max="4618" width="9" style="34" customWidth="1"/>
    <col min="4619" max="4865" width="9" style="34"/>
    <col min="4866" max="4866" width="2.90625" style="34" customWidth="1"/>
    <col min="4867" max="4867" width="3" style="34" customWidth="1"/>
    <col min="4868" max="4868" width="17.7265625" style="34" customWidth="1"/>
    <col min="4869" max="4869" width="22.6328125" style="34" customWidth="1"/>
    <col min="4870" max="4870" width="8" style="34" customWidth="1"/>
    <col min="4871" max="4871" width="6.08984375" style="34" bestFit="1" customWidth="1"/>
    <col min="4872" max="4872" width="7.90625" style="34" bestFit="1" customWidth="1"/>
    <col min="4873" max="4873" width="13.26953125" style="34" bestFit="1" customWidth="1"/>
    <col min="4874" max="4874" width="9" style="34" customWidth="1"/>
    <col min="4875" max="5121" width="9" style="34"/>
    <col min="5122" max="5122" width="2.90625" style="34" customWidth="1"/>
    <col min="5123" max="5123" width="3" style="34" customWidth="1"/>
    <col min="5124" max="5124" width="17.7265625" style="34" customWidth="1"/>
    <col min="5125" max="5125" width="22.6328125" style="34" customWidth="1"/>
    <col min="5126" max="5126" width="8" style="34" customWidth="1"/>
    <col min="5127" max="5127" width="6.08984375" style="34" bestFit="1" customWidth="1"/>
    <col min="5128" max="5128" width="7.90625" style="34" bestFit="1" customWidth="1"/>
    <col min="5129" max="5129" width="13.26953125" style="34" bestFit="1" customWidth="1"/>
    <col min="5130" max="5130" width="9" style="34" customWidth="1"/>
    <col min="5131" max="5377" width="9" style="34"/>
    <col min="5378" max="5378" width="2.90625" style="34" customWidth="1"/>
    <col min="5379" max="5379" width="3" style="34" customWidth="1"/>
    <col min="5380" max="5380" width="17.7265625" style="34" customWidth="1"/>
    <col min="5381" max="5381" width="22.6328125" style="34" customWidth="1"/>
    <col min="5382" max="5382" width="8" style="34" customWidth="1"/>
    <col min="5383" max="5383" width="6.08984375" style="34" bestFit="1" customWidth="1"/>
    <col min="5384" max="5384" width="7.90625" style="34" bestFit="1" customWidth="1"/>
    <col min="5385" max="5385" width="13.26953125" style="34" bestFit="1" customWidth="1"/>
    <col min="5386" max="5386" width="9" style="34" customWidth="1"/>
    <col min="5387" max="5633" width="9" style="34"/>
    <col min="5634" max="5634" width="2.90625" style="34" customWidth="1"/>
    <col min="5635" max="5635" width="3" style="34" customWidth="1"/>
    <col min="5636" max="5636" width="17.7265625" style="34" customWidth="1"/>
    <col min="5637" max="5637" width="22.6328125" style="34" customWidth="1"/>
    <col min="5638" max="5638" width="8" style="34" customWidth="1"/>
    <col min="5639" max="5639" width="6.08984375" style="34" bestFit="1" customWidth="1"/>
    <col min="5640" max="5640" width="7.90625" style="34" bestFit="1" customWidth="1"/>
    <col min="5641" max="5641" width="13.26953125" style="34" bestFit="1" customWidth="1"/>
    <col min="5642" max="5642" width="9" style="34" customWidth="1"/>
    <col min="5643" max="5889" width="9" style="34"/>
    <col min="5890" max="5890" width="2.90625" style="34" customWidth="1"/>
    <col min="5891" max="5891" width="3" style="34" customWidth="1"/>
    <col min="5892" max="5892" width="17.7265625" style="34" customWidth="1"/>
    <col min="5893" max="5893" width="22.6328125" style="34" customWidth="1"/>
    <col min="5894" max="5894" width="8" style="34" customWidth="1"/>
    <col min="5895" max="5895" width="6.08984375" style="34" bestFit="1" customWidth="1"/>
    <col min="5896" max="5896" width="7.90625" style="34" bestFit="1" customWidth="1"/>
    <col min="5897" max="5897" width="13.26953125" style="34" bestFit="1" customWidth="1"/>
    <col min="5898" max="5898" width="9" style="34" customWidth="1"/>
    <col min="5899" max="6145" width="9" style="34"/>
    <col min="6146" max="6146" width="2.90625" style="34" customWidth="1"/>
    <col min="6147" max="6147" width="3" style="34" customWidth="1"/>
    <col min="6148" max="6148" width="17.7265625" style="34" customWidth="1"/>
    <col min="6149" max="6149" width="22.6328125" style="34" customWidth="1"/>
    <col min="6150" max="6150" width="8" style="34" customWidth="1"/>
    <col min="6151" max="6151" width="6.08984375" style="34" bestFit="1" customWidth="1"/>
    <col min="6152" max="6152" width="7.90625" style="34" bestFit="1" customWidth="1"/>
    <col min="6153" max="6153" width="13.26953125" style="34" bestFit="1" customWidth="1"/>
    <col min="6154" max="6154" width="9" style="34" customWidth="1"/>
    <col min="6155" max="6401" width="9" style="34"/>
    <col min="6402" max="6402" width="2.90625" style="34" customWidth="1"/>
    <col min="6403" max="6403" width="3" style="34" customWidth="1"/>
    <col min="6404" max="6404" width="17.7265625" style="34" customWidth="1"/>
    <col min="6405" max="6405" width="22.6328125" style="34" customWidth="1"/>
    <col min="6406" max="6406" width="8" style="34" customWidth="1"/>
    <col min="6407" max="6407" width="6.08984375" style="34" bestFit="1" customWidth="1"/>
    <col min="6408" max="6408" width="7.90625" style="34" bestFit="1" customWidth="1"/>
    <col min="6409" max="6409" width="13.26953125" style="34" bestFit="1" customWidth="1"/>
    <col min="6410" max="6410" width="9" style="34" customWidth="1"/>
    <col min="6411" max="6657" width="9" style="34"/>
    <col min="6658" max="6658" width="2.90625" style="34" customWidth="1"/>
    <col min="6659" max="6659" width="3" style="34" customWidth="1"/>
    <col min="6660" max="6660" width="17.7265625" style="34" customWidth="1"/>
    <col min="6661" max="6661" width="22.6328125" style="34" customWidth="1"/>
    <col min="6662" max="6662" width="8" style="34" customWidth="1"/>
    <col min="6663" max="6663" width="6.08984375" style="34" bestFit="1" customWidth="1"/>
    <col min="6664" max="6664" width="7.90625" style="34" bestFit="1" customWidth="1"/>
    <col min="6665" max="6665" width="13.26953125" style="34" bestFit="1" customWidth="1"/>
    <col min="6666" max="6666" width="9" style="34" customWidth="1"/>
    <col min="6667" max="6913" width="9" style="34"/>
    <col min="6914" max="6914" width="2.90625" style="34" customWidth="1"/>
    <col min="6915" max="6915" width="3" style="34" customWidth="1"/>
    <col min="6916" max="6916" width="17.7265625" style="34" customWidth="1"/>
    <col min="6917" max="6917" width="22.6328125" style="34" customWidth="1"/>
    <col min="6918" max="6918" width="8" style="34" customWidth="1"/>
    <col min="6919" max="6919" width="6.08984375" style="34" bestFit="1" customWidth="1"/>
    <col min="6920" max="6920" width="7.90625" style="34" bestFit="1" customWidth="1"/>
    <col min="6921" max="6921" width="13.26953125" style="34" bestFit="1" customWidth="1"/>
    <col min="6922" max="6922" width="9" style="34" customWidth="1"/>
    <col min="6923" max="7169" width="9" style="34"/>
    <col min="7170" max="7170" width="2.90625" style="34" customWidth="1"/>
    <col min="7171" max="7171" width="3" style="34" customWidth="1"/>
    <col min="7172" max="7172" width="17.7265625" style="34" customWidth="1"/>
    <col min="7173" max="7173" width="22.6328125" style="34" customWidth="1"/>
    <col min="7174" max="7174" width="8" style="34" customWidth="1"/>
    <col min="7175" max="7175" width="6.08984375" style="34" bestFit="1" customWidth="1"/>
    <col min="7176" max="7176" width="7.90625" style="34" bestFit="1" customWidth="1"/>
    <col min="7177" max="7177" width="13.26953125" style="34" bestFit="1" customWidth="1"/>
    <col min="7178" max="7178" width="9" style="34" customWidth="1"/>
    <col min="7179" max="7425" width="9" style="34"/>
    <col min="7426" max="7426" width="2.90625" style="34" customWidth="1"/>
    <col min="7427" max="7427" width="3" style="34" customWidth="1"/>
    <col min="7428" max="7428" width="17.7265625" style="34" customWidth="1"/>
    <col min="7429" max="7429" width="22.6328125" style="34" customWidth="1"/>
    <col min="7430" max="7430" width="8" style="34" customWidth="1"/>
    <col min="7431" max="7431" width="6.08984375" style="34" bestFit="1" customWidth="1"/>
    <col min="7432" max="7432" width="7.90625" style="34" bestFit="1" customWidth="1"/>
    <col min="7433" max="7433" width="13.26953125" style="34" bestFit="1" customWidth="1"/>
    <col min="7434" max="7434" width="9" style="34" customWidth="1"/>
    <col min="7435" max="7681" width="9" style="34"/>
    <col min="7682" max="7682" width="2.90625" style="34" customWidth="1"/>
    <col min="7683" max="7683" width="3" style="34" customWidth="1"/>
    <col min="7684" max="7684" width="17.7265625" style="34" customWidth="1"/>
    <col min="7685" max="7685" width="22.6328125" style="34" customWidth="1"/>
    <col min="7686" max="7686" width="8" style="34" customWidth="1"/>
    <col min="7687" max="7687" width="6.08984375" style="34" bestFit="1" customWidth="1"/>
    <col min="7688" max="7688" width="7.90625" style="34" bestFit="1" customWidth="1"/>
    <col min="7689" max="7689" width="13.26953125" style="34" bestFit="1" customWidth="1"/>
    <col min="7690" max="7690" width="9" style="34" customWidth="1"/>
    <col min="7691" max="7937" width="9" style="34"/>
    <col min="7938" max="7938" width="2.90625" style="34" customWidth="1"/>
    <col min="7939" max="7939" width="3" style="34" customWidth="1"/>
    <col min="7940" max="7940" width="17.7265625" style="34" customWidth="1"/>
    <col min="7941" max="7941" width="22.6328125" style="34" customWidth="1"/>
    <col min="7942" max="7942" width="8" style="34" customWidth="1"/>
    <col min="7943" max="7943" width="6.08984375" style="34" bestFit="1" customWidth="1"/>
    <col min="7944" max="7944" width="7.90625" style="34" bestFit="1" customWidth="1"/>
    <col min="7945" max="7945" width="13.26953125" style="34" bestFit="1" customWidth="1"/>
    <col min="7946" max="7946" width="9" style="34" customWidth="1"/>
    <col min="7947" max="8193" width="9" style="34"/>
    <col min="8194" max="8194" width="2.90625" style="34" customWidth="1"/>
    <col min="8195" max="8195" width="3" style="34" customWidth="1"/>
    <col min="8196" max="8196" width="17.7265625" style="34" customWidth="1"/>
    <col min="8197" max="8197" width="22.6328125" style="34" customWidth="1"/>
    <col min="8198" max="8198" width="8" style="34" customWidth="1"/>
    <col min="8199" max="8199" width="6.08984375" style="34" bestFit="1" customWidth="1"/>
    <col min="8200" max="8200" width="7.90625" style="34" bestFit="1" customWidth="1"/>
    <col min="8201" max="8201" width="13.26953125" style="34" bestFit="1" customWidth="1"/>
    <col min="8202" max="8202" width="9" style="34" customWidth="1"/>
    <col min="8203" max="8449" width="9" style="34"/>
    <col min="8450" max="8450" width="2.90625" style="34" customWidth="1"/>
    <col min="8451" max="8451" width="3" style="34" customWidth="1"/>
    <col min="8452" max="8452" width="17.7265625" style="34" customWidth="1"/>
    <col min="8453" max="8453" width="22.6328125" style="34" customWidth="1"/>
    <col min="8454" max="8454" width="8" style="34" customWidth="1"/>
    <col min="8455" max="8455" width="6.08984375" style="34" bestFit="1" customWidth="1"/>
    <col min="8456" max="8456" width="7.90625" style="34" bestFit="1" customWidth="1"/>
    <col min="8457" max="8457" width="13.26953125" style="34" bestFit="1" customWidth="1"/>
    <col min="8458" max="8458" width="9" style="34" customWidth="1"/>
    <col min="8459" max="8705" width="9" style="34"/>
    <col min="8706" max="8706" width="2.90625" style="34" customWidth="1"/>
    <col min="8707" max="8707" width="3" style="34" customWidth="1"/>
    <col min="8708" max="8708" width="17.7265625" style="34" customWidth="1"/>
    <col min="8709" max="8709" width="22.6328125" style="34" customWidth="1"/>
    <col min="8710" max="8710" width="8" style="34" customWidth="1"/>
    <col min="8711" max="8711" width="6.08984375" style="34" bestFit="1" customWidth="1"/>
    <col min="8712" max="8712" width="7.90625" style="34" bestFit="1" customWidth="1"/>
    <col min="8713" max="8713" width="13.26953125" style="34" bestFit="1" customWidth="1"/>
    <col min="8714" max="8714" width="9" style="34" customWidth="1"/>
    <col min="8715" max="8961" width="9" style="34"/>
    <col min="8962" max="8962" width="2.90625" style="34" customWidth="1"/>
    <col min="8963" max="8963" width="3" style="34" customWidth="1"/>
    <col min="8964" max="8964" width="17.7265625" style="34" customWidth="1"/>
    <col min="8965" max="8965" width="22.6328125" style="34" customWidth="1"/>
    <col min="8966" max="8966" width="8" style="34" customWidth="1"/>
    <col min="8967" max="8967" width="6.08984375" style="34" bestFit="1" customWidth="1"/>
    <col min="8968" max="8968" width="7.90625" style="34" bestFit="1" customWidth="1"/>
    <col min="8969" max="8969" width="13.26953125" style="34" bestFit="1" customWidth="1"/>
    <col min="8970" max="8970" width="9" style="34" customWidth="1"/>
    <col min="8971" max="9217" width="9" style="34"/>
    <col min="9218" max="9218" width="2.90625" style="34" customWidth="1"/>
    <col min="9219" max="9219" width="3" style="34" customWidth="1"/>
    <col min="9220" max="9220" width="17.7265625" style="34" customWidth="1"/>
    <col min="9221" max="9221" width="22.6328125" style="34" customWidth="1"/>
    <col min="9222" max="9222" width="8" style="34" customWidth="1"/>
    <col min="9223" max="9223" width="6.08984375" style="34" bestFit="1" customWidth="1"/>
    <col min="9224" max="9224" width="7.90625" style="34" bestFit="1" customWidth="1"/>
    <col min="9225" max="9225" width="13.26953125" style="34" bestFit="1" customWidth="1"/>
    <col min="9226" max="9226" width="9" style="34" customWidth="1"/>
    <col min="9227" max="9473" width="9" style="34"/>
    <col min="9474" max="9474" width="2.90625" style="34" customWidth="1"/>
    <col min="9475" max="9475" width="3" style="34" customWidth="1"/>
    <col min="9476" max="9476" width="17.7265625" style="34" customWidth="1"/>
    <col min="9477" max="9477" width="22.6328125" style="34" customWidth="1"/>
    <col min="9478" max="9478" width="8" style="34" customWidth="1"/>
    <col min="9479" max="9479" width="6.08984375" style="34" bestFit="1" customWidth="1"/>
    <col min="9480" max="9480" width="7.90625" style="34" bestFit="1" customWidth="1"/>
    <col min="9481" max="9481" width="13.26953125" style="34" bestFit="1" customWidth="1"/>
    <col min="9482" max="9482" width="9" style="34" customWidth="1"/>
    <col min="9483" max="9729" width="9" style="34"/>
    <col min="9730" max="9730" width="2.90625" style="34" customWidth="1"/>
    <col min="9731" max="9731" width="3" style="34" customWidth="1"/>
    <col min="9732" max="9732" width="17.7265625" style="34" customWidth="1"/>
    <col min="9733" max="9733" width="22.6328125" style="34" customWidth="1"/>
    <col min="9734" max="9734" width="8" style="34" customWidth="1"/>
    <col min="9735" max="9735" width="6.08984375" style="34" bestFit="1" customWidth="1"/>
    <col min="9736" max="9736" width="7.90625" style="34" bestFit="1" customWidth="1"/>
    <col min="9737" max="9737" width="13.26953125" style="34" bestFit="1" customWidth="1"/>
    <col min="9738" max="9738" width="9" style="34" customWidth="1"/>
    <col min="9739" max="9985" width="9" style="34"/>
    <col min="9986" max="9986" width="2.90625" style="34" customWidth="1"/>
    <col min="9987" max="9987" width="3" style="34" customWidth="1"/>
    <col min="9988" max="9988" width="17.7265625" style="34" customWidth="1"/>
    <col min="9989" max="9989" width="22.6328125" style="34" customWidth="1"/>
    <col min="9990" max="9990" width="8" style="34" customWidth="1"/>
    <col min="9991" max="9991" width="6.08984375" style="34" bestFit="1" customWidth="1"/>
    <col min="9992" max="9992" width="7.90625" style="34" bestFit="1" customWidth="1"/>
    <col min="9993" max="9993" width="13.26953125" style="34" bestFit="1" customWidth="1"/>
    <col min="9994" max="9994" width="9" style="34" customWidth="1"/>
    <col min="9995" max="10241" width="9" style="34"/>
    <col min="10242" max="10242" width="2.90625" style="34" customWidth="1"/>
    <col min="10243" max="10243" width="3" style="34" customWidth="1"/>
    <col min="10244" max="10244" width="17.7265625" style="34" customWidth="1"/>
    <col min="10245" max="10245" width="22.6328125" style="34" customWidth="1"/>
    <col min="10246" max="10246" width="8" style="34" customWidth="1"/>
    <col min="10247" max="10247" width="6.08984375" style="34" bestFit="1" customWidth="1"/>
    <col min="10248" max="10248" width="7.90625" style="34" bestFit="1" customWidth="1"/>
    <col min="10249" max="10249" width="13.26953125" style="34" bestFit="1" customWidth="1"/>
    <col min="10250" max="10250" width="9" style="34" customWidth="1"/>
    <col min="10251" max="10497" width="9" style="34"/>
    <col min="10498" max="10498" width="2.90625" style="34" customWidth="1"/>
    <col min="10499" max="10499" width="3" style="34" customWidth="1"/>
    <col min="10500" max="10500" width="17.7265625" style="34" customWidth="1"/>
    <col min="10501" max="10501" width="22.6328125" style="34" customWidth="1"/>
    <col min="10502" max="10502" width="8" style="34" customWidth="1"/>
    <col min="10503" max="10503" width="6.08984375" style="34" bestFit="1" customWidth="1"/>
    <col min="10504" max="10504" width="7.90625" style="34" bestFit="1" customWidth="1"/>
    <col min="10505" max="10505" width="13.26953125" style="34" bestFit="1" customWidth="1"/>
    <col min="10506" max="10506" width="9" style="34" customWidth="1"/>
    <col min="10507" max="10753" width="9" style="34"/>
    <col min="10754" max="10754" width="2.90625" style="34" customWidth="1"/>
    <col min="10755" max="10755" width="3" style="34" customWidth="1"/>
    <col min="10756" max="10756" width="17.7265625" style="34" customWidth="1"/>
    <col min="10757" max="10757" width="22.6328125" style="34" customWidth="1"/>
    <col min="10758" max="10758" width="8" style="34" customWidth="1"/>
    <col min="10759" max="10759" width="6.08984375" style="34" bestFit="1" customWidth="1"/>
    <col min="10760" max="10760" width="7.90625" style="34" bestFit="1" customWidth="1"/>
    <col min="10761" max="10761" width="13.26953125" style="34" bestFit="1" customWidth="1"/>
    <col min="10762" max="10762" width="9" style="34" customWidth="1"/>
    <col min="10763" max="11009" width="9" style="34"/>
    <col min="11010" max="11010" width="2.90625" style="34" customWidth="1"/>
    <col min="11011" max="11011" width="3" style="34" customWidth="1"/>
    <col min="11012" max="11012" width="17.7265625" style="34" customWidth="1"/>
    <col min="11013" max="11013" width="22.6328125" style="34" customWidth="1"/>
    <col min="11014" max="11014" width="8" style="34" customWidth="1"/>
    <col min="11015" max="11015" width="6.08984375" style="34" bestFit="1" customWidth="1"/>
    <col min="11016" max="11016" width="7.90625" style="34" bestFit="1" customWidth="1"/>
    <col min="11017" max="11017" width="13.26953125" style="34" bestFit="1" customWidth="1"/>
    <col min="11018" max="11018" width="9" style="34" customWidth="1"/>
    <col min="11019" max="11265" width="9" style="34"/>
    <col min="11266" max="11266" width="2.90625" style="34" customWidth="1"/>
    <col min="11267" max="11267" width="3" style="34" customWidth="1"/>
    <col min="11268" max="11268" width="17.7265625" style="34" customWidth="1"/>
    <col min="11269" max="11269" width="22.6328125" style="34" customWidth="1"/>
    <col min="11270" max="11270" width="8" style="34" customWidth="1"/>
    <col min="11271" max="11271" width="6.08984375" style="34" bestFit="1" customWidth="1"/>
    <col min="11272" max="11272" width="7.90625" style="34" bestFit="1" customWidth="1"/>
    <col min="11273" max="11273" width="13.26953125" style="34" bestFit="1" customWidth="1"/>
    <col min="11274" max="11274" width="9" style="34" customWidth="1"/>
    <col min="11275" max="11521" width="9" style="34"/>
    <col min="11522" max="11522" width="2.90625" style="34" customWidth="1"/>
    <col min="11523" max="11523" width="3" style="34" customWidth="1"/>
    <col min="11524" max="11524" width="17.7265625" style="34" customWidth="1"/>
    <col min="11525" max="11525" width="22.6328125" style="34" customWidth="1"/>
    <col min="11526" max="11526" width="8" style="34" customWidth="1"/>
    <col min="11527" max="11527" width="6.08984375" style="34" bestFit="1" customWidth="1"/>
    <col min="11528" max="11528" width="7.90625" style="34" bestFit="1" customWidth="1"/>
    <col min="11529" max="11529" width="13.26953125" style="34" bestFit="1" customWidth="1"/>
    <col min="11530" max="11530" width="9" style="34" customWidth="1"/>
    <col min="11531" max="11777" width="9" style="34"/>
    <col min="11778" max="11778" width="2.90625" style="34" customWidth="1"/>
    <col min="11779" max="11779" width="3" style="34" customWidth="1"/>
    <col min="11780" max="11780" width="17.7265625" style="34" customWidth="1"/>
    <col min="11781" max="11781" width="22.6328125" style="34" customWidth="1"/>
    <col min="11782" max="11782" width="8" style="34" customWidth="1"/>
    <col min="11783" max="11783" width="6.08984375" style="34" bestFit="1" customWidth="1"/>
    <col min="11784" max="11784" width="7.90625" style="34" bestFit="1" customWidth="1"/>
    <col min="11785" max="11785" width="13.26953125" style="34" bestFit="1" customWidth="1"/>
    <col min="11786" max="11786" width="9" style="34" customWidth="1"/>
    <col min="11787" max="12033" width="9" style="34"/>
    <col min="12034" max="12034" width="2.90625" style="34" customWidth="1"/>
    <col min="12035" max="12035" width="3" style="34" customWidth="1"/>
    <col min="12036" max="12036" width="17.7265625" style="34" customWidth="1"/>
    <col min="12037" max="12037" width="22.6328125" style="34" customWidth="1"/>
    <col min="12038" max="12038" width="8" style="34" customWidth="1"/>
    <col min="12039" max="12039" width="6.08984375" style="34" bestFit="1" customWidth="1"/>
    <col min="12040" max="12040" width="7.90625" style="34" bestFit="1" customWidth="1"/>
    <col min="12041" max="12041" width="13.26953125" style="34" bestFit="1" customWidth="1"/>
    <col min="12042" max="12042" width="9" style="34" customWidth="1"/>
    <col min="12043" max="12289" width="9" style="34"/>
    <col min="12290" max="12290" width="2.90625" style="34" customWidth="1"/>
    <col min="12291" max="12291" width="3" style="34" customWidth="1"/>
    <col min="12292" max="12292" width="17.7265625" style="34" customWidth="1"/>
    <col min="12293" max="12293" width="22.6328125" style="34" customWidth="1"/>
    <col min="12294" max="12294" width="8" style="34" customWidth="1"/>
    <col min="12295" max="12295" width="6.08984375" style="34" bestFit="1" customWidth="1"/>
    <col min="12296" max="12296" width="7.90625" style="34" bestFit="1" customWidth="1"/>
    <col min="12297" max="12297" width="13.26953125" style="34" bestFit="1" customWidth="1"/>
    <col min="12298" max="12298" width="9" style="34" customWidth="1"/>
    <col min="12299" max="12545" width="9" style="34"/>
    <col min="12546" max="12546" width="2.90625" style="34" customWidth="1"/>
    <col min="12547" max="12547" width="3" style="34" customWidth="1"/>
    <col min="12548" max="12548" width="17.7265625" style="34" customWidth="1"/>
    <col min="12549" max="12549" width="22.6328125" style="34" customWidth="1"/>
    <col min="12550" max="12550" width="8" style="34" customWidth="1"/>
    <col min="12551" max="12551" width="6.08984375" style="34" bestFit="1" customWidth="1"/>
    <col min="12552" max="12552" width="7.90625" style="34" bestFit="1" customWidth="1"/>
    <col min="12553" max="12553" width="13.26953125" style="34" bestFit="1" customWidth="1"/>
    <col min="12554" max="12554" width="9" style="34" customWidth="1"/>
    <col min="12555" max="12801" width="9" style="34"/>
    <col min="12802" max="12802" width="2.90625" style="34" customWidth="1"/>
    <col min="12803" max="12803" width="3" style="34" customWidth="1"/>
    <col min="12804" max="12804" width="17.7265625" style="34" customWidth="1"/>
    <col min="12805" max="12805" width="22.6328125" style="34" customWidth="1"/>
    <col min="12806" max="12806" width="8" style="34" customWidth="1"/>
    <col min="12807" max="12807" width="6.08984375" style="34" bestFit="1" customWidth="1"/>
    <col min="12808" max="12808" width="7.90625" style="34" bestFit="1" customWidth="1"/>
    <col min="12809" max="12809" width="13.26953125" style="34" bestFit="1" customWidth="1"/>
    <col min="12810" max="12810" width="9" style="34" customWidth="1"/>
    <col min="12811" max="13057" width="9" style="34"/>
    <col min="13058" max="13058" width="2.90625" style="34" customWidth="1"/>
    <col min="13059" max="13059" width="3" style="34" customWidth="1"/>
    <col min="13060" max="13060" width="17.7265625" style="34" customWidth="1"/>
    <col min="13061" max="13061" width="22.6328125" style="34" customWidth="1"/>
    <col min="13062" max="13062" width="8" style="34" customWidth="1"/>
    <col min="13063" max="13063" width="6.08984375" style="34" bestFit="1" customWidth="1"/>
    <col min="13064" max="13064" width="7.90625" style="34" bestFit="1" customWidth="1"/>
    <col min="13065" max="13065" width="13.26953125" style="34" bestFit="1" customWidth="1"/>
    <col min="13066" max="13066" width="9" style="34" customWidth="1"/>
    <col min="13067" max="13313" width="9" style="34"/>
    <col min="13314" max="13314" width="2.90625" style="34" customWidth="1"/>
    <col min="13315" max="13315" width="3" style="34" customWidth="1"/>
    <col min="13316" max="13316" width="17.7265625" style="34" customWidth="1"/>
    <col min="13317" max="13317" width="22.6328125" style="34" customWidth="1"/>
    <col min="13318" max="13318" width="8" style="34" customWidth="1"/>
    <col min="13319" max="13319" width="6.08984375" style="34" bestFit="1" customWidth="1"/>
    <col min="13320" max="13320" width="7.90625" style="34" bestFit="1" customWidth="1"/>
    <col min="13321" max="13321" width="13.26953125" style="34" bestFit="1" customWidth="1"/>
    <col min="13322" max="13322" width="9" style="34" customWidth="1"/>
    <col min="13323" max="13569" width="9" style="34"/>
    <col min="13570" max="13570" width="2.90625" style="34" customWidth="1"/>
    <col min="13571" max="13571" width="3" style="34" customWidth="1"/>
    <col min="13572" max="13572" width="17.7265625" style="34" customWidth="1"/>
    <col min="13573" max="13573" width="22.6328125" style="34" customWidth="1"/>
    <col min="13574" max="13574" width="8" style="34" customWidth="1"/>
    <col min="13575" max="13575" width="6.08984375" style="34" bestFit="1" customWidth="1"/>
    <col min="13576" max="13576" width="7.90625" style="34" bestFit="1" customWidth="1"/>
    <col min="13577" max="13577" width="13.26953125" style="34" bestFit="1" customWidth="1"/>
    <col min="13578" max="13578" width="9" style="34" customWidth="1"/>
    <col min="13579" max="13825" width="9" style="34"/>
    <col min="13826" max="13826" width="2.90625" style="34" customWidth="1"/>
    <col min="13827" max="13827" width="3" style="34" customWidth="1"/>
    <col min="13828" max="13828" width="17.7265625" style="34" customWidth="1"/>
    <col min="13829" max="13829" width="22.6328125" style="34" customWidth="1"/>
    <col min="13830" max="13830" width="8" style="34" customWidth="1"/>
    <col min="13831" max="13831" width="6.08984375" style="34" bestFit="1" customWidth="1"/>
    <col min="13832" max="13832" width="7.90625" style="34" bestFit="1" customWidth="1"/>
    <col min="13833" max="13833" width="13.26953125" style="34" bestFit="1" customWidth="1"/>
    <col min="13834" max="13834" width="9" style="34" customWidth="1"/>
    <col min="13835" max="14081" width="9" style="34"/>
    <col min="14082" max="14082" width="2.90625" style="34" customWidth="1"/>
    <col min="14083" max="14083" width="3" style="34" customWidth="1"/>
    <col min="14084" max="14084" width="17.7265625" style="34" customWidth="1"/>
    <col min="14085" max="14085" width="22.6328125" style="34" customWidth="1"/>
    <col min="14086" max="14086" width="8" style="34" customWidth="1"/>
    <col min="14087" max="14087" width="6.08984375" style="34" bestFit="1" customWidth="1"/>
    <col min="14088" max="14088" width="7.90625" style="34" bestFit="1" customWidth="1"/>
    <col min="14089" max="14089" width="13.26953125" style="34" bestFit="1" customWidth="1"/>
    <col min="14090" max="14090" width="9" style="34" customWidth="1"/>
    <col min="14091" max="14337" width="9" style="34"/>
    <col min="14338" max="14338" width="2.90625" style="34" customWidth="1"/>
    <col min="14339" max="14339" width="3" style="34" customWidth="1"/>
    <col min="14340" max="14340" width="17.7265625" style="34" customWidth="1"/>
    <col min="14341" max="14341" width="22.6328125" style="34" customWidth="1"/>
    <col min="14342" max="14342" width="8" style="34" customWidth="1"/>
    <col min="14343" max="14343" width="6.08984375" style="34" bestFit="1" customWidth="1"/>
    <col min="14344" max="14344" width="7.90625" style="34" bestFit="1" customWidth="1"/>
    <col min="14345" max="14345" width="13.26953125" style="34" bestFit="1" customWidth="1"/>
    <col min="14346" max="14346" width="9" style="34" customWidth="1"/>
    <col min="14347" max="14593" width="9" style="34"/>
    <col min="14594" max="14594" width="2.90625" style="34" customWidth="1"/>
    <col min="14595" max="14595" width="3" style="34" customWidth="1"/>
    <col min="14596" max="14596" width="17.7265625" style="34" customWidth="1"/>
    <col min="14597" max="14597" width="22.6328125" style="34" customWidth="1"/>
    <col min="14598" max="14598" width="8" style="34" customWidth="1"/>
    <col min="14599" max="14599" width="6.08984375" style="34" bestFit="1" customWidth="1"/>
    <col min="14600" max="14600" width="7.90625" style="34" bestFit="1" customWidth="1"/>
    <col min="14601" max="14601" width="13.26953125" style="34" bestFit="1" customWidth="1"/>
    <col min="14602" max="14602" width="9" style="34" customWidth="1"/>
    <col min="14603" max="14849" width="9" style="34"/>
    <col min="14850" max="14850" width="2.90625" style="34" customWidth="1"/>
    <col min="14851" max="14851" width="3" style="34" customWidth="1"/>
    <col min="14852" max="14852" width="17.7265625" style="34" customWidth="1"/>
    <col min="14853" max="14853" width="22.6328125" style="34" customWidth="1"/>
    <col min="14854" max="14854" width="8" style="34" customWidth="1"/>
    <col min="14855" max="14855" width="6.08984375" style="34" bestFit="1" customWidth="1"/>
    <col min="14856" max="14856" width="7.90625" style="34" bestFit="1" customWidth="1"/>
    <col min="14857" max="14857" width="13.26953125" style="34" bestFit="1" customWidth="1"/>
    <col min="14858" max="14858" width="9" style="34" customWidth="1"/>
    <col min="14859" max="15105" width="9" style="34"/>
    <col min="15106" max="15106" width="2.90625" style="34" customWidth="1"/>
    <col min="15107" max="15107" width="3" style="34" customWidth="1"/>
    <col min="15108" max="15108" width="17.7265625" style="34" customWidth="1"/>
    <col min="15109" max="15109" width="22.6328125" style="34" customWidth="1"/>
    <col min="15110" max="15110" width="8" style="34" customWidth="1"/>
    <col min="15111" max="15111" width="6.08984375" style="34" bestFit="1" customWidth="1"/>
    <col min="15112" max="15112" width="7.90625" style="34" bestFit="1" customWidth="1"/>
    <col min="15113" max="15113" width="13.26953125" style="34" bestFit="1" customWidth="1"/>
    <col min="15114" max="15114" width="9" style="34" customWidth="1"/>
    <col min="15115" max="15361" width="9" style="34"/>
    <col min="15362" max="15362" width="2.90625" style="34" customWidth="1"/>
    <col min="15363" max="15363" width="3" style="34" customWidth="1"/>
    <col min="15364" max="15364" width="17.7265625" style="34" customWidth="1"/>
    <col min="15365" max="15365" width="22.6328125" style="34" customWidth="1"/>
    <col min="15366" max="15366" width="8" style="34" customWidth="1"/>
    <col min="15367" max="15367" width="6.08984375" style="34" bestFit="1" customWidth="1"/>
    <col min="15368" max="15368" width="7.90625" style="34" bestFit="1" customWidth="1"/>
    <col min="15369" max="15369" width="13.26953125" style="34" bestFit="1" customWidth="1"/>
    <col min="15370" max="15370" width="9" style="34" customWidth="1"/>
    <col min="15371" max="15617" width="9" style="34"/>
    <col min="15618" max="15618" width="2.90625" style="34" customWidth="1"/>
    <col min="15619" max="15619" width="3" style="34" customWidth="1"/>
    <col min="15620" max="15620" width="17.7265625" style="34" customWidth="1"/>
    <col min="15621" max="15621" width="22.6328125" style="34" customWidth="1"/>
    <col min="15622" max="15622" width="8" style="34" customWidth="1"/>
    <col min="15623" max="15623" width="6.08984375" style="34" bestFit="1" customWidth="1"/>
    <col min="15624" max="15624" width="7.90625" style="34" bestFit="1" customWidth="1"/>
    <col min="15625" max="15625" width="13.26953125" style="34" bestFit="1" customWidth="1"/>
    <col min="15626" max="15626" width="9" style="34" customWidth="1"/>
    <col min="15627" max="15873" width="9" style="34"/>
    <col min="15874" max="15874" width="2.90625" style="34" customWidth="1"/>
    <col min="15875" max="15875" width="3" style="34" customWidth="1"/>
    <col min="15876" max="15876" width="17.7265625" style="34" customWidth="1"/>
    <col min="15877" max="15877" width="22.6328125" style="34" customWidth="1"/>
    <col min="15878" max="15878" width="8" style="34" customWidth="1"/>
    <col min="15879" max="15879" width="6.08984375" style="34" bestFit="1" customWidth="1"/>
    <col min="15880" max="15880" width="7.90625" style="34" bestFit="1" customWidth="1"/>
    <col min="15881" max="15881" width="13.26953125" style="34" bestFit="1" customWidth="1"/>
    <col min="15882" max="15882" width="9" style="34" customWidth="1"/>
    <col min="15883" max="16129" width="9" style="34"/>
    <col min="16130" max="16130" width="2.90625" style="34" customWidth="1"/>
    <col min="16131" max="16131" width="3" style="34" customWidth="1"/>
    <col min="16132" max="16132" width="17.7265625" style="34" customWidth="1"/>
    <col min="16133" max="16133" width="22.6328125" style="34" customWidth="1"/>
    <col min="16134" max="16134" width="8" style="34" customWidth="1"/>
    <col min="16135" max="16135" width="6.08984375" style="34" bestFit="1" customWidth="1"/>
    <col min="16136" max="16136" width="7.90625" style="34" bestFit="1" customWidth="1"/>
    <col min="16137" max="16137" width="13.26953125" style="34" bestFit="1" customWidth="1"/>
    <col min="16138" max="16138" width="9" style="34" customWidth="1"/>
    <col min="16139" max="16384" width="9" style="34"/>
  </cols>
  <sheetData>
    <row r="1" spans="1:13" ht="23.25" customHeight="1">
      <c r="A1" s="36" t="s">
        <v>380</v>
      </c>
      <c r="B1" s="36"/>
      <c r="C1" s="36"/>
      <c r="D1" s="36"/>
      <c r="E1" s="36"/>
      <c r="F1" s="168"/>
      <c r="G1" s="168"/>
      <c r="H1" s="1176" t="e">
        <f>CONCATENATE(#REF!,"/",#REF!,"/",#REF!)</f>
        <v>#REF!</v>
      </c>
      <c r="I1" s="1176"/>
      <c r="J1" s="705"/>
      <c r="L1" s="35" t="s">
        <v>82</v>
      </c>
      <c r="M1" s="35" t="s">
        <v>319</v>
      </c>
    </row>
    <row r="2" spans="1:13" s="68" customFormat="1" ht="31.5" customHeight="1">
      <c r="A2" s="1125" t="e">
        <f>#REF!&amp;"年度加算算定対象人数等認定申請書（処遇改善等加算Ⅱ）(事業所内20)"</f>
        <v>#REF!</v>
      </c>
      <c r="B2" s="1125"/>
      <c r="C2" s="1125"/>
      <c r="D2" s="1125"/>
      <c r="E2" s="1125"/>
      <c r="F2" s="1125"/>
      <c r="G2" s="1125"/>
      <c r="H2" s="1125"/>
      <c r="I2" s="1125"/>
      <c r="J2" s="702"/>
      <c r="L2" s="35" t="s">
        <v>53</v>
      </c>
      <c r="M2" s="35">
        <v>1</v>
      </c>
    </row>
    <row r="3" spans="1:13" ht="19.5" customHeight="1">
      <c r="A3" s="352"/>
      <c r="B3" s="36"/>
      <c r="C3" s="36"/>
      <c r="D3" s="36"/>
      <c r="E3" s="36"/>
      <c r="F3" s="168"/>
      <c r="G3" s="168"/>
      <c r="H3" s="168"/>
      <c r="I3" s="168"/>
      <c r="J3" s="168"/>
      <c r="L3" s="35" t="s">
        <v>145</v>
      </c>
      <c r="M3" s="35">
        <v>2</v>
      </c>
    </row>
    <row r="4" spans="1:13" ht="19.5" customHeight="1">
      <c r="A4" s="352"/>
      <c r="B4" s="36"/>
      <c r="C4" s="36"/>
      <c r="D4" s="36"/>
      <c r="E4" s="1269" t="s">
        <v>378</v>
      </c>
      <c r="F4" s="1270"/>
      <c r="G4" s="1273" t="e">
        <f>CONCATENATE(#REF!)</f>
        <v>#REF!</v>
      </c>
      <c r="H4" s="1274"/>
      <c r="I4" s="1275"/>
      <c r="J4" s="708"/>
      <c r="L4" s="35"/>
      <c r="M4" s="35">
        <v>3</v>
      </c>
    </row>
    <row r="5" spans="1:13" ht="19.5" customHeight="1">
      <c r="A5" s="352"/>
      <c r="B5" s="36"/>
      <c r="C5" s="36"/>
      <c r="D5" s="36"/>
      <c r="E5" s="1271"/>
      <c r="F5" s="1272"/>
      <c r="G5" s="1276"/>
      <c r="H5" s="1277"/>
      <c r="I5" s="1278"/>
      <c r="J5" s="708"/>
      <c r="L5" s="35"/>
      <c r="M5" s="35">
        <v>4</v>
      </c>
    </row>
    <row r="6" spans="1:13" ht="19.5" customHeight="1">
      <c r="A6" s="352"/>
      <c r="B6" s="36"/>
      <c r="C6" s="36"/>
      <c r="D6" s="36"/>
      <c r="E6" s="708"/>
      <c r="F6" s="708"/>
      <c r="G6" s="708"/>
      <c r="H6" s="708"/>
      <c r="I6" s="708"/>
      <c r="J6" s="708"/>
      <c r="L6" s="35"/>
      <c r="M6" s="35">
        <v>5</v>
      </c>
    </row>
    <row r="7" spans="1:13" ht="19.5" customHeight="1">
      <c r="A7" s="352"/>
      <c r="B7" s="36"/>
      <c r="C7" s="36"/>
      <c r="D7" s="36"/>
      <c r="E7" s="36"/>
      <c r="F7" s="168"/>
      <c r="G7" s="168"/>
      <c r="H7" s="168"/>
      <c r="I7" s="168"/>
      <c r="J7" s="168"/>
    </row>
    <row r="8" spans="1:13" ht="19.5" customHeight="1">
      <c r="A8" s="170"/>
      <c r="B8" s="1042" t="s">
        <v>192</v>
      </c>
      <c r="C8" s="1043"/>
      <c r="D8" s="120">
        <f>'入力（加算）事20'!D8</f>
        <v>0</v>
      </c>
      <c r="E8" s="699"/>
      <c r="F8" s="353"/>
      <c r="G8" s="706"/>
      <c r="H8" s="187" t="s">
        <v>374</v>
      </c>
      <c r="I8" s="188">
        <v>12</v>
      </c>
      <c r="J8" s="353"/>
    </row>
    <row r="9" spans="1:13" ht="19.5" customHeight="1">
      <c r="A9" s="169"/>
      <c r="B9" s="38"/>
      <c r="C9" s="38"/>
      <c r="D9" s="38"/>
      <c r="E9" s="38"/>
      <c r="F9" s="1279" t="str">
        <f>IF(OR(SUM(F13:F16)&gt;D8*1.2),"↓警告：定員の120％を超過しています。","")</f>
        <v/>
      </c>
      <c r="G9" s="1279"/>
      <c r="H9" s="1279"/>
      <c r="I9" s="1279"/>
      <c r="J9" s="707"/>
      <c r="K9" s="234"/>
    </row>
    <row r="10" spans="1:13" ht="19.5" customHeight="1" thickBot="1">
      <c r="A10" s="774" t="s">
        <v>281</v>
      </c>
      <c r="B10" s="36"/>
      <c r="C10" s="36"/>
      <c r="D10" s="36"/>
      <c r="E10" s="36"/>
      <c r="F10" s="1279"/>
      <c r="G10" s="1279"/>
      <c r="H10" s="1279"/>
      <c r="I10" s="1279"/>
      <c r="J10" s="707"/>
      <c r="K10" s="234"/>
    </row>
    <row r="11" spans="1:13" ht="36" customHeight="1">
      <c r="A11" s="36"/>
      <c r="B11" s="189"/>
      <c r="C11" s="1030"/>
      <c r="D11" s="1234"/>
      <c r="E11" s="188" t="s">
        <v>199</v>
      </c>
      <c r="F11" s="325" t="s">
        <v>200</v>
      </c>
      <c r="G11" s="1235" t="s">
        <v>201</v>
      </c>
      <c r="H11" s="1236"/>
      <c r="I11" s="168"/>
      <c r="J11" s="168"/>
    </row>
    <row r="12" spans="1:13" ht="33.75" customHeight="1" thickBot="1">
      <c r="A12" s="699"/>
      <c r="B12" s="704" t="s">
        <v>326</v>
      </c>
      <c r="C12" s="1030" t="s">
        <v>283</v>
      </c>
      <c r="D12" s="1234"/>
      <c r="E12" s="327"/>
      <c r="F12" s="328"/>
      <c r="G12" s="329"/>
      <c r="H12" s="330"/>
      <c r="I12" s="168"/>
      <c r="J12" s="168"/>
    </row>
    <row r="13" spans="1:13" ht="25.5" customHeight="1" thickBot="1">
      <c r="A13" s="699"/>
      <c r="B13" s="209"/>
      <c r="C13" s="1237" t="s">
        <v>438</v>
      </c>
      <c r="D13" s="1238"/>
      <c r="E13" s="354"/>
      <c r="F13" s="355">
        <f>'入力（児童数-本園)'!AB3</f>
        <v>0</v>
      </c>
      <c r="G13" s="203">
        <f>F13*1/30</f>
        <v>0</v>
      </c>
      <c r="H13" s="204">
        <f>ROUNDDOWN(G13,1)</f>
        <v>0</v>
      </c>
      <c r="I13" s="168"/>
      <c r="J13" s="168"/>
    </row>
    <row r="14" spans="1:13" ht="25.5" customHeight="1" thickBot="1">
      <c r="A14" s="699"/>
      <c r="B14" s="209"/>
      <c r="C14" s="1239" t="s">
        <v>439</v>
      </c>
      <c r="D14" s="1240"/>
      <c r="E14" s="356"/>
      <c r="F14" s="355">
        <f>'入力（児童数-本園)'!AB4</f>
        <v>0</v>
      </c>
      <c r="G14" s="203">
        <f>F14*1/20</f>
        <v>0</v>
      </c>
      <c r="H14" s="204">
        <f>ROUNDDOWN(G14,1)</f>
        <v>0</v>
      </c>
      <c r="I14" s="168"/>
      <c r="J14" s="168"/>
    </row>
    <row r="15" spans="1:13" ht="25.5" customHeight="1" thickBot="1">
      <c r="A15" s="699"/>
      <c r="B15" s="195"/>
      <c r="C15" s="1241" t="s">
        <v>440</v>
      </c>
      <c r="D15" s="1242"/>
      <c r="E15" s="200"/>
      <c r="F15" s="355">
        <f>'入力（児童数-本園)'!AB6-'入力（加算）事20'!Q19-'入力（加算）事20'!Q24</f>
        <v>0</v>
      </c>
      <c r="G15" s="203">
        <f>F15*1/6</f>
        <v>0</v>
      </c>
      <c r="H15" s="204">
        <f>ROUNDDOWN(G15,1)</f>
        <v>0</v>
      </c>
      <c r="I15" s="168"/>
      <c r="J15" s="168"/>
    </row>
    <row r="16" spans="1:13" ht="25.5" customHeight="1" thickBot="1">
      <c r="A16" s="699"/>
      <c r="B16" s="195"/>
      <c r="C16" s="1241" t="s">
        <v>441</v>
      </c>
      <c r="D16" s="1242"/>
      <c r="E16" s="200"/>
      <c r="F16" s="355">
        <f>'入力（児童数-本園)'!AB7-'入力（加算）事20'!Q18-'入力（加算）事20'!Q23</f>
        <v>0</v>
      </c>
      <c r="G16" s="203">
        <f>F16*1/3</f>
        <v>0</v>
      </c>
      <c r="H16" s="204">
        <f>ROUNDDOWN(G16,1)</f>
        <v>0</v>
      </c>
      <c r="I16" s="168"/>
      <c r="J16" s="168"/>
      <c r="K16" s="357"/>
    </row>
    <row r="17" spans="1:11" ht="25.5" customHeight="1" thickBot="1">
      <c r="A17" s="699"/>
      <c r="B17" s="195"/>
      <c r="C17" s="1232" t="s">
        <v>321</v>
      </c>
      <c r="D17" s="1233"/>
      <c r="E17" s="358" t="str">
        <f>IF(SUM('入力（加算）事20'!Q20,'入力（加算）事20'!Q25)&gt;0,CONCATENATE('入力（加算）事20'!E30),"なし")</f>
        <v>なし</v>
      </c>
      <c r="F17" s="359">
        <f>IF(E17="あり",SUM('入力（加算）事20'!Q20,'入力（加算）事20'!Q25),0)</f>
        <v>0</v>
      </c>
      <c r="G17" s="207">
        <f>IF(E17="あり",F17/2,0)</f>
        <v>0</v>
      </c>
      <c r="H17" s="208">
        <f>ROUNDDOWN(G17,1)</f>
        <v>0</v>
      </c>
      <c r="I17" s="168"/>
      <c r="J17" s="168"/>
      <c r="K17" s="357"/>
    </row>
    <row r="18" spans="1:11" ht="25.5" customHeight="1" thickTop="1">
      <c r="A18" s="699"/>
      <c r="B18" s="209"/>
      <c r="C18" s="1247" t="s">
        <v>247</v>
      </c>
      <c r="D18" s="1248"/>
      <c r="E18" s="360"/>
      <c r="F18" s="335"/>
      <c r="G18" s="210"/>
      <c r="H18" s="211">
        <f>ROUND(SUM(H15:H17),0)</f>
        <v>0</v>
      </c>
      <c r="I18" s="168"/>
      <c r="J18" s="168"/>
      <c r="K18" s="357"/>
    </row>
    <row r="19" spans="1:11" ht="25.5" customHeight="1">
      <c r="A19" s="699"/>
      <c r="B19" s="698" t="s">
        <v>327</v>
      </c>
      <c r="C19" s="1030" t="s">
        <v>292</v>
      </c>
      <c r="D19" s="1234"/>
      <c r="E19" s="337" t="str">
        <f>IF(SUM('入力（児童数-本園)'!Y3:Y6)&gt;0,"あり","なし")</f>
        <v>なし</v>
      </c>
      <c r="F19" s="336"/>
      <c r="G19" s="212"/>
      <c r="H19" s="213">
        <f>IF(E19="あり",1.4,0)</f>
        <v>0</v>
      </c>
      <c r="I19" s="168"/>
      <c r="J19" s="168"/>
      <c r="K19" s="357"/>
    </row>
    <row r="20" spans="1:11" ht="25.5" customHeight="1">
      <c r="A20" s="699"/>
      <c r="B20" s="698" t="s">
        <v>328</v>
      </c>
      <c r="C20" s="1249" t="s">
        <v>256</v>
      </c>
      <c r="D20" s="1250"/>
      <c r="E20" s="337" t="str">
        <f>IF(AND('入力（加算）事20'!F30&gt;0,ISNUMBER('入力（加算）事20'!F30)),"あり","なし")</f>
        <v>なし</v>
      </c>
      <c r="F20" s="336"/>
      <c r="G20" s="212"/>
      <c r="H20" s="213">
        <f>IF(E20="あり",0.5,0)</f>
        <v>0</v>
      </c>
      <c r="I20" s="168"/>
      <c r="J20" s="168"/>
    </row>
    <row r="21" spans="1:11" ht="25.5" customHeight="1">
      <c r="A21" s="699"/>
      <c r="B21" s="698" t="s">
        <v>323</v>
      </c>
      <c r="C21" s="865" t="s">
        <v>222</v>
      </c>
      <c r="D21" s="866"/>
      <c r="E21" s="337" t="str">
        <f>IF('入力（加算）事20'!L30="配置","あり","なし")</f>
        <v>なし</v>
      </c>
      <c r="F21" s="336"/>
      <c r="G21" s="212"/>
      <c r="H21" s="649">
        <f>IF(E21="あり",0.6,0)</f>
        <v>0</v>
      </c>
      <c r="I21" s="168"/>
      <c r="J21" s="168"/>
    </row>
    <row r="22" spans="1:11" ht="25.5" customHeight="1">
      <c r="A22" s="699"/>
      <c r="B22" s="698" t="s">
        <v>329</v>
      </c>
      <c r="C22" s="1251" t="s">
        <v>325</v>
      </c>
      <c r="D22" s="1252"/>
      <c r="E22" s="337" t="str">
        <f>CONCATENATE('入力（加算）事20'!H30)</f>
        <v/>
      </c>
      <c r="F22" s="336"/>
      <c r="G22" s="212"/>
      <c r="H22" s="339">
        <f>IF(E22="あり",IF(D8&lt;=40,-1,-2),0)</f>
        <v>0</v>
      </c>
      <c r="I22" s="168"/>
      <c r="J22" s="168"/>
    </row>
    <row r="23" spans="1:11" ht="25.5" customHeight="1" thickBot="1">
      <c r="A23" s="699"/>
      <c r="B23" s="361" t="s">
        <v>330</v>
      </c>
      <c r="C23" s="362"/>
      <c r="D23" s="362"/>
      <c r="E23" s="363"/>
      <c r="F23" s="364"/>
      <c r="G23" s="365"/>
      <c r="H23" s="342">
        <f>IF(D8&lt;=40,1.5,2.5)</f>
        <v>1.5</v>
      </c>
      <c r="I23" s="168"/>
      <c r="J23" s="168"/>
    </row>
    <row r="24" spans="1:11" ht="25.5" customHeight="1" thickTop="1" thickBot="1">
      <c r="A24" s="699"/>
      <c r="B24" s="220" t="s">
        <v>228</v>
      </c>
      <c r="C24" s="699"/>
      <c r="D24" s="699"/>
      <c r="E24" s="699"/>
      <c r="F24" s="343"/>
      <c r="G24" s="221"/>
      <c r="H24" s="222">
        <f>SUM(H18:H23)</f>
        <v>1.5</v>
      </c>
      <c r="I24" s="168"/>
      <c r="J24" s="168"/>
    </row>
    <row r="25" spans="1:11" ht="25.5" customHeight="1" thickBot="1">
      <c r="A25" s="699"/>
      <c r="B25" s="790" t="s">
        <v>229</v>
      </c>
      <c r="C25" s="224"/>
      <c r="D25" s="224"/>
      <c r="E25" s="224"/>
      <c r="F25" s="306"/>
      <c r="G25" s="223"/>
      <c r="H25" s="344">
        <f>ROUND(H24,0)</f>
        <v>2</v>
      </c>
      <c r="I25" s="168"/>
      <c r="J25" s="168"/>
    </row>
    <row r="26" spans="1:11" ht="25.5" customHeight="1">
      <c r="A26" s="699"/>
      <c r="B26" s="53"/>
      <c r="C26" s="699"/>
      <c r="D26" s="699"/>
      <c r="E26" s="699"/>
      <c r="F26" s="225"/>
      <c r="G26" s="699"/>
      <c r="H26" s="699"/>
      <c r="I26" s="225"/>
      <c r="J26" s="225"/>
    </row>
    <row r="27" spans="1:11" ht="25.5" customHeight="1" thickBot="1">
      <c r="A27" s="710" t="s">
        <v>231</v>
      </c>
      <c r="B27" s="699"/>
      <c r="C27" s="699"/>
      <c r="D27" s="699"/>
      <c r="E27" s="699"/>
      <c r="F27" s="699"/>
      <c r="G27" s="699"/>
      <c r="H27" s="699"/>
      <c r="I27" s="226"/>
      <c r="J27" s="226"/>
    </row>
    <row r="28" spans="1:11" ht="25.5" customHeight="1" thickBot="1">
      <c r="A28" s="699"/>
      <c r="B28" s="791" t="s">
        <v>331</v>
      </c>
      <c r="C28" s="366"/>
      <c r="D28" s="366"/>
      <c r="E28" s="788">
        <f>H25/3</f>
        <v>0.66666666666666663</v>
      </c>
      <c r="F28" s="789">
        <f>IF(ROUND(E28,0)=0,1,ROUND(E28,0))</f>
        <v>1</v>
      </c>
      <c r="G28" s="699"/>
      <c r="H28" s="699"/>
      <c r="I28" s="36"/>
      <c r="J28" s="36"/>
    </row>
    <row r="29" spans="1:11" ht="25.5" customHeight="1" thickBot="1">
      <c r="A29" s="699"/>
      <c r="B29" s="792" t="s">
        <v>233</v>
      </c>
      <c r="C29" s="366"/>
      <c r="D29" s="366"/>
      <c r="E29" s="788">
        <f>H25/5</f>
        <v>0.4</v>
      </c>
      <c r="F29" s="789">
        <f>IF(ROUND(E29,0)=0,1,ROUND(E29,0))</f>
        <v>1</v>
      </c>
      <c r="G29" s="699"/>
      <c r="H29" s="699"/>
      <c r="I29" s="36"/>
      <c r="J29" s="36"/>
    </row>
    <row r="30" spans="1:11" ht="25.5" customHeight="1">
      <c r="A30" s="699"/>
      <c r="B30" s="699"/>
      <c r="C30" s="699"/>
      <c r="D30" s="699"/>
      <c r="E30" s="699"/>
      <c r="F30" s="699"/>
      <c r="G30" s="699"/>
      <c r="H30" s="699"/>
      <c r="I30" s="232"/>
      <c r="J30" s="232"/>
    </row>
    <row r="31" spans="1:11" ht="25.5" customHeight="1">
      <c r="A31" s="710" t="s">
        <v>481</v>
      </c>
      <c r="B31" s="36"/>
      <c r="C31" s="36"/>
      <c r="D31" s="36"/>
      <c r="E31" s="36"/>
      <c r="F31" s="168"/>
      <c r="G31" s="168"/>
      <c r="H31" s="168"/>
      <c r="I31" s="168"/>
      <c r="J31" s="168"/>
    </row>
    <row r="32" spans="1:11" ht="25.5" customHeight="1">
      <c r="A32" s="36"/>
      <c r="B32" s="36"/>
      <c r="C32" s="36"/>
      <c r="D32" s="735" t="s">
        <v>483</v>
      </c>
      <c r="E32" s="784" t="s">
        <v>480</v>
      </c>
      <c r="F32" s="999" t="s">
        <v>482</v>
      </c>
      <c r="G32" s="1000"/>
      <c r="H32" s="1001"/>
      <c r="I32" s="784" t="s">
        <v>475</v>
      </c>
      <c r="J32" s="787"/>
    </row>
    <row r="33" spans="1:15" ht="25.5" customHeight="1">
      <c r="A33" s="36"/>
      <c r="B33" s="1228" t="s">
        <v>477</v>
      </c>
      <c r="C33" s="1229"/>
      <c r="D33" s="733">
        <f>I8*F28*O33</f>
        <v>480000</v>
      </c>
      <c r="E33" s="709">
        <f>O33</f>
        <v>40000</v>
      </c>
      <c r="F33" s="1002">
        <f>I8*F28*O35</f>
        <v>588120</v>
      </c>
      <c r="G33" s="1003"/>
      <c r="H33" s="1004"/>
      <c r="I33" s="709">
        <f>O35</f>
        <v>49010</v>
      </c>
      <c r="J33" s="778"/>
      <c r="K33" s="168"/>
      <c r="N33" s="35" t="s">
        <v>375</v>
      </c>
      <c r="O33" s="122">
        <v>40000</v>
      </c>
    </row>
    <row r="34" spans="1:15" ht="25.5" customHeight="1">
      <c r="A34" s="36"/>
      <c r="B34" s="1228" t="s">
        <v>478</v>
      </c>
      <c r="C34" s="1229"/>
      <c r="D34" s="733">
        <f>I8*F29*O34</f>
        <v>60000</v>
      </c>
      <c r="E34" s="709">
        <f>O34</f>
        <v>5000</v>
      </c>
      <c r="F34" s="1002">
        <f>I8*F29*O36</f>
        <v>73560</v>
      </c>
      <c r="G34" s="1003"/>
      <c r="H34" s="1004"/>
      <c r="I34" s="709">
        <f>O36</f>
        <v>6130</v>
      </c>
      <c r="J34" s="778"/>
      <c r="K34" s="777"/>
      <c r="N34" s="35" t="s">
        <v>376</v>
      </c>
      <c r="O34" s="122">
        <v>5000</v>
      </c>
    </row>
    <row r="35" spans="1:15" ht="25.5" customHeight="1">
      <c r="A35" s="36"/>
      <c r="B35" s="1228" t="s">
        <v>377</v>
      </c>
      <c r="C35" s="1229"/>
      <c r="D35" s="734">
        <f>SUM(D33:D34)</f>
        <v>540000</v>
      </c>
      <c r="E35" s="740"/>
      <c r="F35" s="1002">
        <f>SUM(F33:G34)</f>
        <v>661680</v>
      </c>
      <c r="G35" s="1003"/>
      <c r="H35" s="1004"/>
      <c r="I35" s="720"/>
      <c r="J35" s="225"/>
      <c r="K35" s="778"/>
      <c r="N35" s="35" t="s">
        <v>486</v>
      </c>
      <c r="O35" s="122">
        <v>49010</v>
      </c>
    </row>
    <row r="36" spans="1:15" ht="25.5" customHeight="1">
      <c r="A36" s="36"/>
      <c r="B36" s="36"/>
      <c r="C36" s="36"/>
      <c r="D36" s="36"/>
      <c r="E36" s="736"/>
      <c r="F36" s="699"/>
      <c r="G36" s="699"/>
      <c r="H36" s="699"/>
      <c r="I36" s="168"/>
      <c r="J36" s="168"/>
      <c r="K36" s="778"/>
      <c r="N36" s="35" t="s">
        <v>487</v>
      </c>
      <c r="O36" s="122">
        <v>6130</v>
      </c>
    </row>
    <row r="37" spans="1:15" ht="25.5" customHeight="1">
      <c r="A37" s="36"/>
      <c r="B37" s="36"/>
      <c r="C37" s="36"/>
      <c r="D37" s="36"/>
      <c r="E37" s="1226" t="s">
        <v>488</v>
      </c>
      <c r="F37" s="1226"/>
      <c r="G37" s="1227"/>
      <c r="H37" s="738">
        <f>ROUNDDOWN(F35*0.2,-1)</f>
        <v>132330</v>
      </c>
      <c r="I37" s="168"/>
      <c r="J37" s="168"/>
      <c r="K37" s="225"/>
    </row>
    <row r="38" spans="1:15" ht="33.75" customHeight="1">
      <c r="A38" s="36"/>
      <c r="B38" s="36"/>
      <c r="C38" s="36"/>
      <c r="D38" s="36"/>
      <c r="E38" s="779"/>
      <c r="F38" s="781" t="s">
        <v>484</v>
      </c>
      <c r="G38" s="780"/>
      <c r="H38" s="36"/>
      <c r="I38" s="36"/>
      <c r="J38" s="36"/>
      <c r="K38" s="168"/>
    </row>
    <row r="39" spans="1:15" ht="33.75" customHeight="1">
      <c r="F39" s="34"/>
      <c r="G39" s="34"/>
      <c r="H39" s="34"/>
      <c r="I39" s="34"/>
      <c r="J39" s="34"/>
      <c r="K39" s="168"/>
    </row>
    <row r="40" spans="1:15" ht="33.75" customHeight="1">
      <c r="F40" s="34"/>
      <c r="G40" s="34"/>
      <c r="H40" s="34"/>
      <c r="I40" s="34"/>
      <c r="J40" s="34"/>
      <c r="K40" s="36"/>
    </row>
    <row r="41" spans="1:15" ht="33.75" customHeight="1">
      <c r="F41" s="34"/>
      <c r="G41" s="34"/>
      <c r="H41" s="34"/>
      <c r="I41" s="34"/>
      <c r="J41" s="34"/>
    </row>
    <row r="42" spans="1:15" ht="33.75" customHeight="1">
      <c r="F42" s="34"/>
      <c r="G42" s="34"/>
      <c r="H42" s="34"/>
      <c r="I42" s="34"/>
      <c r="J42" s="34"/>
    </row>
    <row r="43" spans="1:15" ht="33.75" customHeight="1">
      <c r="F43" s="34"/>
      <c r="G43" s="34"/>
      <c r="H43" s="34"/>
      <c r="I43" s="34"/>
      <c r="J43" s="34"/>
    </row>
    <row r="44" spans="1:15" ht="33.75" customHeight="1">
      <c r="F44" s="34"/>
      <c r="G44" s="34"/>
      <c r="H44" s="34"/>
      <c r="I44" s="34"/>
      <c r="J44" s="34"/>
    </row>
    <row r="45" spans="1:15" ht="33.75" customHeight="1">
      <c r="F45" s="34"/>
      <c r="G45" s="34"/>
      <c r="H45" s="34"/>
      <c r="I45" s="34"/>
      <c r="J45" s="34"/>
    </row>
    <row r="46" spans="1:15" ht="33.75" customHeight="1">
      <c r="F46" s="34"/>
      <c r="G46" s="34"/>
      <c r="H46" s="34"/>
      <c r="I46" s="34"/>
      <c r="J46" s="34"/>
    </row>
    <row r="47" spans="1:15" ht="33.75" customHeight="1">
      <c r="F47" s="34"/>
      <c r="G47" s="34"/>
      <c r="H47" s="34"/>
      <c r="I47" s="34"/>
      <c r="J47" s="34"/>
    </row>
    <row r="48" spans="1:15" ht="20.25" customHeight="1">
      <c r="F48" s="34"/>
      <c r="G48" s="34"/>
      <c r="H48" s="34"/>
      <c r="I48" s="34"/>
      <c r="J48" s="34"/>
    </row>
    <row r="49" s="34" customFormat="1" ht="20.25" customHeight="1"/>
    <row r="50" s="34" customFormat="1" ht="20.25" customHeight="1"/>
    <row r="51" s="34" customFormat="1" ht="20.25" customHeight="1"/>
    <row r="52" s="34" customFormat="1" ht="20.25" customHeight="1"/>
    <row r="53" s="34" customFormat="1" ht="20.25" customHeight="1"/>
    <row r="54" s="34" customFormat="1" ht="20.25" customHeight="1"/>
    <row r="55" s="34" customFormat="1" ht="20.25" customHeight="1"/>
    <row r="56" s="34" customFormat="1" ht="20.25" customHeight="1"/>
    <row r="57" s="34" customFormat="1" ht="20.25" customHeight="1"/>
    <row r="58" s="34" customFormat="1" ht="20.25" customHeight="1"/>
    <row r="59" s="34" customFormat="1" ht="20.25" customHeight="1"/>
    <row r="60" s="34" customFormat="1" ht="20.25" customHeight="1"/>
    <row r="61" s="34" customFormat="1" ht="20.25" customHeight="1"/>
    <row r="62" s="34" customFormat="1" ht="20.25" customHeight="1"/>
    <row r="63" s="34" customFormat="1" ht="20.25" customHeight="1"/>
    <row r="64" s="34" customFormat="1" ht="20.25" customHeight="1"/>
    <row r="65" s="34" customFormat="1" ht="20.25" customHeight="1"/>
    <row r="66" s="34" customFormat="1" ht="20.25" customHeight="1"/>
    <row r="67" s="34" customFormat="1" ht="20.25" customHeight="1"/>
    <row r="68" s="34" customFormat="1" ht="20.25" customHeight="1"/>
    <row r="69" s="34" customFormat="1" ht="20.25" customHeight="1"/>
    <row r="70" s="34" customFormat="1" ht="20.25" customHeight="1"/>
    <row r="71" s="34" customFormat="1" ht="20.25" customHeight="1"/>
    <row r="72" s="34" customFormat="1" ht="20.25" customHeight="1"/>
    <row r="73" s="34" customFormat="1" ht="20.25" customHeight="1"/>
    <row r="74" s="34" customFormat="1" ht="20.25" customHeight="1"/>
    <row r="75" s="34" customFormat="1" ht="20.25" customHeight="1"/>
    <row r="76" s="34" customFormat="1" ht="20.25" customHeight="1"/>
    <row r="77" s="34" customFormat="1" ht="20.25" customHeight="1"/>
    <row r="78" s="34" customFormat="1" ht="20.25" customHeight="1"/>
    <row r="79" s="34" customFormat="1" ht="20.25" customHeight="1"/>
    <row r="80" s="34" customFormat="1" ht="20.25" customHeight="1"/>
    <row r="81" s="34" customFormat="1" ht="20.25" customHeight="1"/>
    <row r="82" s="34" customFormat="1" ht="20.25" customHeight="1"/>
    <row r="83" s="34" customFormat="1" ht="20.25" customHeight="1"/>
    <row r="84" s="34" customFormat="1" ht="20.25" customHeight="1"/>
    <row r="85" s="34" customFormat="1" ht="20.25" customHeight="1"/>
    <row r="86" s="34" customFormat="1" ht="20.25" customHeight="1"/>
    <row r="87" s="34" customFormat="1" ht="20.25" customHeight="1"/>
    <row r="88" s="34" customFormat="1" ht="20.25" customHeight="1"/>
    <row r="89" s="34" customFormat="1" ht="20.25" customHeight="1"/>
    <row r="90" s="34" customFormat="1" ht="20.25" customHeight="1"/>
    <row r="91" s="34" customFormat="1" ht="20.25" customHeight="1"/>
    <row r="92" s="34" customFormat="1" ht="20.25" customHeight="1"/>
    <row r="93" s="34" customFormat="1" ht="20.25" customHeight="1"/>
    <row r="94" s="34" customFormat="1" ht="20.25" customHeight="1"/>
    <row r="95" s="34" customFormat="1" ht="20.25" customHeight="1"/>
    <row r="96" s="34" customFormat="1" ht="20.25" customHeight="1"/>
    <row r="97" spans="6:10" ht="20.25" customHeight="1">
      <c r="F97" s="34"/>
      <c r="G97" s="34"/>
      <c r="H97" s="34"/>
      <c r="I97" s="34"/>
      <c r="J97" s="34"/>
    </row>
    <row r="98" spans="6:10" ht="20.25" customHeight="1">
      <c r="F98" s="34"/>
      <c r="G98" s="34"/>
      <c r="H98" s="34"/>
      <c r="I98" s="34"/>
      <c r="J98" s="34"/>
    </row>
    <row r="99" spans="6:10" ht="20.25" customHeight="1">
      <c r="F99" s="34"/>
      <c r="G99" s="34"/>
      <c r="H99" s="34"/>
      <c r="I99" s="34"/>
      <c r="J99" s="34"/>
    </row>
    <row r="100" spans="6:10" ht="20.25" customHeight="1">
      <c r="F100" s="34"/>
      <c r="G100" s="34"/>
      <c r="H100" s="34"/>
      <c r="I100" s="34"/>
      <c r="J100" s="34"/>
    </row>
    <row r="101" spans="6:10" ht="20.25" customHeight="1">
      <c r="F101" s="34"/>
      <c r="G101" s="34"/>
      <c r="H101" s="34"/>
      <c r="I101" s="34"/>
      <c r="J101" s="34"/>
    </row>
    <row r="102" spans="6:10" ht="20.25" customHeight="1">
      <c r="F102" s="34"/>
      <c r="G102" s="34"/>
      <c r="H102" s="34"/>
      <c r="I102" s="34"/>
      <c r="J102" s="34"/>
    </row>
    <row r="103" spans="6:10" ht="20.25" customHeight="1">
      <c r="F103" s="34"/>
      <c r="G103" s="34"/>
      <c r="H103" s="34"/>
      <c r="I103" s="34"/>
      <c r="J103" s="34"/>
    </row>
    <row r="104" spans="6:10" ht="20.25" customHeight="1"/>
    <row r="105" spans="6:10" ht="20.25" customHeight="1"/>
    <row r="106" spans="6:10" ht="20.25" customHeight="1"/>
    <row r="107" spans="6:10" ht="20.25" customHeight="1"/>
    <row r="108" spans="6:10" ht="20.25" customHeight="1"/>
  </sheetData>
  <sheetProtection algorithmName="SHA-512" hashValue="EfDcS80153Dqct78zuWu4LWLqbMctHIhR7StQkm7rINLqrVscbxs9VvEiayp+FO0qPEt/MkAJiQkSY0/L0vHEA==" saltValue="0TzklgkOu5186SRIjsUU9Q==" spinCount="100000" sheet="1" objects="1" scenarios="1"/>
  <customSheetViews>
    <customSheetView guid="{2E52E5FF-9846-4DC5-A671-268FE925398C}" scale="90" showPageBreaks="1" printArea="1" view="pageBreakPreview" topLeftCell="A19">
      <selection activeCell="J40" sqref="J40"/>
      <pageMargins left="0.7" right="0.7" top="0.75" bottom="0.75" header="0.3" footer="0.3"/>
      <pageSetup paperSize="9" scale="85" orientation="portrait" r:id="rId1"/>
    </customSheetView>
    <customSheetView guid="{BADA99B3-B36A-4925-87A7-F72FC97D3DBA}" scale="90" showPageBreaks="1" printArea="1" view="pageBreakPreview" topLeftCell="A19">
      <selection activeCell="J40" sqref="J40"/>
      <pageMargins left="0.7" right="0.7" top="0.75" bottom="0.75" header="0.3" footer="0.3"/>
      <pageSetup paperSize="9" scale="85" orientation="portrait" r:id="rId2"/>
    </customSheetView>
  </customSheetViews>
  <mergeCells count="26">
    <mergeCell ref="H1:I1"/>
    <mergeCell ref="A2:I2"/>
    <mergeCell ref="E4:F5"/>
    <mergeCell ref="G4:I5"/>
    <mergeCell ref="C22:D22"/>
    <mergeCell ref="B8:C8"/>
    <mergeCell ref="C15:D15"/>
    <mergeCell ref="F9:I10"/>
    <mergeCell ref="C11:D11"/>
    <mergeCell ref="G11:H11"/>
    <mergeCell ref="C12:D12"/>
    <mergeCell ref="C13:D13"/>
    <mergeCell ref="C14:D14"/>
    <mergeCell ref="C16:D16"/>
    <mergeCell ref="C17:D17"/>
    <mergeCell ref="C18:D18"/>
    <mergeCell ref="C19:D19"/>
    <mergeCell ref="C20:D20"/>
    <mergeCell ref="B35:C35"/>
    <mergeCell ref="F35:H35"/>
    <mergeCell ref="E37:G37"/>
    <mergeCell ref="F32:H32"/>
    <mergeCell ref="B33:C33"/>
    <mergeCell ref="F33:H33"/>
    <mergeCell ref="B34:C34"/>
    <mergeCell ref="F34:H34"/>
  </mergeCells>
  <phoneticPr fontId="36"/>
  <dataValidations count="3">
    <dataValidation type="list" allowBlank="1" showInputMessage="1" showErrorMessage="1" sqref="WLR983062:WLR983064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E65551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E131087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E196623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E262159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E327695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E393231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E458767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E524303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E589839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E655375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E720911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E786447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E851983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E917519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E983055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WVN983062:WVN983064 JB20:JB23 SX20:SX23 ACT20:ACT23 AMP20:AMP23 AWL20:AWL23 BGH20:BGH23 BQD20:BQD23 BZZ20:BZZ23 CJV20:CJV23 CTR20:CTR23 DDN20:DDN23 DNJ20:DNJ23 DXF20:DXF23 EHB20:EHB23 EQX20:EQX23 FAT20:FAT23 FKP20:FKP23 FUL20:FUL23 GEH20:GEH23 GOD20:GOD23 GXZ20:GXZ23 HHV20:HHV23 HRR20:HRR23 IBN20:IBN23 ILJ20:ILJ23 IVF20:IVF23 JFB20:JFB23 JOX20:JOX23 JYT20:JYT23 KIP20:KIP23 KSL20:KSL23 LCH20:LCH23 LMD20:LMD23 LVZ20:LVZ23 MFV20:MFV23 MPR20:MPR23 MZN20:MZN23 NJJ20:NJJ23 NTF20:NTF23 ODB20:ODB23 OMX20:OMX23 OWT20:OWT23 PGP20:PGP23 PQL20:PQL23 QAH20:QAH23 QKD20:QKD23 QTZ20:QTZ23 RDV20:RDV23 RNR20:RNR23 RXN20:RXN23 SHJ20:SHJ23 SRF20:SRF23 TBB20:TBB23 TKX20:TKX23 TUT20:TUT23 UEP20:UEP23 UOL20:UOL23 UYH20:UYH23 VID20:VID23 VRZ20:VRZ23 WBV20:WBV23 WLR20:WLR23 WVN20:WVN23 E65553:E65555 JB65558:JB65560 SX65558:SX65560 ACT65558:ACT65560 AMP65558:AMP65560 AWL65558:AWL65560 BGH65558:BGH65560 BQD65558:BQD65560 BZZ65558:BZZ65560 CJV65558:CJV65560 CTR65558:CTR65560 DDN65558:DDN65560 DNJ65558:DNJ65560 DXF65558:DXF65560 EHB65558:EHB65560 EQX65558:EQX65560 FAT65558:FAT65560 FKP65558:FKP65560 FUL65558:FUL65560 GEH65558:GEH65560 GOD65558:GOD65560 GXZ65558:GXZ65560 HHV65558:HHV65560 HRR65558:HRR65560 IBN65558:IBN65560 ILJ65558:ILJ65560 IVF65558:IVF65560 JFB65558:JFB65560 JOX65558:JOX65560 JYT65558:JYT65560 KIP65558:KIP65560 KSL65558:KSL65560 LCH65558:LCH65560 LMD65558:LMD65560 LVZ65558:LVZ65560 MFV65558:MFV65560 MPR65558:MPR65560 MZN65558:MZN65560 NJJ65558:NJJ65560 NTF65558:NTF65560 ODB65558:ODB65560 OMX65558:OMX65560 OWT65558:OWT65560 PGP65558:PGP65560 PQL65558:PQL65560 QAH65558:QAH65560 QKD65558:QKD65560 QTZ65558:QTZ65560 RDV65558:RDV65560 RNR65558:RNR65560 RXN65558:RXN65560 SHJ65558:SHJ65560 SRF65558:SRF65560 TBB65558:TBB65560 TKX65558:TKX65560 TUT65558:TUT65560 UEP65558:UEP65560 UOL65558:UOL65560 UYH65558:UYH65560 VID65558:VID65560 VRZ65558:VRZ65560 WBV65558:WBV65560 WLR65558:WLR65560 WVN65558:WVN65560 E131089:E131091 JB131094:JB131096 SX131094:SX131096 ACT131094:ACT131096 AMP131094:AMP131096 AWL131094:AWL131096 BGH131094:BGH131096 BQD131094:BQD131096 BZZ131094:BZZ131096 CJV131094:CJV131096 CTR131094:CTR131096 DDN131094:DDN131096 DNJ131094:DNJ131096 DXF131094:DXF131096 EHB131094:EHB131096 EQX131094:EQX131096 FAT131094:FAT131096 FKP131094:FKP131096 FUL131094:FUL131096 GEH131094:GEH131096 GOD131094:GOD131096 GXZ131094:GXZ131096 HHV131094:HHV131096 HRR131094:HRR131096 IBN131094:IBN131096 ILJ131094:ILJ131096 IVF131094:IVF131096 JFB131094:JFB131096 JOX131094:JOX131096 JYT131094:JYT131096 KIP131094:KIP131096 KSL131094:KSL131096 LCH131094:LCH131096 LMD131094:LMD131096 LVZ131094:LVZ131096 MFV131094:MFV131096 MPR131094:MPR131096 MZN131094:MZN131096 NJJ131094:NJJ131096 NTF131094:NTF131096 ODB131094:ODB131096 OMX131094:OMX131096 OWT131094:OWT131096 PGP131094:PGP131096 PQL131094:PQL131096 QAH131094:QAH131096 QKD131094:QKD131096 QTZ131094:QTZ131096 RDV131094:RDV131096 RNR131094:RNR131096 RXN131094:RXN131096 SHJ131094:SHJ131096 SRF131094:SRF131096 TBB131094:TBB131096 TKX131094:TKX131096 TUT131094:TUT131096 UEP131094:UEP131096 UOL131094:UOL131096 UYH131094:UYH131096 VID131094:VID131096 VRZ131094:VRZ131096 WBV131094:WBV131096 WLR131094:WLR131096 WVN131094:WVN131096 E196625:E196627 JB196630:JB196632 SX196630:SX196632 ACT196630:ACT196632 AMP196630:AMP196632 AWL196630:AWL196632 BGH196630:BGH196632 BQD196630:BQD196632 BZZ196630:BZZ196632 CJV196630:CJV196632 CTR196630:CTR196632 DDN196630:DDN196632 DNJ196630:DNJ196632 DXF196630:DXF196632 EHB196630:EHB196632 EQX196630:EQX196632 FAT196630:FAT196632 FKP196630:FKP196632 FUL196630:FUL196632 GEH196630:GEH196632 GOD196630:GOD196632 GXZ196630:GXZ196632 HHV196630:HHV196632 HRR196630:HRR196632 IBN196630:IBN196632 ILJ196630:ILJ196632 IVF196630:IVF196632 JFB196630:JFB196632 JOX196630:JOX196632 JYT196630:JYT196632 KIP196630:KIP196632 KSL196630:KSL196632 LCH196630:LCH196632 LMD196630:LMD196632 LVZ196630:LVZ196632 MFV196630:MFV196632 MPR196630:MPR196632 MZN196630:MZN196632 NJJ196630:NJJ196632 NTF196630:NTF196632 ODB196630:ODB196632 OMX196630:OMX196632 OWT196630:OWT196632 PGP196630:PGP196632 PQL196630:PQL196632 QAH196630:QAH196632 QKD196630:QKD196632 QTZ196630:QTZ196632 RDV196630:RDV196632 RNR196630:RNR196632 RXN196630:RXN196632 SHJ196630:SHJ196632 SRF196630:SRF196632 TBB196630:TBB196632 TKX196630:TKX196632 TUT196630:TUT196632 UEP196630:UEP196632 UOL196630:UOL196632 UYH196630:UYH196632 VID196630:VID196632 VRZ196630:VRZ196632 WBV196630:WBV196632 WLR196630:WLR196632 WVN196630:WVN196632 E262161:E262163 JB262166:JB262168 SX262166:SX262168 ACT262166:ACT262168 AMP262166:AMP262168 AWL262166:AWL262168 BGH262166:BGH262168 BQD262166:BQD262168 BZZ262166:BZZ262168 CJV262166:CJV262168 CTR262166:CTR262168 DDN262166:DDN262168 DNJ262166:DNJ262168 DXF262166:DXF262168 EHB262166:EHB262168 EQX262166:EQX262168 FAT262166:FAT262168 FKP262166:FKP262168 FUL262166:FUL262168 GEH262166:GEH262168 GOD262166:GOD262168 GXZ262166:GXZ262168 HHV262166:HHV262168 HRR262166:HRR262168 IBN262166:IBN262168 ILJ262166:ILJ262168 IVF262166:IVF262168 JFB262166:JFB262168 JOX262166:JOX262168 JYT262166:JYT262168 KIP262166:KIP262168 KSL262166:KSL262168 LCH262166:LCH262168 LMD262166:LMD262168 LVZ262166:LVZ262168 MFV262166:MFV262168 MPR262166:MPR262168 MZN262166:MZN262168 NJJ262166:NJJ262168 NTF262166:NTF262168 ODB262166:ODB262168 OMX262166:OMX262168 OWT262166:OWT262168 PGP262166:PGP262168 PQL262166:PQL262168 QAH262166:QAH262168 QKD262166:QKD262168 QTZ262166:QTZ262168 RDV262166:RDV262168 RNR262166:RNR262168 RXN262166:RXN262168 SHJ262166:SHJ262168 SRF262166:SRF262168 TBB262166:TBB262168 TKX262166:TKX262168 TUT262166:TUT262168 UEP262166:UEP262168 UOL262166:UOL262168 UYH262166:UYH262168 VID262166:VID262168 VRZ262166:VRZ262168 WBV262166:WBV262168 WLR262166:WLR262168 WVN262166:WVN262168 E327697:E327699 JB327702:JB327704 SX327702:SX327704 ACT327702:ACT327704 AMP327702:AMP327704 AWL327702:AWL327704 BGH327702:BGH327704 BQD327702:BQD327704 BZZ327702:BZZ327704 CJV327702:CJV327704 CTR327702:CTR327704 DDN327702:DDN327704 DNJ327702:DNJ327704 DXF327702:DXF327704 EHB327702:EHB327704 EQX327702:EQX327704 FAT327702:FAT327704 FKP327702:FKP327704 FUL327702:FUL327704 GEH327702:GEH327704 GOD327702:GOD327704 GXZ327702:GXZ327704 HHV327702:HHV327704 HRR327702:HRR327704 IBN327702:IBN327704 ILJ327702:ILJ327704 IVF327702:IVF327704 JFB327702:JFB327704 JOX327702:JOX327704 JYT327702:JYT327704 KIP327702:KIP327704 KSL327702:KSL327704 LCH327702:LCH327704 LMD327702:LMD327704 LVZ327702:LVZ327704 MFV327702:MFV327704 MPR327702:MPR327704 MZN327702:MZN327704 NJJ327702:NJJ327704 NTF327702:NTF327704 ODB327702:ODB327704 OMX327702:OMX327704 OWT327702:OWT327704 PGP327702:PGP327704 PQL327702:PQL327704 QAH327702:QAH327704 QKD327702:QKD327704 QTZ327702:QTZ327704 RDV327702:RDV327704 RNR327702:RNR327704 RXN327702:RXN327704 SHJ327702:SHJ327704 SRF327702:SRF327704 TBB327702:TBB327704 TKX327702:TKX327704 TUT327702:TUT327704 UEP327702:UEP327704 UOL327702:UOL327704 UYH327702:UYH327704 VID327702:VID327704 VRZ327702:VRZ327704 WBV327702:WBV327704 WLR327702:WLR327704 WVN327702:WVN327704 E393233:E393235 JB393238:JB393240 SX393238:SX393240 ACT393238:ACT393240 AMP393238:AMP393240 AWL393238:AWL393240 BGH393238:BGH393240 BQD393238:BQD393240 BZZ393238:BZZ393240 CJV393238:CJV393240 CTR393238:CTR393240 DDN393238:DDN393240 DNJ393238:DNJ393240 DXF393238:DXF393240 EHB393238:EHB393240 EQX393238:EQX393240 FAT393238:FAT393240 FKP393238:FKP393240 FUL393238:FUL393240 GEH393238:GEH393240 GOD393238:GOD393240 GXZ393238:GXZ393240 HHV393238:HHV393240 HRR393238:HRR393240 IBN393238:IBN393240 ILJ393238:ILJ393240 IVF393238:IVF393240 JFB393238:JFB393240 JOX393238:JOX393240 JYT393238:JYT393240 KIP393238:KIP393240 KSL393238:KSL393240 LCH393238:LCH393240 LMD393238:LMD393240 LVZ393238:LVZ393240 MFV393238:MFV393240 MPR393238:MPR393240 MZN393238:MZN393240 NJJ393238:NJJ393240 NTF393238:NTF393240 ODB393238:ODB393240 OMX393238:OMX393240 OWT393238:OWT393240 PGP393238:PGP393240 PQL393238:PQL393240 QAH393238:QAH393240 QKD393238:QKD393240 QTZ393238:QTZ393240 RDV393238:RDV393240 RNR393238:RNR393240 RXN393238:RXN393240 SHJ393238:SHJ393240 SRF393238:SRF393240 TBB393238:TBB393240 TKX393238:TKX393240 TUT393238:TUT393240 UEP393238:UEP393240 UOL393238:UOL393240 UYH393238:UYH393240 VID393238:VID393240 VRZ393238:VRZ393240 WBV393238:WBV393240 WLR393238:WLR393240 WVN393238:WVN393240 E458769:E458771 JB458774:JB458776 SX458774:SX458776 ACT458774:ACT458776 AMP458774:AMP458776 AWL458774:AWL458776 BGH458774:BGH458776 BQD458774:BQD458776 BZZ458774:BZZ458776 CJV458774:CJV458776 CTR458774:CTR458776 DDN458774:DDN458776 DNJ458774:DNJ458776 DXF458774:DXF458776 EHB458774:EHB458776 EQX458774:EQX458776 FAT458774:FAT458776 FKP458774:FKP458776 FUL458774:FUL458776 GEH458774:GEH458776 GOD458774:GOD458776 GXZ458774:GXZ458776 HHV458774:HHV458776 HRR458774:HRR458776 IBN458774:IBN458776 ILJ458774:ILJ458776 IVF458774:IVF458776 JFB458774:JFB458776 JOX458774:JOX458776 JYT458774:JYT458776 KIP458774:KIP458776 KSL458774:KSL458776 LCH458774:LCH458776 LMD458774:LMD458776 LVZ458774:LVZ458776 MFV458774:MFV458776 MPR458774:MPR458776 MZN458774:MZN458776 NJJ458774:NJJ458776 NTF458774:NTF458776 ODB458774:ODB458776 OMX458774:OMX458776 OWT458774:OWT458776 PGP458774:PGP458776 PQL458774:PQL458776 QAH458774:QAH458776 QKD458774:QKD458776 QTZ458774:QTZ458776 RDV458774:RDV458776 RNR458774:RNR458776 RXN458774:RXN458776 SHJ458774:SHJ458776 SRF458774:SRF458776 TBB458774:TBB458776 TKX458774:TKX458776 TUT458774:TUT458776 UEP458774:UEP458776 UOL458774:UOL458776 UYH458774:UYH458776 VID458774:VID458776 VRZ458774:VRZ458776 WBV458774:WBV458776 WLR458774:WLR458776 WVN458774:WVN458776 E524305:E524307 JB524310:JB524312 SX524310:SX524312 ACT524310:ACT524312 AMP524310:AMP524312 AWL524310:AWL524312 BGH524310:BGH524312 BQD524310:BQD524312 BZZ524310:BZZ524312 CJV524310:CJV524312 CTR524310:CTR524312 DDN524310:DDN524312 DNJ524310:DNJ524312 DXF524310:DXF524312 EHB524310:EHB524312 EQX524310:EQX524312 FAT524310:FAT524312 FKP524310:FKP524312 FUL524310:FUL524312 GEH524310:GEH524312 GOD524310:GOD524312 GXZ524310:GXZ524312 HHV524310:HHV524312 HRR524310:HRR524312 IBN524310:IBN524312 ILJ524310:ILJ524312 IVF524310:IVF524312 JFB524310:JFB524312 JOX524310:JOX524312 JYT524310:JYT524312 KIP524310:KIP524312 KSL524310:KSL524312 LCH524310:LCH524312 LMD524310:LMD524312 LVZ524310:LVZ524312 MFV524310:MFV524312 MPR524310:MPR524312 MZN524310:MZN524312 NJJ524310:NJJ524312 NTF524310:NTF524312 ODB524310:ODB524312 OMX524310:OMX524312 OWT524310:OWT524312 PGP524310:PGP524312 PQL524310:PQL524312 QAH524310:QAH524312 QKD524310:QKD524312 QTZ524310:QTZ524312 RDV524310:RDV524312 RNR524310:RNR524312 RXN524310:RXN524312 SHJ524310:SHJ524312 SRF524310:SRF524312 TBB524310:TBB524312 TKX524310:TKX524312 TUT524310:TUT524312 UEP524310:UEP524312 UOL524310:UOL524312 UYH524310:UYH524312 VID524310:VID524312 VRZ524310:VRZ524312 WBV524310:WBV524312 WLR524310:WLR524312 WVN524310:WVN524312 E589841:E589843 JB589846:JB589848 SX589846:SX589848 ACT589846:ACT589848 AMP589846:AMP589848 AWL589846:AWL589848 BGH589846:BGH589848 BQD589846:BQD589848 BZZ589846:BZZ589848 CJV589846:CJV589848 CTR589846:CTR589848 DDN589846:DDN589848 DNJ589846:DNJ589848 DXF589846:DXF589848 EHB589846:EHB589848 EQX589846:EQX589848 FAT589846:FAT589848 FKP589846:FKP589848 FUL589846:FUL589848 GEH589846:GEH589848 GOD589846:GOD589848 GXZ589846:GXZ589848 HHV589846:HHV589848 HRR589846:HRR589848 IBN589846:IBN589848 ILJ589846:ILJ589848 IVF589846:IVF589848 JFB589846:JFB589848 JOX589846:JOX589848 JYT589846:JYT589848 KIP589846:KIP589848 KSL589846:KSL589848 LCH589846:LCH589848 LMD589846:LMD589848 LVZ589846:LVZ589848 MFV589846:MFV589848 MPR589846:MPR589848 MZN589846:MZN589848 NJJ589846:NJJ589848 NTF589846:NTF589848 ODB589846:ODB589848 OMX589846:OMX589848 OWT589846:OWT589848 PGP589846:PGP589848 PQL589846:PQL589848 QAH589846:QAH589848 QKD589846:QKD589848 QTZ589846:QTZ589848 RDV589846:RDV589848 RNR589846:RNR589848 RXN589846:RXN589848 SHJ589846:SHJ589848 SRF589846:SRF589848 TBB589846:TBB589848 TKX589846:TKX589848 TUT589846:TUT589848 UEP589846:UEP589848 UOL589846:UOL589848 UYH589846:UYH589848 VID589846:VID589848 VRZ589846:VRZ589848 WBV589846:WBV589848 WLR589846:WLR589848 WVN589846:WVN589848 E655377:E655379 JB655382:JB655384 SX655382:SX655384 ACT655382:ACT655384 AMP655382:AMP655384 AWL655382:AWL655384 BGH655382:BGH655384 BQD655382:BQD655384 BZZ655382:BZZ655384 CJV655382:CJV655384 CTR655382:CTR655384 DDN655382:DDN655384 DNJ655382:DNJ655384 DXF655382:DXF655384 EHB655382:EHB655384 EQX655382:EQX655384 FAT655382:FAT655384 FKP655382:FKP655384 FUL655382:FUL655384 GEH655382:GEH655384 GOD655382:GOD655384 GXZ655382:GXZ655384 HHV655382:HHV655384 HRR655382:HRR655384 IBN655382:IBN655384 ILJ655382:ILJ655384 IVF655382:IVF655384 JFB655382:JFB655384 JOX655382:JOX655384 JYT655382:JYT655384 KIP655382:KIP655384 KSL655382:KSL655384 LCH655382:LCH655384 LMD655382:LMD655384 LVZ655382:LVZ655384 MFV655382:MFV655384 MPR655382:MPR655384 MZN655382:MZN655384 NJJ655382:NJJ655384 NTF655382:NTF655384 ODB655382:ODB655384 OMX655382:OMX655384 OWT655382:OWT655384 PGP655382:PGP655384 PQL655382:PQL655384 QAH655382:QAH655384 QKD655382:QKD655384 QTZ655382:QTZ655384 RDV655382:RDV655384 RNR655382:RNR655384 RXN655382:RXN655384 SHJ655382:SHJ655384 SRF655382:SRF655384 TBB655382:TBB655384 TKX655382:TKX655384 TUT655382:TUT655384 UEP655382:UEP655384 UOL655382:UOL655384 UYH655382:UYH655384 VID655382:VID655384 VRZ655382:VRZ655384 WBV655382:WBV655384 WLR655382:WLR655384 WVN655382:WVN655384 E720913:E720915 JB720918:JB720920 SX720918:SX720920 ACT720918:ACT720920 AMP720918:AMP720920 AWL720918:AWL720920 BGH720918:BGH720920 BQD720918:BQD720920 BZZ720918:BZZ720920 CJV720918:CJV720920 CTR720918:CTR720920 DDN720918:DDN720920 DNJ720918:DNJ720920 DXF720918:DXF720920 EHB720918:EHB720920 EQX720918:EQX720920 FAT720918:FAT720920 FKP720918:FKP720920 FUL720918:FUL720920 GEH720918:GEH720920 GOD720918:GOD720920 GXZ720918:GXZ720920 HHV720918:HHV720920 HRR720918:HRR720920 IBN720918:IBN720920 ILJ720918:ILJ720920 IVF720918:IVF720920 JFB720918:JFB720920 JOX720918:JOX720920 JYT720918:JYT720920 KIP720918:KIP720920 KSL720918:KSL720920 LCH720918:LCH720920 LMD720918:LMD720920 LVZ720918:LVZ720920 MFV720918:MFV720920 MPR720918:MPR720920 MZN720918:MZN720920 NJJ720918:NJJ720920 NTF720918:NTF720920 ODB720918:ODB720920 OMX720918:OMX720920 OWT720918:OWT720920 PGP720918:PGP720920 PQL720918:PQL720920 QAH720918:QAH720920 QKD720918:QKD720920 QTZ720918:QTZ720920 RDV720918:RDV720920 RNR720918:RNR720920 RXN720918:RXN720920 SHJ720918:SHJ720920 SRF720918:SRF720920 TBB720918:TBB720920 TKX720918:TKX720920 TUT720918:TUT720920 UEP720918:UEP720920 UOL720918:UOL720920 UYH720918:UYH720920 VID720918:VID720920 VRZ720918:VRZ720920 WBV720918:WBV720920 WLR720918:WLR720920 WVN720918:WVN720920 E786449:E786451 JB786454:JB786456 SX786454:SX786456 ACT786454:ACT786456 AMP786454:AMP786456 AWL786454:AWL786456 BGH786454:BGH786456 BQD786454:BQD786456 BZZ786454:BZZ786456 CJV786454:CJV786456 CTR786454:CTR786456 DDN786454:DDN786456 DNJ786454:DNJ786456 DXF786454:DXF786456 EHB786454:EHB786456 EQX786454:EQX786456 FAT786454:FAT786456 FKP786454:FKP786456 FUL786454:FUL786456 GEH786454:GEH786456 GOD786454:GOD786456 GXZ786454:GXZ786456 HHV786454:HHV786456 HRR786454:HRR786456 IBN786454:IBN786456 ILJ786454:ILJ786456 IVF786454:IVF786456 JFB786454:JFB786456 JOX786454:JOX786456 JYT786454:JYT786456 KIP786454:KIP786456 KSL786454:KSL786456 LCH786454:LCH786456 LMD786454:LMD786456 LVZ786454:LVZ786456 MFV786454:MFV786456 MPR786454:MPR786456 MZN786454:MZN786456 NJJ786454:NJJ786456 NTF786454:NTF786456 ODB786454:ODB786456 OMX786454:OMX786456 OWT786454:OWT786456 PGP786454:PGP786456 PQL786454:PQL786456 QAH786454:QAH786456 QKD786454:QKD786456 QTZ786454:QTZ786456 RDV786454:RDV786456 RNR786454:RNR786456 RXN786454:RXN786456 SHJ786454:SHJ786456 SRF786454:SRF786456 TBB786454:TBB786456 TKX786454:TKX786456 TUT786454:TUT786456 UEP786454:UEP786456 UOL786454:UOL786456 UYH786454:UYH786456 VID786454:VID786456 VRZ786454:VRZ786456 WBV786454:WBV786456 WLR786454:WLR786456 WVN786454:WVN786456 E851985:E851987 JB851990:JB851992 SX851990:SX851992 ACT851990:ACT851992 AMP851990:AMP851992 AWL851990:AWL851992 BGH851990:BGH851992 BQD851990:BQD851992 BZZ851990:BZZ851992 CJV851990:CJV851992 CTR851990:CTR851992 DDN851990:DDN851992 DNJ851990:DNJ851992 DXF851990:DXF851992 EHB851990:EHB851992 EQX851990:EQX851992 FAT851990:FAT851992 FKP851990:FKP851992 FUL851990:FUL851992 GEH851990:GEH851992 GOD851990:GOD851992 GXZ851990:GXZ851992 HHV851990:HHV851992 HRR851990:HRR851992 IBN851990:IBN851992 ILJ851990:ILJ851992 IVF851990:IVF851992 JFB851990:JFB851992 JOX851990:JOX851992 JYT851990:JYT851992 KIP851990:KIP851992 KSL851990:KSL851992 LCH851990:LCH851992 LMD851990:LMD851992 LVZ851990:LVZ851992 MFV851990:MFV851992 MPR851990:MPR851992 MZN851990:MZN851992 NJJ851990:NJJ851992 NTF851990:NTF851992 ODB851990:ODB851992 OMX851990:OMX851992 OWT851990:OWT851992 PGP851990:PGP851992 PQL851990:PQL851992 QAH851990:QAH851992 QKD851990:QKD851992 QTZ851990:QTZ851992 RDV851990:RDV851992 RNR851990:RNR851992 RXN851990:RXN851992 SHJ851990:SHJ851992 SRF851990:SRF851992 TBB851990:TBB851992 TKX851990:TKX851992 TUT851990:TUT851992 UEP851990:UEP851992 UOL851990:UOL851992 UYH851990:UYH851992 VID851990:VID851992 VRZ851990:VRZ851992 WBV851990:WBV851992 WLR851990:WLR851992 WVN851990:WVN851992 E917521:E917523 JB917526:JB917528 SX917526:SX917528 ACT917526:ACT917528 AMP917526:AMP917528 AWL917526:AWL917528 BGH917526:BGH917528 BQD917526:BQD917528 BZZ917526:BZZ917528 CJV917526:CJV917528 CTR917526:CTR917528 DDN917526:DDN917528 DNJ917526:DNJ917528 DXF917526:DXF917528 EHB917526:EHB917528 EQX917526:EQX917528 FAT917526:FAT917528 FKP917526:FKP917528 FUL917526:FUL917528 GEH917526:GEH917528 GOD917526:GOD917528 GXZ917526:GXZ917528 HHV917526:HHV917528 HRR917526:HRR917528 IBN917526:IBN917528 ILJ917526:ILJ917528 IVF917526:IVF917528 JFB917526:JFB917528 JOX917526:JOX917528 JYT917526:JYT917528 KIP917526:KIP917528 KSL917526:KSL917528 LCH917526:LCH917528 LMD917526:LMD917528 LVZ917526:LVZ917528 MFV917526:MFV917528 MPR917526:MPR917528 MZN917526:MZN917528 NJJ917526:NJJ917528 NTF917526:NTF917528 ODB917526:ODB917528 OMX917526:OMX917528 OWT917526:OWT917528 PGP917526:PGP917528 PQL917526:PQL917528 QAH917526:QAH917528 QKD917526:QKD917528 QTZ917526:QTZ917528 RDV917526:RDV917528 RNR917526:RNR917528 RXN917526:RXN917528 SHJ917526:SHJ917528 SRF917526:SRF917528 TBB917526:TBB917528 TKX917526:TKX917528 TUT917526:TUT917528 UEP917526:UEP917528 UOL917526:UOL917528 UYH917526:UYH917528 VID917526:VID917528 VRZ917526:VRZ917528 WBV917526:WBV917528 WLR917526:WLR917528 WVN917526:WVN917528 E983057:E983059 JB983062:JB983064 SX983062:SX983064 ACT983062:ACT983064 AMP983062:AMP983064 AWL983062:AWL983064 BGH983062:BGH983064 BQD983062:BQD983064 BZZ983062:BZZ983064 CJV983062:CJV983064 CTR983062:CTR983064 DDN983062:DDN983064 DNJ983062:DNJ983064 DXF983062:DXF983064 EHB983062:EHB983064 EQX983062:EQX983064 FAT983062:FAT983064 FKP983062:FKP983064 FUL983062:FUL983064 GEH983062:GEH983064 GOD983062:GOD983064 GXZ983062:GXZ983064 HHV983062:HHV983064 HRR983062:HRR983064 IBN983062:IBN983064 ILJ983062:ILJ983064 IVF983062:IVF983064 JFB983062:JFB983064 JOX983062:JOX983064 JYT983062:JYT983064 KIP983062:KIP983064 KSL983062:KSL983064 LCH983062:LCH983064 LMD983062:LMD983064 LVZ983062:LVZ983064 MFV983062:MFV983064 MPR983062:MPR983064 MZN983062:MZN983064 NJJ983062:NJJ983064 NTF983062:NTF983064 ODB983062:ODB983064 OMX983062:OMX983064 OWT983062:OWT983064 PGP983062:PGP983064 PQL983062:PQL983064 QAH983062:QAH983064 QKD983062:QKD983064 QTZ983062:QTZ983064 RDV983062:RDV983064 RNR983062:RNR983064 RXN983062:RXN983064 SHJ983062:SHJ983064 SRF983062:SRF983064 TBB983062:TBB983064 TKX983062:TKX983064 TUT983062:TUT983064 UEP983062:UEP983064 UOL983062:UOL983064 UYH983062:UYH983064 VID983062:VID983064 VRZ983062:VRZ983064 WBV983062:WBV983064" xr:uid="{00000000-0002-0000-2C00-000000000000}">
      <formula1>"　,あり,なし"</formula1>
    </dataValidation>
    <dataValidation type="list" errorStyle="warning" showInputMessage="1" showErrorMessage="1" sqref="F17" xr:uid="{00000000-0002-0000-2C00-000001000000}">
      <formula1>$M$2:$M$6</formula1>
    </dataValidation>
    <dataValidation type="list" errorStyle="warning" showInputMessage="1" showErrorMessage="1" sqref="E19:E22 E17" xr:uid="{00000000-0002-0000-2C00-000002000000}">
      <formula1>$L$2:$L$6</formula1>
    </dataValidation>
  </dataValidations>
  <pageMargins left="0.7" right="0.7" top="0.75" bottom="0.75" header="0.3" footer="0.3"/>
  <pageSetup paperSize="9" scale="81" orientation="portrait"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B57C-73E0-4BAA-A90B-383A8F9C5F67}">
  <sheetPr>
    <tabColor theme="1"/>
  </sheetPr>
  <dimension ref="A1"/>
  <sheetViews>
    <sheetView workbookViewId="0"/>
  </sheetViews>
  <sheetFormatPr defaultRowHeight="13"/>
  <sheetData/>
  <sheetProtection algorithmName="SHA-512" hashValue="dg0p/9TBhfO+uJhsTWeDj7jFVuMAh5iWf7dqf9Vz+5FF+JOqxUka+JLJ5CyX73KQbO71yBZsYXVNeZstpaWvZw==" saltValue="nn1WdEm/nl3Ib69d99RF3A==" spinCount="100000" sheet="1" objects="1" scenarios="1"/>
  <phoneticPr fontId="3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6" tint="0.59999389629810485"/>
  </sheetPr>
  <dimension ref="A1:AC58"/>
  <sheetViews>
    <sheetView view="pageBreakPreview" zoomScale="55" zoomScaleNormal="70" zoomScaleSheetLayoutView="55" workbookViewId="0">
      <selection activeCell="D8" sqref="D8:E8"/>
    </sheetView>
  </sheetViews>
  <sheetFormatPr defaultColWidth="8.90625" defaultRowHeight="16.5" outlineLevelCol="1"/>
  <cols>
    <col min="1" max="1" width="11.90625" style="390" customWidth="1"/>
    <col min="2" max="17" width="15.6328125" style="390" customWidth="1"/>
    <col min="18" max="20" width="15.6328125" style="390" hidden="1" customWidth="1" outlineLevel="1"/>
    <col min="21" max="28" width="8.90625" style="390" hidden="1" customWidth="1" outlineLevel="1"/>
    <col min="29" max="29" width="8.90625" style="390" collapsed="1"/>
    <col min="30" max="16384" width="8.90625" style="390"/>
  </cols>
  <sheetData>
    <row r="1" spans="1:28" ht="20.149999999999999" customHeight="1" thickBot="1">
      <c r="A1" s="525" t="str">
        <f ca="1">RIGHT(CELL("filename",A4),LEN(CELL("filename",A4))-FIND("]",CELL("filename",A4)))</f>
        <v>入力（加算）家</v>
      </c>
      <c r="B1" s="389"/>
      <c r="C1" s="389"/>
      <c r="D1" s="389"/>
      <c r="E1" s="389"/>
      <c r="F1" s="389"/>
      <c r="G1" s="389"/>
      <c r="H1" s="389"/>
      <c r="I1" s="389"/>
      <c r="J1" s="389"/>
      <c r="K1" s="389"/>
      <c r="L1" s="389"/>
      <c r="M1" s="389"/>
      <c r="N1" s="1136" t="e">
        <f>CONCATENATE(#REF!,"/",#REF!,"/",#REF!)</f>
        <v>#REF!</v>
      </c>
      <c r="O1" s="1136"/>
      <c r="P1" s="1136"/>
      <c r="Q1" s="1136"/>
      <c r="W1" s="394" t="s">
        <v>66</v>
      </c>
      <c r="X1" s="524" t="s">
        <v>84</v>
      </c>
      <c r="Y1" s="393" t="s">
        <v>82</v>
      </c>
      <c r="Z1" s="394" t="s">
        <v>143</v>
      </c>
      <c r="AA1" s="394" t="s">
        <v>81</v>
      </c>
      <c r="AB1" s="393" t="s">
        <v>80</v>
      </c>
    </row>
    <row r="2" spans="1:28" ht="20.149999999999999" customHeight="1" thickBot="1">
      <c r="A2" s="1202" t="s">
        <v>437</v>
      </c>
      <c r="B2" s="1202"/>
      <c r="C2" s="1202"/>
      <c r="D2" s="1202"/>
      <c r="E2" s="1202"/>
      <c r="F2" s="1202"/>
      <c r="G2" s="1202"/>
      <c r="H2" s="1202"/>
      <c r="I2" s="1202"/>
      <c r="J2" s="1202"/>
      <c r="K2" s="1202"/>
      <c r="L2" s="1202"/>
      <c r="M2" s="1202"/>
      <c r="N2" s="1202"/>
      <c r="O2" s="1202"/>
      <c r="P2" s="1202"/>
      <c r="Q2" s="1202"/>
      <c r="W2" s="526"/>
      <c r="X2" s="527">
        <f>IF(ISERROR(VLOOKUP($D$10,$W$3:$X$14,2,FALSE)+1-VLOOKUP($D$9,$W$3:$X$14,2,FALSE)),0,VLOOKUP($D$10,$W$3:$X$14,2,FALSE)+1-VLOOKUP($D$9,$W$3:$X$14,2,FALSE))</f>
        <v>12</v>
      </c>
      <c r="Y2" s="393"/>
      <c r="Z2" s="394"/>
      <c r="AA2" s="394"/>
      <c r="AB2" s="393"/>
    </row>
    <row r="3" spans="1:28" ht="20.149999999999999" customHeight="1">
      <c r="A3" s="1202"/>
      <c r="B3" s="1202"/>
      <c r="C3" s="1202"/>
      <c r="D3" s="1202"/>
      <c r="E3" s="1202"/>
      <c r="F3" s="1202"/>
      <c r="G3" s="1202"/>
      <c r="H3" s="1202"/>
      <c r="I3" s="1202"/>
      <c r="J3" s="1202"/>
      <c r="K3" s="1202"/>
      <c r="L3" s="1202"/>
      <c r="M3" s="1202"/>
      <c r="N3" s="1202"/>
      <c r="O3" s="1202"/>
      <c r="P3" s="1202"/>
      <c r="Q3" s="1202"/>
      <c r="W3" s="391">
        <v>4</v>
      </c>
      <c r="X3" s="392">
        <v>1</v>
      </c>
      <c r="Y3" s="393" t="s">
        <v>18</v>
      </c>
      <c r="Z3" s="394" t="s">
        <v>141</v>
      </c>
      <c r="AA3" s="1">
        <v>3</v>
      </c>
      <c r="AB3" s="2">
        <v>6.3</v>
      </c>
    </row>
    <row r="4" spans="1:28" ht="20.149999999999999" customHeight="1">
      <c r="A4" s="389"/>
      <c r="B4" s="389"/>
      <c r="C4" s="389"/>
      <c r="D4" s="389"/>
      <c r="E4" s="389"/>
      <c r="F4" s="389"/>
      <c r="G4" s="389"/>
      <c r="H4" s="389"/>
      <c r="I4" s="389"/>
      <c r="J4" s="389"/>
      <c r="K4" s="389"/>
      <c r="L4" s="389"/>
      <c r="M4" s="389"/>
      <c r="N4" s="389"/>
      <c r="O4" s="389"/>
      <c r="P4" s="389"/>
      <c r="Q4" s="389"/>
      <c r="W4" s="391">
        <v>5</v>
      </c>
      <c r="X4" s="392">
        <v>2</v>
      </c>
      <c r="Y4" s="393" t="s">
        <v>19</v>
      </c>
      <c r="Z4" s="394" t="s">
        <v>144</v>
      </c>
      <c r="AA4" s="1">
        <v>4</v>
      </c>
      <c r="AB4" s="2">
        <v>4.3</v>
      </c>
    </row>
    <row r="5" spans="1:28" ht="20.149999999999999" customHeight="1">
      <c r="A5" s="389"/>
      <c r="B5" s="1084" t="s">
        <v>399</v>
      </c>
      <c r="C5" s="1084"/>
      <c r="D5" s="1084"/>
      <c r="E5" s="389"/>
      <c r="F5" s="690"/>
      <c r="G5" s="690"/>
      <c r="H5" s="690"/>
      <c r="I5" s="690"/>
      <c r="J5" s="690"/>
      <c r="K5" s="582" t="s">
        <v>56</v>
      </c>
      <c r="L5" s="389"/>
      <c r="N5" s="690"/>
      <c r="O5" s="690"/>
      <c r="P5" s="690"/>
      <c r="Q5" s="690"/>
      <c r="W5" s="391">
        <v>6</v>
      </c>
      <c r="X5" s="392">
        <v>3</v>
      </c>
      <c r="Z5" s="394" t="s">
        <v>142</v>
      </c>
      <c r="AA5" s="3">
        <v>5</v>
      </c>
      <c r="AB5" s="4">
        <v>2.4</v>
      </c>
    </row>
    <row r="6" spans="1:28" ht="27.75" customHeight="1">
      <c r="A6" s="389"/>
      <c r="B6" s="1201" t="s">
        <v>3</v>
      </c>
      <c r="C6" s="1201"/>
      <c r="D6" s="896"/>
      <c r="E6" s="896"/>
      <c r="F6" s="690"/>
      <c r="G6" s="690"/>
      <c r="H6" s="690"/>
      <c r="I6" s="690"/>
      <c r="J6" s="690"/>
      <c r="K6" s="535" t="s">
        <v>57</v>
      </c>
      <c r="L6" s="389" t="s">
        <v>54</v>
      </c>
      <c r="M6" s="389"/>
      <c r="N6" s="690"/>
      <c r="O6" s="690"/>
      <c r="P6" s="690"/>
      <c r="Q6" s="690"/>
      <c r="W6" s="391">
        <v>7</v>
      </c>
      <c r="X6" s="392">
        <v>4</v>
      </c>
      <c r="AA6" s="1">
        <v>6</v>
      </c>
      <c r="AB6" s="2">
        <v>1.1000000000000001</v>
      </c>
    </row>
    <row r="7" spans="1:28" ht="27.75" customHeight="1">
      <c r="A7" s="389"/>
      <c r="B7" s="1201" t="s">
        <v>4</v>
      </c>
      <c r="C7" s="1201"/>
      <c r="D7" s="1291" t="s">
        <v>120</v>
      </c>
      <c r="E7" s="1291"/>
      <c r="F7" s="690"/>
      <c r="G7" s="690"/>
      <c r="H7" s="690"/>
      <c r="I7" s="690"/>
      <c r="J7" s="690"/>
      <c r="K7" s="536" t="s">
        <v>58</v>
      </c>
      <c r="L7" s="525" t="s">
        <v>59</v>
      </c>
      <c r="M7" s="389"/>
      <c r="N7" s="690"/>
      <c r="O7" s="690"/>
      <c r="P7" s="690"/>
      <c r="Q7" s="690"/>
      <c r="W7" s="391">
        <v>8</v>
      </c>
      <c r="X7" s="392">
        <v>5</v>
      </c>
    </row>
    <row r="8" spans="1:28" ht="27.75" customHeight="1">
      <c r="A8" s="389"/>
      <c r="B8" s="816" t="s">
        <v>2</v>
      </c>
      <c r="C8" s="816" t="s">
        <v>22</v>
      </c>
      <c r="D8" s="956"/>
      <c r="E8" s="956"/>
      <c r="F8" s="690"/>
      <c r="G8" s="690"/>
      <c r="H8" s="690"/>
      <c r="I8" s="690"/>
      <c r="J8" s="690"/>
      <c r="L8" s="389"/>
      <c r="M8" s="389"/>
      <c r="N8" s="690"/>
      <c r="O8" s="690"/>
      <c r="P8" s="690"/>
      <c r="Q8" s="690"/>
      <c r="W8" s="391">
        <v>9</v>
      </c>
      <c r="X8" s="392">
        <v>6</v>
      </c>
    </row>
    <row r="9" spans="1:28" ht="27.75" customHeight="1">
      <c r="A9" s="389"/>
      <c r="B9" s="1201" t="s">
        <v>66</v>
      </c>
      <c r="C9" s="1201"/>
      <c r="D9" s="1188">
        <v>4</v>
      </c>
      <c r="E9" s="1188"/>
      <c r="F9" s="690"/>
      <c r="G9" s="690"/>
      <c r="H9" s="690"/>
      <c r="I9" s="690"/>
      <c r="J9" s="690"/>
      <c r="K9" s="389"/>
      <c r="L9" s="389"/>
      <c r="M9" s="389"/>
      <c r="N9" s="690"/>
      <c r="O9" s="690"/>
      <c r="P9" s="690"/>
      <c r="Q9" s="690"/>
      <c r="W9" s="391">
        <v>10</v>
      </c>
      <c r="X9" s="392">
        <v>7</v>
      </c>
    </row>
    <row r="10" spans="1:28" ht="27.75" customHeight="1">
      <c r="A10" s="389"/>
      <c r="B10" s="1201" t="s">
        <v>108</v>
      </c>
      <c r="C10" s="1201"/>
      <c r="D10" s="1188">
        <v>3</v>
      </c>
      <c r="E10" s="1188"/>
      <c r="F10" s="690"/>
      <c r="G10" s="690"/>
      <c r="H10" s="690"/>
      <c r="I10" s="690"/>
      <c r="J10" s="690"/>
      <c r="K10" s="389"/>
      <c r="L10" s="389"/>
      <c r="M10" s="389"/>
      <c r="N10" s="690"/>
      <c r="O10" s="690"/>
      <c r="P10" s="690"/>
      <c r="Q10" s="690"/>
      <c r="W10" s="391">
        <v>11</v>
      </c>
      <c r="X10" s="392">
        <v>8</v>
      </c>
    </row>
    <row r="11" spans="1:28" ht="20.149999999999999" customHeight="1">
      <c r="A11" s="389"/>
      <c r="B11" s="128"/>
      <c r="C11" s="128"/>
      <c r="D11" s="605"/>
      <c r="E11" s="605"/>
      <c r="F11" s="690"/>
      <c r="G11" s="690"/>
      <c r="H11" s="690"/>
      <c r="I11" s="690"/>
      <c r="J11" s="690"/>
      <c r="K11" s="389"/>
      <c r="L11" s="389"/>
      <c r="M11" s="389"/>
      <c r="N11" s="690"/>
      <c r="O11" s="690"/>
      <c r="P11" s="690"/>
      <c r="Q11" s="690"/>
      <c r="W11" s="391">
        <v>12</v>
      </c>
      <c r="X11" s="392">
        <v>9</v>
      </c>
    </row>
    <row r="12" spans="1:28" ht="20.149999999999999" customHeight="1">
      <c r="A12" s="389"/>
      <c r="B12" s="539"/>
      <c r="C12" s="539"/>
      <c r="D12" s="539"/>
      <c r="E12" s="539"/>
      <c r="F12" s="539"/>
      <c r="G12" s="539"/>
      <c r="H12" s="539"/>
      <c r="I12" s="389"/>
      <c r="J12" s="389"/>
      <c r="K12" s="389"/>
      <c r="L12" s="389"/>
      <c r="M12" s="389"/>
      <c r="N12" s="690"/>
      <c r="O12" s="690"/>
      <c r="P12" s="690"/>
      <c r="Q12" s="690"/>
      <c r="W12" s="391">
        <v>1</v>
      </c>
      <c r="X12" s="392">
        <v>10</v>
      </c>
    </row>
    <row r="13" spans="1:28" ht="20.149999999999999" customHeight="1">
      <c r="A13" s="389"/>
      <c r="B13" s="539"/>
      <c r="C13" s="539"/>
      <c r="D13" s="539"/>
      <c r="E13" s="539"/>
      <c r="F13" s="539"/>
      <c r="G13" s="539"/>
      <c r="H13" s="539"/>
      <c r="I13" s="389"/>
      <c r="J13" s="389"/>
      <c r="K13" s="389"/>
      <c r="L13" s="389"/>
      <c r="M13" s="389"/>
      <c r="N13" s="690"/>
      <c r="O13" s="690"/>
      <c r="P13" s="690"/>
      <c r="Q13" s="690"/>
      <c r="W13" s="391">
        <v>2</v>
      </c>
      <c r="X13" s="392">
        <v>11</v>
      </c>
    </row>
    <row r="14" spans="1:28" ht="20.149999999999999" customHeight="1">
      <c r="A14" s="543"/>
      <c r="B14" s="389"/>
      <c r="C14" s="389"/>
      <c r="D14" s="389"/>
      <c r="E14" s="389"/>
      <c r="F14" s="389"/>
      <c r="G14" s="389"/>
      <c r="H14" s="389"/>
      <c r="I14" s="389"/>
      <c r="J14" s="389"/>
      <c r="K14" s="543"/>
      <c r="L14" s="389"/>
      <c r="M14" s="389"/>
      <c r="N14" s="690"/>
      <c r="O14" s="690"/>
      <c r="P14" s="690"/>
      <c r="Q14" s="690"/>
      <c r="W14" s="391">
        <v>3</v>
      </c>
      <c r="X14" s="392">
        <v>12</v>
      </c>
    </row>
    <row r="15" spans="1:28" ht="21">
      <c r="A15" s="543"/>
      <c r="B15" s="1092" t="s">
        <v>55</v>
      </c>
      <c r="C15" s="1092"/>
      <c r="D15" s="129" t="s">
        <v>158</v>
      </c>
      <c r="E15" s="130"/>
      <c r="F15" s="130"/>
      <c r="G15" s="130"/>
      <c r="H15" s="1293" t="s">
        <v>168</v>
      </c>
      <c r="I15" s="1294"/>
      <c r="J15" s="456" t="s">
        <v>114</v>
      </c>
      <c r="K15" s="543"/>
      <c r="L15" s="389"/>
      <c r="M15" s="389"/>
      <c r="N15" s="690"/>
      <c r="O15" s="690"/>
      <c r="P15" s="690"/>
      <c r="Q15" s="690"/>
    </row>
    <row r="16" spans="1:28" ht="59.25" customHeight="1">
      <c r="A16" s="543"/>
      <c r="B16" s="896" t="s">
        <v>37</v>
      </c>
      <c r="C16" s="896"/>
      <c r="D16" s="17" t="s">
        <v>9</v>
      </c>
      <c r="E16" s="17" t="s">
        <v>43</v>
      </c>
      <c r="F16" s="17" t="s">
        <v>44</v>
      </c>
      <c r="G16" s="17" t="s">
        <v>152</v>
      </c>
      <c r="H16" s="1216" t="s">
        <v>173</v>
      </c>
      <c r="I16" s="1222"/>
      <c r="J16" s="127" t="s">
        <v>139</v>
      </c>
      <c r="K16" s="543"/>
      <c r="L16" s="389"/>
      <c r="M16" s="389"/>
      <c r="N16" s="690"/>
      <c r="O16" s="690"/>
      <c r="P16" s="690"/>
      <c r="Q16" s="690"/>
    </row>
    <row r="17" spans="1:24" ht="27.75" customHeight="1">
      <c r="A17" s="389"/>
      <c r="B17" s="896"/>
      <c r="C17" s="896"/>
      <c r="D17" s="445" t="s">
        <v>53</v>
      </c>
      <c r="E17" s="14"/>
      <c r="F17" s="14"/>
      <c r="G17" s="14"/>
      <c r="H17" s="1295"/>
      <c r="I17" s="1296"/>
      <c r="J17" s="14"/>
      <c r="K17" s="109"/>
      <c r="L17" s="389"/>
      <c r="M17" s="389"/>
      <c r="N17" s="389"/>
      <c r="O17" s="109"/>
      <c r="P17" s="109"/>
      <c r="Q17" s="389"/>
    </row>
    <row r="18" spans="1:24">
      <c r="A18" s="389"/>
      <c r="B18" s="389"/>
      <c r="C18" s="389"/>
      <c r="D18" s="389"/>
      <c r="E18" s="389"/>
      <c r="F18" s="389"/>
      <c r="G18" s="389"/>
      <c r="H18" s="389"/>
      <c r="I18" s="389"/>
      <c r="J18" s="389"/>
      <c r="K18" s="26"/>
      <c r="L18" s="389"/>
      <c r="M18" s="389"/>
      <c r="N18" s="389"/>
      <c r="O18" s="389"/>
      <c r="P18" s="389"/>
      <c r="Q18" s="389"/>
    </row>
    <row r="19" spans="1:24" ht="20.149999999999999" customHeight="1">
      <c r="A19" s="389"/>
      <c r="B19" s="389"/>
      <c r="C19" s="389"/>
      <c r="D19" s="389"/>
      <c r="E19" s="389"/>
      <c r="F19" s="109"/>
      <c r="G19" s="539"/>
      <c r="H19" s="539"/>
      <c r="I19" s="109"/>
      <c r="J19" s="109"/>
      <c r="K19" s="109"/>
      <c r="L19" s="109"/>
      <c r="M19" s="389"/>
      <c r="N19" s="389"/>
      <c r="O19" s="389"/>
      <c r="P19" s="389"/>
      <c r="Q19" s="389"/>
    </row>
    <row r="20" spans="1:24" ht="20.149999999999999" customHeight="1">
      <c r="A20" s="389"/>
      <c r="B20" s="1220" t="s">
        <v>357</v>
      </c>
      <c r="C20" s="1220"/>
      <c r="D20" s="1220"/>
      <c r="E20" s="1220"/>
      <c r="F20" s="1220"/>
      <c r="G20" s="109"/>
      <c r="H20" s="109"/>
      <c r="I20" s="109"/>
      <c r="J20" s="109"/>
      <c r="K20" s="109"/>
      <c r="L20" s="109"/>
      <c r="M20" s="109"/>
      <c r="N20" s="109"/>
      <c r="O20" s="109"/>
      <c r="P20" s="389"/>
      <c r="Q20" s="389"/>
    </row>
    <row r="21" spans="1:24" ht="33" customHeight="1">
      <c r="A21" s="389"/>
      <c r="B21" s="1292" t="s">
        <v>33</v>
      </c>
      <c r="C21" s="1292"/>
      <c r="D21" s="445" t="str">
        <f>IF(AND(VLOOKUP($D$9,$W$3:$X$14,2,FALSE)&lt;=1,VLOOKUP($D$10,$W$3:$X$14,2,FALSE)&gt;=1),"4月","")</f>
        <v>4月</v>
      </c>
      <c r="E21" s="445" t="str">
        <f>IF(AND(VLOOKUP($D$9,$W$3:$X$14,2,FALSE)&lt;=2,VLOOKUP($D$10,$W$3:$X$14,2,FALSE)&gt;=2),"5月","")</f>
        <v>5月</v>
      </c>
      <c r="F21" s="445" t="str">
        <f>IF(AND(VLOOKUP($D$9,$W$3:$X$14,2,FALSE)&lt;=3,VLOOKUP($D$10,$W$3:$X$14,2,FALSE)&gt;=3),"6月","")</f>
        <v>6月</v>
      </c>
      <c r="G21" s="445" t="str">
        <f>IF(AND(VLOOKUP($D$9,$W$3:$X$14,2,FALSE)&lt;=4,VLOOKUP($D$10,$W$3:$X$14,2,FALSE)&gt;=4),"7月","")</f>
        <v>7月</v>
      </c>
      <c r="H21" s="445" t="str">
        <f>IF(AND(VLOOKUP($D$9,$W$3:$X$14,2,FALSE)&lt;=5,VLOOKUP($D$10,$W$3:$X$14,2,FALSE)&gt;=5),"8月","")</f>
        <v>8月</v>
      </c>
      <c r="I21" s="445" t="str">
        <f>IF(AND(VLOOKUP($D$9,$W$3:$X$14,2,FALSE)&lt;=6,VLOOKUP($D$10,$W$3:$X$14,2,FALSE)&gt;=6),"9月","")</f>
        <v>9月</v>
      </c>
      <c r="J21" s="445" t="str">
        <f>IF(AND(VLOOKUP($D$9,$W$3:$X$14,2,FALSE)&lt;=7,VLOOKUP($D$10,$W$3:$X$14,2,FALSE)&gt;=7),"10月","")</f>
        <v>10月</v>
      </c>
      <c r="K21" s="445" t="str">
        <f>IF(AND(VLOOKUP($D$9,$W$3:$X$14,2,FALSE)&lt;=8,VLOOKUP($D$10,$W$3:$X$14,2,FALSE)&gt;=8),"11月","")</f>
        <v>11月</v>
      </c>
      <c r="L21" s="445" t="str">
        <f>IF(AND(VLOOKUP($D$9,$W$3:$X$14,2,FALSE)&lt;=9,VLOOKUP($D$10,$W$3:$X$14,2,FALSE)&gt;=9),"12月","")</f>
        <v>12月</v>
      </c>
      <c r="M21" s="445" t="str">
        <f>IF(AND(VLOOKUP($D$9,$W$3:$X$14,2,FALSE)&lt;=10,VLOOKUP($D$10,$W$3:$X$14,2,FALSE)&gt;=10),"1月","")</f>
        <v>1月</v>
      </c>
      <c r="N21" s="445" t="str">
        <f>IF(AND(VLOOKUP($D$9,$W$3:$X$14,2,FALSE)&lt;=11,VLOOKUP($D$10,$W$3:$X$14,2,FALSE)&gt;=11),"2月","")</f>
        <v>2月</v>
      </c>
      <c r="O21" s="445" t="str">
        <f>IF(AND(VLOOKUP($D$9,$W$3:$X$14,2,FALSE)&lt;=12,VLOOKUP($D$10,$W$3:$X$14,2,FALSE)&gt;=12),"3月","")</f>
        <v>3月</v>
      </c>
      <c r="P21" s="445" t="s">
        <v>52</v>
      </c>
      <c r="Q21" s="445" t="s">
        <v>1</v>
      </c>
    </row>
    <row r="22" spans="1:24" ht="33" customHeight="1">
      <c r="A22" s="389"/>
      <c r="B22" s="1079" t="s">
        <v>42</v>
      </c>
      <c r="C22" s="1204"/>
      <c r="D22" s="608"/>
      <c r="E22" s="608"/>
      <c r="F22" s="608"/>
      <c r="G22" s="608"/>
      <c r="H22" s="608"/>
      <c r="I22" s="608"/>
      <c r="J22" s="608"/>
      <c r="K22" s="608"/>
      <c r="L22" s="608"/>
      <c r="M22" s="608"/>
      <c r="N22" s="608"/>
      <c r="O22" s="608"/>
      <c r="P22" s="546">
        <f>SUM(D22:O22)</f>
        <v>0</v>
      </c>
      <c r="Q22" s="546">
        <f>IF(ISERROR(ROUND(P22/$X$2,0)),0,ROUND(P22/$X$2,0))</f>
        <v>0</v>
      </c>
      <c r="R22" s="389"/>
    </row>
    <row r="23" spans="1:24" ht="33" customHeight="1">
      <c r="A23" s="389"/>
      <c r="B23" s="896" t="s">
        <v>0</v>
      </c>
      <c r="C23" s="896"/>
      <c r="D23" s="546">
        <f t="shared" ref="D23:O23" si="0">SUM(D22:D22)</f>
        <v>0</v>
      </c>
      <c r="E23" s="546">
        <f t="shared" si="0"/>
        <v>0</v>
      </c>
      <c r="F23" s="546">
        <f t="shared" si="0"/>
        <v>0</v>
      </c>
      <c r="G23" s="546">
        <f t="shared" si="0"/>
        <v>0</v>
      </c>
      <c r="H23" s="546">
        <f t="shared" si="0"/>
        <v>0</v>
      </c>
      <c r="I23" s="546">
        <f t="shared" si="0"/>
        <v>0</v>
      </c>
      <c r="J23" s="546">
        <f t="shared" si="0"/>
        <v>0</v>
      </c>
      <c r="K23" s="546">
        <f t="shared" si="0"/>
        <v>0</v>
      </c>
      <c r="L23" s="546">
        <f t="shared" si="0"/>
        <v>0</v>
      </c>
      <c r="M23" s="546">
        <f t="shared" si="0"/>
        <v>0</v>
      </c>
      <c r="N23" s="546">
        <f t="shared" si="0"/>
        <v>0</v>
      </c>
      <c r="O23" s="546">
        <f t="shared" si="0"/>
        <v>0</v>
      </c>
      <c r="P23" s="546">
        <f>SUM(D23:O23)</f>
        <v>0</v>
      </c>
      <c r="Q23" s="546">
        <f>SUM(Q22:Q22)</f>
        <v>0</v>
      </c>
      <c r="S23" s="572"/>
      <c r="T23" s="572"/>
      <c r="U23" s="572"/>
      <c r="V23" s="572"/>
    </row>
    <row r="24" spans="1:24" ht="33" customHeight="1">
      <c r="A24" s="389"/>
      <c r="B24" s="1221"/>
      <c r="C24" s="1221"/>
      <c r="D24" s="389"/>
      <c r="E24" s="389"/>
      <c r="F24" s="389"/>
      <c r="G24" s="389"/>
      <c r="H24" s="389"/>
      <c r="I24" s="389"/>
      <c r="J24" s="389"/>
      <c r="K24" s="389"/>
      <c r="L24" s="389"/>
      <c r="M24" s="389"/>
      <c r="N24" s="389"/>
      <c r="O24" s="389"/>
      <c r="P24" s="389"/>
      <c r="Q24" s="389"/>
      <c r="S24" s="572"/>
      <c r="T24" s="572"/>
      <c r="U24" s="572"/>
      <c r="V24" s="572"/>
    </row>
    <row r="25" spans="1:24" ht="33" customHeight="1">
      <c r="A25" s="389"/>
      <c r="B25" s="1292" t="s">
        <v>34</v>
      </c>
      <c r="C25" s="1292"/>
      <c r="D25" s="23" t="str">
        <f t="shared" ref="D25:O25" si="1">D21</f>
        <v>4月</v>
      </c>
      <c r="E25" s="23" t="str">
        <f t="shared" si="1"/>
        <v>5月</v>
      </c>
      <c r="F25" s="23" t="str">
        <f t="shared" si="1"/>
        <v>6月</v>
      </c>
      <c r="G25" s="23" t="str">
        <f t="shared" si="1"/>
        <v>7月</v>
      </c>
      <c r="H25" s="23" t="str">
        <f t="shared" si="1"/>
        <v>8月</v>
      </c>
      <c r="I25" s="23" t="str">
        <f t="shared" si="1"/>
        <v>9月</v>
      </c>
      <c r="J25" s="23" t="str">
        <f t="shared" si="1"/>
        <v>10月</v>
      </c>
      <c r="K25" s="23" t="str">
        <f t="shared" si="1"/>
        <v>11月</v>
      </c>
      <c r="L25" s="23" t="str">
        <f t="shared" si="1"/>
        <v>12月</v>
      </c>
      <c r="M25" s="23" t="str">
        <f t="shared" si="1"/>
        <v>1月</v>
      </c>
      <c r="N25" s="23" t="str">
        <f t="shared" si="1"/>
        <v>2月</v>
      </c>
      <c r="O25" s="23" t="str">
        <f t="shared" si="1"/>
        <v>3月</v>
      </c>
      <c r="P25" s="445" t="s">
        <v>52</v>
      </c>
      <c r="Q25" s="445" t="s">
        <v>1</v>
      </c>
      <c r="R25" s="389"/>
      <c r="S25" s="572"/>
      <c r="T25" s="572"/>
      <c r="U25" s="572"/>
      <c r="V25" s="572"/>
    </row>
    <row r="26" spans="1:24" ht="33" customHeight="1">
      <c r="A26" s="389"/>
      <c r="B26" s="896" t="s">
        <v>42</v>
      </c>
      <c r="C26" s="896"/>
      <c r="D26" s="608"/>
      <c r="E26" s="608"/>
      <c r="F26" s="608"/>
      <c r="G26" s="608"/>
      <c r="H26" s="608"/>
      <c r="I26" s="608"/>
      <c r="J26" s="608"/>
      <c r="K26" s="608"/>
      <c r="L26" s="608"/>
      <c r="M26" s="608"/>
      <c r="N26" s="608"/>
      <c r="O26" s="608"/>
      <c r="P26" s="546">
        <f>SUM(D26:O26)</f>
        <v>0</v>
      </c>
      <c r="Q26" s="546">
        <f>IF(ISERROR(ROUND(P26/$X$2,0)),0,ROUND(P26/$X$2,0))</f>
        <v>0</v>
      </c>
      <c r="R26" s="389"/>
      <c r="S26" s="572"/>
      <c r="T26" s="572"/>
      <c r="U26" s="572"/>
      <c r="V26" s="572"/>
    </row>
    <row r="27" spans="1:24" ht="33" customHeight="1">
      <c r="A27" s="389"/>
      <c r="B27" s="896" t="s">
        <v>0</v>
      </c>
      <c r="C27" s="896"/>
      <c r="D27" s="546">
        <f t="shared" ref="D27:O27" si="2">SUM(D26:D26)</f>
        <v>0</v>
      </c>
      <c r="E27" s="546">
        <f t="shared" si="2"/>
        <v>0</v>
      </c>
      <c r="F27" s="546">
        <f t="shared" si="2"/>
        <v>0</v>
      </c>
      <c r="G27" s="546">
        <f t="shared" si="2"/>
        <v>0</v>
      </c>
      <c r="H27" s="546">
        <f t="shared" si="2"/>
        <v>0</v>
      </c>
      <c r="I27" s="546">
        <f t="shared" si="2"/>
        <v>0</v>
      </c>
      <c r="J27" s="546">
        <f t="shared" si="2"/>
        <v>0</v>
      </c>
      <c r="K27" s="546">
        <f t="shared" si="2"/>
        <v>0</v>
      </c>
      <c r="L27" s="546">
        <f t="shared" si="2"/>
        <v>0</v>
      </c>
      <c r="M27" s="546">
        <f t="shared" si="2"/>
        <v>0</v>
      </c>
      <c r="N27" s="546">
        <f t="shared" si="2"/>
        <v>0</v>
      </c>
      <c r="O27" s="546">
        <f t="shared" si="2"/>
        <v>0</v>
      </c>
      <c r="P27" s="546">
        <f>SUM(D27:O27)</f>
        <v>0</v>
      </c>
      <c r="Q27" s="546">
        <f>SUM(Q26:Q26)</f>
        <v>0</v>
      </c>
      <c r="S27" s="544"/>
      <c r="T27" s="544"/>
      <c r="U27" s="652"/>
      <c r="V27" s="572"/>
    </row>
    <row r="28" spans="1:24" ht="20.149999999999999" customHeight="1">
      <c r="A28" s="389"/>
      <c r="B28" s="587"/>
      <c r="C28" s="587"/>
      <c r="D28" s="609"/>
      <c r="E28" s="609"/>
      <c r="F28" s="609"/>
      <c r="G28" s="609"/>
      <c r="H28" s="609"/>
      <c r="I28" s="609"/>
      <c r="J28" s="609"/>
      <c r="K28" s="609"/>
      <c r="L28" s="609"/>
      <c r="M28" s="609"/>
      <c r="N28" s="609"/>
      <c r="O28" s="109"/>
      <c r="P28" s="389"/>
      <c r="Q28" s="389"/>
      <c r="R28" s="389"/>
      <c r="S28" s="109"/>
      <c r="T28" s="109"/>
      <c r="U28" s="572"/>
      <c r="V28" s="572"/>
      <c r="W28" s="598"/>
      <c r="X28" s="598"/>
    </row>
    <row r="29" spans="1:24" ht="29.25" hidden="1" customHeight="1" thickBot="1">
      <c r="A29" s="389"/>
      <c r="B29" s="1084" t="s">
        <v>63</v>
      </c>
      <c r="C29" s="1084"/>
      <c r="D29" s="1096" t="s">
        <v>64</v>
      </c>
      <c r="E29" s="1097"/>
      <c r="F29" s="1097"/>
      <c r="G29" s="1097"/>
      <c r="H29" s="1097"/>
      <c r="I29" s="1097"/>
      <c r="J29" s="1098"/>
      <c r="K29" s="389"/>
      <c r="L29" s="389"/>
      <c r="M29" s="389"/>
      <c r="N29" s="389"/>
      <c r="O29" s="389"/>
      <c r="P29" s="389"/>
      <c r="Q29" s="389"/>
      <c r="R29" s="389"/>
      <c r="S29" s="572"/>
      <c r="T29" s="572"/>
      <c r="U29" s="572"/>
      <c r="V29" s="572"/>
      <c r="W29" s="572"/>
      <c r="X29" s="572"/>
    </row>
    <row r="30" spans="1:24" ht="120" hidden="1" customHeight="1">
      <c r="A30" s="389"/>
      <c r="B30" s="1209" t="s">
        <v>35</v>
      </c>
      <c r="C30" s="1300"/>
      <c r="D30" s="452" t="s">
        <v>9</v>
      </c>
      <c r="E30" s="453" t="s">
        <v>43</v>
      </c>
      <c r="F30" s="453" t="s">
        <v>44</v>
      </c>
      <c r="G30" s="453" t="s">
        <v>38</v>
      </c>
      <c r="H30" s="453" t="s">
        <v>173</v>
      </c>
      <c r="I30" s="397" t="s">
        <v>139</v>
      </c>
      <c r="J30" s="398" t="s">
        <v>60</v>
      </c>
      <c r="K30" s="389"/>
      <c r="L30" s="389"/>
      <c r="M30" s="389"/>
      <c r="N30" s="389"/>
      <c r="O30" s="389"/>
      <c r="P30" s="389"/>
      <c r="Q30" s="389"/>
      <c r="R30" s="389"/>
      <c r="S30" s="572"/>
      <c r="T30" s="572"/>
      <c r="U30" s="572"/>
      <c r="V30" s="572"/>
      <c r="W30" s="572"/>
      <c r="X30" s="572"/>
    </row>
    <row r="31" spans="1:24" ht="20.149999999999999" hidden="1" customHeight="1">
      <c r="A31" s="389"/>
      <c r="B31" s="896" t="s">
        <v>37</v>
      </c>
      <c r="C31" s="1079"/>
      <c r="D31" s="556" t="e">
        <f>IF($D$17="あり",#REF!,0)</f>
        <v>#REF!</v>
      </c>
      <c r="E31" s="546">
        <f>IF($E$17="あり",#REF!,0)</f>
        <v>0</v>
      </c>
      <c r="F31" s="546">
        <f>IF(AND($F$17="あり",$I$51&lt;=3),#REF!,IF(AND($F$17="あり",$I$51&gt;=4),#REF!,0))</f>
        <v>0</v>
      </c>
      <c r="G31" s="550"/>
      <c r="H31" s="546">
        <f>IF($H$17="あり",ROUNDDOWN(-D31*#REF!,-1),0)</f>
        <v>0</v>
      </c>
      <c r="I31" s="618">
        <f>IF(J$17="配置",IF(ROUNDDOWN(#REF!/$I$51,-1)&lt;10,ROUNDDOWN(#REF!/$I$51,0),ROUNDDOWN(#REF!/$I$51,-1)),IF(J$17="兼務",IF(ROUNDDOWN(#REF!/$I$51,-1)&lt;10,ROUNDDOWN(#REF!/$I$51,0),ROUNDDOWN(#REF!/$I$51,-1)),0))</f>
        <v>0</v>
      </c>
      <c r="J31" s="555" t="e">
        <f>SUM(D31:I31)</f>
        <v>#REF!</v>
      </c>
      <c r="K31" s="389"/>
      <c r="L31" s="389"/>
      <c r="M31" s="389"/>
      <c r="N31" s="389"/>
      <c r="O31" s="389"/>
      <c r="P31" s="389"/>
      <c r="Q31" s="389"/>
      <c r="R31" s="389"/>
      <c r="S31" s="544"/>
      <c r="T31" s="544"/>
      <c r="U31" s="652"/>
      <c r="V31" s="572"/>
      <c r="W31" s="572"/>
      <c r="X31" s="572"/>
    </row>
    <row r="32" spans="1:24" hidden="1">
      <c r="A32" s="389"/>
      <c r="B32" s="896" t="s">
        <v>42</v>
      </c>
      <c r="C32" s="1079"/>
      <c r="D32" s="556" t="e">
        <f>D31</f>
        <v>#REF!</v>
      </c>
      <c r="E32" s="546">
        <f>E31</f>
        <v>0</v>
      </c>
      <c r="F32" s="546">
        <f>F31</f>
        <v>0</v>
      </c>
      <c r="G32" s="546">
        <f>IF(AND($G$17="あり",$Q22&gt;=1),#REF!,0)</f>
        <v>0</v>
      </c>
      <c r="H32" s="546">
        <f>IF($H$17="あり",ROUNDDOWN(-D32*#REF!,-1),0)</f>
        <v>0</v>
      </c>
      <c r="I32" s="618">
        <f>I31</f>
        <v>0</v>
      </c>
      <c r="J32" s="555" t="e">
        <f>SUM(D32:I32)</f>
        <v>#REF!</v>
      </c>
      <c r="K32" s="389"/>
      <c r="L32" s="389"/>
      <c r="M32" s="389"/>
      <c r="N32" s="389"/>
      <c r="O32" s="389"/>
      <c r="P32" s="389"/>
      <c r="Q32" s="389"/>
      <c r="R32" s="389"/>
      <c r="S32" s="109"/>
      <c r="T32" s="109"/>
      <c r="U32" s="572"/>
      <c r="V32" s="572"/>
      <c r="W32" s="598"/>
      <c r="X32" s="598"/>
    </row>
    <row r="33" spans="1:24" ht="20.149999999999999" hidden="1" customHeight="1">
      <c r="A33" s="389"/>
      <c r="B33" s="523"/>
      <c r="C33" s="523"/>
      <c r="D33" s="621"/>
      <c r="E33" s="109"/>
      <c r="F33" s="109"/>
      <c r="G33" s="109"/>
      <c r="H33" s="109"/>
      <c r="I33" s="109"/>
      <c r="J33" s="616"/>
      <c r="K33" s="389"/>
      <c r="L33" s="389"/>
      <c r="M33" s="389"/>
      <c r="N33" s="389"/>
      <c r="O33" s="389"/>
      <c r="P33" s="389"/>
      <c r="Q33" s="389"/>
      <c r="R33" s="389"/>
      <c r="S33" s="572"/>
      <c r="T33" s="572"/>
      <c r="U33" s="572"/>
      <c r="V33" s="572"/>
      <c r="W33" s="572"/>
      <c r="X33" s="572"/>
    </row>
    <row r="34" spans="1:24" ht="120" hidden="1" customHeight="1">
      <c r="A34" s="389"/>
      <c r="B34" s="1209" t="s">
        <v>36</v>
      </c>
      <c r="C34" s="1300"/>
      <c r="D34" s="16" t="s">
        <v>9</v>
      </c>
      <c r="E34" s="17" t="s">
        <v>43</v>
      </c>
      <c r="F34" s="17" t="s">
        <v>44</v>
      </c>
      <c r="G34" s="17" t="s">
        <v>38</v>
      </c>
      <c r="H34" s="17" t="s">
        <v>173</v>
      </c>
      <c r="I34" s="397" t="s">
        <v>139</v>
      </c>
      <c r="J34" s="399" t="s">
        <v>61</v>
      </c>
      <c r="K34" s="389"/>
      <c r="L34" s="389"/>
      <c r="M34" s="389"/>
      <c r="N34" s="389"/>
      <c r="O34" s="389"/>
      <c r="P34" s="389"/>
      <c r="Q34" s="389"/>
      <c r="R34" s="389"/>
      <c r="S34" s="572"/>
      <c r="T34" s="572"/>
      <c r="U34" s="572"/>
      <c r="V34" s="572"/>
      <c r="W34" s="572"/>
      <c r="X34" s="572"/>
    </row>
    <row r="35" spans="1:24" ht="19.5" hidden="1" customHeight="1">
      <c r="A35" s="389"/>
      <c r="B35" s="896" t="s">
        <v>37</v>
      </c>
      <c r="C35" s="1079"/>
      <c r="D35" s="556" t="e">
        <f>IF($D$17="あり",#REF!,0)</f>
        <v>#REF!</v>
      </c>
      <c r="E35" s="546">
        <f>IF($E$17="あり",#REF!,0)</f>
        <v>0</v>
      </c>
      <c r="F35" s="546">
        <f>IF(AND($F$17="あり",$I$51&lt;=3),#REF!,IF(AND($F$17="あり",$I$51&gt;=4),#REF!,0))</f>
        <v>0</v>
      </c>
      <c r="G35" s="550"/>
      <c r="H35" s="546">
        <f>IF($H$17="あり",ROUNDDOWN(-D35*#REF!,-1),0)</f>
        <v>0</v>
      </c>
      <c r="I35" s="618">
        <f>IF(J$17="配置",IF(ROUNDDOWN(#REF!/$I$51,-1)&lt;10,ROUNDDOWN(#REF!/$I$51,0),ROUNDDOWN(#REF!/$I$51,-1)),IF(J$17="兼務",IF(ROUNDDOWN(#REF!/$I$51,-1)&lt;10,ROUNDDOWN(#REF!/$I$51,0),ROUNDDOWN(#REF!/$I$51,-1)),0))</f>
        <v>0</v>
      </c>
      <c r="J35" s="555" t="e">
        <f>SUM(D35:I35)</f>
        <v>#REF!</v>
      </c>
      <c r="K35" s="389"/>
      <c r="L35" s="389"/>
      <c r="M35" s="389"/>
      <c r="N35" s="389"/>
      <c r="O35" s="389"/>
      <c r="P35" s="389"/>
      <c r="Q35" s="389"/>
      <c r="R35" s="389"/>
      <c r="W35" s="572"/>
      <c r="X35" s="574"/>
    </row>
    <row r="36" spans="1:24" ht="17" hidden="1" thickBot="1">
      <c r="A36" s="389"/>
      <c r="B36" s="896" t="s">
        <v>42</v>
      </c>
      <c r="C36" s="1079"/>
      <c r="D36" s="630" t="e">
        <f>D35</f>
        <v>#REF!</v>
      </c>
      <c r="E36" s="631">
        <f>E35</f>
        <v>0</v>
      </c>
      <c r="F36" s="631">
        <f>F35</f>
        <v>0</v>
      </c>
      <c r="G36" s="631">
        <f>IF(AND($G$17="あり",$Q26&gt;=1),#REF!,0)</f>
        <v>0</v>
      </c>
      <c r="H36" s="631">
        <f>IF($H$17="あり",ROUNDDOWN(-D36*#REF!,-1),0)</f>
        <v>0</v>
      </c>
      <c r="I36" s="632">
        <f>I35</f>
        <v>0</v>
      </c>
      <c r="J36" s="559" t="e">
        <f>SUM(D36:I36)</f>
        <v>#REF!</v>
      </c>
      <c r="K36" s="389"/>
      <c r="L36" s="389"/>
      <c r="M36" s="389"/>
      <c r="N36" s="389"/>
      <c r="O36" s="389"/>
      <c r="P36" s="389"/>
      <c r="Q36" s="389"/>
      <c r="R36" s="389"/>
    </row>
    <row r="37" spans="1:24" ht="20.149999999999999" hidden="1" customHeight="1">
      <c r="A37" s="389"/>
      <c r="B37" s="389"/>
      <c r="C37" s="523"/>
      <c r="D37" s="523"/>
      <c r="E37" s="523"/>
      <c r="F37" s="523"/>
      <c r="G37" s="523"/>
      <c r="H37" s="389"/>
      <c r="I37" s="389"/>
      <c r="J37" s="389"/>
      <c r="K37" s="633"/>
      <c r="L37" s="634"/>
      <c r="M37" s="633"/>
      <c r="N37" s="634"/>
      <c r="O37" s="389"/>
      <c r="P37" s="389"/>
      <c r="Q37" s="389"/>
      <c r="R37" s="389"/>
      <c r="W37" s="445">
        <v>2015</v>
      </c>
      <c r="X37" s="4">
        <v>6.1</v>
      </c>
    </row>
    <row r="38" spans="1:24" ht="20.149999999999999" hidden="1" customHeight="1">
      <c r="A38" s="389"/>
      <c r="B38" s="389"/>
      <c r="C38" s="389"/>
      <c r="D38" s="389"/>
      <c r="E38" s="389"/>
      <c r="F38" s="389"/>
      <c r="G38" s="389"/>
      <c r="H38" s="389"/>
      <c r="I38" s="389"/>
      <c r="J38" s="389"/>
      <c r="K38" s="109"/>
      <c r="L38" s="389"/>
      <c r="M38" s="389"/>
      <c r="N38" s="389"/>
      <c r="O38" s="389"/>
      <c r="P38" s="389"/>
      <c r="Q38" s="389"/>
      <c r="W38" s="445">
        <v>2016</v>
      </c>
      <c r="X38" s="2">
        <v>4.2</v>
      </c>
    </row>
    <row r="39" spans="1:24" ht="43.5" hidden="1" customHeight="1" thickBot="1">
      <c r="A39" s="389"/>
      <c r="B39" s="128"/>
      <c r="C39" s="128"/>
      <c r="D39" s="128"/>
      <c r="E39" s="128"/>
      <c r="F39" s="128"/>
      <c r="G39" s="128"/>
      <c r="H39" s="128"/>
      <c r="I39" s="128"/>
      <c r="J39" s="128"/>
      <c r="K39" s="128"/>
      <c r="L39" s="389"/>
      <c r="M39" s="389"/>
      <c r="N39" s="389"/>
      <c r="O39" s="389"/>
      <c r="P39" s="389"/>
      <c r="Q39" s="389"/>
      <c r="W39" s="445">
        <v>2019</v>
      </c>
      <c r="X39" s="2">
        <v>1</v>
      </c>
    </row>
    <row r="40" spans="1:24" ht="42" hidden="1" customHeight="1" thickBot="1">
      <c r="A40" s="389"/>
      <c r="B40" s="553" t="s">
        <v>62</v>
      </c>
      <c r="C40" s="389"/>
      <c r="D40" s="389"/>
      <c r="E40" s="389"/>
      <c r="F40" s="389"/>
      <c r="G40" s="389"/>
      <c r="H40" s="1297" t="s">
        <v>386</v>
      </c>
      <c r="I40" s="1297"/>
      <c r="J40" s="1155" t="s">
        <v>48</v>
      </c>
      <c r="K40" s="1156"/>
      <c r="L40" s="938" t="s">
        <v>385</v>
      </c>
      <c r="M40" s="939"/>
      <c r="N40" s="940" t="s">
        <v>435</v>
      </c>
      <c r="O40" s="941"/>
      <c r="P40" s="940" t="s">
        <v>436</v>
      </c>
      <c r="Q40" s="941"/>
    </row>
    <row r="41" spans="1:24" ht="26.25" hidden="1" customHeight="1">
      <c r="A41" s="389"/>
      <c r="B41" s="389"/>
      <c r="C41" s="389"/>
      <c r="D41" s="389"/>
      <c r="E41" s="389"/>
      <c r="F41" s="389"/>
      <c r="G41" s="389"/>
      <c r="H41" s="1298" t="s">
        <v>35</v>
      </c>
      <c r="I41" s="1198" t="s">
        <v>462</v>
      </c>
      <c r="J41" s="1288" t="str">
        <f>"A×賃金改善率（"&amp;I6&amp;"％）"</f>
        <v>A×賃金改善率（％）</v>
      </c>
      <c r="K41" s="1280" t="str">
        <f>CONCATENATE("×利用児童数×",$X$2,"月")</f>
        <v>×利用児童数×12月</v>
      </c>
      <c r="L41" s="1288" t="str">
        <f>"A×加算Ⅰ新規事由に係る率（"&amp;$I$7&amp;"％）"</f>
        <v>A×加算Ⅰ新規事由に係る率（％）</v>
      </c>
      <c r="M41" s="1280" t="str">
        <f>CONCATENATE("×利用児童数×",$X$2,"月")</f>
        <v>×利用児童数×12月</v>
      </c>
      <c r="N41" s="1282" t="str">
        <f>"A×人勧影響率（"&amp;$I$9&amp;"％）"</f>
        <v>A×人勧影響率（％）</v>
      </c>
      <c r="O41" s="1280" t="str">
        <f>CONCATENATE("×利用児童数×",$X$2,"月")</f>
        <v>×利用児童数×12月</v>
      </c>
      <c r="P41" s="1282" t="str">
        <f>"A×人勧影響率（"&amp;$I$11&amp;"％）"</f>
        <v>A×人勧影響率（％）</v>
      </c>
      <c r="Q41" s="1280" t="str">
        <f>CONCATENATE("×利用児童数×",$X$2,"月")</f>
        <v>×利用児童数×12月</v>
      </c>
      <c r="X41" s="569"/>
    </row>
    <row r="42" spans="1:24" ht="26.25" hidden="1" customHeight="1">
      <c r="A42" s="1078" t="s">
        <v>474</v>
      </c>
      <c r="B42" s="1078"/>
      <c r="C42" s="1078"/>
      <c r="D42" s="1078"/>
      <c r="E42" s="1133" t="e">
        <f>$K$51</f>
        <v>#REF!</v>
      </c>
      <c r="F42" s="1133"/>
      <c r="G42" s="389"/>
      <c r="H42" s="1299"/>
      <c r="I42" s="1199"/>
      <c r="J42" s="1285"/>
      <c r="K42" s="1281"/>
      <c r="L42" s="1285"/>
      <c r="M42" s="1281"/>
      <c r="N42" s="1283"/>
      <c r="O42" s="1281"/>
      <c r="P42" s="1283"/>
      <c r="Q42" s="1281"/>
      <c r="X42" s="569"/>
    </row>
    <row r="43" spans="1:24" ht="24" hidden="1" customHeight="1">
      <c r="A43" s="1212" t="str">
        <f>CONCATENATE("（賃金改善要件（",I6,"％）分）")</f>
        <v>（賃金改善要件（％）分）</v>
      </c>
      <c r="B43" s="1212"/>
      <c r="C43" s="1212"/>
      <c r="D43" s="1212"/>
      <c r="E43" s="635"/>
      <c r="F43" s="389"/>
      <c r="G43" s="389"/>
      <c r="H43" s="665" t="s">
        <v>37</v>
      </c>
      <c r="I43" s="680">
        <f>SUM('入力（児童数-本園)'!Y3:Y4)-I44</f>
        <v>0</v>
      </c>
      <c r="J43" s="686" t="e">
        <f>J31*$I$6</f>
        <v>#REF!</v>
      </c>
      <c r="K43" s="547" t="e">
        <f>J43*$I43*$X$2</f>
        <v>#REF!</v>
      </c>
      <c r="L43" s="686" t="e">
        <f>ROUNDDOWN($J31*$I$7,0)</f>
        <v>#REF!</v>
      </c>
      <c r="M43" s="557" t="e">
        <f>L43*$I43*$X$2</f>
        <v>#REF!</v>
      </c>
      <c r="N43" s="549" t="e">
        <f>ROUNDDOWN($J31*$I$9,0)</f>
        <v>#REF!</v>
      </c>
      <c r="O43" s="557" t="e">
        <f>N43*$I43*$X$2</f>
        <v>#REF!</v>
      </c>
      <c r="P43" s="549" t="e">
        <f>ROUNDDOWN($J31*$I$11,0)</f>
        <v>#REF!</v>
      </c>
      <c r="Q43" s="557" t="e">
        <f>P43*$I43*$X$2</f>
        <v>#REF!</v>
      </c>
      <c r="X43" s="569"/>
    </row>
    <row r="44" spans="1:24" ht="27.75" hidden="1" customHeight="1">
      <c r="A44" s="389"/>
      <c r="B44" s="389"/>
      <c r="C44" s="389"/>
      <c r="D44" s="389"/>
      <c r="E44" s="389"/>
      <c r="F44" s="389"/>
      <c r="G44" s="389"/>
      <c r="H44" s="8" t="s">
        <v>490</v>
      </c>
      <c r="I44" s="681">
        <f>Q22</f>
        <v>0</v>
      </c>
      <c r="J44" s="686" t="e">
        <f>J32*$I$6</f>
        <v>#REF!</v>
      </c>
      <c r="K44" s="547" t="e">
        <f>J44*$Q22*$X$2</f>
        <v>#REF!</v>
      </c>
      <c r="L44" s="686" t="e">
        <f>ROUNDDOWN($J32*$I$7,0)</f>
        <v>#REF!</v>
      </c>
      <c r="M44" s="557" t="e">
        <f>L44*$Q22*$X$2</f>
        <v>#REF!</v>
      </c>
      <c r="N44" s="549" t="e">
        <f>ROUNDDOWN($J32*$I$9,0)</f>
        <v>#REF!</v>
      </c>
      <c r="O44" s="557" t="e">
        <f>N44*$Q22*$X$2</f>
        <v>#REF!</v>
      </c>
      <c r="P44" s="549" t="e">
        <f>ROUNDDOWN($J32*$I$11,0)</f>
        <v>#REF!</v>
      </c>
      <c r="Q44" s="557" t="e">
        <f>P44*$Q22*$X$2</f>
        <v>#REF!</v>
      </c>
    </row>
    <row r="45" spans="1:24" hidden="1">
      <c r="A45" s="389"/>
      <c r="B45" s="1289" t="s">
        <v>489</v>
      </c>
      <c r="C45" s="1289"/>
      <c r="D45" s="1289"/>
      <c r="E45" s="1289"/>
      <c r="F45" s="1289"/>
      <c r="G45" s="1290"/>
      <c r="H45" s="619"/>
      <c r="I45" s="638"/>
      <c r="J45" s="636"/>
      <c r="K45" s="565"/>
      <c r="L45" s="636"/>
      <c r="M45" s="637"/>
      <c r="N45" s="565"/>
      <c r="O45" s="637"/>
      <c r="P45" s="565"/>
      <c r="Q45" s="637"/>
    </row>
    <row r="46" spans="1:24" ht="24" hidden="1" customHeight="1">
      <c r="A46" s="564"/>
      <c r="B46" s="564"/>
      <c r="C46" s="564"/>
      <c r="D46" s="564"/>
      <c r="E46" s="564"/>
      <c r="F46" s="389"/>
      <c r="G46" s="389"/>
      <c r="H46" s="619"/>
      <c r="I46" s="638"/>
      <c r="J46" s="619"/>
      <c r="K46" s="128"/>
      <c r="L46" s="446"/>
      <c r="M46" s="638"/>
      <c r="N46" s="128"/>
      <c r="O46" s="638"/>
      <c r="P46" s="128"/>
      <c r="Q46" s="638"/>
    </row>
    <row r="47" spans="1:24" ht="26.25" hidden="1" customHeight="1">
      <c r="A47" s="1078" t="s">
        <v>382</v>
      </c>
      <c r="B47" s="1078"/>
      <c r="C47" s="1078"/>
      <c r="D47" s="1078"/>
      <c r="E47" s="1115" t="e">
        <f>$M$51</f>
        <v>#REF!</v>
      </c>
      <c r="F47" s="1115"/>
      <c r="G47" s="389"/>
      <c r="H47" s="1177" t="s">
        <v>36</v>
      </c>
      <c r="I47" s="1200" t="s">
        <v>462</v>
      </c>
      <c r="J47" s="1284" t="str">
        <f>"B×賃金改善率（"&amp;$I$6&amp;"％）"</f>
        <v>B×賃金改善率（％）</v>
      </c>
      <c r="K47" s="1286" t="str">
        <f>CONCATENATE("×利用児童数×",$X$2,"月")</f>
        <v>×利用児童数×12月</v>
      </c>
      <c r="L47" s="1284" t="str">
        <f>"B×加算Ⅰ新規事由に係る率（"&amp;$I$7&amp;"％）"</f>
        <v>B×加算Ⅰ新規事由に係る率（％）</v>
      </c>
      <c r="M47" s="1286" t="str">
        <f>CONCATENATE("×利用児童数×",$X$2,"月")</f>
        <v>×利用児童数×12月</v>
      </c>
      <c r="N47" s="1287" t="str">
        <f>"B×人勧影響率（"&amp;$I$9&amp;"％）"</f>
        <v>B×人勧影響率（％）</v>
      </c>
      <c r="O47" s="1286" t="str">
        <f>CONCATENATE("×利用児童数×",$X$2,"月")</f>
        <v>×利用児童数×12月</v>
      </c>
      <c r="P47" s="1287" t="str">
        <f>"B×人勧影響率（"&amp;$I$11&amp;"％）"</f>
        <v>B×人勧影響率（％）</v>
      </c>
      <c r="Q47" s="1286" t="str">
        <f>CONCATENATE("×利用児童数×",$X$2,"月")</f>
        <v>×利用児童数×12月</v>
      </c>
    </row>
    <row r="48" spans="1:24" ht="26.25" hidden="1" customHeight="1">
      <c r="A48" s="1212" t="str">
        <f>CONCATENATE("（加算Ⅰ新規事由に係る加算率（",I7,"％）分）")</f>
        <v>（加算Ⅰ新規事由に係る加算率（％）分）</v>
      </c>
      <c r="B48" s="1212"/>
      <c r="C48" s="1212"/>
      <c r="D48" s="1212"/>
      <c r="E48" s="564"/>
      <c r="F48" s="389"/>
      <c r="G48" s="389"/>
      <c r="H48" s="1178"/>
      <c r="I48" s="1199"/>
      <c r="J48" s="1285"/>
      <c r="K48" s="1281"/>
      <c r="L48" s="1285"/>
      <c r="M48" s="1281"/>
      <c r="N48" s="1283"/>
      <c r="O48" s="1281"/>
      <c r="P48" s="1283"/>
      <c r="Q48" s="1281"/>
    </row>
    <row r="49" spans="1:18" ht="24" hidden="1" customHeight="1">
      <c r="A49" s="1212"/>
      <c r="B49" s="1212"/>
      <c r="C49" s="1212"/>
      <c r="D49" s="1212"/>
      <c r="E49" s="624"/>
      <c r="F49" s="389"/>
      <c r="G49" s="389"/>
      <c r="H49" s="665" t="s">
        <v>37</v>
      </c>
      <c r="I49" s="680">
        <f>SUM('入力（児童数-本園)'!Z3:Z4)-I50</f>
        <v>0</v>
      </c>
      <c r="J49" s="686" t="e">
        <f>J35*$I$6</f>
        <v>#REF!</v>
      </c>
      <c r="K49" s="547" t="e">
        <f>J49*$I49*$X$2</f>
        <v>#REF!</v>
      </c>
      <c r="L49" s="686" t="e">
        <f>ROUNDDOWN($J35*$I$7,0)</f>
        <v>#REF!</v>
      </c>
      <c r="M49" s="557" t="e">
        <f>L49*$I49*$X$2</f>
        <v>#REF!</v>
      </c>
      <c r="N49" s="549" t="e">
        <f>ROUNDDOWN($J35*$I$9,0)</f>
        <v>#REF!</v>
      </c>
      <c r="O49" s="557" t="e">
        <f>N49*$I49*$X$2</f>
        <v>#REF!</v>
      </c>
      <c r="P49" s="549" t="e">
        <f>ROUNDDOWN($J35*$I$11,0)</f>
        <v>#REF!</v>
      </c>
      <c r="Q49" s="557" t="e">
        <f>P49*$I49*$X$2</f>
        <v>#REF!</v>
      </c>
    </row>
    <row r="50" spans="1:18" ht="24" hidden="1" customHeight="1" thickBot="1">
      <c r="A50" s="1078" t="s">
        <v>381</v>
      </c>
      <c r="B50" s="1078"/>
      <c r="C50" s="1078"/>
      <c r="D50" s="1078"/>
      <c r="E50" s="1154" t="e">
        <f>$O$51</f>
        <v>#REF!</v>
      </c>
      <c r="F50" s="1154"/>
      <c r="G50" s="389"/>
      <c r="H50" s="8" t="s">
        <v>490</v>
      </c>
      <c r="I50" s="679">
        <f>Q26</f>
        <v>0</v>
      </c>
      <c r="J50" s="686" t="e">
        <f>J36*$I$6</f>
        <v>#REF!</v>
      </c>
      <c r="K50" s="639" t="e">
        <f>J50*$Q26*$X$2</f>
        <v>#REF!</v>
      </c>
      <c r="L50" s="686" t="e">
        <f>ROUNDDOWN($J36*$I$7,0)</f>
        <v>#REF!</v>
      </c>
      <c r="M50" s="623" t="e">
        <f>L50*$Q26*$X$2</f>
        <v>#REF!</v>
      </c>
      <c r="N50" s="549" t="e">
        <f>ROUNDDOWN($J36*$I$9,0)</f>
        <v>#REF!</v>
      </c>
      <c r="O50" s="623" t="e">
        <f>N50*$Q26*$X$2</f>
        <v>#REF!</v>
      </c>
      <c r="P50" s="549" t="e">
        <f>ROUNDDOWN($J36*$I$11,0)</f>
        <v>#REF!</v>
      </c>
      <c r="Q50" s="623" t="e">
        <f>P50*$Q26*$X$2</f>
        <v>#REF!</v>
      </c>
    </row>
    <row r="51" spans="1:18" ht="24" hidden="1" customHeight="1" thickTop="1" thickBot="1">
      <c r="A51" s="1212" t="str">
        <f>CONCATENATE("（処遇Ⅰの基準年度の翌年～当年度まで（",I9,"％）分）")</f>
        <v>（処遇Ⅰの基準年度の翌年～当年度まで（％）分）</v>
      </c>
      <c r="B51" s="1212"/>
      <c r="C51" s="1212"/>
      <c r="D51" s="1212"/>
      <c r="E51" s="640"/>
      <c r="F51" s="551"/>
      <c r="G51" s="389"/>
      <c r="H51" s="561" t="s">
        <v>71</v>
      </c>
      <c r="I51" s="676">
        <f>SUM(Q23,Q27,I43,I49)</f>
        <v>0</v>
      </c>
      <c r="J51" s="644" t="s">
        <v>0</v>
      </c>
      <c r="K51" s="642" t="e">
        <f>ROUNDDOWN(SUM(K43,K44,K49,K50),-3)</f>
        <v>#REF!</v>
      </c>
      <c r="L51" s="641" t="s">
        <v>0</v>
      </c>
      <c r="M51" s="643" t="e">
        <f>ROUNDDOWN(SUM(G4,M43,M44,M49,M50),-3)</f>
        <v>#REF!</v>
      </c>
      <c r="N51" s="644" t="s">
        <v>0</v>
      </c>
      <c r="O51" s="643" t="e">
        <f>ROUNDDOWN(SUM(I4,O43,O44,O49,O50),-3)</f>
        <v>#REF!</v>
      </c>
      <c r="P51" s="644" t="s">
        <v>0</v>
      </c>
      <c r="Q51" s="643" t="e">
        <f>ROUNDDOWN(SUM(K4,Q43,Q44,Q49,Q50),-3)</f>
        <v>#REF!</v>
      </c>
    </row>
    <row r="52" spans="1:18" hidden="1">
      <c r="A52" s="1212"/>
      <c r="B52" s="1212"/>
      <c r="C52" s="1212"/>
      <c r="D52" s="1212"/>
      <c r="E52" s="389"/>
      <c r="F52" s="389"/>
      <c r="G52" s="389"/>
      <c r="H52" s="389"/>
      <c r="I52" s="389"/>
      <c r="J52" s="389"/>
      <c r="K52" s="389"/>
      <c r="L52" s="389"/>
      <c r="M52" s="389"/>
      <c r="N52" s="389"/>
      <c r="O52" s="389"/>
      <c r="P52" s="389"/>
      <c r="Q52" s="389"/>
    </row>
    <row r="53" spans="1:18" hidden="1">
      <c r="A53" s="389"/>
      <c r="B53" s="389"/>
      <c r="C53" s="389"/>
      <c r="D53" s="389"/>
      <c r="E53" s="389"/>
      <c r="F53" s="389"/>
      <c r="G53" s="389"/>
      <c r="H53" s="389"/>
      <c r="I53" s="389"/>
      <c r="J53" s="389"/>
      <c r="K53" s="389"/>
      <c r="L53" s="389"/>
      <c r="M53" s="389"/>
      <c r="N53" s="389"/>
      <c r="O53" s="389"/>
      <c r="P53" s="389"/>
      <c r="Q53" s="389"/>
    </row>
    <row r="54" spans="1:18" ht="23.5" hidden="1">
      <c r="A54" s="1078" t="s">
        <v>381</v>
      </c>
      <c r="B54" s="1078"/>
      <c r="C54" s="1078"/>
      <c r="D54" s="1078"/>
      <c r="E54" s="1154" t="e">
        <f>$Q$51</f>
        <v>#REF!</v>
      </c>
      <c r="F54" s="1154"/>
      <c r="H54" s="389"/>
      <c r="I54" s="389"/>
      <c r="J54" s="389"/>
      <c r="K54" s="389"/>
      <c r="L54" s="389"/>
      <c r="M54" s="389"/>
      <c r="N54" s="389"/>
      <c r="O54" s="389"/>
      <c r="P54" s="389"/>
      <c r="Q54" s="389"/>
    </row>
    <row r="55" spans="1:18" ht="17.25" hidden="1" customHeight="1">
      <c r="A55" s="1212" t="str">
        <f>CONCATENATE("（処遇Ⅱの基準年度の翌年～当年度まで（",I11,"％）分）")</f>
        <v>（処遇Ⅱの基準年度の翌年～当年度まで（％）分）</v>
      </c>
      <c r="B55" s="1212"/>
      <c r="C55" s="1212"/>
      <c r="D55" s="1212"/>
      <c r="E55" s="640"/>
      <c r="F55" s="551"/>
      <c r="G55" s="389"/>
      <c r="H55" s="389"/>
      <c r="I55" s="389"/>
      <c r="J55" s="389"/>
      <c r="K55" s="389"/>
      <c r="L55" s="389"/>
      <c r="M55" s="389"/>
      <c r="N55" s="389"/>
      <c r="O55" s="389"/>
      <c r="P55" s="389"/>
      <c r="Q55" s="389"/>
      <c r="R55" s="389"/>
    </row>
    <row r="56" spans="1:18" hidden="1">
      <c r="A56" s="1212"/>
      <c r="B56" s="1212"/>
      <c r="C56" s="1212"/>
      <c r="D56" s="1212"/>
      <c r="E56" s="389"/>
      <c r="F56" s="389"/>
      <c r="G56" s="389"/>
      <c r="H56" s="389"/>
      <c r="I56" s="389"/>
      <c r="J56" s="389"/>
      <c r="K56" s="389"/>
      <c r="L56" s="389"/>
      <c r="M56" s="389"/>
      <c r="N56" s="389"/>
      <c r="O56" s="389"/>
      <c r="P56" s="389"/>
      <c r="Q56" s="389"/>
      <c r="R56" s="389"/>
    </row>
    <row r="57" spans="1:18" hidden="1">
      <c r="A57" s="389"/>
      <c r="B57" s="389"/>
      <c r="C57" s="389"/>
      <c r="D57" s="389"/>
      <c r="E57" s="389"/>
      <c r="F57" s="389"/>
      <c r="G57" s="389"/>
      <c r="H57" s="389"/>
      <c r="I57" s="389"/>
      <c r="J57" s="389"/>
      <c r="K57" s="389"/>
      <c r="L57" s="389"/>
      <c r="M57" s="389"/>
      <c r="N57" s="389"/>
      <c r="O57" s="389"/>
      <c r="P57" s="389"/>
      <c r="Q57" s="389"/>
      <c r="R57" s="389"/>
    </row>
    <row r="58" spans="1:18">
      <c r="A58" s="389"/>
      <c r="B58" s="389"/>
      <c r="C58" s="389"/>
      <c r="D58" s="389"/>
      <c r="E58" s="389"/>
      <c r="F58" s="389"/>
      <c r="G58" s="389"/>
      <c r="H58" s="389"/>
      <c r="I58" s="389"/>
      <c r="J58" s="389"/>
      <c r="K58" s="389"/>
      <c r="L58" s="389"/>
      <c r="M58" s="389"/>
      <c r="N58" s="389"/>
      <c r="O58" s="389"/>
      <c r="P58" s="389"/>
      <c r="Q58" s="389"/>
      <c r="R58" s="389"/>
    </row>
  </sheetData>
  <sheetProtection algorithmName="SHA-512" hashValue="3KMRftBeLMEaa6OLpiTjv00/mbmhHPQrARw74Kc0QuA84QHiZTQWeEQLrbQkQPtxkzg84LqsNbnk0LNeHymsMw==" saltValue="oFhdIKeV8zwPGWJl4MReFg==" spinCount="100000" sheet="1" objects="1" scenarios="1"/>
  <customSheetViews>
    <customSheetView guid="{2E52E5FF-9846-4DC5-A671-268FE925398C}" scale="80" showPageBreaks="1" printArea="1" hiddenColumns="1" view="pageBreakPreview">
      <selection activeCell="F17" sqref="F17"/>
      <pageMargins left="0.70866141732283472" right="0.70866141732283472" top="0.74803149606299213" bottom="0.74803149606299213" header="0.31496062992125984" footer="0.31496062992125984"/>
      <pageSetup paperSize="9" scale="45" orientation="landscape" r:id="rId1"/>
    </customSheetView>
    <customSheetView guid="{BADA99B3-B36A-4925-87A7-F72FC97D3DBA}" scale="80" showPageBreaks="1" printArea="1" view="pageBreakPreview" topLeftCell="A22">
      <selection activeCell="X35" sqref="X35"/>
      <pageMargins left="0.70866141732283472" right="0.70866141732283472" top="0.74803149606299213" bottom="0.74803149606299213" header="0.31496062992125984" footer="0.31496062992125984"/>
      <pageSetup paperSize="9" scale="45" orientation="landscape" r:id="rId2"/>
    </customSheetView>
  </customSheetViews>
  <mergeCells count="72">
    <mergeCell ref="B24:C24"/>
    <mergeCell ref="H40:I40"/>
    <mergeCell ref="H41:H42"/>
    <mergeCell ref="H47:H48"/>
    <mergeCell ref="I41:I42"/>
    <mergeCell ref="I47:I48"/>
    <mergeCell ref="B26:C26"/>
    <mergeCell ref="B27:C27"/>
    <mergeCell ref="B29:C29"/>
    <mergeCell ref="B30:C30"/>
    <mergeCell ref="D29:J29"/>
    <mergeCell ref="E47:F47"/>
    <mergeCell ref="B35:C35"/>
    <mergeCell ref="B36:C36"/>
    <mergeCell ref="B32:C32"/>
    <mergeCell ref="B34:C34"/>
    <mergeCell ref="A2:Q3"/>
    <mergeCell ref="D6:E6"/>
    <mergeCell ref="B20:F20"/>
    <mergeCell ref="D10:E10"/>
    <mergeCell ref="D9:E9"/>
    <mergeCell ref="B15:C15"/>
    <mergeCell ref="H15:I15"/>
    <mergeCell ref="B16:C17"/>
    <mergeCell ref="H16:I16"/>
    <mergeCell ref="H17:I17"/>
    <mergeCell ref="P40:Q40"/>
    <mergeCell ref="J40:K40"/>
    <mergeCell ref="L40:M40"/>
    <mergeCell ref="B5:D5"/>
    <mergeCell ref="B6:C6"/>
    <mergeCell ref="B7:C7"/>
    <mergeCell ref="B9:C9"/>
    <mergeCell ref="B10:C10"/>
    <mergeCell ref="D7:E7"/>
    <mergeCell ref="D8:E8"/>
    <mergeCell ref="N40:O40"/>
    <mergeCell ref="B31:C31"/>
    <mergeCell ref="B23:C23"/>
    <mergeCell ref="B22:C22"/>
    <mergeCell ref="B25:C25"/>
    <mergeCell ref="B21:C21"/>
    <mergeCell ref="E50:F50"/>
    <mergeCell ref="L41:L42"/>
    <mergeCell ref="M41:M42"/>
    <mergeCell ref="N41:N42"/>
    <mergeCell ref="B45:G45"/>
    <mergeCell ref="A48:D48"/>
    <mergeCell ref="A43:D43"/>
    <mergeCell ref="A42:D42"/>
    <mergeCell ref="E42:F42"/>
    <mergeCell ref="A54:D54"/>
    <mergeCell ref="A47:D47"/>
    <mergeCell ref="A50:D50"/>
    <mergeCell ref="A49:D49"/>
    <mergeCell ref="A51:D52"/>
    <mergeCell ref="N1:Q1"/>
    <mergeCell ref="A55:D56"/>
    <mergeCell ref="O41:O42"/>
    <mergeCell ref="P41:P42"/>
    <mergeCell ref="Q41:Q42"/>
    <mergeCell ref="J47:J48"/>
    <mergeCell ref="K47:K48"/>
    <mergeCell ref="L47:L48"/>
    <mergeCell ref="M47:M48"/>
    <mergeCell ref="N47:N48"/>
    <mergeCell ref="O47:O48"/>
    <mergeCell ref="P47:P48"/>
    <mergeCell ref="Q47:Q48"/>
    <mergeCell ref="J41:J42"/>
    <mergeCell ref="K41:K42"/>
    <mergeCell ref="E54:F54"/>
  </mergeCells>
  <phoneticPr fontId="4"/>
  <conditionalFormatting sqref="D22:O22 D26:O26">
    <cfRule type="expression" dxfId="0" priority="2">
      <formula>D$21=""</formula>
    </cfRule>
  </conditionalFormatting>
  <dataValidations count="2">
    <dataValidation type="list" allowBlank="1" showInputMessage="1" showErrorMessage="1" sqref="D17:H17" xr:uid="{00000000-0002-0000-0E00-000000000000}">
      <formula1>$Y$3:$Y$4</formula1>
    </dataValidation>
    <dataValidation type="list" allowBlank="1" showInputMessage="1" showErrorMessage="1" sqref="J17" xr:uid="{00000000-0002-0000-0E00-000001000000}">
      <formula1>$Z$2:$Z$5</formula1>
    </dataValidation>
  </dataValidations>
  <printOptions horizontalCentered="1"/>
  <pageMargins left="0.70866141732283472" right="0.70866141732283472" top="0.74803149606299213" bottom="0.74803149606299213" header="0.31496062992125984" footer="0.31496062992125984"/>
  <pageSetup paperSize="9" scale="34"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9">
    <tabColor rgb="FFFFC000"/>
  </sheetPr>
  <dimension ref="A1:P92"/>
  <sheetViews>
    <sheetView view="pageBreakPreview" zoomScaleNormal="100" zoomScaleSheetLayoutView="100" workbookViewId="0">
      <selection activeCell="C12" sqref="C12"/>
    </sheetView>
  </sheetViews>
  <sheetFormatPr defaultRowHeight="13" outlineLevelCol="1"/>
  <cols>
    <col min="1" max="1" width="2.90625" style="34" customWidth="1"/>
    <col min="2" max="2" width="3" style="34" customWidth="1"/>
    <col min="3" max="3" width="17.7265625" style="34" customWidth="1"/>
    <col min="4" max="4" width="13" style="34" customWidth="1"/>
    <col min="5" max="5" width="9.36328125" style="34" customWidth="1"/>
    <col min="6" max="6" width="4.08984375" style="234" customWidth="1"/>
    <col min="7" max="7" width="15.08984375" style="234" customWidth="1"/>
    <col min="8" max="8" width="14.26953125" style="234" customWidth="1"/>
    <col min="9" max="9" width="8.08984375" style="234" customWidth="1"/>
    <col min="10" max="10" width="7.36328125" style="234" customWidth="1"/>
    <col min="11" max="12" width="9" style="34" hidden="1" customWidth="1" outlineLevel="1"/>
    <col min="13" max="13" width="9" style="34" collapsed="1"/>
    <col min="14" max="256" width="9" style="34"/>
    <col min="257" max="257" width="2.90625" style="34" customWidth="1"/>
    <col min="258" max="258" width="3" style="34" customWidth="1"/>
    <col min="259" max="259" width="17.7265625" style="34" customWidth="1"/>
    <col min="260" max="260" width="22.6328125" style="34" customWidth="1"/>
    <col min="261" max="261" width="8" style="34" customWidth="1"/>
    <col min="262" max="262" width="6.08984375" style="34" bestFit="1" customWidth="1"/>
    <col min="263" max="263" width="7.90625" style="34" bestFit="1" customWidth="1"/>
    <col min="264" max="264" width="13.26953125" style="34" bestFit="1" customWidth="1"/>
    <col min="265" max="265" width="9" style="34" customWidth="1"/>
    <col min="266" max="512" width="9" style="34"/>
    <col min="513" max="513" width="2.90625" style="34" customWidth="1"/>
    <col min="514" max="514" width="3" style="34" customWidth="1"/>
    <col min="515" max="515" width="17.7265625" style="34" customWidth="1"/>
    <col min="516" max="516" width="22.6328125" style="34" customWidth="1"/>
    <col min="517" max="517" width="8" style="34" customWidth="1"/>
    <col min="518" max="518" width="6.08984375" style="34" bestFit="1" customWidth="1"/>
    <col min="519" max="519" width="7.90625" style="34" bestFit="1" customWidth="1"/>
    <col min="520" max="520" width="13.26953125" style="34" bestFit="1" customWidth="1"/>
    <col min="521" max="521" width="9" style="34" customWidth="1"/>
    <col min="522" max="768" width="9" style="34"/>
    <col min="769" max="769" width="2.90625" style="34" customWidth="1"/>
    <col min="770" max="770" width="3" style="34" customWidth="1"/>
    <col min="771" max="771" width="17.7265625" style="34" customWidth="1"/>
    <col min="772" max="772" width="22.6328125" style="34" customWidth="1"/>
    <col min="773" max="773" width="8" style="34" customWidth="1"/>
    <col min="774" max="774" width="6.08984375" style="34" bestFit="1" customWidth="1"/>
    <col min="775" max="775" width="7.90625" style="34" bestFit="1" customWidth="1"/>
    <col min="776" max="776" width="13.26953125" style="34" bestFit="1" customWidth="1"/>
    <col min="777" max="777" width="9" style="34" customWidth="1"/>
    <col min="778" max="1024" width="9" style="34"/>
    <col min="1025" max="1025" width="2.90625" style="34" customWidth="1"/>
    <col min="1026" max="1026" width="3" style="34" customWidth="1"/>
    <col min="1027" max="1027" width="17.7265625" style="34" customWidth="1"/>
    <col min="1028" max="1028" width="22.6328125" style="34" customWidth="1"/>
    <col min="1029" max="1029" width="8" style="34" customWidth="1"/>
    <col min="1030" max="1030" width="6.08984375" style="34" bestFit="1" customWidth="1"/>
    <col min="1031" max="1031" width="7.90625" style="34" bestFit="1" customWidth="1"/>
    <col min="1032" max="1032" width="13.26953125" style="34" bestFit="1" customWidth="1"/>
    <col min="1033" max="1033" width="9" style="34" customWidth="1"/>
    <col min="1034" max="1280" width="9" style="34"/>
    <col min="1281" max="1281" width="2.90625" style="34" customWidth="1"/>
    <col min="1282" max="1282" width="3" style="34" customWidth="1"/>
    <col min="1283" max="1283" width="17.7265625" style="34" customWidth="1"/>
    <col min="1284" max="1284" width="22.6328125" style="34" customWidth="1"/>
    <col min="1285" max="1285" width="8" style="34" customWidth="1"/>
    <col min="1286" max="1286" width="6.08984375" style="34" bestFit="1" customWidth="1"/>
    <col min="1287" max="1287" width="7.90625" style="34" bestFit="1" customWidth="1"/>
    <col min="1288" max="1288" width="13.26953125" style="34" bestFit="1" customWidth="1"/>
    <col min="1289" max="1289" width="9" style="34" customWidth="1"/>
    <col min="1290" max="1536" width="9" style="34"/>
    <col min="1537" max="1537" width="2.90625" style="34" customWidth="1"/>
    <col min="1538" max="1538" width="3" style="34" customWidth="1"/>
    <col min="1539" max="1539" width="17.7265625" style="34" customWidth="1"/>
    <col min="1540" max="1540" width="22.6328125" style="34" customWidth="1"/>
    <col min="1541" max="1541" width="8" style="34" customWidth="1"/>
    <col min="1542" max="1542" width="6.08984375" style="34" bestFit="1" customWidth="1"/>
    <col min="1543" max="1543" width="7.90625" style="34" bestFit="1" customWidth="1"/>
    <col min="1544" max="1544" width="13.26953125" style="34" bestFit="1" customWidth="1"/>
    <col min="1545" max="1545" width="9" style="34" customWidth="1"/>
    <col min="1546" max="1792" width="9" style="34"/>
    <col min="1793" max="1793" width="2.90625" style="34" customWidth="1"/>
    <col min="1794" max="1794" width="3" style="34" customWidth="1"/>
    <col min="1795" max="1795" width="17.7265625" style="34" customWidth="1"/>
    <col min="1796" max="1796" width="22.6328125" style="34" customWidth="1"/>
    <col min="1797" max="1797" width="8" style="34" customWidth="1"/>
    <col min="1798" max="1798" width="6.08984375" style="34" bestFit="1" customWidth="1"/>
    <col min="1799" max="1799" width="7.90625" style="34" bestFit="1" customWidth="1"/>
    <col min="1800" max="1800" width="13.26953125" style="34" bestFit="1" customWidth="1"/>
    <col min="1801" max="1801" width="9" style="34" customWidth="1"/>
    <col min="1802" max="2048" width="9" style="34"/>
    <col min="2049" max="2049" width="2.90625" style="34" customWidth="1"/>
    <col min="2050" max="2050" width="3" style="34" customWidth="1"/>
    <col min="2051" max="2051" width="17.7265625" style="34" customWidth="1"/>
    <col min="2052" max="2052" width="22.6328125" style="34" customWidth="1"/>
    <col min="2053" max="2053" width="8" style="34" customWidth="1"/>
    <col min="2054" max="2054" width="6.08984375" style="34" bestFit="1" customWidth="1"/>
    <col min="2055" max="2055" width="7.90625" style="34" bestFit="1" customWidth="1"/>
    <col min="2056" max="2056" width="13.26953125" style="34" bestFit="1" customWidth="1"/>
    <col min="2057" max="2057" width="9" style="34" customWidth="1"/>
    <col min="2058" max="2304" width="9" style="34"/>
    <col min="2305" max="2305" width="2.90625" style="34" customWidth="1"/>
    <col min="2306" max="2306" width="3" style="34" customWidth="1"/>
    <col min="2307" max="2307" width="17.7265625" style="34" customWidth="1"/>
    <col min="2308" max="2308" width="22.6328125" style="34" customWidth="1"/>
    <col min="2309" max="2309" width="8" style="34" customWidth="1"/>
    <col min="2310" max="2310" width="6.08984375" style="34" bestFit="1" customWidth="1"/>
    <col min="2311" max="2311" width="7.90625" style="34" bestFit="1" customWidth="1"/>
    <col min="2312" max="2312" width="13.26953125" style="34" bestFit="1" customWidth="1"/>
    <col min="2313" max="2313" width="9" style="34" customWidth="1"/>
    <col min="2314" max="2560" width="9" style="34"/>
    <col min="2561" max="2561" width="2.90625" style="34" customWidth="1"/>
    <col min="2562" max="2562" width="3" style="34" customWidth="1"/>
    <col min="2563" max="2563" width="17.7265625" style="34" customWidth="1"/>
    <col min="2564" max="2564" width="22.6328125" style="34" customWidth="1"/>
    <col min="2565" max="2565" width="8" style="34" customWidth="1"/>
    <col min="2566" max="2566" width="6.08984375" style="34" bestFit="1" customWidth="1"/>
    <col min="2567" max="2567" width="7.90625" style="34" bestFit="1" customWidth="1"/>
    <col min="2568" max="2568" width="13.26953125" style="34" bestFit="1" customWidth="1"/>
    <col min="2569" max="2569" width="9" style="34" customWidth="1"/>
    <col min="2570" max="2816" width="9" style="34"/>
    <col min="2817" max="2817" width="2.90625" style="34" customWidth="1"/>
    <col min="2818" max="2818" width="3" style="34" customWidth="1"/>
    <col min="2819" max="2819" width="17.7265625" style="34" customWidth="1"/>
    <col min="2820" max="2820" width="22.6328125" style="34" customWidth="1"/>
    <col min="2821" max="2821" width="8" style="34" customWidth="1"/>
    <col min="2822" max="2822" width="6.08984375" style="34" bestFit="1" customWidth="1"/>
    <col min="2823" max="2823" width="7.90625" style="34" bestFit="1" customWidth="1"/>
    <col min="2824" max="2824" width="13.26953125" style="34" bestFit="1" customWidth="1"/>
    <col min="2825" max="2825" width="9" style="34" customWidth="1"/>
    <col min="2826" max="3072" width="9" style="34"/>
    <col min="3073" max="3073" width="2.90625" style="34" customWidth="1"/>
    <col min="3074" max="3074" width="3" style="34" customWidth="1"/>
    <col min="3075" max="3075" width="17.7265625" style="34" customWidth="1"/>
    <col min="3076" max="3076" width="22.6328125" style="34" customWidth="1"/>
    <col min="3077" max="3077" width="8" style="34" customWidth="1"/>
    <col min="3078" max="3078" width="6.08984375" style="34" bestFit="1" customWidth="1"/>
    <col min="3079" max="3079" width="7.90625" style="34" bestFit="1" customWidth="1"/>
    <col min="3080" max="3080" width="13.26953125" style="34" bestFit="1" customWidth="1"/>
    <col min="3081" max="3081" width="9" style="34" customWidth="1"/>
    <col min="3082" max="3328" width="9" style="34"/>
    <col min="3329" max="3329" width="2.90625" style="34" customWidth="1"/>
    <col min="3330" max="3330" width="3" style="34" customWidth="1"/>
    <col min="3331" max="3331" width="17.7265625" style="34" customWidth="1"/>
    <col min="3332" max="3332" width="22.6328125" style="34" customWidth="1"/>
    <col min="3333" max="3333" width="8" style="34" customWidth="1"/>
    <col min="3334" max="3334" width="6.08984375" style="34" bestFit="1" customWidth="1"/>
    <col min="3335" max="3335" width="7.90625" style="34" bestFit="1" customWidth="1"/>
    <col min="3336" max="3336" width="13.26953125" style="34" bestFit="1" customWidth="1"/>
    <col min="3337" max="3337" width="9" style="34" customWidth="1"/>
    <col min="3338" max="3584" width="9" style="34"/>
    <col min="3585" max="3585" width="2.90625" style="34" customWidth="1"/>
    <col min="3586" max="3586" width="3" style="34" customWidth="1"/>
    <col min="3587" max="3587" width="17.7265625" style="34" customWidth="1"/>
    <col min="3588" max="3588" width="22.6328125" style="34" customWidth="1"/>
    <col min="3589" max="3589" width="8" style="34" customWidth="1"/>
    <col min="3590" max="3590" width="6.08984375" style="34" bestFit="1" customWidth="1"/>
    <col min="3591" max="3591" width="7.90625" style="34" bestFit="1" customWidth="1"/>
    <col min="3592" max="3592" width="13.26953125" style="34" bestFit="1" customWidth="1"/>
    <col min="3593" max="3593" width="9" style="34" customWidth="1"/>
    <col min="3594" max="3840" width="9" style="34"/>
    <col min="3841" max="3841" width="2.90625" style="34" customWidth="1"/>
    <col min="3842" max="3842" width="3" style="34" customWidth="1"/>
    <col min="3843" max="3843" width="17.7265625" style="34" customWidth="1"/>
    <col min="3844" max="3844" width="22.6328125" style="34" customWidth="1"/>
    <col min="3845" max="3845" width="8" style="34" customWidth="1"/>
    <col min="3846" max="3846" width="6.08984375" style="34" bestFit="1" customWidth="1"/>
    <col min="3847" max="3847" width="7.90625" style="34" bestFit="1" customWidth="1"/>
    <col min="3848" max="3848" width="13.26953125" style="34" bestFit="1" customWidth="1"/>
    <col min="3849" max="3849" width="9" style="34" customWidth="1"/>
    <col min="3850" max="4096" width="9" style="34"/>
    <col min="4097" max="4097" width="2.90625" style="34" customWidth="1"/>
    <col min="4098" max="4098" width="3" style="34" customWidth="1"/>
    <col min="4099" max="4099" width="17.7265625" style="34" customWidth="1"/>
    <col min="4100" max="4100" width="22.6328125" style="34" customWidth="1"/>
    <col min="4101" max="4101" width="8" style="34" customWidth="1"/>
    <col min="4102" max="4102" width="6.08984375" style="34" bestFit="1" customWidth="1"/>
    <col min="4103" max="4103" width="7.90625" style="34" bestFit="1" customWidth="1"/>
    <col min="4104" max="4104" width="13.26953125" style="34" bestFit="1" customWidth="1"/>
    <col min="4105" max="4105" width="9" style="34" customWidth="1"/>
    <col min="4106" max="4352" width="9" style="34"/>
    <col min="4353" max="4353" width="2.90625" style="34" customWidth="1"/>
    <col min="4354" max="4354" width="3" style="34" customWidth="1"/>
    <col min="4355" max="4355" width="17.7265625" style="34" customWidth="1"/>
    <col min="4356" max="4356" width="22.6328125" style="34" customWidth="1"/>
    <col min="4357" max="4357" width="8" style="34" customWidth="1"/>
    <col min="4358" max="4358" width="6.08984375" style="34" bestFit="1" customWidth="1"/>
    <col min="4359" max="4359" width="7.90625" style="34" bestFit="1" customWidth="1"/>
    <col min="4360" max="4360" width="13.26953125" style="34" bestFit="1" customWidth="1"/>
    <col min="4361" max="4361" width="9" style="34" customWidth="1"/>
    <col min="4362" max="4608" width="9" style="34"/>
    <col min="4609" max="4609" width="2.90625" style="34" customWidth="1"/>
    <col min="4610" max="4610" width="3" style="34" customWidth="1"/>
    <col min="4611" max="4611" width="17.7265625" style="34" customWidth="1"/>
    <col min="4612" max="4612" width="22.6328125" style="34" customWidth="1"/>
    <col min="4613" max="4613" width="8" style="34" customWidth="1"/>
    <col min="4614" max="4614" width="6.08984375" style="34" bestFit="1" customWidth="1"/>
    <col min="4615" max="4615" width="7.90625" style="34" bestFit="1" customWidth="1"/>
    <col min="4616" max="4616" width="13.26953125" style="34" bestFit="1" customWidth="1"/>
    <col min="4617" max="4617" width="9" style="34" customWidth="1"/>
    <col min="4618" max="4864" width="9" style="34"/>
    <col min="4865" max="4865" width="2.90625" style="34" customWidth="1"/>
    <col min="4866" max="4866" width="3" style="34" customWidth="1"/>
    <col min="4867" max="4867" width="17.7265625" style="34" customWidth="1"/>
    <col min="4868" max="4868" width="22.6328125" style="34" customWidth="1"/>
    <col min="4869" max="4869" width="8" style="34" customWidth="1"/>
    <col min="4870" max="4870" width="6.08984375" style="34" bestFit="1" customWidth="1"/>
    <col min="4871" max="4871" width="7.90625" style="34" bestFit="1" customWidth="1"/>
    <col min="4872" max="4872" width="13.26953125" style="34" bestFit="1" customWidth="1"/>
    <col min="4873" max="4873" width="9" style="34" customWidth="1"/>
    <col min="4874" max="5120" width="9" style="34"/>
    <col min="5121" max="5121" width="2.90625" style="34" customWidth="1"/>
    <col min="5122" max="5122" width="3" style="34" customWidth="1"/>
    <col min="5123" max="5123" width="17.7265625" style="34" customWidth="1"/>
    <col min="5124" max="5124" width="22.6328125" style="34" customWidth="1"/>
    <col min="5125" max="5125" width="8" style="34" customWidth="1"/>
    <col min="5126" max="5126" width="6.08984375" style="34" bestFit="1" customWidth="1"/>
    <col min="5127" max="5127" width="7.90625" style="34" bestFit="1" customWidth="1"/>
    <col min="5128" max="5128" width="13.26953125" style="34" bestFit="1" customWidth="1"/>
    <col min="5129" max="5129" width="9" style="34" customWidth="1"/>
    <col min="5130" max="5376" width="9" style="34"/>
    <col min="5377" max="5377" width="2.90625" style="34" customWidth="1"/>
    <col min="5378" max="5378" width="3" style="34" customWidth="1"/>
    <col min="5379" max="5379" width="17.7265625" style="34" customWidth="1"/>
    <col min="5380" max="5380" width="22.6328125" style="34" customWidth="1"/>
    <col min="5381" max="5381" width="8" style="34" customWidth="1"/>
    <col min="5382" max="5382" width="6.08984375" style="34" bestFit="1" customWidth="1"/>
    <col min="5383" max="5383" width="7.90625" style="34" bestFit="1" customWidth="1"/>
    <col min="5384" max="5384" width="13.26953125" style="34" bestFit="1" customWidth="1"/>
    <col min="5385" max="5385" width="9" style="34" customWidth="1"/>
    <col min="5386" max="5632" width="9" style="34"/>
    <col min="5633" max="5633" width="2.90625" style="34" customWidth="1"/>
    <col min="5634" max="5634" width="3" style="34" customWidth="1"/>
    <col min="5635" max="5635" width="17.7265625" style="34" customWidth="1"/>
    <col min="5636" max="5636" width="22.6328125" style="34" customWidth="1"/>
    <col min="5637" max="5637" width="8" style="34" customWidth="1"/>
    <col min="5638" max="5638" width="6.08984375" style="34" bestFit="1" customWidth="1"/>
    <col min="5639" max="5639" width="7.90625" style="34" bestFit="1" customWidth="1"/>
    <col min="5640" max="5640" width="13.26953125" style="34" bestFit="1" customWidth="1"/>
    <col min="5641" max="5641" width="9" style="34" customWidth="1"/>
    <col min="5642" max="5888" width="9" style="34"/>
    <col min="5889" max="5889" width="2.90625" style="34" customWidth="1"/>
    <col min="5890" max="5890" width="3" style="34" customWidth="1"/>
    <col min="5891" max="5891" width="17.7265625" style="34" customWidth="1"/>
    <col min="5892" max="5892" width="22.6328125" style="34" customWidth="1"/>
    <col min="5893" max="5893" width="8" style="34" customWidth="1"/>
    <col min="5894" max="5894" width="6.08984375" style="34" bestFit="1" customWidth="1"/>
    <col min="5895" max="5895" width="7.90625" style="34" bestFit="1" customWidth="1"/>
    <col min="5896" max="5896" width="13.26953125" style="34" bestFit="1" customWidth="1"/>
    <col min="5897" max="5897" width="9" style="34" customWidth="1"/>
    <col min="5898" max="6144" width="9" style="34"/>
    <col min="6145" max="6145" width="2.90625" style="34" customWidth="1"/>
    <col min="6146" max="6146" width="3" style="34" customWidth="1"/>
    <col min="6147" max="6147" width="17.7265625" style="34" customWidth="1"/>
    <col min="6148" max="6148" width="22.6328125" style="34" customWidth="1"/>
    <col min="6149" max="6149" width="8" style="34" customWidth="1"/>
    <col min="6150" max="6150" width="6.08984375" style="34" bestFit="1" customWidth="1"/>
    <col min="6151" max="6151" width="7.90625" style="34" bestFit="1" customWidth="1"/>
    <col min="6152" max="6152" width="13.26953125" style="34" bestFit="1" customWidth="1"/>
    <col min="6153" max="6153" width="9" style="34" customWidth="1"/>
    <col min="6154" max="6400" width="9" style="34"/>
    <col min="6401" max="6401" width="2.90625" style="34" customWidth="1"/>
    <col min="6402" max="6402" width="3" style="34" customWidth="1"/>
    <col min="6403" max="6403" width="17.7265625" style="34" customWidth="1"/>
    <col min="6404" max="6404" width="22.6328125" style="34" customWidth="1"/>
    <col min="6405" max="6405" width="8" style="34" customWidth="1"/>
    <col min="6406" max="6406" width="6.08984375" style="34" bestFit="1" customWidth="1"/>
    <col min="6407" max="6407" width="7.90625" style="34" bestFit="1" customWidth="1"/>
    <col min="6408" max="6408" width="13.26953125" style="34" bestFit="1" customWidth="1"/>
    <col min="6409" max="6409" width="9" style="34" customWidth="1"/>
    <col min="6410" max="6656" width="9" style="34"/>
    <col min="6657" max="6657" width="2.90625" style="34" customWidth="1"/>
    <col min="6658" max="6658" width="3" style="34" customWidth="1"/>
    <col min="6659" max="6659" width="17.7265625" style="34" customWidth="1"/>
    <col min="6660" max="6660" width="22.6328125" style="34" customWidth="1"/>
    <col min="6661" max="6661" width="8" style="34" customWidth="1"/>
    <col min="6662" max="6662" width="6.08984375" style="34" bestFit="1" customWidth="1"/>
    <col min="6663" max="6663" width="7.90625" style="34" bestFit="1" customWidth="1"/>
    <col min="6664" max="6664" width="13.26953125" style="34" bestFit="1" customWidth="1"/>
    <col min="6665" max="6665" width="9" style="34" customWidth="1"/>
    <col min="6666" max="6912" width="9" style="34"/>
    <col min="6913" max="6913" width="2.90625" style="34" customWidth="1"/>
    <col min="6914" max="6914" width="3" style="34" customWidth="1"/>
    <col min="6915" max="6915" width="17.7265625" style="34" customWidth="1"/>
    <col min="6916" max="6916" width="22.6328125" style="34" customWidth="1"/>
    <col min="6917" max="6917" width="8" style="34" customWidth="1"/>
    <col min="6918" max="6918" width="6.08984375" style="34" bestFit="1" customWidth="1"/>
    <col min="6919" max="6919" width="7.90625" style="34" bestFit="1" customWidth="1"/>
    <col min="6920" max="6920" width="13.26953125" style="34" bestFit="1" customWidth="1"/>
    <col min="6921" max="6921" width="9" style="34" customWidth="1"/>
    <col min="6922" max="7168" width="9" style="34"/>
    <col min="7169" max="7169" width="2.90625" style="34" customWidth="1"/>
    <col min="7170" max="7170" width="3" style="34" customWidth="1"/>
    <col min="7171" max="7171" width="17.7265625" style="34" customWidth="1"/>
    <col min="7172" max="7172" width="22.6328125" style="34" customWidth="1"/>
    <col min="7173" max="7173" width="8" style="34" customWidth="1"/>
    <col min="7174" max="7174" width="6.08984375" style="34" bestFit="1" customWidth="1"/>
    <col min="7175" max="7175" width="7.90625" style="34" bestFit="1" customWidth="1"/>
    <col min="7176" max="7176" width="13.26953125" style="34" bestFit="1" customWidth="1"/>
    <col min="7177" max="7177" width="9" style="34" customWidth="1"/>
    <col min="7178" max="7424" width="9" style="34"/>
    <col min="7425" max="7425" width="2.90625" style="34" customWidth="1"/>
    <col min="7426" max="7426" width="3" style="34" customWidth="1"/>
    <col min="7427" max="7427" width="17.7265625" style="34" customWidth="1"/>
    <col min="7428" max="7428" width="22.6328125" style="34" customWidth="1"/>
    <col min="7429" max="7429" width="8" style="34" customWidth="1"/>
    <col min="7430" max="7430" width="6.08984375" style="34" bestFit="1" customWidth="1"/>
    <col min="7431" max="7431" width="7.90625" style="34" bestFit="1" customWidth="1"/>
    <col min="7432" max="7432" width="13.26953125" style="34" bestFit="1" customWidth="1"/>
    <col min="7433" max="7433" width="9" style="34" customWidth="1"/>
    <col min="7434" max="7680" width="9" style="34"/>
    <col min="7681" max="7681" width="2.90625" style="34" customWidth="1"/>
    <col min="7682" max="7682" width="3" style="34" customWidth="1"/>
    <col min="7683" max="7683" width="17.7265625" style="34" customWidth="1"/>
    <col min="7684" max="7684" width="22.6328125" style="34" customWidth="1"/>
    <col min="7685" max="7685" width="8" style="34" customWidth="1"/>
    <col min="7686" max="7686" width="6.08984375" style="34" bestFit="1" customWidth="1"/>
    <col min="7687" max="7687" width="7.90625" style="34" bestFit="1" customWidth="1"/>
    <col min="7688" max="7688" width="13.26953125" style="34" bestFit="1" customWidth="1"/>
    <col min="7689" max="7689" width="9" style="34" customWidth="1"/>
    <col min="7690" max="7936" width="9" style="34"/>
    <col min="7937" max="7937" width="2.90625" style="34" customWidth="1"/>
    <col min="7938" max="7938" width="3" style="34" customWidth="1"/>
    <col min="7939" max="7939" width="17.7265625" style="34" customWidth="1"/>
    <col min="7940" max="7940" width="22.6328125" style="34" customWidth="1"/>
    <col min="7941" max="7941" width="8" style="34" customWidth="1"/>
    <col min="7942" max="7942" width="6.08984375" style="34" bestFit="1" customWidth="1"/>
    <col min="7943" max="7943" width="7.90625" style="34" bestFit="1" customWidth="1"/>
    <col min="7944" max="7944" width="13.26953125" style="34" bestFit="1" customWidth="1"/>
    <col min="7945" max="7945" width="9" style="34" customWidth="1"/>
    <col min="7946" max="8192" width="9" style="34"/>
    <col min="8193" max="8193" width="2.90625" style="34" customWidth="1"/>
    <col min="8194" max="8194" width="3" style="34" customWidth="1"/>
    <col min="8195" max="8195" width="17.7265625" style="34" customWidth="1"/>
    <col min="8196" max="8196" width="22.6328125" style="34" customWidth="1"/>
    <col min="8197" max="8197" width="8" style="34" customWidth="1"/>
    <col min="8198" max="8198" width="6.08984375" style="34" bestFit="1" customWidth="1"/>
    <col min="8199" max="8199" width="7.90625" style="34" bestFit="1" customWidth="1"/>
    <col min="8200" max="8200" width="13.26953125" style="34" bestFit="1" customWidth="1"/>
    <col min="8201" max="8201" width="9" style="34" customWidth="1"/>
    <col min="8202" max="8448" width="9" style="34"/>
    <col min="8449" max="8449" width="2.90625" style="34" customWidth="1"/>
    <col min="8450" max="8450" width="3" style="34" customWidth="1"/>
    <col min="8451" max="8451" width="17.7265625" style="34" customWidth="1"/>
    <col min="8452" max="8452" width="22.6328125" style="34" customWidth="1"/>
    <col min="8453" max="8453" width="8" style="34" customWidth="1"/>
    <col min="8454" max="8454" width="6.08984375" style="34" bestFit="1" customWidth="1"/>
    <col min="8455" max="8455" width="7.90625" style="34" bestFit="1" customWidth="1"/>
    <col min="8456" max="8456" width="13.26953125" style="34" bestFit="1" customWidth="1"/>
    <col min="8457" max="8457" width="9" style="34" customWidth="1"/>
    <col min="8458" max="8704" width="9" style="34"/>
    <col min="8705" max="8705" width="2.90625" style="34" customWidth="1"/>
    <col min="8706" max="8706" width="3" style="34" customWidth="1"/>
    <col min="8707" max="8707" width="17.7265625" style="34" customWidth="1"/>
    <col min="8708" max="8708" width="22.6328125" style="34" customWidth="1"/>
    <col min="8709" max="8709" width="8" style="34" customWidth="1"/>
    <col min="8710" max="8710" width="6.08984375" style="34" bestFit="1" customWidth="1"/>
    <col min="8711" max="8711" width="7.90625" style="34" bestFit="1" customWidth="1"/>
    <col min="8712" max="8712" width="13.26953125" style="34" bestFit="1" customWidth="1"/>
    <col min="8713" max="8713" width="9" style="34" customWidth="1"/>
    <col min="8714" max="8960" width="9" style="34"/>
    <col min="8961" max="8961" width="2.90625" style="34" customWidth="1"/>
    <col min="8962" max="8962" width="3" style="34" customWidth="1"/>
    <col min="8963" max="8963" width="17.7265625" style="34" customWidth="1"/>
    <col min="8964" max="8964" width="22.6328125" style="34" customWidth="1"/>
    <col min="8965" max="8965" width="8" style="34" customWidth="1"/>
    <col min="8966" max="8966" width="6.08984375" style="34" bestFit="1" customWidth="1"/>
    <col min="8967" max="8967" width="7.90625" style="34" bestFit="1" customWidth="1"/>
    <col min="8968" max="8968" width="13.26953125" style="34" bestFit="1" customWidth="1"/>
    <col min="8969" max="8969" width="9" style="34" customWidth="1"/>
    <col min="8970" max="9216" width="9" style="34"/>
    <col min="9217" max="9217" width="2.90625" style="34" customWidth="1"/>
    <col min="9218" max="9218" width="3" style="34" customWidth="1"/>
    <col min="9219" max="9219" width="17.7265625" style="34" customWidth="1"/>
    <col min="9220" max="9220" width="22.6328125" style="34" customWidth="1"/>
    <col min="9221" max="9221" width="8" style="34" customWidth="1"/>
    <col min="9222" max="9222" width="6.08984375" style="34" bestFit="1" customWidth="1"/>
    <col min="9223" max="9223" width="7.90625" style="34" bestFit="1" customWidth="1"/>
    <col min="9224" max="9224" width="13.26953125" style="34" bestFit="1" customWidth="1"/>
    <col min="9225" max="9225" width="9" style="34" customWidth="1"/>
    <col min="9226" max="9472" width="9" style="34"/>
    <col min="9473" max="9473" width="2.90625" style="34" customWidth="1"/>
    <col min="9474" max="9474" width="3" style="34" customWidth="1"/>
    <col min="9475" max="9475" width="17.7265625" style="34" customWidth="1"/>
    <col min="9476" max="9476" width="22.6328125" style="34" customWidth="1"/>
    <col min="9477" max="9477" width="8" style="34" customWidth="1"/>
    <col min="9478" max="9478" width="6.08984375" style="34" bestFit="1" customWidth="1"/>
    <col min="9479" max="9479" width="7.90625" style="34" bestFit="1" customWidth="1"/>
    <col min="9480" max="9480" width="13.26953125" style="34" bestFit="1" customWidth="1"/>
    <col min="9481" max="9481" width="9" style="34" customWidth="1"/>
    <col min="9482" max="9728" width="9" style="34"/>
    <col min="9729" max="9729" width="2.90625" style="34" customWidth="1"/>
    <col min="9730" max="9730" width="3" style="34" customWidth="1"/>
    <col min="9731" max="9731" width="17.7265625" style="34" customWidth="1"/>
    <col min="9732" max="9732" width="22.6328125" style="34" customWidth="1"/>
    <col min="9733" max="9733" width="8" style="34" customWidth="1"/>
    <col min="9734" max="9734" width="6.08984375" style="34" bestFit="1" customWidth="1"/>
    <col min="9735" max="9735" width="7.90625" style="34" bestFit="1" customWidth="1"/>
    <col min="9736" max="9736" width="13.26953125" style="34" bestFit="1" customWidth="1"/>
    <col min="9737" max="9737" width="9" style="34" customWidth="1"/>
    <col min="9738" max="9984" width="9" style="34"/>
    <col min="9985" max="9985" width="2.90625" style="34" customWidth="1"/>
    <col min="9986" max="9986" width="3" style="34" customWidth="1"/>
    <col min="9987" max="9987" width="17.7265625" style="34" customWidth="1"/>
    <col min="9988" max="9988" width="22.6328125" style="34" customWidth="1"/>
    <col min="9989" max="9989" width="8" style="34" customWidth="1"/>
    <col min="9990" max="9990" width="6.08984375" style="34" bestFit="1" customWidth="1"/>
    <col min="9991" max="9991" width="7.90625" style="34" bestFit="1" customWidth="1"/>
    <col min="9992" max="9992" width="13.26953125" style="34" bestFit="1" customWidth="1"/>
    <col min="9993" max="9993" width="9" style="34" customWidth="1"/>
    <col min="9994" max="10240" width="9" style="34"/>
    <col min="10241" max="10241" width="2.90625" style="34" customWidth="1"/>
    <col min="10242" max="10242" width="3" style="34" customWidth="1"/>
    <col min="10243" max="10243" width="17.7265625" style="34" customWidth="1"/>
    <col min="10244" max="10244" width="22.6328125" style="34" customWidth="1"/>
    <col min="10245" max="10245" width="8" style="34" customWidth="1"/>
    <col min="10246" max="10246" width="6.08984375" style="34" bestFit="1" customWidth="1"/>
    <col min="10247" max="10247" width="7.90625" style="34" bestFit="1" customWidth="1"/>
    <col min="10248" max="10248" width="13.26953125" style="34" bestFit="1" customWidth="1"/>
    <col min="10249" max="10249" width="9" style="34" customWidth="1"/>
    <col min="10250" max="10496" width="9" style="34"/>
    <col min="10497" max="10497" width="2.90625" style="34" customWidth="1"/>
    <col min="10498" max="10498" width="3" style="34" customWidth="1"/>
    <col min="10499" max="10499" width="17.7265625" style="34" customWidth="1"/>
    <col min="10500" max="10500" width="22.6328125" style="34" customWidth="1"/>
    <col min="10501" max="10501" width="8" style="34" customWidth="1"/>
    <col min="10502" max="10502" width="6.08984375" style="34" bestFit="1" customWidth="1"/>
    <col min="10503" max="10503" width="7.90625" style="34" bestFit="1" customWidth="1"/>
    <col min="10504" max="10504" width="13.26953125" style="34" bestFit="1" customWidth="1"/>
    <col min="10505" max="10505" width="9" style="34" customWidth="1"/>
    <col min="10506" max="10752" width="9" style="34"/>
    <col min="10753" max="10753" width="2.90625" style="34" customWidth="1"/>
    <col min="10754" max="10754" width="3" style="34" customWidth="1"/>
    <col min="10755" max="10755" width="17.7265625" style="34" customWidth="1"/>
    <col min="10756" max="10756" width="22.6328125" style="34" customWidth="1"/>
    <col min="10757" max="10757" width="8" style="34" customWidth="1"/>
    <col min="10758" max="10758" width="6.08984375" style="34" bestFit="1" customWidth="1"/>
    <col min="10759" max="10759" width="7.90625" style="34" bestFit="1" customWidth="1"/>
    <col min="10760" max="10760" width="13.26953125" style="34" bestFit="1" customWidth="1"/>
    <col min="10761" max="10761" width="9" style="34" customWidth="1"/>
    <col min="10762" max="11008" width="9" style="34"/>
    <col min="11009" max="11009" width="2.90625" style="34" customWidth="1"/>
    <col min="11010" max="11010" width="3" style="34" customWidth="1"/>
    <col min="11011" max="11011" width="17.7265625" style="34" customWidth="1"/>
    <col min="11012" max="11012" width="22.6328125" style="34" customWidth="1"/>
    <col min="11013" max="11013" width="8" style="34" customWidth="1"/>
    <col min="11014" max="11014" width="6.08984375" style="34" bestFit="1" customWidth="1"/>
    <col min="11015" max="11015" width="7.90625" style="34" bestFit="1" customWidth="1"/>
    <col min="11016" max="11016" width="13.26953125" style="34" bestFit="1" customWidth="1"/>
    <col min="11017" max="11017" width="9" style="34" customWidth="1"/>
    <col min="11018" max="11264" width="9" style="34"/>
    <col min="11265" max="11265" width="2.90625" style="34" customWidth="1"/>
    <col min="11266" max="11266" width="3" style="34" customWidth="1"/>
    <col min="11267" max="11267" width="17.7265625" style="34" customWidth="1"/>
    <col min="11268" max="11268" width="22.6328125" style="34" customWidth="1"/>
    <col min="11269" max="11269" width="8" style="34" customWidth="1"/>
    <col min="11270" max="11270" width="6.08984375" style="34" bestFit="1" customWidth="1"/>
    <col min="11271" max="11271" width="7.90625" style="34" bestFit="1" customWidth="1"/>
    <col min="11272" max="11272" width="13.26953125" style="34" bestFit="1" customWidth="1"/>
    <col min="11273" max="11273" width="9" style="34" customWidth="1"/>
    <col min="11274" max="11520" width="9" style="34"/>
    <col min="11521" max="11521" width="2.90625" style="34" customWidth="1"/>
    <col min="11522" max="11522" width="3" style="34" customWidth="1"/>
    <col min="11523" max="11523" width="17.7265625" style="34" customWidth="1"/>
    <col min="11524" max="11524" width="22.6328125" style="34" customWidth="1"/>
    <col min="11525" max="11525" width="8" style="34" customWidth="1"/>
    <col min="11526" max="11526" width="6.08984375" style="34" bestFit="1" customWidth="1"/>
    <col min="11527" max="11527" width="7.90625" style="34" bestFit="1" customWidth="1"/>
    <col min="11528" max="11528" width="13.26953125" style="34" bestFit="1" customWidth="1"/>
    <col min="11529" max="11529" width="9" style="34" customWidth="1"/>
    <col min="11530" max="11776" width="9" style="34"/>
    <col min="11777" max="11777" width="2.90625" style="34" customWidth="1"/>
    <col min="11778" max="11778" width="3" style="34" customWidth="1"/>
    <col min="11779" max="11779" width="17.7265625" style="34" customWidth="1"/>
    <col min="11780" max="11780" width="22.6328125" style="34" customWidth="1"/>
    <col min="11781" max="11781" width="8" style="34" customWidth="1"/>
    <col min="11782" max="11782" width="6.08984375" style="34" bestFit="1" customWidth="1"/>
    <col min="11783" max="11783" width="7.90625" style="34" bestFit="1" customWidth="1"/>
    <col min="11784" max="11784" width="13.26953125" style="34" bestFit="1" customWidth="1"/>
    <col min="11785" max="11785" width="9" style="34" customWidth="1"/>
    <col min="11786" max="12032" width="9" style="34"/>
    <col min="12033" max="12033" width="2.90625" style="34" customWidth="1"/>
    <col min="12034" max="12034" width="3" style="34" customWidth="1"/>
    <col min="12035" max="12035" width="17.7265625" style="34" customWidth="1"/>
    <col min="12036" max="12036" width="22.6328125" style="34" customWidth="1"/>
    <col min="12037" max="12037" width="8" style="34" customWidth="1"/>
    <col min="12038" max="12038" width="6.08984375" style="34" bestFit="1" customWidth="1"/>
    <col min="12039" max="12039" width="7.90625" style="34" bestFit="1" customWidth="1"/>
    <col min="12040" max="12040" width="13.26953125" style="34" bestFit="1" customWidth="1"/>
    <col min="12041" max="12041" width="9" style="34" customWidth="1"/>
    <col min="12042" max="12288" width="9" style="34"/>
    <col min="12289" max="12289" width="2.90625" style="34" customWidth="1"/>
    <col min="12290" max="12290" width="3" style="34" customWidth="1"/>
    <col min="12291" max="12291" width="17.7265625" style="34" customWidth="1"/>
    <col min="12292" max="12292" width="22.6328125" style="34" customWidth="1"/>
    <col min="12293" max="12293" width="8" style="34" customWidth="1"/>
    <col min="12294" max="12294" width="6.08984375" style="34" bestFit="1" customWidth="1"/>
    <col min="12295" max="12295" width="7.90625" style="34" bestFit="1" customWidth="1"/>
    <col min="12296" max="12296" width="13.26953125" style="34" bestFit="1" customWidth="1"/>
    <col min="12297" max="12297" width="9" style="34" customWidth="1"/>
    <col min="12298" max="12544" width="9" style="34"/>
    <col min="12545" max="12545" width="2.90625" style="34" customWidth="1"/>
    <col min="12546" max="12546" width="3" style="34" customWidth="1"/>
    <col min="12547" max="12547" width="17.7265625" style="34" customWidth="1"/>
    <col min="12548" max="12548" width="22.6328125" style="34" customWidth="1"/>
    <col min="12549" max="12549" width="8" style="34" customWidth="1"/>
    <col min="12550" max="12550" width="6.08984375" style="34" bestFit="1" customWidth="1"/>
    <col min="12551" max="12551" width="7.90625" style="34" bestFit="1" customWidth="1"/>
    <col min="12552" max="12552" width="13.26953125" style="34" bestFit="1" customWidth="1"/>
    <col min="12553" max="12553" width="9" style="34" customWidth="1"/>
    <col min="12554" max="12800" width="9" style="34"/>
    <col min="12801" max="12801" width="2.90625" style="34" customWidth="1"/>
    <col min="12802" max="12802" width="3" style="34" customWidth="1"/>
    <col min="12803" max="12803" width="17.7265625" style="34" customWidth="1"/>
    <col min="12804" max="12804" width="22.6328125" style="34" customWidth="1"/>
    <col min="12805" max="12805" width="8" style="34" customWidth="1"/>
    <col min="12806" max="12806" width="6.08984375" style="34" bestFit="1" customWidth="1"/>
    <col min="12807" max="12807" width="7.90625" style="34" bestFit="1" customWidth="1"/>
    <col min="12808" max="12808" width="13.26953125" style="34" bestFit="1" customWidth="1"/>
    <col min="12809" max="12809" width="9" style="34" customWidth="1"/>
    <col min="12810" max="13056" width="9" style="34"/>
    <col min="13057" max="13057" width="2.90625" style="34" customWidth="1"/>
    <col min="13058" max="13058" width="3" style="34" customWidth="1"/>
    <col min="13059" max="13059" width="17.7265625" style="34" customWidth="1"/>
    <col min="13060" max="13060" width="22.6328125" style="34" customWidth="1"/>
    <col min="13061" max="13061" width="8" style="34" customWidth="1"/>
    <col min="13062" max="13062" width="6.08984375" style="34" bestFit="1" customWidth="1"/>
    <col min="13063" max="13063" width="7.90625" style="34" bestFit="1" customWidth="1"/>
    <col min="13064" max="13064" width="13.26953125" style="34" bestFit="1" customWidth="1"/>
    <col min="13065" max="13065" width="9" style="34" customWidth="1"/>
    <col min="13066" max="13312" width="9" style="34"/>
    <col min="13313" max="13313" width="2.90625" style="34" customWidth="1"/>
    <col min="13314" max="13314" width="3" style="34" customWidth="1"/>
    <col min="13315" max="13315" width="17.7265625" style="34" customWidth="1"/>
    <col min="13316" max="13316" width="22.6328125" style="34" customWidth="1"/>
    <col min="13317" max="13317" width="8" style="34" customWidth="1"/>
    <col min="13318" max="13318" width="6.08984375" style="34" bestFit="1" customWidth="1"/>
    <col min="13319" max="13319" width="7.90625" style="34" bestFit="1" customWidth="1"/>
    <col min="13320" max="13320" width="13.26953125" style="34" bestFit="1" customWidth="1"/>
    <col min="13321" max="13321" width="9" style="34" customWidth="1"/>
    <col min="13322" max="13568" width="9" style="34"/>
    <col min="13569" max="13569" width="2.90625" style="34" customWidth="1"/>
    <col min="13570" max="13570" width="3" style="34" customWidth="1"/>
    <col min="13571" max="13571" width="17.7265625" style="34" customWidth="1"/>
    <col min="13572" max="13572" width="22.6328125" style="34" customWidth="1"/>
    <col min="13573" max="13573" width="8" style="34" customWidth="1"/>
    <col min="13574" max="13574" width="6.08984375" style="34" bestFit="1" customWidth="1"/>
    <col min="13575" max="13575" width="7.90625" style="34" bestFit="1" customWidth="1"/>
    <col min="13576" max="13576" width="13.26953125" style="34" bestFit="1" customWidth="1"/>
    <col min="13577" max="13577" width="9" style="34" customWidth="1"/>
    <col min="13578" max="13824" width="9" style="34"/>
    <col min="13825" max="13825" width="2.90625" style="34" customWidth="1"/>
    <col min="13826" max="13826" width="3" style="34" customWidth="1"/>
    <col min="13827" max="13827" width="17.7265625" style="34" customWidth="1"/>
    <col min="13828" max="13828" width="22.6328125" style="34" customWidth="1"/>
    <col min="13829" max="13829" width="8" style="34" customWidth="1"/>
    <col min="13830" max="13830" width="6.08984375" style="34" bestFit="1" customWidth="1"/>
    <col min="13831" max="13831" width="7.90625" style="34" bestFit="1" customWidth="1"/>
    <col min="13832" max="13832" width="13.26953125" style="34" bestFit="1" customWidth="1"/>
    <col min="13833" max="13833" width="9" style="34" customWidth="1"/>
    <col min="13834" max="14080" width="9" style="34"/>
    <col min="14081" max="14081" width="2.90625" style="34" customWidth="1"/>
    <col min="14082" max="14082" width="3" style="34" customWidth="1"/>
    <col min="14083" max="14083" width="17.7265625" style="34" customWidth="1"/>
    <col min="14084" max="14084" width="22.6328125" style="34" customWidth="1"/>
    <col min="14085" max="14085" width="8" style="34" customWidth="1"/>
    <col min="14086" max="14086" width="6.08984375" style="34" bestFit="1" customWidth="1"/>
    <col min="14087" max="14087" width="7.90625" style="34" bestFit="1" customWidth="1"/>
    <col min="14088" max="14088" width="13.26953125" style="34" bestFit="1" customWidth="1"/>
    <col min="14089" max="14089" width="9" style="34" customWidth="1"/>
    <col min="14090" max="14336" width="9" style="34"/>
    <col min="14337" max="14337" width="2.90625" style="34" customWidth="1"/>
    <col min="14338" max="14338" width="3" style="34" customWidth="1"/>
    <col min="14339" max="14339" width="17.7265625" style="34" customWidth="1"/>
    <col min="14340" max="14340" width="22.6328125" style="34" customWidth="1"/>
    <col min="14341" max="14341" width="8" style="34" customWidth="1"/>
    <col min="14342" max="14342" width="6.08984375" style="34" bestFit="1" customWidth="1"/>
    <col min="14343" max="14343" width="7.90625" style="34" bestFit="1" customWidth="1"/>
    <col min="14344" max="14344" width="13.26953125" style="34" bestFit="1" customWidth="1"/>
    <col min="14345" max="14345" width="9" style="34" customWidth="1"/>
    <col min="14346" max="14592" width="9" style="34"/>
    <col min="14593" max="14593" width="2.90625" style="34" customWidth="1"/>
    <col min="14594" max="14594" width="3" style="34" customWidth="1"/>
    <col min="14595" max="14595" width="17.7265625" style="34" customWidth="1"/>
    <col min="14596" max="14596" width="22.6328125" style="34" customWidth="1"/>
    <col min="14597" max="14597" width="8" style="34" customWidth="1"/>
    <col min="14598" max="14598" width="6.08984375" style="34" bestFit="1" customWidth="1"/>
    <col min="14599" max="14599" width="7.90625" style="34" bestFit="1" customWidth="1"/>
    <col min="14600" max="14600" width="13.26953125" style="34" bestFit="1" customWidth="1"/>
    <col min="14601" max="14601" width="9" style="34" customWidth="1"/>
    <col min="14602" max="14848" width="9" style="34"/>
    <col min="14849" max="14849" width="2.90625" style="34" customWidth="1"/>
    <col min="14850" max="14850" width="3" style="34" customWidth="1"/>
    <col min="14851" max="14851" width="17.7265625" style="34" customWidth="1"/>
    <col min="14852" max="14852" width="22.6328125" style="34" customWidth="1"/>
    <col min="14853" max="14853" width="8" style="34" customWidth="1"/>
    <col min="14854" max="14854" width="6.08984375" style="34" bestFit="1" customWidth="1"/>
    <col min="14855" max="14855" width="7.90625" style="34" bestFit="1" customWidth="1"/>
    <col min="14856" max="14856" width="13.26953125" style="34" bestFit="1" customWidth="1"/>
    <col min="14857" max="14857" width="9" style="34" customWidth="1"/>
    <col min="14858" max="15104" width="9" style="34"/>
    <col min="15105" max="15105" width="2.90625" style="34" customWidth="1"/>
    <col min="15106" max="15106" width="3" style="34" customWidth="1"/>
    <col min="15107" max="15107" width="17.7265625" style="34" customWidth="1"/>
    <col min="15108" max="15108" width="22.6328125" style="34" customWidth="1"/>
    <col min="15109" max="15109" width="8" style="34" customWidth="1"/>
    <col min="15110" max="15110" width="6.08984375" style="34" bestFit="1" customWidth="1"/>
    <col min="15111" max="15111" width="7.90625" style="34" bestFit="1" customWidth="1"/>
    <col min="15112" max="15112" width="13.26953125" style="34" bestFit="1" customWidth="1"/>
    <col min="15113" max="15113" width="9" style="34" customWidth="1"/>
    <col min="15114" max="15360" width="9" style="34"/>
    <col min="15361" max="15361" width="2.90625" style="34" customWidth="1"/>
    <col min="15362" max="15362" width="3" style="34" customWidth="1"/>
    <col min="15363" max="15363" width="17.7265625" style="34" customWidth="1"/>
    <col min="15364" max="15364" width="22.6328125" style="34" customWidth="1"/>
    <col min="15365" max="15365" width="8" style="34" customWidth="1"/>
    <col min="15366" max="15366" width="6.08984375" style="34" bestFit="1" customWidth="1"/>
    <col min="15367" max="15367" width="7.90625" style="34" bestFit="1" customWidth="1"/>
    <col min="15368" max="15368" width="13.26953125" style="34" bestFit="1" customWidth="1"/>
    <col min="15369" max="15369" width="9" style="34" customWidth="1"/>
    <col min="15370" max="15616" width="9" style="34"/>
    <col min="15617" max="15617" width="2.90625" style="34" customWidth="1"/>
    <col min="15618" max="15618" width="3" style="34" customWidth="1"/>
    <col min="15619" max="15619" width="17.7265625" style="34" customWidth="1"/>
    <col min="15620" max="15620" width="22.6328125" style="34" customWidth="1"/>
    <col min="15621" max="15621" width="8" style="34" customWidth="1"/>
    <col min="15622" max="15622" width="6.08984375" style="34" bestFit="1" customWidth="1"/>
    <col min="15623" max="15623" width="7.90625" style="34" bestFit="1" customWidth="1"/>
    <col min="15624" max="15624" width="13.26953125" style="34" bestFit="1" customWidth="1"/>
    <col min="15625" max="15625" width="9" style="34" customWidth="1"/>
    <col min="15626" max="15872" width="9" style="34"/>
    <col min="15873" max="15873" width="2.90625" style="34" customWidth="1"/>
    <col min="15874" max="15874" width="3" style="34" customWidth="1"/>
    <col min="15875" max="15875" width="17.7265625" style="34" customWidth="1"/>
    <col min="15876" max="15876" width="22.6328125" style="34" customWidth="1"/>
    <col min="15877" max="15877" width="8" style="34" customWidth="1"/>
    <col min="15878" max="15878" width="6.08984375" style="34" bestFit="1" customWidth="1"/>
    <col min="15879" max="15879" width="7.90625" style="34" bestFit="1" customWidth="1"/>
    <col min="15880" max="15880" width="13.26953125" style="34" bestFit="1" customWidth="1"/>
    <col min="15881" max="15881" width="9" style="34" customWidth="1"/>
    <col min="15882" max="16128" width="9" style="34"/>
    <col min="16129" max="16129" width="2.90625" style="34" customWidth="1"/>
    <col min="16130" max="16130" width="3" style="34" customWidth="1"/>
    <col min="16131" max="16131" width="17.7265625" style="34" customWidth="1"/>
    <col min="16132" max="16132" width="22.6328125" style="34" customWidth="1"/>
    <col min="16133" max="16133" width="8" style="34" customWidth="1"/>
    <col min="16134" max="16134" width="6.08984375" style="34" bestFit="1" customWidth="1"/>
    <col min="16135" max="16135" width="7.90625" style="34" bestFit="1" customWidth="1"/>
    <col min="16136" max="16136" width="13.26953125" style="34" bestFit="1" customWidth="1"/>
    <col min="16137" max="16137" width="9" style="34" customWidth="1"/>
    <col min="16138" max="16384" width="9" style="34"/>
  </cols>
  <sheetData>
    <row r="1" spans="1:12" ht="25.5" customHeight="1">
      <c r="A1" s="123" t="s">
        <v>380</v>
      </c>
      <c r="B1" s="36"/>
      <c r="C1" s="36"/>
      <c r="D1" s="36"/>
      <c r="E1" s="36"/>
      <c r="F1" s="168"/>
      <c r="G1" s="168"/>
      <c r="H1" s="1128" t="e">
        <f>CONCATENATE(#REF!,"/",#REF!,"/",#REF!)</f>
        <v>#REF!</v>
      </c>
      <c r="I1" s="1128"/>
      <c r="J1" s="703"/>
    </row>
    <row r="2" spans="1:12" s="68" customFormat="1" ht="31.5" customHeight="1">
      <c r="A2" s="1125" t="s">
        <v>524</v>
      </c>
      <c r="B2" s="1125"/>
      <c r="C2" s="1125"/>
      <c r="D2" s="1125"/>
      <c r="E2" s="1125"/>
      <c r="F2" s="1125"/>
      <c r="G2" s="1125"/>
      <c r="H2" s="1125"/>
      <c r="I2" s="1125"/>
      <c r="J2" s="702"/>
      <c r="L2" s="35" t="s">
        <v>82</v>
      </c>
    </row>
    <row r="3" spans="1:12" s="68" customFormat="1" ht="20.149999999999999" customHeight="1">
      <c r="A3" s="314"/>
      <c r="B3" s="314"/>
      <c r="C3" s="314"/>
      <c r="D3" s="314"/>
      <c r="E3" s="314"/>
      <c r="F3" s="314"/>
      <c r="G3" s="314"/>
      <c r="H3" s="314"/>
      <c r="I3" s="314"/>
      <c r="J3" s="702"/>
      <c r="L3" s="35"/>
    </row>
    <row r="4" spans="1:12" s="68" customFormat="1" ht="20.149999999999999" customHeight="1">
      <c r="A4" s="314"/>
      <c r="B4" s="314"/>
      <c r="C4" s="314"/>
      <c r="D4" s="314"/>
      <c r="E4" s="314"/>
      <c r="F4" s="314"/>
      <c r="G4" s="1301" t="s">
        <v>370</v>
      </c>
      <c r="H4" s="1303" t="e">
        <f>CONCATENATE(#REF!)</f>
        <v>#REF!</v>
      </c>
      <c r="I4" s="1304"/>
      <c r="J4" s="346"/>
      <c r="L4" s="35"/>
    </row>
    <row r="5" spans="1:12" s="68" customFormat="1" ht="20.149999999999999" customHeight="1">
      <c r="A5" s="314"/>
      <c r="B5" s="314"/>
      <c r="C5" s="314"/>
      <c r="D5" s="314"/>
      <c r="E5" s="314"/>
      <c r="F5" s="314"/>
      <c r="G5" s="1302"/>
      <c r="H5" s="1305"/>
      <c r="I5" s="1306"/>
      <c r="J5" s="346"/>
      <c r="L5" s="35"/>
    </row>
    <row r="6" spans="1:12" ht="20.149999999999999" customHeight="1">
      <c r="A6" s="1016"/>
      <c r="B6" s="1016"/>
      <c r="C6" s="1016"/>
      <c r="D6" s="1016"/>
      <c r="E6" s="314"/>
      <c r="F6" s="168"/>
      <c r="G6" s="346"/>
      <c r="H6" s="346"/>
      <c r="I6" s="346"/>
      <c r="J6" s="346"/>
      <c r="L6" s="35"/>
    </row>
    <row r="7" spans="1:12" ht="20.149999999999999" customHeight="1">
      <c r="A7" s="1016"/>
      <c r="B7" s="1016"/>
      <c r="C7" s="1016"/>
      <c r="D7" s="1016"/>
      <c r="E7" s="124"/>
      <c r="F7" s="168"/>
      <c r="G7" s="121"/>
      <c r="H7" s="346"/>
      <c r="I7" s="346"/>
      <c r="J7" s="346"/>
      <c r="L7" s="35" t="str">
        <f>IF($C$12&gt;=3,"B","")</f>
        <v/>
      </c>
    </row>
    <row r="8" spans="1:12" ht="21.75" customHeight="1">
      <c r="A8" s="36"/>
      <c r="B8" s="36"/>
      <c r="C8" s="347" t="s">
        <v>373</v>
      </c>
      <c r="D8" s="155">
        <f>'入力（加算）家'!D8</f>
        <v>0</v>
      </c>
      <c r="E8" s="39"/>
      <c r="F8" s="39"/>
      <c r="G8" s="39"/>
      <c r="H8" s="187" t="s">
        <v>374</v>
      </c>
      <c r="I8" s="188">
        <v>12</v>
      </c>
      <c r="J8" s="353"/>
      <c r="L8" s="35" t="str">
        <f>IF($C$12&gt;=7,"A","")</f>
        <v/>
      </c>
    </row>
    <row r="9" spans="1:12" ht="19.5" customHeight="1">
      <c r="A9" s="169"/>
      <c r="B9" s="47"/>
      <c r="D9" s="36"/>
      <c r="E9" s="47"/>
      <c r="F9" s="348"/>
      <c r="G9" s="39"/>
      <c r="H9" s="39"/>
      <c r="I9" s="39"/>
      <c r="J9" s="706"/>
    </row>
    <row r="10" spans="1:12" ht="22.5" customHeight="1">
      <c r="A10" s="169"/>
      <c r="B10" s="38"/>
      <c r="C10" s="38"/>
      <c r="D10" s="38"/>
      <c r="E10" s="38"/>
      <c r="F10" s="225"/>
      <c r="G10" s="225"/>
      <c r="H10" s="225"/>
      <c r="I10" s="225"/>
      <c r="J10" s="708"/>
      <c r="K10" s="234"/>
    </row>
    <row r="11" spans="1:12" ht="19.5" customHeight="1" thickBot="1">
      <c r="A11" s="169" t="s">
        <v>332</v>
      </c>
      <c r="B11" s="36"/>
      <c r="C11" s="36"/>
      <c r="D11" s="36"/>
      <c r="E11" s="36"/>
      <c r="F11" s="225"/>
      <c r="G11" s="225"/>
      <c r="H11" s="225"/>
      <c r="I11" s="225"/>
      <c r="J11" s="708"/>
      <c r="K11" s="234"/>
    </row>
    <row r="12" spans="1:12" ht="19.5" customHeight="1" thickBot="1">
      <c r="A12" s="47"/>
      <c r="B12" s="53"/>
      <c r="C12" s="349"/>
      <c r="D12" s="47" t="s">
        <v>125</v>
      </c>
      <c r="E12" s="47"/>
      <c r="F12" s="225"/>
      <c r="G12" s="226"/>
      <c r="H12" s="227"/>
      <c r="I12" s="225"/>
      <c r="J12" s="225"/>
      <c r="K12" s="234"/>
    </row>
    <row r="13" spans="1:12" ht="19.5" customHeight="1" thickBot="1">
      <c r="A13" s="170" t="s">
        <v>333</v>
      </c>
      <c r="B13" s="47"/>
      <c r="C13" s="47"/>
      <c r="D13" s="47"/>
      <c r="E13" s="47"/>
      <c r="F13" s="47"/>
      <c r="G13" s="168"/>
      <c r="H13" s="228"/>
      <c r="I13" s="226"/>
      <c r="J13" s="226"/>
    </row>
    <row r="14" spans="1:12" ht="24" customHeight="1" thickBot="1">
      <c r="A14" s="170"/>
      <c r="B14" s="47"/>
      <c r="C14" s="350"/>
      <c r="D14" s="47"/>
      <c r="E14" s="47"/>
      <c r="F14" s="47"/>
      <c r="G14" s="168"/>
      <c r="H14" s="228"/>
      <c r="I14" s="226"/>
      <c r="J14" s="226"/>
    </row>
    <row r="15" spans="1:12" ht="33.75" customHeight="1">
      <c r="A15" s="47"/>
      <c r="B15" s="47"/>
      <c r="C15" s="47"/>
      <c r="D15" s="47"/>
      <c r="E15" s="47"/>
      <c r="F15" s="47"/>
      <c r="G15" s="225"/>
      <c r="H15" s="227"/>
      <c r="I15" s="351"/>
      <c r="J15" s="351"/>
    </row>
    <row r="16" spans="1:12" ht="33.75" customHeight="1">
      <c r="A16" s="710" t="s">
        <v>481</v>
      </c>
      <c r="B16" s="36"/>
      <c r="C16" s="36"/>
      <c r="D16" s="36"/>
      <c r="E16" s="36"/>
      <c r="F16" s="168"/>
      <c r="G16" s="168"/>
      <c r="H16" s="168"/>
      <c r="I16" s="168"/>
      <c r="J16" s="168"/>
    </row>
    <row r="17" spans="1:11" ht="25.5" customHeight="1">
      <c r="A17" s="36"/>
      <c r="B17" s="36"/>
      <c r="C17" s="36"/>
      <c r="D17" s="735" t="s">
        <v>483</v>
      </c>
      <c r="E17" s="784" t="s">
        <v>480</v>
      </c>
      <c r="F17" s="999" t="s">
        <v>482</v>
      </c>
      <c r="G17" s="1000"/>
      <c r="H17" s="1001"/>
      <c r="I17" s="784" t="s">
        <v>475</v>
      </c>
      <c r="J17" s="787"/>
    </row>
    <row r="18" spans="1:11" ht="25.5" customHeight="1">
      <c r="A18" s="36"/>
      <c r="B18" s="1228" t="s">
        <v>477</v>
      </c>
      <c r="C18" s="1229"/>
      <c r="D18" s="733">
        <f>I8*O33*P33</f>
        <v>0</v>
      </c>
      <c r="E18" s="709">
        <f>O33</f>
        <v>40000</v>
      </c>
      <c r="F18" s="1002">
        <f>I8*O35*P33</f>
        <v>0</v>
      </c>
      <c r="G18" s="1003"/>
      <c r="H18" s="1004"/>
      <c r="I18" s="709">
        <f>O35</f>
        <v>49010</v>
      </c>
      <c r="J18" s="778"/>
    </row>
    <row r="19" spans="1:11" ht="25.5" customHeight="1">
      <c r="A19" s="36"/>
      <c r="B19" s="1228" t="s">
        <v>478</v>
      </c>
      <c r="C19" s="1229"/>
      <c r="D19" s="733">
        <f>I8*O34*P34</f>
        <v>0</v>
      </c>
      <c r="E19" s="709">
        <f>O34</f>
        <v>5000</v>
      </c>
      <c r="F19" s="1002">
        <f>I8*O36*P34</f>
        <v>0</v>
      </c>
      <c r="G19" s="1003"/>
      <c r="H19" s="1004"/>
      <c r="I19" s="709">
        <f>O36</f>
        <v>6130</v>
      </c>
      <c r="J19" s="778"/>
    </row>
    <row r="20" spans="1:11" ht="25.5" customHeight="1">
      <c r="A20" s="36"/>
      <c r="B20" s="1228" t="s">
        <v>377</v>
      </c>
      <c r="C20" s="1229"/>
      <c r="D20" s="734">
        <f>SUM(D18:D19)</f>
        <v>0</v>
      </c>
      <c r="E20" s="740"/>
      <c r="F20" s="1002">
        <f>SUM(F18:G19)</f>
        <v>0</v>
      </c>
      <c r="G20" s="1003"/>
      <c r="H20" s="1004"/>
      <c r="I20" s="720"/>
      <c r="J20" s="225"/>
    </row>
    <row r="21" spans="1:11" ht="25.5" customHeight="1">
      <c r="A21" s="36"/>
      <c r="B21" s="36"/>
      <c r="C21" s="36"/>
      <c r="D21" s="36"/>
      <c r="E21" s="36"/>
      <c r="F21" s="168"/>
      <c r="G21" s="168"/>
      <c r="H21" s="168"/>
      <c r="I21" s="168"/>
      <c r="J21" s="168"/>
      <c r="K21" s="168"/>
    </row>
    <row r="22" spans="1:11" ht="33.75" customHeight="1">
      <c r="K22" s="787"/>
    </row>
    <row r="23" spans="1:11" ht="33.75" customHeight="1">
      <c r="K23" s="778"/>
    </row>
    <row r="24" spans="1:11" ht="33.75" customHeight="1">
      <c r="K24" s="778"/>
    </row>
    <row r="25" spans="1:11" ht="33.75" customHeight="1">
      <c r="K25" s="225"/>
    </row>
    <row r="26" spans="1:11" ht="33.75" customHeight="1">
      <c r="A26" s="36"/>
      <c r="B26" s="36"/>
      <c r="C26" s="36"/>
      <c r="D26" s="36"/>
      <c r="E26" s="736"/>
      <c r="F26" s="699"/>
      <c r="G26" s="699"/>
      <c r="H26" s="699"/>
      <c r="I26" s="168"/>
      <c r="J26" s="168"/>
      <c r="K26" s="168"/>
    </row>
    <row r="27" spans="1:11" ht="33.75" customHeight="1">
      <c r="A27" s="36"/>
      <c r="B27" s="36"/>
      <c r="C27" s="36"/>
      <c r="D27" s="36"/>
      <c r="E27" s="736"/>
      <c r="F27" s="699"/>
      <c r="G27" s="699"/>
      <c r="H27" s="699"/>
      <c r="I27" s="168"/>
      <c r="J27" s="168"/>
      <c r="K27" s="168"/>
    </row>
    <row r="28" spans="1:11" ht="33.75" customHeight="1">
      <c r="A28" s="36"/>
      <c r="B28" s="36"/>
      <c r="C28" s="36"/>
      <c r="D28" s="36"/>
      <c r="E28" s="736"/>
      <c r="F28" s="699"/>
      <c r="G28" s="699"/>
      <c r="H28" s="699"/>
      <c r="I28" s="168"/>
      <c r="J28" s="36"/>
      <c r="K28" s="36"/>
    </row>
    <row r="29" spans="1:11" ht="33.75" customHeight="1">
      <c r="F29" s="34"/>
      <c r="G29" s="34"/>
      <c r="H29" s="34"/>
      <c r="I29" s="34"/>
      <c r="J29" s="34"/>
    </row>
    <row r="30" spans="1:11" ht="33.75" customHeight="1">
      <c r="F30" s="34"/>
      <c r="G30" s="34"/>
      <c r="H30" s="34"/>
      <c r="I30" s="34"/>
      <c r="J30" s="34"/>
    </row>
    <row r="31" spans="1:11" ht="33.75" customHeight="1">
      <c r="F31" s="34"/>
      <c r="G31" s="34"/>
      <c r="H31" s="34"/>
      <c r="I31" s="34"/>
      <c r="J31" s="34"/>
    </row>
    <row r="32" spans="1:11" ht="20.25" customHeight="1">
      <c r="F32" s="34"/>
      <c r="G32" s="34"/>
      <c r="H32" s="34"/>
      <c r="I32" s="34"/>
      <c r="J32" s="34"/>
    </row>
    <row r="33" spans="6:16" ht="20.25" customHeight="1">
      <c r="F33" s="34"/>
      <c r="G33" s="34"/>
      <c r="H33" s="34"/>
      <c r="I33" s="34"/>
      <c r="J33" s="34"/>
      <c r="N33" s="35" t="s">
        <v>375</v>
      </c>
      <c r="O33" s="122">
        <v>40000</v>
      </c>
      <c r="P33" s="35">
        <f>IF(C14="A",1,0)</f>
        <v>0</v>
      </c>
    </row>
    <row r="34" spans="6:16" ht="20.25" customHeight="1">
      <c r="F34" s="34"/>
      <c r="G34" s="34"/>
      <c r="H34" s="34"/>
      <c r="I34" s="34"/>
      <c r="J34" s="34"/>
      <c r="N34" s="35" t="s">
        <v>376</v>
      </c>
      <c r="O34" s="122">
        <v>5000</v>
      </c>
      <c r="P34" s="35">
        <f>IF(C14="B",1,0)</f>
        <v>0</v>
      </c>
    </row>
    <row r="35" spans="6:16" ht="20.25" customHeight="1">
      <c r="F35" s="34"/>
      <c r="G35" s="34"/>
      <c r="H35" s="34"/>
      <c r="I35" s="34"/>
      <c r="J35" s="34"/>
      <c r="N35" s="35" t="s">
        <v>486</v>
      </c>
      <c r="O35" s="122">
        <v>49010</v>
      </c>
    </row>
    <row r="36" spans="6:16" ht="20.25" customHeight="1">
      <c r="F36" s="34"/>
      <c r="G36" s="34"/>
      <c r="H36" s="34"/>
      <c r="I36" s="34"/>
      <c r="J36" s="34"/>
      <c r="N36" s="35" t="s">
        <v>487</v>
      </c>
      <c r="O36" s="122">
        <v>6130</v>
      </c>
    </row>
    <row r="37" spans="6:16" ht="20.25" customHeight="1">
      <c r="F37" s="34"/>
      <c r="G37" s="34"/>
      <c r="H37" s="34"/>
      <c r="I37" s="34"/>
      <c r="J37" s="34"/>
    </row>
    <row r="38" spans="6:16" ht="20.25" customHeight="1">
      <c r="F38" s="34"/>
      <c r="G38" s="34"/>
      <c r="H38" s="34"/>
      <c r="I38" s="34"/>
      <c r="J38" s="34"/>
    </row>
    <row r="39" spans="6:16" ht="20.25" customHeight="1">
      <c r="F39" s="34"/>
      <c r="G39" s="34"/>
      <c r="H39" s="34"/>
      <c r="I39" s="34"/>
      <c r="J39" s="34"/>
    </row>
    <row r="40" spans="6:16" ht="20.25" customHeight="1">
      <c r="F40" s="34"/>
      <c r="G40" s="34"/>
      <c r="H40" s="34"/>
      <c r="I40" s="34"/>
      <c r="J40" s="34"/>
    </row>
    <row r="41" spans="6:16" ht="20.25" customHeight="1">
      <c r="F41" s="34"/>
      <c r="G41" s="34"/>
      <c r="H41" s="34"/>
      <c r="I41" s="34"/>
      <c r="J41" s="34"/>
    </row>
    <row r="42" spans="6:16" ht="20.25" customHeight="1">
      <c r="F42" s="34"/>
      <c r="G42" s="34"/>
      <c r="H42" s="34"/>
      <c r="I42" s="34"/>
      <c r="J42" s="34"/>
    </row>
    <row r="43" spans="6:16" ht="20.25" customHeight="1">
      <c r="F43" s="34"/>
      <c r="G43" s="34"/>
      <c r="H43" s="34"/>
      <c r="I43" s="34"/>
      <c r="J43" s="34"/>
    </row>
    <row r="44" spans="6:16" ht="20.25" customHeight="1">
      <c r="F44" s="34"/>
      <c r="G44" s="34"/>
      <c r="H44" s="34"/>
      <c r="I44" s="34"/>
      <c r="J44" s="34"/>
    </row>
    <row r="45" spans="6:16" ht="20.25" customHeight="1">
      <c r="F45" s="34"/>
      <c r="G45" s="34"/>
      <c r="H45" s="34"/>
      <c r="I45" s="34"/>
      <c r="J45" s="34"/>
    </row>
    <row r="46" spans="6:16" ht="20.25" customHeight="1">
      <c r="F46" s="34"/>
      <c r="G46" s="34"/>
      <c r="H46" s="34"/>
      <c r="I46" s="34"/>
      <c r="J46" s="34"/>
    </row>
    <row r="47" spans="6:16" ht="20.25" customHeight="1">
      <c r="F47" s="34"/>
      <c r="G47" s="34"/>
      <c r="H47" s="34"/>
      <c r="I47" s="34"/>
      <c r="J47" s="34"/>
    </row>
    <row r="48" spans="6:16" ht="20.25" customHeight="1">
      <c r="F48" s="34"/>
      <c r="G48" s="34"/>
      <c r="H48" s="34"/>
      <c r="I48" s="34"/>
      <c r="J48" s="34"/>
    </row>
    <row r="49" s="34" customFormat="1" ht="20.25" customHeight="1"/>
    <row r="50" s="34" customFormat="1" ht="20.25" customHeight="1"/>
    <row r="51" s="34" customFormat="1" ht="20.25" customHeight="1"/>
    <row r="52" s="34" customFormat="1" ht="20.25" customHeight="1"/>
    <row r="53" s="34" customFormat="1" ht="20.25" customHeight="1"/>
    <row r="54" s="34" customFormat="1" ht="20.25" customHeight="1"/>
    <row r="55" s="34" customFormat="1" ht="20.25" customHeight="1"/>
    <row r="56" s="34" customFormat="1" ht="20.25" customHeight="1"/>
    <row r="57" s="34" customFormat="1" ht="20.25" customHeight="1"/>
    <row r="58" s="34" customFormat="1" ht="20.25" customHeight="1"/>
    <row r="59" s="34" customFormat="1" ht="20.25" customHeight="1"/>
    <row r="60" s="34" customFormat="1" ht="20.25" customHeight="1"/>
    <row r="61" s="34" customFormat="1" ht="20.25" customHeight="1"/>
    <row r="62" s="34" customFormat="1" ht="20.25" customHeight="1"/>
    <row r="63" s="34" customFormat="1" ht="20.25" customHeight="1"/>
    <row r="64" s="34" customFormat="1" ht="20.25" customHeight="1"/>
    <row r="65" s="34" customFormat="1" ht="20.25" customHeight="1"/>
    <row r="66" s="34" customFormat="1" ht="20.25" customHeight="1"/>
    <row r="67" s="34" customFormat="1" ht="20.25" customHeight="1"/>
    <row r="68" s="34" customFormat="1" ht="20.25" customHeight="1"/>
    <row r="69" s="34" customFormat="1" ht="20.25" customHeight="1"/>
    <row r="70" s="34" customFormat="1" ht="20.25" customHeight="1"/>
    <row r="71" s="34" customFormat="1" ht="20.25" customHeight="1"/>
    <row r="72" s="34" customFormat="1" ht="20.25" customHeight="1"/>
    <row r="73" s="34" customFormat="1" ht="20.25" customHeight="1"/>
    <row r="74" s="34" customFormat="1" ht="20.25" customHeight="1"/>
    <row r="75" s="34" customFormat="1" ht="20.25" customHeight="1"/>
    <row r="76" s="34" customFormat="1" ht="20.25" customHeight="1"/>
    <row r="77" s="34" customFormat="1" ht="20.25" customHeight="1"/>
    <row r="78" s="34" customFormat="1" ht="20.25" customHeight="1"/>
    <row r="79" s="34" customFormat="1" ht="20.25" customHeight="1"/>
    <row r="80" s="34" customFormat="1" ht="20.25" customHeight="1"/>
    <row r="81" spans="6:10" ht="20.25" customHeight="1">
      <c r="F81" s="34"/>
      <c r="G81" s="34"/>
      <c r="H81" s="34"/>
      <c r="I81" s="34"/>
      <c r="J81" s="34"/>
    </row>
    <row r="82" spans="6:10" ht="20.25" customHeight="1">
      <c r="F82" s="34"/>
      <c r="G82" s="34"/>
      <c r="H82" s="34"/>
      <c r="I82" s="34"/>
      <c r="J82" s="34"/>
    </row>
    <row r="83" spans="6:10" ht="20.25" customHeight="1">
      <c r="F83" s="34"/>
      <c r="G83" s="34"/>
      <c r="H83" s="34"/>
      <c r="I83" s="34"/>
      <c r="J83" s="34"/>
    </row>
    <row r="84" spans="6:10" ht="20.25" customHeight="1">
      <c r="F84" s="34"/>
      <c r="G84" s="34"/>
      <c r="H84" s="34"/>
      <c r="I84" s="34"/>
      <c r="J84" s="34"/>
    </row>
    <row r="85" spans="6:10" ht="20.25" customHeight="1">
      <c r="F85" s="34"/>
      <c r="G85" s="34"/>
      <c r="H85" s="34"/>
      <c r="I85" s="34"/>
      <c r="J85" s="34"/>
    </row>
    <row r="86" spans="6:10" ht="20.25" customHeight="1">
      <c r="F86" s="34"/>
      <c r="G86" s="34"/>
      <c r="H86" s="34"/>
      <c r="I86" s="34"/>
      <c r="J86" s="34"/>
    </row>
    <row r="87" spans="6:10" ht="20.25" customHeight="1">
      <c r="F87" s="34"/>
      <c r="G87" s="34"/>
      <c r="H87" s="34"/>
      <c r="I87" s="34"/>
      <c r="J87" s="34"/>
    </row>
    <row r="88" spans="6:10" ht="20.25" customHeight="1">
      <c r="F88" s="34"/>
      <c r="G88" s="34"/>
      <c r="H88" s="34"/>
      <c r="I88" s="34"/>
      <c r="J88" s="34"/>
    </row>
    <row r="89" spans="6:10" ht="20.25" customHeight="1">
      <c r="F89" s="34"/>
      <c r="G89" s="34"/>
      <c r="H89" s="34"/>
      <c r="I89" s="34"/>
      <c r="J89" s="34"/>
    </row>
    <row r="90" spans="6:10" ht="20.25" customHeight="1">
      <c r="F90" s="34"/>
      <c r="G90" s="34"/>
      <c r="H90" s="34"/>
      <c r="I90" s="34"/>
      <c r="J90" s="34"/>
    </row>
    <row r="91" spans="6:10" ht="20.25" customHeight="1"/>
    <row r="92" spans="6:10" ht="20.25" customHeight="1"/>
  </sheetData>
  <sheetProtection algorithmName="SHA-512" hashValue="y1OJYmw7Rgc8NQGHxRoWSdbOJ01NtCawzpLtmpxIOvpL5+sREjas3JeXg/zhdVPv11UsV1w/roRL6Zq6k7NnEw==" saltValue="2Zl8czZCg5FnFhqN2WRupg==" spinCount="100000" sheet="1" objects="1" scenarios="1"/>
  <customSheetViews>
    <customSheetView guid="{2E52E5FF-9846-4DC5-A671-268FE925398C}" scale="110" showPageBreaks="1" printArea="1" view="pageBreakPreview">
      <selection activeCell="A7" sqref="A7:D8"/>
      <pageMargins left="0.7" right="0.7" top="0.75" bottom="0.75" header="0.3" footer="0.3"/>
      <pageSetup paperSize="9" scale="91" orientation="portrait" r:id="rId1"/>
    </customSheetView>
    <customSheetView guid="{BADA99B3-B36A-4925-87A7-F72FC97D3DBA}" scale="110" showPageBreaks="1" printArea="1" view="pageBreakPreview" topLeftCell="A16">
      <selection activeCell="A7" sqref="A7:D8"/>
      <pageMargins left="0.7" right="0.7" top="0.75" bottom="0.75" header="0.3" footer="0.3"/>
      <pageSetup paperSize="9" scale="91" orientation="portrait" r:id="rId2"/>
    </customSheetView>
  </customSheetViews>
  <mergeCells count="12">
    <mergeCell ref="A6:D7"/>
    <mergeCell ref="H1:I1"/>
    <mergeCell ref="A2:I2"/>
    <mergeCell ref="G4:G5"/>
    <mergeCell ref="H4:I5"/>
    <mergeCell ref="B20:C20"/>
    <mergeCell ref="F20:H20"/>
    <mergeCell ref="F17:H17"/>
    <mergeCell ref="B18:C18"/>
    <mergeCell ref="F18:H18"/>
    <mergeCell ref="B19:C19"/>
    <mergeCell ref="F19:H19"/>
  </mergeCells>
  <phoneticPr fontId="36"/>
  <dataValidations count="2">
    <dataValidation type="list" allowBlank="1" showInputMessage="1" showErrorMessage="1" sqref="WLQ983046:WLQ983048 E65538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4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0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6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2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18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4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0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6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2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898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4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0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6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2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WVM983046:WVM983048 E65540:E65542 JA65542:JA65544 SW65542:SW65544 ACS65542:ACS65544 AMO65542:AMO65544 AWK65542:AWK65544 BGG65542:BGG65544 BQC65542:BQC65544 BZY65542:BZY65544 CJU65542:CJU65544 CTQ65542:CTQ65544 DDM65542:DDM65544 DNI65542:DNI65544 DXE65542:DXE65544 EHA65542:EHA65544 EQW65542:EQW65544 FAS65542:FAS65544 FKO65542:FKO65544 FUK65542:FUK65544 GEG65542:GEG65544 GOC65542:GOC65544 GXY65542:GXY65544 HHU65542:HHU65544 HRQ65542:HRQ65544 IBM65542:IBM65544 ILI65542:ILI65544 IVE65542:IVE65544 JFA65542:JFA65544 JOW65542:JOW65544 JYS65542:JYS65544 KIO65542:KIO65544 KSK65542:KSK65544 LCG65542:LCG65544 LMC65542:LMC65544 LVY65542:LVY65544 MFU65542:MFU65544 MPQ65542:MPQ65544 MZM65542:MZM65544 NJI65542:NJI65544 NTE65542:NTE65544 ODA65542:ODA65544 OMW65542:OMW65544 OWS65542:OWS65544 PGO65542:PGO65544 PQK65542:PQK65544 QAG65542:QAG65544 QKC65542:QKC65544 QTY65542:QTY65544 RDU65542:RDU65544 RNQ65542:RNQ65544 RXM65542:RXM65544 SHI65542:SHI65544 SRE65542:SRE65544 TBA65542:TBA65544 TKW65542:TKW65544 TUS65542:TUS65544 UEO65542:UEO65544 UOK65542:UOK65544 UYG65542:UYG65544 VIC65542:VIC65544 VRY65542:VRY65544 WBU65542:WBU65544 WLQ65542:WLQ65544 WVM65542:WVM65544 E131076:E131078 JA131078:JA131080 SW131078:SW131080 ACS131078:ACS131080 AMO131078:AMO131080 AWK131078:AWK131080 BGG131078:BGG131080 BQC131078:BQC131080 BZY131078:BZY131080 CJU131078:CJU131080 CTQ131078:CTQ131080 DDM131078:DDM131080 DNI131078:DNI131080 DXE131078:DXE131080 EHA131078:EHA131080 EQW131078:EQW131080 FAS131078:FAS131080 FKO131078:FKO131080 FUK131078:FUK131080 GEG131078:GEG131080 GOC131078:GOC131080 GXY131078:GXY131080 HHU131078:HHU131080 HRQ131078:HRQ131080 IBM131078:IBM131080 ILI131078:ILI131080 IVE131078:IVE131080 JFA131078:JFA131080 JOW131078:JOW131080 JYS131078:JYS131080 KIO131078:KIO131080 KSK131078:KSK131080 LCG131078:LCG131080 LMC131078:LMC131080 LVY131078:LVY131080 MFU131078:MFU131080 MPQ131078:MPQ131080 MZM131078:MZM131080 NJI131078:NJI131080 NTE131078:NTE131080 ODA131078:ODA131080 OMW131078:OMW131080 OWS131078:OWS131080 PGO131078:PGO131080 PQK131078:PQK131080 QAG131078:QAG131080 QKC131078:QKC131080 QTY131078:QTY131080 RDU131078:RDU131080 RNQ131078:RNQ131080 RXM131078:RXM131080 SHI131078:SHI131080 SRE131078:SRE131080 TBA131078:TBA131080 TKW131078:TKW131080 TUS131078:TUS131080 UEO131078:UEO131080 UOK131078:UOK131080 UYG131078:UYG131080 VIC131078:VIC131080 VRY131078:VRY131080 WBU131078:WBU131080 WLQ131078:WLQ131080 WVM131078:WVM131080 E196612:E196614 JA196614:JA196616 SW196614:SW196616 ACS196614:ACS196616 AMO196614:AMO196616 AWK196614:AWK196616 BGG196614:BGG196616 BQC196614:BQC196616 BZY196614:BZY196616 CJU196614:CJU196616 CTQ196614:CTQ196616 DDM196614:DDM196616 DNI196614:DNI196616 DXE196614:DXE196616 EHA196614:EHA196616 EQW196614:EQW196616 FAS196614:FAS196616 FKO196614:FKO196616 FUK196614:FUK196616 GEG196614:GEG196616 GOC196614:GOC196616 GXY196614:GXY196616 HHU196614:HHU196616 HRQ196614:HRQ196616 IBM196614:IBM196616 ILI196614:ILI196616 IVE196614:IVE196616 JFA196614:JFA196616 JOW196614:JOW196616 JYS196614:JYS196616 KIO196614:KIO196616 KSK196614:KSK196616 LCG196614:LCG196616 LMC196614:LMC196616 LVY196614:LVY196616 MFU196614:MFU196616 MPQ196614:MPQ196616 MZM196614:MZM196616 NJI196614:NJI196616 NTE196614:NTE196616 ODA196614:ODA196616 OMW196614:OMW196616 OWS196614:OWS196616 PGO196614:PGO196616 PQK196614:PQK196616 QAG196614:QAG196616 QKC196614:QKC196616 QTY196614:QTY196616 RDU196614:RDU196616 RNQ196614:RNQ196616 RXM196614:RXM196616 SHI196614:SHI196616 SRE196614:SRE196616 TBA196614:TBA196616 TKW196614:TKW196616 TUS196614:TUS196616 UEO196614:UEO196616 UOK196614:UOK196616 UYG196614:UYG196616 VIC196614:VIC196616 VRY196614:VRY196616 WBU196614:WBU196616 WLQ196614:WLQ196616 WVM196614:WVM196616 E262148:E262150 JA262150:JA262152 SW262150:SW262152 ACS262150:ACS262152 AMO262150:AMO262152 AWK262150:AWK262152 BGG262150:BGG262152 BQC262150:BQC262152 BZY262150:BZY262152 CJU262150:CJU262152 CTQ262150:CTQ262152 DDM262150:DDM262152 DNI262150:DNI262152 DXE262150:DXE262152 EHA262150:EHA262152 EQW262150:EQW262152 FAS262150:FAS262152 FKO262150:FKO262152 FUK262150:FUK262152 GEG262150:GEG262152 GOC262150:GOC262152 GXY262150:GXY262152 HHU262150:HHU262152 HRQ262150:HRQ262152 IBM262150:IBM262152 ILI262150:ILI262152 IVE262150:IVE262152 JFA262150:JFA262152 JOW262150:JOW262152 JYS262150:JYS262152 KIO262150:KIO262152 KSK262150:KSK262152 LCG262150:LCG262152 LMC262150:LMC262152 LVY262150:LVY262152 MFU262150:MFU262152 MPQ262150:MPQ262152 MZM262150:MZM262152 NJI262150:NJI262152 NTE262150:NTE262152 ODA262150:ODA262152 OMW262150:OMW262152 OWS262150:OWS262152 PGO262150:PGO262152 PQK262150:PQK262152 QAG262150:QAG262152 QKC262150:QKC262152 QTY262150:QTY262152 RDU262150:RDU262152 RNQ262150:RNQ262152 RXM262150:RXM262152 SHI262150:SHI262152 SRE262150:SRE262152 TBA262150:TBA262152 TKW262150:TKW262152 TUS262150:TUS262152 UEO262150:UEO262152 UOK262150:UOK262152 UYG262150:UYG262152 VIC262150:VIC262152 VRY262150:VRY262152 WBU262150:WBU262152 WLQ262150:WLQ262152 WVM262150:WVM262152 E327684:E327686 JA327686:JA327688 SW327686:SW327688 ACS327686:ACS327688 AMO327686:AMO327688 AWK327686:AWK327688 BGG327686:BGG327688 BQC327686:BQC327688 BZY327686:BZY327688 CJU327686:CJU327688 CTQ327686:CTQ327688 DDM327686:DDM327688 DNI327686:DNI327688 DXE327686:DXE327688 EHA327686:EHA327688 EQW327686:EQW327688 FAS327686:FAS327688 FKO327686:FKO327688 FUK327686:FUK327688 GEG327686:GEG327688 GOC327686:GOC327688 GXY327686:GXY327688 HHU327686:HHU327688 HRQ327686:HRQ327688 IBM327686:IBM327688 ILI327686:ILI327688 IVE327686:IVE327688 JFA327686:JFA327688 JOW327686:JOW327688 JYS327686:JYS327688 KIO327686:KIO327688 KSK327686:KSK327688 LCG327686:LCG327688 LMC327686:LMC327688 LVY327686:LVY327688 MFU327686:MFU327688 MPQ327686:MPQ327688 MZM327686:MZM327688 NJI327686:NJI327688 NTE327686:NTE327688 ODA327686:ODA327688 OMW327686:OMW327688 OWS327686:OWS327688 PGO327686:PGO327688 PQK327686:PQK327688 QAG327686:QAG327688 QKC327686:QKC327688 QTY327686:QTY327688 RDU327686:RDU327688 RNQ327686:RNQ327688 RXM327686:RXM327688 SHI327686:SHI327688 SRE327686:SRE327688 TBA327686:TBA327688 TKW327686:TKW327688 TUS327686:TUS327688 UEO327686:UEO327688 UOK327686:UOK327688 UYG327686:UYG327688 VIC327686:VIC327688 VRY327686:VRY327688 WBU327686:WBU327688 WLQ327686:WLQ327688 WVM327686:WVM327688 E393220:E393222 JA393222:JA393224 SW393222:SW393224 ACS393222:ACS393224 AMO393222:AMO393224 AWK393222:AWK393224 BGG393222:BGG393224 BQC393222:BQC393224 BZY393222:BZY393224 CJU393222:CJU393224 CTQ393222:CTQ393224 DDM393222:DDM393224 DNI393222:DNI393224 DXE393222:DXE393224 EHA393222:EHA393224 EQW393222:EQW393224 FAS393222:FAS393224 FKO393222:FKO393224 FUK393222:FUK393224 GEG393222:GEG393224 GOC393222:GOC393224 GXY393222:GXY393224 HHU393222:HHU393224 HRQ393222:HRQ393224 IBM393222:IBM393224 ILI393222:ILI393224 IVE393222:IVE393224 JFA393222:JFA393224 JOW393222:JOW393224 JYS393222:JYS393224 KIO393222:KIO393224 KSK393222:KSK393224 LCG393222:LCG393224 LMC393222:LMC393224 LVY393222:LVY393224 MFU393222:MFU393224 MPQ393222:MPQ393224 MZM393222:MZM393224 NJI393222:NJI393224 NTE393222:NTE393224 ODA393222:ODA393224 OMW393222:OMW393224 OWS393222:OWS393224 PGO393222:PGO393224 PQK393222:PQK393224 QAG393222:QAG393224 QKC393222:QKC393224 QTY393222:QTY393224 RDU393222:RDU393224 RNQ393222:RNQ393224 RXM393222:RXM393224 SHI393222:SHI393224 SRE393222:SRE393224 TBA393222:TBA393224 TKW393222:TKW393224 TUS393222:TUS393224 UEO393222:UEO393224 UOK393222:UOK393224 UYG393222:UYG393224 VIC393222:VIC393224 VRY393222:VRY393224 WBU393222:WBU393224 WLQ393222:WLQ393224 WVM393222:WVM393224 E458756:E458758 JA458758:JA458760 SW458758:SW458760 ACS458758:ACS458760 AMO458758:AMO458760 AWK458758:AWK458760 BGG458758:BGG458760 BQC458758:BQC458760 BZY458758:BZY458760 CJU458758:CJU458760 CTQ458758:CTQ458760 DDM458758:DDM458760 DNI458758:DNI458760 DXE458758:DXE458760 EHA458758:EHA458760 EQW458758:EQW458760 FAS458758:FAS458760 FKO458758:FKO458760 FUK458758:FUK458760 GEG458758:GEG458760 GOC458758:GOC458760 GXY458758:GXY458760 HHU458758:HHU458760 HRQ458758:HRQ458760 IBM458758:IBM458760 ILI458758:ILI458760 IVE458758:IVE458760 JFA458758:JFA458760 JOW458758:JOW458760 JYS458758:JYS458760 KIO458758:KIO458760 KSK458758:KSK458760 LCG458758:LCG458760 LMC458758:LMC458760 LVY458758:LVY458760 MFU458758:MFU458760 MPQ458758:MPQ458760 MZM458758:MZM458760 NJI458758:NJI458760 NTE458758:NTE458760 ODA458758:ODA458760 OMW458758:OMW458760 OWS458758:OWS458760 PGO458758:PGO458760 PQK458758:PQK458760 QAG458758:QAG458760 QKC458758:QKC458760 QTY458758:QTY458760 RDU458758:RDU458760 RNQ458758:RNQ458760 RXM458758:RXM458760 SHI458758:SHI458760 SRE458758:SRE458760 TBA458758:TBA458760 TKW458758:TKW458760 TUS458758:TUS458760 UEO458758:UEO458760 UOK458758:UOK458760 UYG458758:UYG458760 VIC458758:VIC458760 VRY458758:VRY458760 WBU458758:WBU458760 WLQ458758:WLQ458760 WVM458758:WVM458760 E524292:E524294 JA524294:JA524296 SW524294:SW524296 ACS524294:ACS524296 AMO524294:AMO524296 AWK524294:AWK524296 BGG524294:BGG524296 BQC524294:BQC524296 BZY524294:BZY524296 CJU524294:CJU524296 CTQ524294:CTQ524296 DDM524294:DDM524296 DNI524294:DNI524296 DXE524294:DXE524296 EHA524294:EHA524296 EQW524294:EQW524296 FAS524294:FAS524296 FKO524294:FKO524296 FUK524294:FUK524296 GEG524294:GEG524296 GOC524294:GOC524296 GXY524294:GXY524296 HHU524294:HHU524296 HRQ524294:HRQ524296 IBM524294:IBM524296 ILI524294:ILI524296 IVE524294:IVE524296 JFA524294:JFA524296 JOW524294:JOW524296 JYS524294:JYS524296 KIO524294:KIO524296 KSK524294:KSK524296 LCG524294:LCG524296 LMC524294:LMC524296 LVY524294:LVY524296 MFU524294:MFU524296 MPQ524294:MPQ524296 MZM524294:MZM524296 NJI524294:NJI524296 NTE524294:NTE524296 ODA524294:ODA524296 OMW524294:OMW524296 OWS524294:OWS524296 PGO524294:PGO524296 PQK524294:PQK524296 QAG524294:QAG524296 QKC524294:QKC524296 QTY524294:QTY524296 RDU524294:RDU524296 RNQ524294:RNQ524296 RXM524294:RXM524296 SHI524294:SHI524296 SRE524294:SRE524296 TBA524294:TBA524296 TKW524294:TKW524296 TUS524294:TUS524296 UEO524294:UEO524296 UOK524294:UOK524296 UYG524294:UYG524296 VIC524294:VIC524296 VRY524294:VRY524296 WBU524294:WBU524296 WLQ524294:WLQ524296 WVM524294:WVM524296 E589828:E589830 JA589830:JA589832 SW589830:SW589832 ACS589830:ACS589832 AMO589830:AMO589832 AWK589830:AWK589832 BGG589830:BGG589832 BQC589830:BQC589832 BZY589830:BZY589832 CJU589830:CJU589832 CTQ589830:CTQ589832 DDM589830:DDM589832 DNI589830:DNI589832 DXE589830:DXE589832 EHA589830:EHA589832 EQW589830:EQW589832 FAS589830:FAS589832 FKO589830:FKO589832 FUK589830:FUK589832 GEG589830:GEG589832 GOC589830:GOC589832 GXY589830:GXY589832 HHU589830:HHU589832 HRQ589830:HRQ589832 IBM589830:IBM589832 ILI589830:ILI589832 IVE589830:IVE589832 JFA589830:JFA589832 JOW589830:JOW589832 JYS589830:JYS589832 KIO589830:KIO589832 KSK589830:KSK589832 LCG589830:LCG589832 LMC589830:LMC589832 LVY589830:LVY589832 MFU589830:MFU589832 MPQ589830:MPQ589832 MZM589830:MZM589832 NJI589830:NJI589832 NTE589830:NTE589832 ODA589830:ODA589832 OMW589830:OMW589832 OWS589830:OWS589832 PGO589830:PGO589832 PQK589830:PQK589832 QAG589830:QAG589832 QKC589830:QKC589832 QTY589830:QTY589832 RDU589830:RDU589832 RNQ589830:RNQ589832 RXM589830:RXM589832 SHI589830:SHI589832 SRE589830:SRE589832 TBA589830:TBA589832 TKW589830:TKW589832 TUS589830:TUS589832 UEO589830:UEO589832 UOK589830:UOK589832 UYG589830:UYG589832 VIC589830:VIC589832 VRY589830:VRY589832 WBU589830:WBU589832 WLQ589830:WLQ589832 WVM589830:WVM589832 E655364:E655366 JA655366:JA655368 SW655366:SW655368 ACS655366:ACS655368 AMO655366:AMO655368 AWK655366:AWK655368 BGG655366:BGG655368 BQC655366:BQC655368 BZY655366:BZY655368 CJU655366:CJU655368 CTQ655366:CTQ655368 DDM655366:DDM655368 DNI655366:DNI655368 DXE655366:DXE655368 EHA655366:EHA655368 EQW655366:EQW655368 FAS655366:FAS655368 FKO655366:FKO655368 FUK655366:FUK655368 GEG655366:GEG655368 GOC655366:GOC655368 GXY655366:GXY655368 HHU655366:HHU655368 HRQ655366:HRQ655368 IBM655366:IBM655368 ILI655366:ILI655368 IVE655366:IVE655368 JFA655366:JFA655368 JOW655366:JOW655368 JYS655366:JYS655368 KIO655366:KIO655368 KSK655366:KSK655368 LCG655366:LCG655368 LMC655366:LMC655368 LVY655366:LVY655368 MFU655366:MFU655368 MPQ655366:MPQ655368 MZM655366:MZM655368 NJI655366:NJI655368 NTE655366:NTE655368 ODA655366:ODA655368 OMW655366:OMW655368 OWS655366:OWS655368 PGO655366:PGO655368 PQK655366:PQK655368 QAG655366:QAG655368 QKC655366:QKC655368 QTY655366:QTY655368 RDU655366:RDU655368 RNQ655366:RNQ655368 RXM655366:RXM655368 SHI655366:SHI655368 SRE655366:SRE655368 TBA655366:TBA655368 TKW655366:TKW655368 TUS655366:TUS655368 UEO655366:UEO655368 UOK655366:UOK655368 UYG655366:UYG655368 VIC655366:VIC655368 VRY655366:VRY655368 WBU655366:WBU655368 WLQ655366:WLQ655368 WVM655366:WVM655368 E720900:E720902 JA720902:JA720904 SW720902:SW720904 ACS720902:ACS720904 AMO720902:AMO720904 AWK720902:AWK720904 BGG720902:BGG720904 BQC720902:BQC720904 BZY720902:BZY720904 CJU720902:CJU720904 CTQ720902:CTQ720904 DDM720902:DDM720904 DNI720902:DNI720904 DXE720902:DXE720904 EHA720902:EHA720904 EQW720902:EQW720904 FAS720902:FAS720904 FKO720902:FKO720904 FUK720902:FUK720904 GEG720902:GEG720904 GOC720902:GOC720904 GXY720902:GXY720904 HHU720902:HHU720904 HRQ720902:HRQ720904 IBM720902:IBM720904 ILI720902:ILI720904 IVE720902:IVE720904 JFA720902:JFA720904 JOW720902:JOW720904 JYS720902:JYS720904 KIO720902:KIO720904 KSK720902:KSK720904 LCG720902:LCG720904 LMC720902:LMC720904 LVY720902:LVY720904 MFU720902:MFU720904 MPQ720902:MPQ720904 MZM720902:MZM720904 NJI720902:NJI720904 NTE720902:NTE720904 ODA720902:ODA720904 OMW720902:OMW720904 OWS720902:OWS720904 PGO720902:PGO720904 PQK720902:PQK720904 QAG720902:QAG720904 QKC720902:QKC720904 QTY720902:QTY720904 RDU720902:RDU720904 RNQ720902:RNQ720904 RXM720902:RXM720904 SHI720902:SHI720904 SRE720902:SRE720904 TBA720902:TBA720904 TKW720902:TKW720904 TUS720902:TUS720904 UEO720902:UEO720904 UOK720902:UOK720904 UYG720902:UYG720904 VIC720902:VIC720904 VRY720902:VRY720904 WBU720902:WBU720904 WLQ720902:WLQ720904 WVM720902:WVM720904 E786436:E786438 JA786438:JA786440 SW786438:SW786440 ACS786438:ACS786440 AMO786438:AMO786440 AWK786438:AWK786440 BGG786438:BGG786440 BQC786438:BQC786440 BZY786438:BZY786440 CJU786438:CJU786440 CTQ786438:CTQ786440 DDM786438:DDM786440 DNI786438:DNI786440 DXE786438:DXE786440 EHA786438:EHA786440 EQW786438:EQW786440 FAS786438:FAS786440 FKO786438:FKO786440 FUK786438:FUK786440 GEG786438:GEG786440 GOC786438:GOC786440 GXY786438:GXY786440 HHU786438:HHU786440 HRQ786438:HRQ786440 IBM786438:IBM786440 ILI786438:ILI786440 IVE786438:IVE786440 JFA786438:JFA786440 JOW786438:JOW786440 JYS786438:JYS786440 KIO786438:KIO786440 KSK786438:KSK786440 LCG786438:LCG786440 LMC786438:LMC786440 LVY786438:LVY786440 MFU786438:MFU786440 MPQ786438:MPQ786440 MZM786438:MZM786440 NJI786438:NJI786440 NTE786438:NTE786440 ODA786438:ODA786440 OMW786438:OMW786440 OWS786438:OWS786440 PGO786438:PGO786440 PQK786438:PQK786440 QAG786438:QAG786440 QKC786438:QKC786440 QTY786438:QTY786440 RDU786438:RDU786440 RNQ786438:RNQ786440 RXM786438:RXM786440 SHI786438:SHI786440 SRE786438:SRE786440 TBA786438:TBA786440 TKW786438:TKW786440 TUS786438:TUS786440 UEO786438:UEO786440 UOK786438:UOK786440 UYG786438:UYG786440 VIC786438:VIC786440 VRY786438:VRY786440 WBU786438:WBU786440 WLQ786438:WLQ786440 WVM786438:WVM786440 E851972:E851974 JA851974:JA851976 SW851974:SW851976 ACS851974:ACS851976 AMO851974:AMO851976 AWK851974:AWK851976 BGG851974:BGG851976 BQC851974:BQC851976 BZY851974:BZY851976 CJU851974:CJU851976 CTQ851974:CTQ851976 DDM851974:DDM851976 DNI851974:DNI851976 DXE851974:DXE851976 EHA851974:EHA851976 EQW851974:EQW851976 FAS851974:FAS851976 FKO851974:FKO851976 FUK851974:FUK851976 GEG851974:GEG851976 GOC851974:GOC851976 GXY851974:GXY851976 HHU851974:HHU851976 HRQ851974:HRQ851976 IBM851974:IBM851976 ILI851974:ILI851976 IVE851974:IVE851976 JFA851974:JFA851976 JOW851974:JOW851976 JYS851974:JYS851976 KIO851974:KIO851976 KSK851974:KSK851976 LCG851974:LCG851976 LMC851974:LMC851976 LVY851974:LVY851976 MFU851974:MFU851976 MPQ851974:MPQ851976 MZM851974:MZM851976 NJI851974:NJI851976 NTE851974:NTE851976 ODA851974:ODA851976 OMW851974:OMW851976 OWS851974:OWS851976 PGO851974:PGO851976 PQK851974:PQK851976 QAG851974:QAG851976 QKC851974:QKC851976 QTY851974:QTY851976 RDU851974:RDU851976 RNQ851974:RNQ851976 RXM851974:RXM851976 SHI851974:SHI851976 SRE851974:SRE851976 TBA851974:TBA851976 TKW851974:TKW851976 TUS851974:TUS851976 UEO851974:UEO851976 UOK851974:UOK851976 UYG851974:UYG851976 VIC851974:VIC851976 VRY851974:VRY851976 WBU851974:WBU851976 WLQ851974:WLQ851976 WVM851974:WVM851976 E917508:E917510 JA917510:JA917512 SW917510:SW917512 ACS917510:ACS917512 AMO917510:AMO917512 AWK917510:AWK917512 BGG917510:BGG917512 BQC917510:BQC917512 BZY917510:BZY917512 CJU917510:CJU917512 CTQ917510:CTQ917512 DDM917510:DDM917512 DNI917510:DNI917512 DXE917510:DXE917512 EHA917510:EHA917512 EQW917510:EQW917512 FAS917510:FAS917512 FKO917510:FKO917512 FUK917510:FUK917512 GEG917510:GEG917512 GOC917510:GOC917512 GXY917510:GXY917512 HHU917510:HHU917512 HRQ917510:HRQ917512 IBM917510:IBM917512 ILI917510:ILI917512 IVE917510:IVE917512 JFA917510:JFA917512 JOW917510:JOW917512 JYS917510:JYS917512 KIO917510:KIO917512 KSK917510:KSK917512 LCG917510:LCG917512 LMC917510:LMC917512 LVY917510:LVY917512 MFU917510:MFU917512 MPQ917510:MPQ917512 MZM917510:MZM917512 NJI917510:NJI917512 NTE917510:NTE917512 ODA917510:ODA917512 OMW917510:OMW917512 OWS917510:OWS917512 PGO917510:PGO917512 PQK917510:PQK917512 QAG917510:QAG917512 QKC917510:QKC917512 QTY917510:QTY917512 RDU917510:RDU917512 RNQ917510:RNQ917512 RXM917510:RXM917512 SHI917510:SHI917512 SRE917510:SRE917512 TBA917510:TBA917512 TKW917510:TKW917512 TUS917510:TUS917512 UEO917510:UEO917512 UOK917510:UOK917512 UYG917510:UYG917512 VIC917510:VIC917512 VRY917510:VRY917512 WBU917510:WBU917512 WLQ917510:WLQ917512 WVM917510:WVM917512 E983044:E983046 JA983046:JA983048 SW983046:SW983048 ACS983046:ACS983048 AMO983046:AMO983048 AWK983046:AWK983048 BGG983046:BGG983048 BQC983046:BQC983048 BZY983046:BZY983048 CJU983046:CJU983048 CTQ983046:CTQ983048 DDM983046:DDM983048 DNI983046:DNI983048 DXE983046:DXE983048 EHA983046:EHA983048 EQW983046:EQW983048 FAS983046:FAS983048 FKO983046:FKO983048 FUK983046:FUK983048 GEG983046:GEG983048 GOC983046:GOC983048 GXY983046:GXY983048 HHU983046:HHU983048 HRQ983046:HRQ983048 IBM983046:IBM983048 ILI983046:ILI983048 IVE983046:IVE983048 JFA983046:JFA983048 JOW983046:JOW983048 JYS983046:JYS983048 KIO983046:KIO983048 KSK983046:KSK983048 LCG983046:LCG983048 LMC983046:LMC983048 LVY983046:LVY983048 MFU983046:MFU983048 MPQ983046:MPQ983048 MZM983046:MZM983048 NJI983046:NJI983048 NTE983046:NTE983048 ODA983046:ODA983048 OMW983046:OMW983048 OWS983046:OWS983048 PGO983046:PGO983048 PQK983046:PQK983048 QAG983046:QAG983048 QKC983046:QKC983048 QTY983046:QTY983048 RDU983046:RDU983048 RNQ983046:RNQ983048 RXM983046:RXM983048 SHI983046:SHI983048 SRE983046:SRE983048 TBA983046:TBA983048 TKW983046:TKW983048 TUS983046:TUS983048 UEO983046:UEO983048 UOK983046:UOK983048 UYG983046:UYG983048 VIC983046:VIC983048 VRY983046:VRY983048 WBU983046:WBU983048" xr:uid="{00000000-0002-0000-2D00-000000000000}">
      <formula1>"　,あり,なし"</formula1>
    </dataValidation>
    <dataValidation type="list" showInputMessage="1" showErrorMessage="1" sqref="C14" xr:uid="{00000000-0002-0000-2D00-000001000000}">
      <formula1>$L$6:$L$8</formula1>
    </dataValidation>
  </dataValidations>
  <pageMargins left="0.7" right="0.7" top="0.75" bottom="0.75" header="0.3" footer="0.3"/>
  <pageSetup paperSize="9" scale="91"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E35"/>
  <sheetViews>
    <sheetView view="pageBreakPreview" topLeftCell="A6" zoomScale="85" zoomScaleNormal="100" zoomScaleSheetLayoutView="85" workbookViewId="0">
      <selection activeCell="E31" sqref="E31"/>
    </sheetView>
  </sheetViews>
  <sheetFormatPr defaultColWidth="9" defaultRowHeight="13"/>
  <cols>
    <col min="1" max="1" width="7.26953125" style="400" customWidth="1"/>
    <col min="2" max="2" width="19.36328125" style="400" bestFit="1" customWidth="1"/>
    <col min="3" max="3" width="15.7265625" style="400" customWidth="1"/>
    <col min="4" max="4" width="62.453125" style="400" customWidth="1"/>
    <col min="5" max="5" width="46.36328125" style="400" customWidth="1"/>
    <col min="6" max="14" width="9" style="402" customWidth="1"/>
    <col min="15" max="16384" width="9" style="402"/>
  </cols>
  <sheetData>
    <row r="1" spans="1:5" ht="14">
      <c r="E1" s="401" t="e">
        <f>CONCATENATE(#REF!,"/",#REF!,"/",#REF!)</f>
        <v>#REF!</v>
      </c>
    </row>
    <row r="2" spans="1:5">
      <c r="A2" s="873"/>
      <c r="B2" s="873"/>
      <c r="C2" s="810"/>
      <c r="E2" s="403" t="e">
        <f>#REF!</f>
        <v>#REF!</v>
      </c>
    </row>
    <row r="3" spans="1:5">
      <c r="E3" s="403"/>
    </row>
    <row r="4" spans="1:5" ht="30" customHeight="1">
      <c r="A4" s="404" t="s">
        <v>403</v>
      </c>
      <c r="E4" s="405">
        <f ca="1">+TODAY()</f>
        <v>45511</v>
      </c>
    </row>
    <row r="5" spans="1:5" ht="30" customHeight="1" thickBot="1">
      <c r="A5" s="402"/>
      <c r="E5" s="406"/>
    </row>
    <row r="6" spans="1:5" ht="30" customHeight="1" thickBot="1">
      <c r="A6" s="407" t="s">
        <v>401</v>
      </c>
      <c r="B6" s="407" t="s">
        <v>410</v>
      </c>
      <c r="C6" s="813" t="s">
        <v>507</v>
      </c>
      <c r="D6" s="408" t="s">
        <v>404</v>
      </c>
      <c r="E6" s="409" t="s">
        <v>405</v>
      </c>
    </row>
    <row r="7" spans="1:5" ht="30" customHeight="1" thickTop="1">
      <c r="A7" s="874" t="s">
        <v>420</v>
      </c>
      <c r="B7" s="875"/>
      <c r="C7" s="875"/>
      <c r="D7" s="875"/>
      <c r="E7" s="410"/>
    </row>
    <row r="8" spans="1:5" ht="30" customHeight="1">
      <c r="A8" s="411" t="s">
        <v>402</v>
      </c>
      <c r="B8" s="412" t="s">
        <v>442</v>
      </c>
      <c r="C8" s="814" t="s">
        <v>510</v>
      </c>
      <c r="D8" s="413"/>
      <c r="E8" s="414"/>
    </row>
    <row r="9" spans="1:5" ht="30" customHeight="1">
      <c r="A9" s="411" t="s">
        <v>402</v>
      </c>
      <c r="B9" s="412" t="s">
        <v>453</v>
      </c>
      <c r="C9" s="814" t="s">
        <v>510</v>
      </c>
      <c r="D9" s="413"/>
      <c r="E9" s="414"/>
    </row>
    <row r="10" spans="1:5" ht="30" customHeight="1">
      <c r="A10" s="411" t="e">
        <f>IF(#REF!&gt;0,"□","×")</f>
        <v>#REF!</v>
      </c>
      <c r="B10" s="412" t="s">
        <v>454</v>
      </c>
      <c r="C10" s="814" t="s">
        <v>510</v>
      </c>
      <c r="D10" s="413"/>
      <c r="E10" s="414" t="s">
        <v>455</v>
      </c>
    </row>
    <row r="11" spans="1:5" ht="30" customHeight="1">
      <c r="A11" s="411" t="s">
        <v>402</v>
      </c>
      <c r="B11" s="412" t="s">
        <v>421</v>
      </c>
      <c r="C11" s="814" t="s">
        <v>510</v>
      </c>
      <c r="D11" s="413"/>
      <c r="E11" s="415" t="s">
        <v>452</v>
      </c>
    </row>
    <row r="12" spans="1:5" ht="30" customHeight="1">
      <c r="A12" s="411" t="s">
        <v>402</v>
      </c>
      <c r="B12" s="416" t="s">
        <v>422</v>
      </c>
      <c r="C12" s="814" t="s">
        <v>510</v>
      </c>
      <c r="D12" s="413"/>
      <c r="E12" s="414"/>
    </row>
    <row r="13" spans="1:5" ht="30" customHeight="1">
      <c r="A13" s="411" t="s">
        <v>402</v>
      </c>
      <c r="B13" s="811" t="s">
        <v>509</v>
      </c>
      <c r="C13" s="814" t="s">
        <v>511</v>
      </c>
      <c r="D13" s="811"/>
      <c r="E13" s="812" t="s">
        <v>512</v>
      </c>
    </row>
    <row r="14" spans="1:5" ht="30" customHeight="1">
      <c r="A14" s="874" t="s">
        <v>412</v>
      </c>
      <c r="B14" s="875"/>
      <c r="C14" s="875"/>
      <c r="D14" s="875"/>
      <c r="E14" s="417"/>
    </row>
    <row r="15" spans="1:5" ht="30" customHeight="1">
      <c r="A15" s="411" t="e">
        <f>IF(#REF!="はい","□","×")</f>
        <v>#REF!</v>
      </c>
      <c r="B15" s="412" t="s">
        <v>128</v>
      </c>
      <c r="C15" s="814" t="s">
        <v>510</v>
      </c>
      <c r="D15" s="413" t="s">
        <v>415</v>
      </c>
      <c r="E15" s="871" t="s">
        <v>424</v>
      </c>
    </row>
    <row r="16" spans="1:5" ht="30" customHeight="1">
      <c r="A16" s="418" t="e">
        <f>IF(#REF!="はい","□","×")</f>
        <v>#REF!</v>
      </c>
      <c r="B16" s="418" t="s">
        <v>450</v>
      </c>
      <c r="C16" s="814" t="s">
        <v>510</v>
      </c>
      <c r="D16" s="419" t="s">
        <v>451</v>
      </c>
      <c r="E16" s="872"/>
    </row>
    <row r="17" spans="1:5" ht="30" customHeight="1">
      <c r="A17" s="418" t="s">
        <v>402</v>
      </c>
      <c r="B17" s="418" t="s">
        <v>409</v>
      </c>
      <c r="C17" s="814" t="s">
        <v>510</v>
      </c>
      <c r="D17" s="420" t="s">
        <v>508</v>
      </c>
      <c r="E17" s="421"/>
    </row>
    <row r="18" spans="1:5" ht="30" customHeight="1">
      <c r="A18" s="422" t="s">
        <v>402</v>
      </c>
      <c r="B18" s="418" t="s">
        <v>428</v>
      </c>
      <c r="C18" s="814" t="s">
        <v>510</v>
      </c>
      <c r="D18" s="420" t="s">
        <v>416</v>
      </c>
      <c r="E18" s="421"/>
    </row>
    <row r="19" spans="1:5" ht="30" customHeight="1">
      <c r="A19" s="422" t="s">
        <v>402</v>
      </c>
      <c r="B19" s="418" t="s">
        <v>429</v>
      </c>
      <c r="C19" s="814" t="s">
        <v>510</v>
      </c>
      <c r="D19" s="420" t="s">
        <v>417</v>
      </c>
      <c r="E19" s="421"/>
    </row>
    <row r="20" spans="1:5" ht="30" customHeight="1">
      <c r="A20" s="874" t="s">
        <v>413</v>
      </c>
      <c r="B20" s="875"/>
      <c r="C20" s="875"/>
      <c r="D20" s="875"/>
      <c r="E20" s="417"/>
    </row>
    <row r="21" spans="1:5" ht="30" customHeight="1">
      <c r="A21" s="418" t="s">
        <v>402</v>
      </c>
      <c r="B21" s="418" t="s">
        <v>129</v>
      </c>
      <c r="C21" s="814" t="s">
        <v>510</v>
      </c>
      <c r="D21" s="420" t="s">
        <v>418</v>
      </c>
      <c r="E21" s="814"/>
    </row>
    <row r="22" spans="1:5" ht="30" customHeight="1">
      <c r="A22" s="422" t="s">
        <v>402</v>
      </c>
      <c r="B22" s="422" t="s">
        <v>335</v>
      </c>
      <c r="C22" s="814" t="s">
        <v>510</v>
      </c>
      <c r="D22" s="420" t="s">
        <v>419</v>
      </c>
      <c r="E22" s="421"/>
    </row>
    <row r="23" spans="1:5" ht="30" customHeight="1">
      <c r="A23" s="422" t="e">
        <f>IF(#REF!=#REF!,"×","□")</f>
        <v>#REF!</v>
      </c>
      <c r="B23" s="423" t="s">
        <v>411</v>
      </c>
      <c r="C23" s="814" t="s">
        <v>510</v>
      </c>
      <c r="D23" s="420" t="s">
        <v>430</v>
      </c>
      <c r="E23" s="421" t="s">
        <v>423</v>
      </c>
    </row>
    <row r="24" spans="1:5" ht="30" customHeight="1">
      <c r="A24" s="422" t="s">
        <v>402</v>
      </c>
      <c r="B24" s="422" t="s">
        <v>425</v>
      </c>
      <c r="C24" s="814" t="s">
        <v>510</v>
      </c>
      <c r="D24" s="424" t="s">
        <v>431</v>
      </c>
      <c r="E24" s="421"/>
    </row>
    <row r="25" spans="1:5" ht="30" customHeight="1">
      <c r="A25" s="422" t="s">
        <v>402</v>
      </c>
      <c r="B25" s="422" t="s">
        <v>426</v>
      </c>
      <c r="C25" s="814" t="s">
        <v>510</v>
      </c>
      <c r="D25" s="425" t="s">
        <v>432</v>
      </c>
      <c r="E25" s="426"/>
    </row>
    <row r="26" spans="1:5" ht="30" customHeight="1">
      <c r="A26" s="422" t="s">
        <v>443</v>
      </c>
      <c r="B26" s="427" t="s">
        <v>448</v>
      </c>
      <c r="C26" s="814" t="s">
        <v>510</v>
      </c>
      <c r="D26" s="425" t="s">
        <v>445</v>
      </c>
      <c r="E26" s="428" t="s">
        <v>446</v>
      </c>
    </row>
    <row r="27" spans="1:5" ht="30" customHeight="1">
      <c r="A27" s="429" t="s">
        <v>443</v>
      </c>
      <c r="B27" s="427" t="s">
        <v>449</v>
      </c>
      <c r="C27" s="814" t="s">
        <v>510</v>
      </c>
      <c r="D27" s="430" t="s">
        <v>447</v>
      </c>
      <c r="E27" s="431" t="s">
        <v>456</v>
      </c>
    </row>
    <row r="28" spans="1:5" ht="30" customHeight="1" thickBot="1">
      <c r="A28" s="432" t="s">
        <v>443</v>
      </c>
      <c r="B28" s="433" t="s">
        <v>427</v>
      </c>
      <c r="C28" s="814" t="s">
        <v>510</v>
      </c>
      <c r="D28" s="434" t="s">
        <v>444</v>
      </c>
      <c r="E28" s="435"/>
    </row>
    <row r="29" spans="1:5" ht="30" customHeight="1">
      <c r="A29" s="436" t="s">
        <v>433</v>
      </c>
      <c r="B29" s="437"/>
      <c r="C29" s="439"/>
      <c r="E29" s="402"/>
    </row>
    <row r="30" spans="1:5" ht="30" customHeight="1">
      <c r="A30" s="438" t="s">
        <v>408</v>
      </c>
    </row>
    <row r="31" spans="1:5" ht="30" customHeight="1">
      <c r="A31" s="439"/>
      <c r="B31" s="439"/>
      <c r="C31" s="439"/>
      <c r="D31" s="440" t="s">
        <v>406</v>
      </c>
      <c r="E31" s="442"/>
    </row>
    <row r="32" spans="1:5" ht="30" customHeight="1">
      <c r="D32" s="381" t="s">
        <v>407</v>
      </c>
      <c r="E32" s="443"/>
    </row>
    <row r="33" spans="1:1">
      <c r="A33" s="438"/>
    </row>
    <row r="34" spans="1:1" ht="21">
      <c r="A34" s="441" t="s">
        <v>414</v>
      </c>
    </row>
    <row r="35" spans="1:1" ht="21">
      <c r="A35" s="441"/>
    </row>
  </sheetData>
  <sheetProtection algorithmName="SHA-512" hashValue="or0fqwdi1gJuPOzwhkLAYmBdfNqDnlBBDFS2qv0MQ5YEzL4mUcyll//GY8AIpLi/t/C0A3d2XYaZ9DVjn54D+w==" saltValue="eT2NZbNXK2BNDGloB9U4GQ==" spinCount="100000" sheet="1" objects="1" scenarios="1" selectLockedCells="1"/>
  <mergeCells count="5">
    <mergeCell ref="E15:E16"/>
    <mergeCell ref="A2:B2"/>
    <mergeCell ref="A14:D14"/>
    <mergeCell ref="A20:D20"/>
    <mergeCell ref="A7:D7"/>
  </mergeCells>
  <phoneticPr fontId="4"/>
  <printOptions horizontalCentered="1"/>
  <pageMargins left="0.70866141732283472" right="0.70866141732283472" top="0.74803149606299213" bottom="0.74803149606299213" header="0.31496062992125984" footer="0.31496062992125984"/>
  <pageSetup paperSize="9" scale="58"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4782-9ABF-4B37-A833-0587447B4AEE}">
  <sheetPr>
    <tabColor theme="1"/>
  </sheetPr>
  <dimension ref="B6:P29"/>
  <sheetViews>
    <sheetView tabSelected="1" zoomScale="70" zoomScaleNormal="70" workbookViewId="0"/>
  </sheetViews>
  <sheetFormatPr defaultRowHeight="13"/>
  <sheetData>
    <row r="6" spans="2:16" ht="30.75" customHeight="1">
      <c r="B6" s="831" t="s">
        <v>527</v>
      </c>
      <c r="C6" s="826"/>
      <c r="P6" s="828"/>
    </row>
    <row r="7" spans="2:16" ht="30.75" customHeight="1">
      <c r="B7" s="831" t="s">
        <v>528</v>
      </c>
      <c r="C7" s="826"/>
      <c r="P7" s="832"/>
    </row>
    <row r="8" spans="2:16" ht="30.75" customHeight="1">
      <c r="B8" s="831" t="s">
        <v>529</v>
      </c>
      <c r="C8" s="826"/>
      <c r="P8" s="828"/>
    </row>
    <row r="9" spans="2:16" ht="65.25" customHeight="1">
      <c r="B9" s="827"/>
      <c r="P9" s="827"/>
    </row>
    <row r="10" spans="2:16" ht="30.75" customHeight="1">
      <c r="B10" s="828" t="s">
        <v>525</v>
      </c>
      <c r="P10" s="827"/>
    </row>
    <row r="11" spans="2:16" ht="30.75" customHeight="1">
      <c r="B11" s="832" t="s">
        <v>526</v>
      </c>
      <c r="P11" s="827"/>
    </row>
    <row r="12" spans="2:16" s="829" customFormat="1" ht="30.75" customHeight="1">
      <c r="B12" s="828" t="s">
        <v>531</v>
      </c>
      <c r="P12" s="828"/>
    </row>
    <row r="13" spans="2:16" s="829" customFormat="1" ht="30.75" customHeight="1">
      <c r="B13" s="827" t="s">
        <v>530</v>
      </c>
      <c r="P13" s="832"/>
    </row>
    <row r="14" spans="2:16" s="830" customFormat="1" ht="78" customHeight="1">
      <c r="B14" s="827"/>
      <c r="P14" s="828"/>
    </row>
    <row r="15" spans="2:16" ht="30.75" customHeight="1">
      <c r="B15" s="828" t="s">
        <v>533</v>
      </c>
    </row>
    <row r="16" spans="2:16" ht="30.75" customHeight="1">
      <c r="B16" s="832" t="s">
        <v>535</v>
      </c>
    </row>
    <row r="17" spans="2:2" ht="30.75" customHeight="1">
      <c r="B17" s="828" t="s">
        <v>532</v>
      </c>
    </row>
    <row r="18" spans="2:2" ht="30.75" customHeight="1">
      <c r="B18" s="828" t="s">
        <v>549</v>
      </c>
    </row>
    <row r="19" spans="2:2" ht="78" customHeight="1"/>
    <row r="20" spans="2:2" ht="30.75" customHeight="1">
      <c r="B20" s="828" t="s">
        <v>534</v>
      </c>
    </row>
    <row r="21" spans="2:2" ht="30.75" customHeight="1">
      <c r="B21" s="832" t="s">
        <v>536</v>
      </c>
    </row>
    <row r="22" spans="2:2" ht="31.5" customHeight="1">
      <c r="B22" s="828" t="s">
        <v>537</v>
      </c>
    </row>
    <row r="23" spans="2:2" ht="31.5" customHeight="1">
      <c r="B23" s="833" t="s">
        <v>538</v>
      </c>
    </row>
    <row r="24" spans="2:2" ht="31.5" customHeight="1">
      <c r="B24" s="833" t="s">
        <v>539</v>
      </c>
    </row>
    <row r="25" spans="2:2" ht="31.5" customHeight="1"/>
    <row r="26" spans="2:2" ht="31.5" customHeight="1"/>
    <row r="27" spans="2:2" ht="31.5" customHeight="1"/>
    <row r="28" spans="2:2" ht="31.5" customHeight="1"/>
    <row r="29" spans="2:2" ht="31.5" customHeight="1"/>
  </sheetData>
  <sheetProtection algorithmName="SHA-512" hashValue="iPn2SVnUAQahdBL47+ghfy9PPXe2cpwivDPIgZO6cl5XJ7BVzLibIqQv30H06bnfiASa4jyAUq3rCukPT/0Nwg==" saltValue="CR/95Rz340g8lZ+xKLMW5w==" spinCount="100000" sheet="1" objects="1" scenarios="1"/>
  <phoneticPr fontId="36"/>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4">
    <tabColor theme="1"/>
  </sheetPr>
  <dimension ref="A1"/>
  <sheetViews>
    <sheetView workbookViewId="0"/>
  </sheetViews>
  <sheetFormatPr defaultRowHeight="13"/>
  <sheetData/>
  <sheetProtection algorithmName="SHA-512" hashValue="fcggblUE2syTfkW8VF/MdTORj+waNuEL2favBIINzL0TQZWIPSra288jP9ulnOZXYpvDqDiawuZv/nYbepLJxQ==" saltValue="w4CxpEonkBP85UJEdScNTg==" spinCount="100000" sheet="1" objects="1" scenarios="1"/>
  <phoneticPr fontId="3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sheetPr>
  <dimension ref="A1:AG121"/>
  <sheetViews>
    <sheetView view="pageBreakPreview" zoomScale="85" zoomScaleNormal="100" zoomScaleSheetLayoutView="85" workbookViewId="0">
      <selection activeCell="E7" sqref="E7"/>
    </sheetView>
  </sheetViews>
  <sheetFormatPr defaultRowHeight="13" outlineLevelCol="1"/>
  <cols>
    <col min="1" max="1" width="2.26953125" style="34" customWidth="1"/>
    <col min="2" max="2" width="4.26953125" style="34" customWidth="1"/>
    <col min="3" max="3" width="10.36328125" style="34" customWidth="1"/>
    <col min="4" max="4" width="8.6328125" style="34" customWidth="1"/>
    <col min="5" max="16" width="6.6328125" style="34" customWidth="1"/>
    <col min="17" max="17" width="8.6328125" style="34" customWidth="1"/>
    <col min="18" max="20" width="9" style="34" hidden="1" customWidth="1" outlineLevel="1"/>
    <col min="21" max="21" width="5.453125" style="34" hidden="1" customWidth="1" outlineLevel="1"/>
    <col min="22" max="28" width="9" style="34" hidden="1" customWidth="1" outlineLevel="1"/>
    <col min="29" max="29" width="9" style="34" collapsed="1"/>
    <col min="30" max="257" width="9" style="34"/>
    <col min="258" max="258" width="2.26953125" style="34" customWidth="1"/>
    <col min="259" max="259" width="4.26953125" style="34" customWidth="1"/>
    <col min="260" max="260" width="10.36328125" style="34" customWidth="1"/>
    <col min="261" max="261" width="8.6328125" style="34" customWidth="1"/>
    <col min="262" max="273" width="6.6328125" style="34" customWidth="1"/>
    <col min="274" max="274" width="8.6328125" style="34" customWidth="1"/>
    <col min="275" max="513" width="9" style="34"/>
    <col min="514" max="514" width="2.26953125" style="34" customWidth="1"/>
    <col min="515" max="515" width="4.26953125" style="34" customWidth="1"/>
    <col min="516" max="516" width="10.36328125" style="34" customWidth="1"/>
    <col min="517" max="517" width="8.6328125" style="34" customWidth="1"/>
    <col min="518" max="529" width="6.6328125" style="34" customWidth="1"/>
    <col min="530" max="530" width="8.6328125" style="34" customWidth="1"/>
    <col min="531" max="769" width="9" style="34"/>
    <col min="770" max="770" width="2.26953125" style="34" customWidth="1"/>
    <col min="771" max="771" width="4.26953125" style="34" customWidth="1"/>
    <col min="772" max="772" width="10.36328125" style="34" customWidth="1"/>
    <col min="773" max="773" width="8.6328125" style="34" customWidth="1"/>
    <col min="774" max="785" width="6.6328125" style="34" customWidth="1"/>
    <col min="786" max="786" width="8.6328125" style="34" customWidth="1"/>
    <col min="787" max="1025" width="9" style="34"/>
    <col min="1026" max="1026" width="2.26953125" style="34" customWidth="1"/>
    <col min="1027" max="1027" width="4.26953125" style="34" customWidth="1"/>
    <col min="1028" max="1028" width="10.36328125" style="34" customWidth="1"/>
    <col min="1029" max="1029" width="8.6328125" style="34" customWidth="1"/>
    <col min="1030" max="1041" width="6.6328125" style="34" customWidth="1"/>
    <col min="1042" max="1042" width="8.6328125" style="34" customWidth="1"/>
    <col min="1043" max="1281" width="9" style="34"/>
    <col min="1282" max="1282" width="2.26953125" style="34" customWidth="1"/>
    <col min="1283" max="1283" width="4.26953125" style="34" customWidth="1"/>
    <col min="1284" max="1284" width="10.36328125" style="34" customWidth="1"/>
    <col min="1285" max="1285" width="8.6328125" style="34" customWidth="1"/>
    <col min="1286" max="1297" width="6.6328125" style="34" customWidth="1"/>
    <col min="1298" max="1298" width="8.6328125" style="34" customWidth="1"/>
    <col min="1299" max="1537" width="9" style="34"/>
    <col min="1538" max="1538" width="2.26953125" style="34" customWidth="1"/>
    <col min="1539" max="1539" width="4.26953125" style="34" customWidth="1"/>
    <col min="1540" max="1540" width="10.36328125" style="34" customWidth="1"/>
    <col min="1541" max="1541" width="8.6328125" style="34" customWidth="1"/>
    <col min="1542" max="1553" width="6.6328125" style="34" customWidth="1"/>
    <col min="1554" max="1554" width="8.6328125" style="34" customWidth="1"/>
    <col min="1555" max="1793" width="9" style="34"/>
    <col min="1794" max="1794" width="2.26953125" style="34" customWidth="1"/>
    <col min="1795" max="1795" width="4.26953125" style="34" customWidth="1"/>
    <col min="1796" max="1796" width="10.36328125" style="34" customWidth="1"/>
    <col min="1797" max="1797" width="8.6328125" style="34" customWidth="1"/>
    <col min="1798" max="1809" width="6.6328125" style="34" customWidth="1"/>
    <col min="1810" max="1810" width="8.6328125" style="34" customWidth="1"/>
    <col min="1811" max="2049" width="9" style="34"/>
    <col min="2050" max="2050" width="2.26953125" style="34" customWidth="1"/>
    <col min="2051" max="2051" width="4.26953125" style="34" customWidth="1"/>
    <col min="2052" max="2052" width="10.36328125" style="34" customWidth="1"/>
    <col min="2053" max="2053" width="8.6328125" style="34" customWidth="1"/>
    <col min="2054" max="2065" width="6.6328125" style="34" customWidth="1"/>
    <col min="2066" max="2066" width="8.6328125" style="34" customWidth="1"/>
    <col min="2067" max="2305" width="9" style="34"/>
    <col min="2306" max="2306" width="2.26953125" style="34" customWidth="1"/>
    <col min="2307" max="2307" width="4.26953125" style="34" customWidth="1"/>
    <col min="2308" max="2308" width="10.36328125" style="34" customWidth="1"/>
    <col min="2309" max="2309" width="8.6328125" style="34" customWidth="1"/>
    <col min="2310" max="2321" width="6.6328125" style="34" customWidth="1"/>
    <col min="2322" max="2322" width="8.6328125" style="34" customWidth="1"/>
    <col min="2323" max="2561" width="9" style="34"/>
    <col min="2562" max="2562" width="2.26953125" style="34" customWidth="1"/>
    <col min="2563" max="2563" width="4.26953125" style="34" customWidth="1"/>
    <col min="2564" max="2564" width="10.36328125" style="34" customWidth="1"/>
    <col min="2565" max="2565" width="8.6328125" style="34" customWidth="1"/>
    <col min="2566" max="2577" width="6.6328125" style="34" customWidth="1"/>
    <col min="2578" max="2578" width="8.6328125" style="34" customWidth="1"/>
    <col min="2579" max="2817" width="9" style="34"/>
    <col min="2818" max="2818" width="2.26953125" style="34" customWidth="1"/>
    <col min="2819" max="2819" width="4.26953125" style="34" customWidth="1"/>
    <col min="2820" max="2820" width="10.36328125" style="34" customWidth="1"/>
    <col min="2821" max="2821" width="8.6328125" style="34" customWidth="1"/>
    <col min="2822" max="2833" width="6.6328125" style="34" customWidth="1"/>
    <col min="2834" max="2834" width="8.6328125" style="34" customWidth="1"/>
    <col min="2835" max="3073" width="9" style="34"/>
    <col min="3074" max="3074" width="2.26953125" style="34" customWidth="1"/>
    <col min="3075" max="3075" width="4.26953125" style="34" customWidth="1"/>
    <col min="3076" max="3076" width="10.36328125" style="34" customWidth="1"/>
    <col min="3077" max="3077" width="8.6328125" style="34" customWidth="1"/>
    <col min="3078" max="3089" width="6.6328125" style="34" customWidth="1"/>
    <col min="3090" max="3090" width="8.6328125" style="34" customWidth="1"/>
    <col min="3091" max="3329" width="9" style="34"/>
    <col min="3330" max="3330" width="2.26953125" style="34" customWidth="1"/>
    <col min="3331" max="3331" width="4.26953125" style="34" customWidth="1"/>
    <col min="3332" max="3332" width="10.36328125" style="34" customWidth="1"/>
    <col min="3333" max="3333" width="8.6328125" style="34" customWidth="1"/>
    <col min="3334" max="3345" width="6.6328125" style="34" customWidth="1"/>
    <col min="3346" max="3346" width="8.6328125" style="34" customWidth="1"/>
    <col min="3347" max="3585" width="9" style="34"/>
    <col min="3586" max="3586" width="2.26953125" style="34" customWidth="1"/>
    <col min="3587" max="3587" width="4.26953125" style="34" customWidth="1"/>
    <col min="3588" max="3588" width="10.36328125" style="34" customWidth="1"/>
    <col min="3589" max="3589" width="8.6328125" style="34" customWidth="1"/>
    <col min="3590" max="3601" width="6.6328125" style="34" customWidth="1"/>
    <col min="3602" max="3602" width="8.6328125" style="34" customWidth="1"/>
    <col min="3603" max="3841" width="9" style="34"/>
    <col min="3842" max="3842" width="2.26953125" style="34" customWidth="1"/>
    <col min="3843" max="3843" width="4.26953125" style="34" customWidth="1"/>
    <col min="3844" max="3844" width="10.36328125" style="34" customWidth="1"/>
    <col min="3845" max="3845" width="8.6328125" style="34" customWidth="1"/>
    <col min="3846" max="3857" width="6.6328125" style="34" customWidth="1"/>
    <col min="3858" max="3858" width="8.6328125" style="34" customWidth="1"/>
    <col min="3859" max="4097" width="9" style="34"/>
    <col min="4098" max="4098" width="2.26953125" style="34" customWidth="1"/>
    <col min="4099" max="4099" width="4.26953125" style="34" customWidth="1"/>
    <col min="4100" max="4100" width="10.36328125" style="34" customWidth="1"/>
    <col min="4101" max="4101" width="8.6328125" style="34" customWidth="1"/>
    <col min="4102" max="4113" width="6.6328125" style="34" customWidth="1"/>
    <col min="4114" max="4114" width="8.6328125" style="34" customWidth="1"/>
    <col min="4115" max="4353" width="9" style="34"/>
    <col min="4354" max="4354" width="2.26953125" style="34" customWidth="1"/>
    <col min="4355" max="4355" width="4.26953125" style="34" customWidth="1"/>
    <col min="4356" max="4356" width="10.36328125" style="34" customWidth="1"/>
    <col min="4357" max="4357" width="8.6328125" style="34" customWidth="1"/>
    <col min="4358" max="4369" width="6.6328125" style="34" customWidth="1"/>
    <col min="4370" max="4370" width="8.6328125" style="34" customWidth="1"/>
    <col min="4371" max="4609" width="9" style="34"/>
    <col min="4610" max="4610" width="2.26953125" style="34" customWidth="1"/>
    <col min="4611" max="4611" width="4.26953125" style="34" customWidth="1"/>
    <col min="4612" max="4612" width="10.36328125" style="34" customWidth="1"/>
    <col min="4613" max="4613" width="8.6328125" style="34" customWidth="1"/>
    <col min="4614" max="4625" width="6.6328125" style="34" customWidth="1"/>
    <col min="4626" max="4626" width="8.6328125" style="34" customWidth="1"/>
    <col min="4627" max="4865" width="9" style="34"/>
    <col min="4866" max="4866" width="2.26953125" style="34" customWidth="1"/>
    <col min="4867" max="4867" width="4.26953125" style="34" customWidth="1"/>
    <col min="4868" max="4868" width="10.36328125" style="34" customWidth="1"/>
    <col min="4869" max="4869" width="8.6328125" style="34" customWidth="1"/>
    <col min="4870" max="4881" width="6.6328125" style="34" customWidth="1"/>
    <col min="4882" max="4882" width="8.6328125" style="34" customWidth="1"/>
    <col min="4883" max="5121" width="9" style="34"/>
    <col min="5122" max="5122" width="2.26953125" style="34" customWidth="1"/>
    <col min="5123" max="5123" width="4.26953125" style="34" customWidth="1"/>
    <col min="5124" max="5124" width="10.36328125" style="34" customWidth="1"/>
    <col min="5125" max="5125" width="8.6328125" style="34" customWidth="1"/>
    <col min="5126" max="5137" width="6.6328125" style="34" customWidth="1"/>
    <col min="5138" max="5138" width="8.6328125" style="34" customWidth="1"/>
    <col min="5139" max="5377" width="9" style="34"/>
    <col min="5378" max="5378" width="2.26953125" style="34" customWidth="1"/>
    <col min="5379" max="5379" width="4.26953125" style="34" customWidth="1"/>
    <col min="5380" max="5380" width="10.36328125" style="34" customWidth="1"/>
    <col min="5381" max="5381" width="8.6328125" style="34" customWidth="1"/>
    <col min="5382" max="5393" width="6.6328125" style="34" customWidth="1"/>
    <col min="5394" max="5394" width="8.6328125" style="34" customWidth="1"/>
    <col min="5395" max="5633" width="9" style="34"/>
    <col min="5634" max="5634" width="2.26953125" style="34" customWidth="1"/>
    <col min="5635" max="5635" width="4.26953125" style="34" customWidth="1"/>
    <col min="5636" max="5636" width="10.36328125" style="34" customWidth="1"/>
    <col min="5637" max="5637" width="8.6328125" style="34" customWidth="1"/>
    <col min="5638" max="5649" width="6.6328125" style="34" customWidth="1"/>
    <col min="5650" max="5650" width="8.6328125" style="34" customWidth="1"/>
    <col min="5651" max="5889" width="9" style="34"/>
    <col min="5890" max="5890" width="2.26953125" style="34" customWidth="1"/>
    <col min="5891" max="5891" width="4.26953125" style="34" customWidth="1"/>
    <col min="5892" max="5892" width="10.36328125" style="34" customWidth="1"/>
    <col min="5893" max="5893" width="8.6328125" style="34" customWidth="1"/>
    <col min="5894" max="5905" width="6.6328125" style="34" customWidth="1"/>
    <col min="5906" max="5906" width="8.6328125" style="34" customWidth="1"/>
    <col min="5907" max="6145" width="9" style="34"/>
    <col min="6146" max="6146" width="2.26953125" style="34" customWidth="1"/>
    <col min="6147" max="6147" width="4.26953125" style="34" customWidth="1"/>
    <col min="6148" max="6148" width="10.36328125" style="34" customWidth="1"/>
    <col min="6149" max="6149" width="8.6328125" style="34" customWidth="1"/>
    <col min="6150" max="6161" width="6.6328125" style="34" customWidth="1"/>
    <col min="6162" max="6162" width="8.6328125" style="34" customWidth="1"/>
    <col min="6163" max="6401" width="9" style="34"/>
    <col min="6402" max="6402" width="2.26953125" style="34" customWidth="1"/>
    <col min="6403" max="6403" width="4.26953125" style="34" customWidth="1"/>
    <col min="6404" max="6404" width="10.36328125" style="34" customWidth="1"/>
    <col min="6405" max="6405" width="8.6328125" style="34" customWidth="1"/>
    <col min="6406" max="6417" width="6.6328125" style="34" customWidth="1"/>
    <col min="6418" max="6418" width="8.6328125" style="34" customWidth="1"/>
    <col min="6419" max="6657" width="9" style="34"/>
    <col min="6658" max="6658" width="2.26953125" style="34" customWidth="1"/>
    <col min="6659" max="6659" width="4.26953125" style="34" customWidth="1"/>
    <col min="6660" max="6660" width="10.36328125" style="34" customWidth="1"/>
    <col min="6661" max="6661" width="8.6328125" style="34" customWidth="1"/>
    <col min="6662" max="6673" width="6.6328125" style="34" customWidth="1"/>
    <col min="6674" max="6674" width="8.6328125" style="34" customWidth="1"/>
    <col min="6675" max="6913" width="9" style="34"/>
    <col min="6914" max="6914" width="2.26953125" style="34" customWidth="1"/>
    <col min="6915" max="6915" width="4.26953125" style="34" customWidth="1"/>
    <col min="6916" max="6916" width="10.36328125" style="34" customWidth="1"/>
    <col min="6917" max="6917" width="8.6328125" style="34" customWidth="1"/>
    <col min="6918" max="6929" width="6.6328125" style="34" customWidth="1"/>
    <col min="6930" max="6930" width="8.6328125" style="34" customWidth="1"/>
    <col min="6931" max="7169" width="9" style="34"/>
    <col min="7170" max="7170" width="2.26953125" style="34" customWidth="1"/>
    <col min="7171" max="7171" width="4.26953125" style="34" customWidth="1"/>
    <col min="7172" max="7172" width="10.36328125" style="34" customWidth="1"/>
    <col min="7173" max="7173" width="8.6328125" style="34" customWidth="1"/>
    <col min="7174" max="7185" width="6.6328125" style="34" customWidth="1"/>
    <col min="7186" max="7186" width="8.6328125" style="34" customWidth="1"/>
    <col min="7187" max="7425" width="9" style="34"/>
    <col min="7426" max="7426" width="2.26953125" style="34" customWidth="1"/>
    <col min="7427" max="7427" width="4.26953125" style="34" customWidth="1"/>
    <col min="7428" max="7428" width="10.36328125" style="34" customWidth="1"/>
    <col min="7429" max="7429" width="8.6328125" style="34" customWidth="1"/>
    <col min="7430" max="7441" width="6.6328125" style="34" customWidth="1"/>
    <col min="7442" max="7442" width="8.6328125" style="34" customWidth="1"/>
    <col min="7443" max="7681" width="9" style="34"/>
    <col min="7682" max="7682" width="2.26953125" style="34" customWidth="1"/>
    <col min="7683" max="7683" width="4.26953125" style="34" customWidth="1"/>
    <col min="7684" max="7684" width="10.36328125" style="34" customWidth="1"/>
    <col min="7685" max="7685" width="8.6328125" style="34" customWidth="1"/>
    <col min="7686" max="7697" width="6.6328125" style="34" customWidth="1"/>
    <col min="7698" max="7698" width="8.6328125" style="34" customWidth="1"/>
    <col min="7699" max="7937" width="9" style="34"/>
    <col min="7938" max="7938" width="2.26953125" style="34" customWidth="1"/>
    <col min="7939" max="7939" width="4.26953125" style="34" customWidth="1"/>
    <col min="7940" max="7940" width="10.36328125" style="34" customWidth="1"/>
    <col min="7941" max="7941" width="8.6328125" style="34" customWidth="1"/>
    <col min="7942" max="7953" width="6.6328125" style="34" customWidth="1"/>
    <col min="7954" max="7954" width="8.6328125" style="34" customWidth="1"/>
    <col min="7955" max="8193" width="9" style="34"/>
    <col min="8194" max="8194" width="2.26953125" style="34" customWidth="1"/>
    <col min="8195" max="8195" width="4.26953125" style="34" customWidth="1"/>
    <col min="8196" max="8196" width="10.36328125" style="34" customWidth="1"/>
    <col min="8197" max="8197" width="8.6328125" style="34" customWidth="1"/>
    <col min="8198" max="8209" width="6.6328125" style="34" customWidth="1"/>
    <col min="8210" max="8210" width="8.6328125" style="34" customWidth="1"/>
    <col min="8211" max="8449" width="9" style="34"/>
    <col min="8450" max="8450" width="2.26953125" style="34" customWidth="1"/>
    <col min="8451" max="8451" width="4.26953125" style="34" customWidth="1"/>
    <col min="8452" max="8452" width="10.36328125" style="34" customWidth="1"/>
    <col min="8453" max="8453" width="8.6328125" style="34" customWidth="1"/>
    <col min="8454" max="8465" width="6.6328125" style="34" customWidth="1"/>
    <col min="8466" max="8466" width="8.6328125" style="34" customWidth="1"/>
    <col min="8467" max="8705" width="9" style="34"/>
    <col min="8706" max="8706" width="2.26953125" style="34" customWidth="1"/>
    <col min="8707" max="8707" width="4.26953125" style="34" customWidth="1"/>
    <col min="8708" max="8708" width="10.36328125" style="34" customWidth="1"/>
    <col min="8709" max="8709" width="8.6328125" style="34" customWidth="1"/>
    <col min="8710" max="8721" width="6.6328125" style="34" customWidth="1"/>
    <col min="8722" max="8722" width="8.6328125" style="34" customWidth="1"/>
    <col min="8723" max="8961" width="9" style="34"/>
    <col min="8962" max="8962" width="2.26953125" style="34" customWidth="1"/>
    <col min="8963" max="8963" width="4.26953125" style="34" customWidth="1"/>
    <col min="8964" max="8964" width="10.36328125" style="34" customWidth="1"/>
    <col min="8965" max="8965" width="8.6328125" style="34" customWidth="1"/>
    <col min="8966" max="8977" width="6.6328125" style="34" customWidth="1"/>
    <col min="8978" max="8978" width="8.6328125" style="34" customWidth="1"/>
    <col min="8979" max="9217" width="9" style="34"/>
    <col min="9218" max="9218" width="2.26953125" style="34" customWidth="1"/>
    <col min="9219" max="9219" width="4.26953125" style="34" customWidth="1"/>
    <col min="9220" max="9220" width="10.36328125" style="34" customWidth="1"/>
    <col min="9221" max="9221" width="8.6328125" style="34" customWidth="1"/>
    <col min="9222" max="9233" width="6.6328125" style="34" customWidth="1"/>
    <col min="9234" max="9234" width="8.6328125" style="34" customWidth="1"/>
    <col min="9235" max="9473" width="9" style="34"/>
    <col min="9474" max="9474" width="2.26953125" style="34" customWidth="1"/>
    <col min="9475" max="9475" width="4.26953125" style="34" customWidth="1"/>
    <col min="9476" max="9476" width="10.36328125" style="34" customWidth="1"/>
    <col min="9477" max="9477" width="8.6328125" style="34" customWidth="1"/>
    <col min="9478" max="9489" width="6.6328125" style="34" customWidth="1"/>
    <col min="9490" max="9490" width="8.6328125" style="34" customWidth="1"/>
    <col min="9491" max="9729" width="9" style="34"/>
    <col min="9730" max="9730" width="2.26953125" style="34" customWidth="1"/>
    <col min="9731" max="9731" width="4.26953125" style="34" customWidth="1"/>
    <col min="9732" max="9732" width="10.36328125" style="34" customWidth="1"/>
    <col min="9733" max="9733" width="8.6328125" style="34" customWidth="1"/>
    <col min="9734" max="9745" width="6.6328125" style="34" customWidth="1"/>
    <col min="9746" max="9746" width="8.6328125" style="34" customWidth="1"/>
    <col min="9747" max="9985" width="9" style="34"/>
    <col min="9986" max="9986" width="2.26953125" style="34" customWidth="1"/>
    <col min="9987" max="9987" width="4.26953125" style="34" customWidth="1"/>
    <col min="9988" max="9988" width="10.36328125" style="34" customWidth="1"/>
    <col min="9989" max="9989" width="8.6328125" style="34" customWidth="1"/>
    <col min="9990" max="10001" width="6.6328125" style="34" customWidth="1"/>
    <col min="10002" max="10002" width="8.6328125" style="34" customWidth="1"/>
    <col min="10003" max="10241" width="9" style="34"/>
    <col min="10242" max="10242" width="2.26953125" style="34" customWidth="1"/>
    <col min="10243" max="10243" width="4.26953125" style="34" customWidth="1"/>
    <col min="10244" max="10244" width="10.36328125" style="34" customWidth="1"/>
    <col min="10245" max="10245" width="8.6328125" style="34" customWidth="1"/>
    <col min="10246" max="10257" width="6.6328125" style="34" customWidth="1"/>
    <col min="10258" max="10258" width="8.6328125" style="34" customWidth="1"/>
    <col min="10259" max="10497" width="9" style="34"/>
    <col min="10498" max="10498" width="2.26953125" style="34" customWidth="1"/>
    <col min="10499" max="10499" width="4.26953125" style="34" customWidth="1"/>
    <col min="10500" max="10500" width="10.36328125" style="34" customWidth="1"/>
    <col min="10501" max="10501" width="8.6328125" style="34" customWidth="1"/>
    <col min="10502" max="10513" width="6.6328125" style="34" customWidth="1"/>
    <col min="10514" max="10514" width="8.6328125" style="34" customWidth="1"/>
    <col min="10515" max="10753" width="9" style="34"/>
    <col min="10754" max="10754" width="2.26953125" style="34" customWidth="1"/>
    <col min="10755" max="10755" width="4.26953125" style="34" customWidth="1"/>
    <col min="10756" max="10756" width="10.36328125" style="34" customWidth="1"/>
    <col min="10757" max="10757" width="8.6328125" style="34" customWidth="1"/>
    <col min="10758" max="10769" width="6.6328125" style="34" customWidth="1"/>
    <col min="10770" max="10770" width="8.6328125" style="34" customWidth="1"/>
    <col min="10771" max="11009" width="9" style="34"/>
    <col min="11010" max="11010" width="2.26953125" style="34" customWidth="1"/>
    <col min="11011" max="11011" width="4.26953125" style="34" customWidth="1"/>
    <col min="11012" max="11012" width="10.36328125" style="34" customWidth="1"/>
    <col min="11013" max="11013" width="8.6328125" style="34" customWidth="1"/>
    <col min="11014" max="11025" width="6.6328125" style="34" customWidth="1"/>
    <col min="11026" max="11026" width="8.6328125" style="34" customWidth="1"/>
    <col min="11027" max="11265" width="9" style="34"/>
    <col min="11266" max="11266" width="2.26953125" style="34" customWidth="1"/>
    <col min="11267" max="11267" width="4.26953125" style="34" customWidth="1"/>
    <col min="11268" max="11268" width="10.36328125" style="34" customWidth="1"/>
    <col min="11269" max="11269" width="8.6328125" style="34" customWidth="1"/>
    <col min="11270" max="11281" width="6.6328125" style="34" customWidth="1"/>
    <col min="11282" max="11282" width="8.6328125" style="34" customWidth="1"/>
    <col min="11283" max="11521" width="9" style="34"/>
    <col min="11522" max="11522" width="2.26953125" style="34" customWidth="1"/>
    <col min="11523" max="11523" width="4.26953125" style="34" customWidth="1"/>
    <col min="11524" max="11524" width="10.36328125" style="34" customWidth="1"/>
    <col min="11525" max="11525" width="8.6328125" style="34" customWidth="1"/>
    <col min="11526" max="11537" width="6.6328125" style="34" customWidth="1"/>
    <col min="11538" max="11538" width="8.6328125" style="34" customWidth="1"/>
    <col min="11539" max="11777" width="9" style="34"/>
    <col min="11778" max="11778" width="2.26953125" style="34" customWidth="1"/>
    <col min="11779" max="11779" width="4.26953125" style="34" customWidth="1"/>
    <col min="11780" max="11780" width="10.36328125" style="34" customWidth="1"/>
    <col min="11781" max="11781" width="8.6328125" style="34" customWidth="1"/>
    <col min="11782" max="11793" width="6.6328125" style="34" customWidth="1"/>
    <col min="11794" max="11794" width="8.6328125" style="34" customWidth="1"/>
    <col min="11795" max="12033" width="9" style="34"/>
    <col min="12034" max="12034" width="2.26953125" style="34" customWidth="1"/>
    <col min="12035" max="12035" width="4.26953125" style="34" customWidth="1"/>
    <col min="12036" max="12036" width="10.36328125" style="34" customWidth="1"/>
    <col min="12037" max="12037" width="8.6328125" style="34" customWidth="1"/>
    <col min="12038" max="12049" width="6.6328125" style="34" customWidth="1"/>
    <col min="12050" max="12050" width="8.6328125" style="34" customWidth="1"/>
    <col min="12051" max="12289" width="9" style="34"/>
    <col min="12290" max="12290" width="2.26953125" style="34" customWidth="1"/>
    <col min="12291" max="12291" width="4.26953125" style="34" customWidth="1"/>
    <col min="12292" max="12292" width="10.36328125" style="34" customWidth="1"/>
    <col min="12293" max="12293" width="8.6328125" style="34" customWidth="1"/>
    <col min="12294" max="12305" width="6.6328125" style="34" customWidth="1"/>
    <col min="12306" max="12306" width="8.6328125" style="34" customWidth="1"/>
    <col min="12307" max="12545" width="9" style="34"/>
    <col min="12546" max="12546" width="2.26953125" style="34" customWidth="1"/>
    <col min="12547" max="12547" width="4.26953125" style="34" customWidth="1"/>
    <col min="12548" max="12548" width="10.36328125" style="34" customWidth="1"/>
    <col min="12549" max="12549" width="8.6328125" style="34" customWidth="1"/>
    <col min="12550" max="12561" width="6.6328125" style="34" customWidth="1"/>
    <col min="12562" max="12562" width="8.6328125" style="34" customWidth="1"/>
    <col min="12563" max="12801" width="9" style="34"/>
    <col min="12802" max="12802" width="2.26953125" style="34" customWidth="1"/>
    <col min="12803" max="12803" width="4.26953125" style="34" customWidth="1"/>
    <col min="12804" max="12804" width="10.36328125" style="34" customWidth="1"/>
    <col min="12805" max="12805" width="8.6328125" style="34" customWidth="1"/>
    <col min="12806" max="12817" width="6.6328125" style="34" customWidth="1"/>
    <col min="12818" max="12818" width="8.6328125" style="34" customWidth="1"/>
    <col min="12819" max="13057" width="9" style="34"/>
    <col min="13058" max="13058" width="2.26953125" style="34" customWidth="1"/>
    <col min="13059" max="13059" width="4.26953125" style="34" customWidth="1"/>
    <col min="13060" max="13060" width="10.36328125" style="34" customWidth="1"/>
    <col min="13061" max="13061" width="8.6328125" style="34" customWidth="1"/>
    <col min="13062" max="13073" width="6.6328125" style="34" customWidth="1"/>
    <col min="13074" max="13074" width="8.6328125" style="34" customWidth="1"/>
    <col min="13075" max="13313" width="9" style="34"/>
    <col min="13314" max="13314" width="2.26953125" style="34" customWidth="1"/>
    <col min="13315" max="13315" width="4.26953125" style="34" customWidth="1"/>
    <col min="13316" max="13316" width="10.36328125" style="34" customWidth="1"/>
    <col min="13317" max="13317" width="8.6328125" style="34" customWidth="1"/>
    <col min="13318" max="13329" width="6.6328125" style="34" customWidth="1"/>
    <col min="13330" max="13330" width="8.6328125" style="34" customWidth="1"/>
    <col min="13331" max="13569" width="9" style="34"/>
    <col min="13570" max="13570" width="2.26953125" style="34" customWidth="1"/>
    <col min="13571" max="13571" width="4.26953125" style="34" customWidth="1"/>
    <col min="13572" max="13572" width="10.36328125" style="34" customWidth="1"/>
    <col min="13573" max="13573" width="8.6328125" style="34" customWidth="1"/>
    <col min="13574" max="13585" width="6.6328125" style="34" customWidth="1"/>
    <col min="13586" max="13586" width="8.6328125" style="34" customWidth="1"/>
    <col min="13587" max="13825" width="9" style="34"/>
    <col min="13826" max="13826" width="2.26953125" style="34" customWidth="1"/>
    <col min="13827" max="13827" width="4.26953125" style="34" customWidth="1"/>
    <col min="13828" max="13828" width="10.36328125" style="34" customWidth="1"/>
    <col min="13829" max="13829" width="8.6328125" style="34" customWidth="1"/>
    <col min="13830" max="13841" width="6.6328125" style="34" customWidth="1"/>
    <col min="13842" max="13842" width="8.6328125" style="34" customWidth="1"/>
    <col min="13843" max="14081" width="9" style="34"/>
    <col min="14082" max="14082" width="2.26953125" style="34" customWidth="1"/>
    <col min="14083" max="14083" width="4.26953125" style="34" customWidth="1"/>
    <col min="14084" max="14084" width="10.36328125" style="34" customWidth="1"/>
    <col min="14085" max="14085" width="8.6328125" style="34" customWidth="1"/>
    <col min="14086" max="14097" width="6.6328125" style="34" customWidth="1"/>
    <col min="14098" max="14098" width="8.6328125" style="34" customWidth="1"/>
    <col min="14099" max="14337" width="9" style="34"/>
    <col min="14338" max="14338" width="2.26953125" style="34" customWidth="1"/>
    <col min="14339" max="14339" width="4.26953125" style="34" customWidth="1"/>
    <col min="14340" max="14340" width="10.36328125" style="34" customWidth="1"/>
    <col min="14341" max="14341" width="8.6328125" style="34" customWidth="1"/>
    <col min="14342" max="14353" width="6.6328125" style="34" customWidth="1"/>
    <col min="14354" max="14354" width="8.6328125" style="34" customWidth="1"/>
    <col min="14355" max="14593" width="9" style="34"/>
    <col min="14594" max="14594" width="2.26953125" style="34" customWidth="1"/>
    <col min="14595" max="14595" width="4.26953125" style="34" customWidth="1"/>
    <col min="14596" max="14596" width="10.36328125" style="34" customWidth="1"/>
    <col min="14597" max="14597" width="8.6328125" style="34" customWidth="1"/>
    <col min="14598" max="14609" width="6.6328125" style="34" customWidth="1"/>
    <col min="14610" max="14610" width="8.6328125" style="34" customWidth="1"/>
    <col min="14611" max="14849" width="9" style="34"/>
    <col min="14850" max="14850" width="2.26953125" style="34" customWidth="1"/>
    <col min="14851" max="14851" width="4.26953125" style="34" customWidth="1"/>
    <col min="14852" max="14852" width="10.36328125" style="34" customWidth="1"/>
    <col min="14853" max="14853" width="8.6328125" style="34" customWidth="1"/>
    <col min="14854" max="14865" width="6.6328125" style="34" customWidth="1"/>
    <col min="14866" max="14866" width="8.6328125" style="34" customWidth="1"/>
    <col min="14867" max="15105" width="9" style="34"/>
    <col min="15106" max="15106" width="2.26953125" style="34" customWidth="1"/>
    <col min="15107" max="15107" width="4.26953125" style="34" customWidth="1"/>
    <col min="15108" max="15108" width="10.36328125" style="34" customWidth="1"/>
    <col min="15109" max="15109" width="8.6328125" style="34" customWidth="1"/>
    <col min="15110" max="15121" width="6.6328125" style="34" customWidth="1"/>
    <col min="15122" max="15122" width="8.6328125" style="34" customWidth="1"/>
    <col min="15123" max="15361" width="9" style="34"/>
    <col min="15362" max="15362" width="2.26953125" style="34" customWidth="1"/>
    <col min="15363" max="15363" width="4.26953125" style="34" customWidth="1"/>
    <col min="15364" max="15364" width="10.36328125" style="34" customWidth="1"/>
    <col min="15365" max="15365" width="8.6328125" style="34" customWidth="1"/>
    <col min="15366" max="15377" width="6.6328125" style="34" customWidth="1"/>
    <col min="15378" max="15378" width="8.6328125" style="34" customWidth="1"/>
    <col min="15379" max="15617" width="9" style="34"/>
    <col min="15618" max="15618" width="2.26953125" style="34" customWidth="1"/>
    <col min="15619" max="15619" width="4.26953125" style="34" customWidth="1"/>
    <col min="15620" max="15620" width="10.36328125" style="34" customWidth="1"/>
    <col min="15621" max="15621" width="8.6328125" style="34" customWidth="1"/>
    <col min="15622" max="15633" width="6.6328125" style="34" customWidth="1"/>
    <col min="15634" max="15634" width="8.6328125" style="34" customWidth="1"/>
    <col min="15635" max="15873" width="9" style="34"/>
    <col min="15874" max="15874" width="2.26953125" style="34" customWidth="1"/>
    <col min="15875" max="15875" width="4.26953125" style="34" customWidth="1"/>
    <col min="15876" max="15876" width="10.36328125" style="34" customWidth="1"/>
    <col min="15877" max="15877" width="8.6328125" style="34" customWidth="1"/>
    <col min="15878" max="15889" width="6.6328125" style="34" customWidth="1"/>
    <col min="15890" max="15890" width="8.6328125" style="34" customWidth="1"/>
    <col min="15891" max="16129" width="9" style="34"/>
    <col min="16130" max="16130" width="2.26953125" style="34" customWidth="1"/>
    <col min="16131" max="16131" width="4.26953125" style="34" customWidth="1"/>
    <col min="16132" max="16132" width="10.36328125" style="34" customWidth="1"/>
    <col min="16133" max="16133" width="8.6328125" style="34" customWidth="1"/>
    <col min="16134" max="16145" width="6.6328125" style="34" customWidth="1"/>
    <col min="16146" max="16146" width="8.6328125" style="34" customWidth="1"/>
    <col min="16147" max="16384" width="9" style="34"/>
  </cols>
  <sheetData>
    <row r="1" spans="1:33" ht="20.149999999999999" customHeight="1">
      <c r="A1" s="888" t="s">
        <v>336</v>
      </c>
      <c r="B1" s="888"/>
      <c r="C1" s="888"/>
      <c r="D1" s="888"/>
      <c r="E1" s="888"/>
      <c r="F1" s="888"/>
      <c r="G1" s="888"/>
      <c r="H1" s="888"/>
      <c r="I1" s="888"/>
      <c r="J1" s="888"/>
      <c r="K1" s="888"/>
      <c r="L1" s="888"/>
      <c r="M1" s="888"/>
      <c r="N1" s="888"/>
      <c r="O1" s="887" t="e">
        <f>CONCATENATE(#REF!,"/",#REF!,"/",#REF!)</f>
        <v>#REF!</v>
      </c>
      <c r="P1" s="887"/>
      <c r="Q1" s="887"/>
      <c r="T1" s="884" t="s">
        <v>82</v>
      </c>
      <c r="U1" s="886"/>
      <c r="V1" s="884" t="s">
        <v>346</v>
      </c>
      <c r="W1" s="885"/>
      <c r="X1" s="885"/>
      <c r="Y1" s="885"/>
      <c r="Z1" s="885"/>
      <c r="AA1" s="885"/>
      <c r="AB1" s="886"/>
    </row>
    <row r="2" spans="1:33" ht="13.5" customHeight="1">
      <c r="A2" s="36"/>
      <c r="B2" s="36"/>
      <c r="C2" s="37"/>
      <c r="D2" s="36"/>
      <c r="E2" s="36"/>
      <c r="F2" s="36"/>
      <c r="G2" s="36"/>
      <c r="H2" s="36"/>
      <c r="I2" s="36"/>
      <c r="J2" s="36"/>
      <c r="K2" s="36"/>
      <c r="L2" s="36"/>
      <c r="M2" s="36"/>
      <c r="N2" s="36"/>
      <c r="O2" s="36"/>
      <c r="P2" s="36"/>
      <c r="Q2" s="36"/>
      <c r="T2" s="35"/>
      <c r="U2" s="35"/>
      <c r="V2" s="106"/>
      <c r="W2" s="106" t="s">
        <v>347</v>
      </c>
      <c r="X2" s="106"/>
      <c r="Y2" s="107" t="s">
        <v>348</v>
      </c>
      <c r="Z2" s="108" t="s">
        <v>349</v>
      </c>
      <c r="AA2" s="35"/>
      <c r="AB2" s="35" t="s">
        <v>363</v>
      </c>
    </row>
    <row r="3" spans="1:33" ht="20.149999999999999" customHeight="1">
      <c r="A3" s="36"/>
      <c r="B3" s="86" t="s">
        <v>389</v>
      </c>
      <c r="C3" s="36"/>
      <c r="D3" s="36"/>
      <c r="E3" s="36"/>
      <c r="F3" s="36"/>
      <c r="G3" s="36"/>
      <c r="H3" s="39"/>
      <c r="I3" s="39"/>
      <c r="J3" s="39"/>
      <c r="K3" s="39"/>
      <c r="L3" s="39"/>
      <c r="M3" s="39"/>
      <c r="N3" s="39"/>
      <c r="O3" s="39"/>
      <c r="P3" s="39"/>
      <c r="Q3" s="39"/>
      <c r="T3" s="35" t="s">
        <v>342</v>
      </c>
      <c r="U3" s="35" t="s">
        <v>344</v>
      </c>
      <c r="V3" s="35" t="s">
        <v>338</v>
      </c>
      <c r="W3" s="35">
        <f>IF($N$55="はい",Q73,Q37)</f>
        <v>0</v>
      </c>
      <c r="X3" s="35" t="s">
        <v>93</v>
      </c>
      <c r="Y3" s="35">
        <f>IF($N$55="はい",Q78,Q42)</f>
        <v>0</v>
      </c>
      <c r="Z3" s="71">
        <f>IF($N$55="はい",Q84,Q48)</f>
        <v>0</v>
      </c>
      <c r="AA3" s="35" t="s">
        <v>358</v>
      </c>
      <c r="AB3" s="444">
        <f>SUM(Y6:Z6,W5)</f>
        <v>0</v>
      </c>
    </row>
    <row r="4" spans="1:33" ht="20.149999999999999" customHeight="1">
      <c r="A4" s="36"/>
      <c r="B4" s="158" t="s">
        <v>461</v>
      </c>
      <c r="C4" s="36"/>
      <c r="D4" s="36"/>
      <c r="E4" s="36"/>
      <c r="F4" s="36"/>
      <c r="G4" s="36"/>
      <c r="H4" s="39"/>
      <c r="I4" s="39"/>
      <c r="J4" s="39"/>
      <c r="K4" s="39"/>
      <c r="L4" s="39"/>
      <c r="M4" s="39"/>
      <c r="N4" s="39"/>
      <c r="O4" s="39"/>
      <c r="P4" s="39"/>
      <c r="Q4" s="39"/>
      <c r="T4" s="35" t="s">
        <v>343</v>
      </c>
      <c r="U4" s="35"/>
      <c r="V4" s="35" t="s">
        <v>337</v>
      </c>
      <c r="W4" s="35">
        <f>IF($N$55="はい",Q74,Q38)</f>
        <v>0</v>
      </c>
      <c r="X4" s="35" t="s">
        <v>70</v>
      </c>
      <c r="Y4" s="35">
        <f>IF($N$55="はい",Q79,Q43)</f>
        <v>0</v>
      </c>
      <c r="Z4" s="71">
        <f>IF($N$55="はい",Q85,Q49)</f>
        <v>0</v>
      </c>
      <c r="AA4" s="35" t="s">
        <v>359</v>
      </c>
      <c r="AB4" s="35">
        <f>SUM(W3:W4,Y5:Z5)</f>
        <v>0</v>
      </c>
    </row>
    <row r="5" spans="1:33" ht="20.149999999999999" customHeight="1" thickBot="1">
      <c r="A5" s="40" t="s">
        <v>340</v>
      </c>
      <c r="B5" s="40"/>
      <c r="C5" s="36"/>
      <c r="D5" s="36"/>
      <c r="E5" s="36"/>
      <c r="F5" s="36"/>
      <c r="G5" s="36"/>
      <c r="H5" s="36"/>
      <c r="I5" s="36"/>
      <c r="J5" s="36"/>
      <c r="K5" s="36"/>
      <c r="L5" s="36"/>
      <c r="M5" s="36"/>
      <c r="N5" s="36"/>
      <c r="O5" s="36"/>
      <c r="P5" s="36"/>
      <c r="Q5" s="36"/>
      <c r="V5" s="35" t="s">
        <v>334</v>
      </c>
      <c r="W5" s="35">
        <f>IF($N$55="はい",Q75,Q39)</f>
        <v>0</v>
      </c>
      <c r="X5" s="35" t="s">
        <v>337</v>
      </c>
      <c r="Y5" s="35">
        <f>IF($N$55="はい",Q80,Q44)</f>
        <v>0</v>
      </c>
      <c r="Z5" s="71">
        <f>IF($N$55="はい",Q86,Q50)</f>
        <v>0</v>
      </c>
      <c r="AA5" s="35" t="s">
        <v>360</v>
      </c>
      <c r="AB5" s="35">
        <f>W3</f>
        <v>0</v>
      </c>
    </row>
    <row r="6" spans="1:33" ht="20.149999999999999" customHeight="1">
      <c r="A6" s="36"/>
      <c r="B6" s="891" t="s">
        <v>86</v>
      </c>
      <c r="C6" s="892"/>
      <c r="D6" s="100" t="s">
        <v>124</v>
      </c>
      <c r="E6" s="41">
        <v>4</v>
      </c>
      <c r="F6" s="42">
        <v>5</v>
      </c>
      <c r="G6" s="42">
        <v>6</v>
      </c>
      <c r="H6" s="42">
        <v>7</v>
      </c>
      <c r="I6" s="42">
        <v>8</v>
      </c>
      <c r="J6" s="42">
        <v>9</v>
      </c>
      <c r="K6" s="42">
        <v>10</v>
      </c>
      <c r="L6" s="42">
        <v>11</v>
      </c>
      <c r="M6" s="42">
        <v>12</v>
      </c>
      <c r="N6" s="42">
        <v>1</v>
      </c>
      <c r="O6" s="42">
        <v>2</v>
      </c>
      <c r="P6" s="42">
        <v>3</v>
      </c>
      <c r="Q6" s="77" t="s">
        <v>1</v>
      </c>
      <c r="V6" s="85"/>
      <c r="W6" s="85"/>
      <c r="X6" s="35" t="s">
        <v>334</v>
      </c>
      <c r="Y6" s="35">
        <f>IF($N$55="はい",Q81,Q45)</f>
        <v>0</v>
      </c>
      <c r="Z6" s="71">
        <f>IF($N$55="はい",Q87,Q51)</f>
        <v>0</v>
      </c>
      <c r="AA6" s="35" t="s">
        <v>361</v>
      </c>
      <c r="AB6" s="35">
        <f>SUM(Y4:Z4)</f>
        <v>0</v>
      </c>
    </row>
    <row r="7" spans="1:33" ht="20.149999999999999" customHeight="1">
      <c r="A7" s="36"/>
      <c r="B7" s="878" t="s">
        <v>338</v>
      </c>
      <c r="C7" s="879"/>
      <c r="D7" s="90" t="s">
        <v>176</v>
      </c>
      <c r="E7" s="91"/>
      <c r="F7" s="92"/>
      <c r="G7" s="91"/>
      <c r="H7" s="92"/>
      <c r="I7" s="91"/>
      <c r="J7" s="92"/>
      <c r="K7" s="91"/>
      <c r="L7" s="92"/>
      <c r="M7" s="91"/>
      <c r="N7" s="92"/>
      <c r="O7" s="91"/>
      <c r="P7" s="92"/>
      <c r="Q7" s="876">
        <f>ROUND(SUM(E7:P7)/12,0)</f>
        <v>0</v>
      </c>
      <c r="S7" s="84"/>
      <c r="T7" s="85"/>
      <c r="U7" s="85"/>
      <c r="V7" s="86"/>
      <c r="W7" s="86"/>
      <c r="X7" s="85"/>
      <c r="Y7" s="85"/>
      <c r="Z7" s="85"/>
      <c r="AA7" s="35" t="s">
        <v>362</v>
      </c>
      <c r="AB7" s="35">
        <f>SUM(Y3:Z3)</f>
        <v>0</v>
      </c>
      <c r="AC7" s="85"/>
      <c r="AD7" s="85"/>
      <c r="AE7" s="85"/>
      <c r="AF7" s="85"/>
      <c r="AG7" s="86"/>
    </row>
    <row r="8" spans="1:33" ht="10" customHeight="1">
      <c r="A8" s="95"/>
      <c r="B8" s="880"/>
      <c r="C8" s="881"/>
      <c r="D8" s="97" t="s">
        <v>339</v>
      </c>
      <c r="E8" s="98"/>
      <c r="F8" s="99">
        <f t="shared" ref="F8:P8" si="0">IF($E7=0,F7/1,IF(ISERROR(F7/$E7),0,F7/$E7))</f>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877"/>
      <c r="S8" s="47"/>
      <c r="T8" s="86"/>
      <c r="U8" s="86"/>
      <c r="V8" s="88"/>
      <c r="W8" s="88"/>
      <c r="X8" s="86"/>
      <c r="Y8" s="86"/>
      <c r="Z8" s="86"/>
      <c r="AA8" s="86"/>
      <c r="AB8" s="86"/>
      <c r="AC8" s="86"/>
      <c r="AD8" s="86"/>
      <c r="AE8" s="86"/>
      <c r="AF8" s="86"/>
      <c r="AG8" s="89" t="s">
        <v>177</v>
      </c>
    </row>
    <row r="9" spans="1:33" s="96" customFormat="1" ht="20.149999999999999" customHeight="1">
      <c r="A9" s="36"/>
      <c r="B9" s="878" t="s">
        <v>337</v>
      </c>
      <c r="C9" s="879"/>
      <c r="D9" s="90" t="s">
        <v>176</v>
      </c>
      <c r="E9" s="91"/>
      <c r="F9" s="92"/>
      <c r="G9" s="91"/>
      <c r="H9" s="92"/>
      <c r="I9" s="91"/>
      <c r="J9" s="92"/>
      <c r="K9" s="91"/>
      <c r="L9" s="92"/>
      <c r="M9" s="91"/>
      <c r="N9" s="92"/>
      <c r="O9" s="91"/>
      <c r="P9" s="92"/>
      <c r="Q9" s="876">
        <f>ROUND(SUM(E9:P9)/12,0)</f>
        <v>0</v>
      </c>
      <c r="S9" s="47"/>
      <c r="T9" s="87"/>
      <c r="U9" s="88"/>
      <c r="V9" s="86"/>
      <c r="W9" s="86"/>
      <c r="X9" s="88"/>
      <c r="Y9" s="88"/>
      <c r="Z9" s="88"/>
      <c r="AA9" s="88"/>
      <c r="AB9" s="88"/>
      <c r="AC9" s="88"/>
      <c r="AD9" s="88"/>
      <c r="AE9" s="88"/>
      <c r="AF9" s="88"/>
      <c r="AG9" s="89"/>
    </row>
    <row r="10" spans="1:33" ht="10" customHeight="1">
      <c r="A10" s="95"/>
      <c r="B10" s="880"/>
      <c r="C10" s="881"/>
      <c r="D10" s="97" t="s">
        <v>339</v>
      </c>
      <c r="E10" s="98"/>
      <c r="F10" s="99">
        <f t="shared" ref="F10:P10" si="1">IF($E9=0,F9/1,IF(ISERROR(F9/$E9),0,F9/$E9))</f>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877"/>
      <c r="S10" s="47"/>
      <c r="T10" s="86"/>
      <c r="U10" s="86"/>
      <c r="V10" s="88"/>
      <c r="W10" s="88"/>
      <c r="X10" s="86"/>
      <c r="Y10" s="86"/>
      <c r="Z10" s="86"/>
      <c r="AA10" s="86"/>
      <c r="AB10" s="86"/>
      <c r="AC10" s="86"/>
      <c r="AD10" s="86"/>
      <c r="AE10" s="86"/>
      <c r="AF10" s="86"/>
      <c r="AG10" s="89"/>
    </row>
    <row r="11" spans="1:33" s="96" customFormat="1" ht="20.149999999999999" customHeight="1">
      <c r="A11" s="36"/>
      <c r="B11" s="878" t="s">
        <v>8</v>
      </c>
      <c r="C11" s="879"/>
      <c r="D11" s="90" t="s">
        <v>176</v>
      </c>
      <c r="E11" s="91"/>
      <c r="F11" s="92"/>
      <c r="G11" s="91"/>
      <c r="H11" s="92"/>
      <c r="I11" s="91"/>
      <c r="J11" s="92"/>
      <c r="K11" s="91"/>
      <c r="L11" s="92"/>
      <c r="M11" s="91"/>
      <c r="N11" s="92"/>
      <c r="O11" s="91"/>
      <c r="P11" s="92"/>
      <c r="Q11" s="876">
        <f>ROUND(SUM(E11:P11)/12,0)</f>
        <v>0</v>
      </c>
      <c r="S11" s="47"/>
      <c r="T11" s="87"/>
      <c r="U11" s="88"/>
      <c r="V11" s="86"/>
      <c r="W11" s="86"/>
      <c r="X11" s="88"/>
      <c r="Y11" s="88"/>
      <c r="Z11" s="88"/>
      <c r="AA11" s="88"/>
      <c r="AB11" s="88"/>
      <c r="AC11" s="88"/>
      <c r="AD11" s="88"/>
      <c r="AE11" s="88"/>
      <c r="AF11" s="88"/>
      <c r="AG11" s="89"/>
    </row>
    <row r="12" spans="1:33" ht="10" customHeight="1">
      <c r="A12" s="95"/>
      <c r="B12" s="880"/>
      <c r="C12" s="881"/>
      <c r="D12" s="97" t="s">
        <v>339</v>
      </c>
      <c r="E12" s="98"/>
      <c r="F12" s="99">
        <f t="shared" ref="F12:P12" si="2">IF($E11=0,F11/1,IF(ISERROR(F11/$E11),0,F11/$E11))</f>
        <v>0</v>
      </c>
      <c r="G12" s="99">
        <f t="shared" si="2"/>
        <v>0</v>
      </c>
      <c r="H12" s="99">
        <f t="shared" si="2"/>
        <v>0</v>
      </c>
      <c r="I12" s="99">
        <f t="shared" si="2"/>
        <v>0</v>
      </c>
      <c r="J12" s="99">
        <f t="shared" si="2"/>
        <v>0</v>
      </c>
      <c r="K12" s="99">
        <f t="shared" si="2"/>
        <v>0</v>
      </c>
      <c r="L12" s="99">
        <f t="shared" si="2"/>
        <v>0</v>
      </c>
      <c r="M12" s="99">
        <f t="shared" si="2"/>
        <v>0</v>
      </c>
      <c r="N12" s="99">
        <f t="shared" si="2"/>
        <v>0</v>
      </c>
      <c r="O12" s="99">
        <f t="shared" si="2"/>
        <v>0</v>
      </c>
      <c r="P12" s="99">
        <f t="shared" si="2"/>
        <v>0</v>
      </c>
      <c r="Q12" s="877"/>
      <c r="S12" s="47"/>
      <c r="T12" s="86"/>
      <c r="U12" s="86"/>
      <c r="V12" s="88"/>
      <c r="W12" s="88"/>
      <c r="X12" s="86"/>
      <c r="Y12" s="86"/>
      <c r="Z12" s="86"/>
      <c r="AA12" s="86"/>
      <c r="AB12" s="86"/>
      <c r="AC12" s="86"/>
      <c r="AD12" s="86"/>
      <c r="AE12" s="86"/>
      <c r="AF12" s="86"/>
      <c r="AG12" s="89"/>
    </row>
    <row r="13" spans="1:33" s="96" customFormat="1" ht="20.149999999999999" customHeight="1" thickBot="1">
      <c r="A13" s="34"/>
      <c r="B13" s="882" t="s">
        <v>0</v>
      </c>
      <c r="C13" s="883"/>
      <c r="D13" s="81"/>
      <c r="E13" s="82">
        <f>SUM(E7,E9,E11)</f>
        <v>0</v>
      </c>
      <c r="F13" s="82">
        <f t="shared" ref="F13:P13" si="3">SUM(F7,F9,F11)</f>
        <v>0</v>
      </c>
      <c r="G13" s="82">
        <f t="shared" si="3"/>
        <v>0</v>
      </c>
      <c r="H13" s="82">
        <f t="shared" si="3"/>
        <v>0</v>
      </c>
      <c r="I13" s="82">
        <f t="shared" si="3"/>
        <v>0</v>
      </c>
      <c r="J13" s="82">
        <f t="shared" si="3"/>
        <v>0</v>
      </c>
      <c r="K13" s="82">
        <f t="shared" si="3"/>
        <v>0</v>
      </c>
      <c r="L13" s="82">
        <f t="shared" si="3"/>
        <v>0</v>
      </c>
      <c r="M13" s="82">
        <f t="shared" si="3"/>
        <v>0</v>
      </c>
      <c r="N13" s="82">
        <f t="shared" si="3"/>
        <v>0</v>
      </c>
      <c r="O13" s="82">
        <f t="shared" si="3"/>
        <v>0</v>
      </c>
      <c r="P13" s="82">
        <f t="shared" si="3"/>
        <v>0</v>
      </c>
      <c r="Q13" s="83">
        <f>SUM(Q7:Q12)</f>
        <v>0</v>
      </c>
      <c r="S13" s="93"/>
      <c r="T13" s="87"/>
      <c r="U13" s="88"/>
      <c r="V13" s="34"/>
      <c r="W13" s="34"/>
      <c r="X13" s="88"/>
      <c r="Y13" s="88"/>
      <c r="Z13" s="88"/>
      <c r="AA13" s="88"/>
      <c r="AB13" s="88"/>
      <c r="AC13" s="88"/>
      <c r="AD13" s="88"/>
      <c r="AE13" s="88"/>
      <c r="AF13" s="88"/>
      <c r="AG13" s="89"/>
    </row>
    <row r="14" spans="1:33" ht="20.149999999999999" customHeight="1">
      <c r="A14" s="36"/>
      <c r="B14" s="889" t="s">
        <v>35</v>
      </c>
      <c r="C14" s="890"/>
      <c r="D14" s="100" t="s">
        <v>124</v>
      </c>
      <c r="E14" s="41">
        <v>4</v>
      </c>
      <c r="F14" s="42">
        <v>5</v>
      </c>
      <c r="G14" s="42">
        <v>6</v>
      </c>
      <c r="H14" s="42">
        <v>7</v>
      </c>
      <c r="I14" s="42">
        <v>8</v>
      </c>
      <c r="J14" s="42">
        <v>9</v>
      </c>
      <c r="K14" s="42">
        <v>10</v>
      </c>
      <c r="L14" s="42">
        <v>11</v>
      </c>
      <c r="M14" s="42">
        <v>12</v>
      </c>
      <c r="N14" s="42">
        <v>1</v>
      </c>
      <c r="O14" s="42">
        <v>2</v>
      </c>
      <c r="P14" s="42">
        <v>3</v>
      </c>
      <c r="Q14" s="77" t="s">
        <v>1</v>
      </c>
      <c r="V14" s="85"/>
      <c r="W14" s="85"/>
    </row>
    <row r="15" spans="1:33" ht="20.149999999999999" customHeight="1">
      <c r="A15" s="36"/>
      <c r="B15" s="878" t="s">
        <v>93</v>
      </c>
      <c r="C15" s="879"/>
      <c r="D15" s="90" t="s">
        <v>176</v>
      </c>
      <c r="E15" s="91"/>
      <c r="F15" s="92"/>
      <c r="G15" s="91"/>
      <c r="H15" s="92"/>
      <c r="I15" s="91"/>
      <c r="J15" s="92"/>
      <c r="K15" s="91"/>
      <c r="L15" s="92"/>
      <c r="M15" s="91"/>
      <c r="N15" s="92"/>
      <c r="O15" s="91"/>
      <c r="P15" s="92"/>
      <c r="Q15" s="876">
        <f>ROUND(SUM(E15:P15)/12,0)</f>
        <v>0</v>
      </c>
      <c r="S15" s="76"/>
      <c r="T15" s="85"/>
      <c r="U15" s="85"/>
      <c r="V15" s="86"/>
      <c r="W15" s="86"/>
      <c r="X15" s="85"/>
      <c r="Y15" s="85"/>
      <c r="Z15" s="85"/>
      <c r="AA15" s="85"/>
      <c r="AB15" s="85"/>
      <c r="AC15" s="85"/>
      <c r="AD15" s="85"/>
      <c r="AE15" s="85"/>
      <c r="AF15" s="85"/>
      <c r="AG15" s="86"/>
    </row>
    <row r="16" spans="1:33" ht="10" customHeight="1">
      <c r="A16" s="36"/>
      <c r="B16" s="880"/>
      <c r="C16" s="881"/>
      <c r="D16" s="97" t="s">
        <v>339</v>
      </c>
      <c r="E16" s="98"/>
      <c r="F16" s="99">
        <f t="shared" ref="F16:P16" si="4">IF($E15=0,F15/1,IF(ISERROR(F15/$E15),0,F15/$E15))</f>
        <v>0</v>
      </c>
      <c r="G16" s="99">
        <f t="shared" si="4"/>
        <v>0</v>
      </c>
      <c r="H16" s="99">
        <f t="shared" si="4"/>
        <v>0</v>
      </c>
      <c r="I16" s="99">
        <f t="shared" si="4"/>
        <v>0</v>
      </c>
      <c r="J16" s="99">
        <f t="shared" si="4"/>
        <v>0</v>
      </c>
      <c r="K16" s="99">
        <f t="shared" si="4"/>
        <v>0</v>
      </c>
      <c r="L16" s="99">
        <f t="shared" si="4"/>
        <v>0</v>
      </c>
      <c r="M16" s="99">
        <f t="shared" si="4"/>
        <v>0</v>
      </c>
      <c r="N16" s="99">
        <f t="shared" si="4"/>
        <v>0</v>
      </c>
      <c r="O16" s="99">
        <f t="shared" si="4"/>
        <v>0</v>
      </c>
      <c r="P16" s="99">
        <f t="shared" si="4"/>
        <v>0</v>
      </c>
      <c r="Q16" s="877"/>
      <c r="S16" s="47"/>
      <c r="U16" s="86"/>
      <c r="V16" s="94"/>
      <c r="W16" s="94"/>
      <c r="X16" s="86"/>
      <c r="Y16" s="86"/>
      <c r="Z16" s="86"/>
      <c r="AA16" s="86"/>
      <c r="AB16" s="86"/>
      <c r="AC16" s="86"/>
      <c r="AD16" s="86"/>
      <c r="AE16" s="86"/>
      <c r="AF16" s="86"/>
      <c r="AG16" s="89" t="s">
        <v>177</v>
      </c>
    </row>
    <row r="17" spans="1:33" ht="20.149999999999999" customHeight="1">
      <c r="A17" s="36"/>
      <c r="B17" s="878" t="s">
        <v>70</v>
      </c>
      <c r="C17" s="879"/>
      <c r="D17" s="90" t="s">
        <v>176</v>
      </c>
      <c r="E17" s="91"/>
      <c r="F17" s="92"/>
      <c r="G17" s="91"/>
      <c r="H17" s="92"/>
      <c r="I17" s="91"/>
      <c r="J17" s="92"/>
      <c r="K17" s="91"/>
      <c r="L17" s="92"/>
      <c r="M17" s="91"/>
      <c r="N17" s="92"/>
      <c r="O17" s="91"/>
      <c r="P17" s="92"/>
      <c r="Q17" s="876">
        <f>ROUND(SUM(E17:P17)/12,0)</f>
        <v>0</v>
      </c>
      <c r="S17" s="47"/>
      <c r="T17" s="93"/>
      <c r="U17" s="94"/>
      <c r="V17" s="86"/>
      <c r="W17" s="86"/>
      <c r="X17" s="94"/>
      <c r="Y17" s="94"/>
      <c r="Z17" s="94"/>
      <c r="AA17" s="94"/>
      <c r="AB17" s="94"/>
      <c r="AC17" s="94"/>
      <c r="AD17" s="94"/>
      <c r="AE17" s="94"/>
      <c r="AF17" s="94"/>
      <c r="AG17" s="89"/>
    </row>
    <row r="18" spans="1:33" ht="10" customHeight="1">
      <c r="A18" s="36"/>
      <c r="B18" s="880"/>
      <c r="C18" s="881"/>
      <c r="D18" s="97" t="s">
        <v>339</v>
      </c>
      <c r="E18" s="98"/>
      <c r="F18" s="99">
        <f t="shared" ref="F18:P18" si="5">IF($E17=0,F17/1,IF(ISERROR(F17/$E17),0,F17/$E17))</f>
        <v>0</v>
      </c>
      <c r="G18" s="99">
        <f t="shared" si="5"/>
        <v>0</v>
      </c>
      <c r="H18" s="99">
        <f t="shared" si="5"/>
        <v>0</v>
      </c>
      <c r="I18" s="99">
        <f t="shared" si="5"/>
        <v>0</v>
      </c>
      <c r="J18" s="99">
        <f t="shared" si="5"/>
        <v>0</v>
      </c>
      <c r="K18" s="99">
        <f t="shared" si="5"/>
        <v>0</v>
      </c>
      <c r="L18" s="99">
        <f t="shared" si="5"/>
        <v>0</v>
      </c>
      <c r="M18" s="99">
        <f t="shared" si="5"/>
        <v>0</v>
      </c>
      <c r="N18" s="99">
        <f t="shared" si="5"/>
        <v>0</v>
      </c>
      <c r="O18" s="99">
        <f t="shared" si="5"/>
        <v>0</v>
      </c>
      <c r="P18" s="99">
        <f t="shared" si="5"/>
        <v>0</v>
      </c>
      <c r="Q18" s="877"/>
      <c r="S18" s="47"/>
      <c r="T18" s="86"/>
      <c r="U18" s="86"/>
      <c r="V18" s="94"/>
      <c r="W18" s="94"/>
      <c r="X18" s="86"/>
      <c r="Y18" s="86"/>
      <c r="Z18" s="86"/>
      <c r="AA18" s="86"/>
      <c r="AB18" s="86"/>
      <c r="AC18" s="86"/>
      <c r="AD18" s="86"/>
      <c r="AE18" s="86"/>
      <c r="AF18" s="86"/>
      <c r="AG18" s="89"/>
    </row>
    <row r="19" spans="1:33" ht="20.149999999999999" customHeight="1">
      <c r="A19" s="36"/>
      <c r="B19" s="878" t="s">
        <v>337</v>
      </c>
      <c r="C19" s="879"/>
      <c r="D19" s="90" t="s">
        <v>176</v>
      </c>
      <c r="E19" s="91"/>
      <c r="F19" s="92"/>
      <c r="G19" s="91"/>
      <c r="H19" s="92"/>
      <c r="I19" s="91"/>
      <c r="J19" s="92"/>
      <c r="K19" s="91"/>
      <c r="L19" s="92"/>
      <c r="M19" s="91"/>
      <c r="N19" s="92"/>
      <c r="O19" s="91"/>
      <c r="P19" s="92"/>
      <c r="Q19" s="876">
        <f>ROUND(SUM(E19:P19)/12,0)</f>
        <v>0</v>
      </c>
      <c r="S19" s="47"/>
      <c r="T19" s="93"/>
      <c r="U19" s="94"/>
      <c r="V19" s="86"/>
      <c r="W19" s="86"/>
      <c r="X19" s="94"/>
      <c r="Y19" s="94"/>
      <c r="Z19" s="94"/>
      <c r="AA19" s="94"/>
      <c r="AB19" s="94"/>
      <c r="AC19" s="94"/>
      <c r="AD19" s="94"/>
      <c r="AE19" s="94"/>
      <c r="AF19" s="94"/>
      <c r="AG19" s="89"/>
    </row>
    <row r="20" spans="1:33" ht="10" customHeight="1">
      <c r="A20" s="36"/>
      <c r="B20" s="880"/>
      <c r="C20" s="881"/>
      <c r="D20" s="97" t="s">
        <v>339</v>
      </c>
      <c r="E20" s="98"/>
      <c r="F20" s="99">
        <f t="shared" ref="F20:P20" si="6">IF($E19=0,F19/1,IF(ISERROR(F19/$E19),0,F19/$E19))</f>
        <v>0</v>
      </c>
      <c r="G20" s="99">
        <f t="shared" si="6"/>
        <v>0</v>
      </c>
      <c r="H20" s="99">
        <f t="shared" si="6"/>
        <v>0</v>
      </c>
      <c r="I20" s="99">
        <f t="shared" si="6"/>
        <v>0</v>
      </c>
      <c r="J20" s="99">
        <f t="shared" si="6"/>
        <v>0</v>
      </c>
      <c r="K20" s="99">
        <f t="shared" si="6"/>
        <v>0</v>
      </c>
      <c r="L20" s="99">
        <f t="shared" si="6"/>
        <v>0</v>
      </c>
      <c r="M20" s="99">
        <f t="shared" si="6"/>
        <v>0</v>
      </c>
      <c r="N20" s="99">
        <f t="shared" si="6"/>
        <v>0</v>
      </c>
      <c r="O20" s="99">
        <f t="shared" si="6"/>
        <v>0</v>
      </c>
      <c r="P20" s="99">
        <f t="shared" si="6"/>
        <v>0</v>
      </c>
      <c r="Q20" s="877"/>
      <c r="S20" s="47"/>
      <c r="T20" s="86"/>
      <c r="U20" s="86"/>
      <c r="V20" s="94"/>
      <c r="W20" s="94"/>
      <c r="X20" s="86"/>
      <c r="Y20" s="86"/>
      <c r="Z20" s="86"/>
      <c r="AA20" s="86"/>
      <c r="AB20" s="86"/>
      <c r="AC20" s="86"/>
      <c r="AD20" s="86"/>
      <c r="AE20" s="86"/>
      <c r="AF20" s="86"/>
      <c r="AG20" s="89"/>
    </row>
    <row r="21" spans="1:33" ht="20.149999999999999" customHeight="1">
      <c r="A21" s="36"/>
      <c r="B21" s="878" t="s">
        <v>8</v>
      </c>
      <c r="C21" s="879"/>
      <c r="D21" s="90" t="s">
        <v>176</v>
      </c>
      <c r="E21" s="91"/>
      <c r="F21" s="92"/>
      <c r="G21" s="91"/>
      <c r="H21" s="92"/>
      <c r="I21" s="91"/>
      <c r="J21" s="92"/>
      <c r="K21" s="91"/>
      <c r="L21" s="92"/>
      <c r="M21" s="91"/>
      <c r="N21" s="92"/>
      <c r="O21" s="91"/>
      <c r="P21" s="92"/>
      <c r="Q21" s="876">
        <f>ROUND(SUM(E21:P21)/12,0)</f>
        <v>0</v>
      </c>
      <c r="S21" s="47"/>
      <c r="T21" s="93"/>
      <c r="U21" s="94"/>
      <c r="V21" s="86"/>
      <c r="W21" s="86"/>
      <c r="X21" s="94"/>
      <c r="Y21" s="94"/>
      <c r="Z21" s="94"/>
      <c r="AA21" s="94"/>
      <c r="AB21" s="94"/>
      <c r="AC21" s="94"/>
      <c r="AD21" s="94"/>
      <c r="AE21" s="94"/>
      <c r="AF21" s="94"/>
      <c r="AG21" s="89"/>
    </row>
    <row r="22" spans="1:33" ht="10" customHeight="1">
      <c r="A22" s="36"/>
      <c r="B22" s="880"/>
      <c r="C22" s="881"/>
      <c r="D22" s="97" t="s">
        <v>339</v>
      </c>
      <c r="E22" s="98"/>
      <c r="F22" s="99">
        <f t="shared" ref="F22:P22" si="7">IF($E21=0,F21/1,IF(ISERROR(F21/$E21),0,F21/$E21))</f>
        <v>0</v>
      </c>
      <c r="G22" s="99">
        <f t="shared" si="7"/>
        <v>0</v>
      </c>
      <c r="H22" s="99">
        <f t="shared" si="7"/>
        <v>0</v>
      </c>
      <c r="I22" s="99">
        <f t="shared" si="7"/>
        <v>0</v>
      </c>
      <c r="J22" s="99">
        <f t="shared" si="7"/>
        <v>0</v>
      </c>
      <c r="K22" s="99">
        <f t="shared" si="7"/>
        <v>0</v>
      </c>
      <c r="L22" s="99">
        <f t="shared" si="7"/>
        <v>0</v>
      </c>
      <c r="M22" s="99">
        <f t="shared" si="7"/>
        <v>0</v>
      </c>
      <c r="N22" s="99">
        <f t="shared" si="7"/>
        <v>0</v>
      </c>
      <c r="O22" s="99">
        <f t="shared" si="7"/>
        <v>0</v>
      </c>
      <c r="P22" s="99">
        <f t="shared" si="7"/>
        <v>0</v>
      </c>
      <c r="Q22" s="877"/>
      <c r="S22" s="47"/>
      <c r="T22" s="86"/>
      <c r="U22" s="86"/>
      <c r="V22" s="94"/>
      <c r="W22" s="94"/>
      <c r="X22" s="86"/>
      <c r="Y22" s="86"/>
      <c r="Z22" s="86"/>
      <c r="AA22" s="86"/>
      <c r="AB22" s="86"/>
      <c r="AC22" s="86"/>
      <c r="AD22" s="86"/>
      <c r="AE22" s="86"/>
      <c r="AF22" s="86"/>
      <c r="AG22" s="89"/>
    </row>
    <row r="23" spans="1:33" ht="20.149999999999999" customHeight="1" thickBot="1">
      <c r="B23" s="882" t="s">
        <v>0</v>
      </c>
      <c r="C23" s="883"/>
      <c r="D23" s="81"/>
      <c r="E23" s="82">
        <f>SUM(E15,E17,E19,E21)</f>
        <v>0</v>
      </c>
      <c r="F23" s="82">
        <f t="shared" ref="F23:P23" si="8">SUM(F15,F17,F19,F21)</f>
        <v>0</v>
      </c>
      <c r="G23" s="82">
        <f t="shared" si="8"/>
        <v>0</v>
      </c>
      <c r="H23" s="82">
        <f t="shared" si="8"/>
        <v>0</v>
      </c>
      <c r="I23" s="82">
        <f t="shared" si="8"/>
        <v>0</v>
      </c>
      <c r="J23" s="82">
        <f t="shared" si="8"/>
        <v>0</v>
      </c>
      <c r="K23" s="82">
        <f t="shared" si="8"/>
        <v>0</v>
      </c>
      <c r="L23" s="82">
        <f t="shared" si="8"/>
        <v>0</v>
      </c>
      <c r="M23" s="82">
        <f t="shared" si="8"/>
        <v>0</v>
      </c>
      <c r="N23" s="82">
        <f t="shared" si="8"/>
        <v>0</v>
      </c>
      <c r="O23" s="82">
        <f t="shared" si="8"/>
        <v>0</v>
      </c>
      <c r="P23" s="82">
        <f t="shared" si="8"/>
        <v>0</v>
      </c>
      <c r="Q23" s="83">
        <f>SUM(Q15:Q22)</f>
        <v>0</v>
      </c>
      <c r="S23" s="39"/>
      <c r="T23" s="93"/>
      <c r="U23" s="94"/>
      <c r="X23" s="94"/>
      <c r="Y23" s="94"/>
      <c r="Z23" s="94"/>
      <c r="AA23" s="94"/>
      <c r="AB23" s="94"/>
      <c r="AC23" s="94"/>
      <c r="AD23" s="94"/>
      <c r="AE23" s="94"/>
      <c r="AF23" s="94"/>
      <c r="AG23" s="89"/>
    </row>
    <row r="24" spans="1:33" ht="20.149999999999999" customHeight="1">
      <c r="A24" s="36"/>
      <c r="B24" s="889" t="s">
        <v>95</v>
      </c>
      <c r="C24" s="890"/>
      <c r="D24" s="100" t="s">
        <v>124</v>
      </c>
      <c r="E24" s="41">
        <v>4</v>
      </c>
      <c r="F24" s="42">
        <v>5</v>
      </c>
      <c r="G24" s="42">
        <v>6</v>
      </c>
      <c r="H24" s="42">
        <v>7</v>
      </c>
      <c r="I24" s="42">
        <v>8</v>
      </c>
      <c r="J24" s="42">
        <v>9</v>
      </c>
      <c r="K24" s="42">
        <v>10</v>
      </c>
      <c r="L24" s="42">
        <v>11</v>
      </c>
      <c r="M24" s="42">
        <v>12</v>
      </c>
      <c r="N24" s="42">
        <v>1</v>
      </c>
      <c r="O24" s="42">
        <v>2</v>
      </c>
      <c r="P24" s="42">
        <v>3</v>
      </c>
      <c r="Q24" s="77" t="s">
        <v>1</v>
      </c>
      <c r="V24" s="85"/>
      <c r="W24" s="85"/>
      <c r="AG24" s="86"/>
    </row>
    <row r="25" spans="1:33" ht="20.149999999999999" customHeight="1">
      <c r="A25" s="36"/>
      <c r="B25" s="878" t="s">
        <v>93</v>
      </c>
      <c r="C25" s="879"/>
      <c r="D25" s="90" t="s">
        <v>176</v>
      </c>
      <c r="E25" s="91"/>
      <c r="F25" s="92"/>
      <c r="G25" s="91"/>
      <c r="H25" s="92"/>
      <c r="I25" s="91"/>
      <c r="J25" s="92"/>
      <c r="K25" s="91"/>
      <c r="L25" s="92"/>
      <c r="M25" s="91"/>
      <c r="N25" s="92"/>
      <c r="O25" s="91"/>
      <c r="P25" s="92"/>
      <c r="Q25" s="876">
        <f>ROUND(SUM(E25:P25)/12,0)</f>
        <v>0</v>
      </c>
      <c r="S25" s="76"/>
      <c r="T25" s="85"/>
      <c r="U25" s="85"/>
      <c r="V25" s="86"/>
      <c r="W25" s="86"/>
      <c r="X25" s="85"/>
      <c r="Y25" s="85"/>
      <c r="Z25" s="85"/>
      <c r="AA25" s="85"/>
      <c r="AB25" s="85"/>
      <c r="AC25" s="85"/>
      <c r="AD25" s="85"/>
      <c r="AE25" s="85"/>
      <c r="AF25" s="85"/>
      <c r="AG25" s="86"/>
    </row>
    <row r="26" spans="1:33" ht="10" customHeight="1">
      <c r="A26" s="36"/>
      <c r="B26" s="880"/>
      <c r="C26" s="881"/>
      <c r="D26" s="97" t="s">
        <v>339</v>
      </c>
      <c r="E26" s="98"/>
      <c r="F26" s="99">
        <f t="shared" ref="F26:P26" si="9">IF($E25=0,F25/1,IF(ISERROR(F25/$E25),0,F25/$E25))</f>
        <v>0</v>
      </c>
      <c r="G26" s="99">
        <f t="shared" si="9"/>
        <v>0</v>
      </c>
      <c r="H26" s="99">
        <f t="shared" si="9"/>
        <v>0</v>
      </c>
      <c r="I26" s="99">
        <f t="shared" si="9"/>
        <v>0</v>
      </c>
      <c r="J26" s="99">
        <f t="shared" si="9"/>
        <v>0</v>
      </c>
      <c r="K26" s="99">
        <f t="shared" si="9"/>
        <v>0</v>
      </c>
      <c r="L26" s="99">
        <f t="shared" si="9"/>
        <v>0</v>
      </c>
      <c r="M26" s="99">
        <f t="shared" si="9"/>
        <v>0</v>
      </c>
      <c r="N26" s="99">
        <f t="shared" si="9"/>
        <v>0</v>
      </c>
      <c r="O26" s="99">
        <f t="shared" si="9"/>
        <v>0</v>
      </c>
      <c r="P26" s="99">
        <f t="shared" si="9"/>
        <v>0</v>
      </c>
      <c r="Q26" s="877"/>
      <c r="S26" s="47"/>
      <c r="T26" s="86"/>
      <c r="U26" s="86"/>
      <c r="V26" s="94"/>
      <c r="W26" s="94"/>
      <c r="X26" s="86"/>
      <c r="Y26" s="86"/>
      <c r="Z26" s="86"/>
      <c r="AA26" s="86"/>
      <c r="AB26" s="86"/>
      <c r="AC26" s="86"/>
      <c r="AD26" s="86"/>
      <c r="AE26" s="86"/>
      <c r="AF26" s="86"/>
      <c r="AG26" s="89" t="s">
        <v>177</v>
      </c>
    </row>
    <row r="27" spans="1:33" ht="20.149999999999999" customHeight="1">
      <c r="A27" s="36"/>
      <c r="B27" s="878" t="s">
        <v>70</v>
      </c>
      <c r="C27" s="879"/>
      <c r="D27" s="90" t="s">
        <v>176</v>
      </c>
      <c r="E27" s="91"/>
      <c r="F27" s="92"/>
      <c r="G27" s="91"/>
      <c r="H27" s="92"/>
      <c r="I27" s="91"/>
      <c r="J27" s="92"/>
      <c r="K27" s="91"/>
      <c r="L27" s="92"/>
      <c r="M27" s="91"/>
      <c r="N27" s="92"/>
      <c r="O27" s="91"/>
      <c r="P27" s="92"/>
      <c r="Q27" s="876">
        <f>ROUND(SUM(E27:P27)/12,0)</f>
        <v>0</v>
      </c>
      <c r="S27" s="47"/>
      <c r="T27" s="93"/>
      <c r="U27" s="94"/>
      <c r="V27" s="86"/>
      <c r="W27" s="86"/>
      <c r="X27" s="94"/>
      <c r="Y27" s="94"/>
      <c r="Z27" s="94"/>
      <c r="AA27" s="94"/>
      <c r="AB27" s="94"/>
      <c r="AC27" s="94"/>
      <c r="AD27" s="94"/>
      <c r="AE27" s="94"/>
      <c r="AF27" s="94"/>
      <c r="AG27" s="89"/>
    </row>
    <row r="28" spans="1:33" ht="10" customHeight="1">
      <c r="A28" s="36"/>
      <c r="B28" s="880"/>
      <c r="C28" s="881"/>
      <c r="D28" s="97" t="s">
        <v>339</v>
      </c>
      <c r="E28" s="98"/>
      <c r="F28" s="99">
        <f t="shared" ref="F28:P28" si="10">IF($E27=0,F27/1,IF(ISERROR(F27/$E27),0,F27/$E27))</f>
        <v>0</v>
      </c>
      <c r="G28" s="99">
        <f t="shared" si="10"/>
        <v>0</v>
      </c>
      <c r="H28" s="99">
        <f t="shared" si="10"/>
        <v>0</v>
      </c>
      <c r="I28" s="99">
        <f t="shared" si="10"/>
        <v>0</v>
      </c>
      <c r="J28" s="99">
        <f t="shared" si="10"/>
        <v>0</v>
      </c>
      <c r="K28" s="99">
        <f t="shared" si="10"/>
        <v>0</v>
      </c>
      <c r="L28" s="99">
        <f t="shared" si="10"/>
        <v>0</v>
      </c>
      <c r="M28" s="99">
        <f t="shared" si="10"/>
        <v>0</v>
      </c>
      <c r="N28" s="99">
        <f t="shared" si="10"/>
        <v>0</v>
      </c>
      <c r="O28" s="99">
        <f t="shared" si="10"/>
        <v>0</v>
      </c>
      <c r="P28" s="99">
        <f t="shared" si="10"/>
        <v>0</v>
      </c>
      <c r="Q28" s="877"/>
      <c r="S28" s="47"/>
      <c r="T28" s="86"/>
      <c r="U28" s="86"/>
      <c r="V28" s="94"/>
      <c r="W28" s="94"/>
      <c r="X28" s="86"/>
      <c r="Y28" s="86"/>
      <c r="Z28" s="86"/>
      <c r="AA28" s="86"/>
      <c r="AB28" s="86"/>
      <c r="AC28" s="86"/>
      <c r="AD28" s="86"/>
      <c r="AE28" s="86"/>
      <c r="AF28" s="86"/>
      <c r="AG28" s="89"/>
    </row>
    <row r="29" spans="1:33" ht="20.149999999999999" customHeight="1">
      <c r="A29" s="36"/>
      <c r="B29" s="878" t="s">
        <v>337</v>
      </c>
      <c r="C29" s="879"/>
      <c r="D29" s="90" t="s">
        <v>176</v>
      </c>
      <c r="E29" s="91"/>
      <c r="F29" s="92"/>
      <c r="G29" s="91"/>
      <c r="H29" s="92"/>
      <c r="I29" s="91"/>
      <c r="J29" s="92"/>
      <c r="K29" s="91"/>
      <c r="L29" s="92"/>
      <c r="M29" s="91"/>
      <c r="N29" s="92"/>
      <c r="O29" s="91"/>
      <c r="P29" s="92"/>
      <c r="Q29" s="876">
        <f>ROUND(SUM(E29:P29)/12,0)</f>
        <v>0</v>
      </c>
      <c r="S29" s="47"/>
      <c r="T29" s="93"/>
      <c r="U29" s="94"/>
      <c r="V29" s="86"/>
      <c r="W29" s="86"/>
      <c r="X29" s="94"/>
      <c r="Y29" s="94"/>
      <c r="Z29" s="94"/>
      <c r="AA29" s="94"/>
      <c r="AB29" s="94"/>
      <c r="AC29" s="94"/>
      <c r="AD29" s="94"/>
      <c r="AE29" s="94"/>
      <c r="AF29" s="94"/>
      <c r="AG29" s="89"/>
    </row>
    <row r="30" spans="1:33" ht="10" customHeight="1">
      <c r="A30" s="36"/>
      <c r="B30" s="880"/>
      <c r="C30" s="881"/>
      <c r="D30" s="97" t="s">
        <v>339</v>
      </c>
      <c r="E30" s="98"/>
      <c r="F30" s="99">
        <f t="shared" ref="F30:P30" si="11">IF($E29=0,F29/1,IF(ISERROR(F29/$E29),0,F29/$E29))</f>
        <v>0</v>
      </c>
      <c r="G30" s="99">
        <f t="shared" si="11"/>
        <v>0</v>
      </c>
      <c r="H30" s="99">
        <f t="shared" si="11"/>
        <v>0</v>
      </c>
      <c r="I30" s="99">
        <f t="shared" si="11"/>
        <v>0</v>
      </c>
      <c r="J30" s="99">
        <f t="shared" si="11"/>
        <v>0</v>
      </c>
      <c r="K30" s="99">
        <f t="shared" si="11"/>
        <v>0</v>
      </c>
      <c r="L30" s="99">
        <f t="shared" si="11"/>
        <v>0</v>
      </c>
      <c r="M30" s="99">
        <f t="shared" si="11"/>
        <v>0</v>
      </c>
      <c r="N30" s="99">
        <f t="shared" si="11"/>
        <v>0</v>
      </c>
      <c r="O30" s="99">
        <f t="shared" si="11"/>
        <v>0</v>
      </c>
      <c r="P30" s="99">
        <f t="shared" si="11"/>
        <v>0</v>
      </c>
      <c r="Q30" s="877"/>
      <c r="S30" s="47"/>
      <c r="T30" s="86"/>
      <c r="U30" s="86"/>
      <c r="V30" s="94"/>
      <c r="W30" s="94"/>
      <c r="X30" s="86"/>
      <c r="Y30" s="86"/>
      <c r="Z30" s="86"/>
      <c r="AA30" s="86"/>
      <c r="AB30" s="86"/>
      <c r="AC30" s="86"/>
      <c r="AD30" s="86"/>
      <c r="AE30" s="86"/>
      <c r="AF30" s="86"/>
      <c r="AG30" s="89"/>
    </row>
    <row r="31" spans="1:33" ht="20.149999999999999" customHeight="1">
      <c r="A31" s="36"/>
      <c r="B31" s="878" t="s">
        <v>8</v>
      </c>
      <c r="C31" s="879"/>
      <c r="D31" s="90" t="s">
        <v>176</v>
      </c>
      <c r="E31" s="91"/>
      <c r="F31" s="92"/>
      <c r="G31" s="91"/>
      <c r="H31" s="92"/>
      <c r="I31" s="91"/>
      <c r="J31" s="92"/>
      <c r="K31" s="91"/>
      <c r="L31" s="92"/>
      <c r="M31" s="91"/>
      <c r="N31" s="92"/>
      <c r="O31" s="91"/>
      <c r="P31" s="92"/>
      <c r="Q31" s="876">
        <f>ROUND(SUM(E31:P31)/12,0)</f>
        <v>0</v>
      </c>
      <c r="S31" s="47"/>
      <c r="T31" s="93"/>
      <c r="U31" s="94"/>
      <c r="V31" s="86"/>
      <c r="W31" s="86"/>
      <c r="X31" s="94"/>
      <c r="Y31" s="94"/>
      <c r="Z31" s="94"/>
      <c r="AA31" s="94"/>
      <c r="AB31" s="94"/>
      <c r="AC31" s="94"/>
      <c r="AD31" s="94"/>
      <c r="AE31" s="94"/>
      <c r="AF31" s="94"/>
      <c r="AG31" s="89"/>
    </row>
    <row r="32" spans="1:33" ht="10" customHeight="1">
      <c r="A32" s="36"/>
      <c r="B32" s="880"/>
      <c r="C32" s="881"/>
      <c r="D32" s="97" t="s">
        <v>339</v>
      </c>
      <c r="E32" s="98"/>
      <c r="F32" s="99">
        <f t="shared" ref="F32:P32" si="12">IF($E31=0,F31/1,IF(ISERROR(F31/$E31),0,F31/$E31))</f>
        <v>0</v>
      </c>
      <c r="G32" s="99">
        <f t="shared" si="12"/>
        <v>0</v>
      </c>
      <c r="H32" s="99">
        <f t="shared" si="12"/>
        <v>0</v>
      </c>
      <c r="I32" s="99">
        <f t="shared" si="12"/>
        <v>0</v>
      </c>
      <c r="J32" s="99">
        <f t="shared" si="12"/>
        <v>0</v>
      </c>
      <c r="K32" s="99">
        <f t="shared" si="12"/>
        <v>0</v>
      </c>
      <c r="L32" s="99">
        <f t="shared" si="12"/>
        <v>0</v>
      </c>
      <c r="M32" s="99">
        <f t="shared" si="12"/>
        <v>0</v>
      </c>
      <c r="N32" s="99">
        <f t="shared" si="12"/>
        <v>0</v>
      </c>
      <c r="O32" s="99">
        <f t="shared" si="12"/>
        <v>0</v>
      </c>
      <c r="P32" s="99">
        <f t="shared" si="12"/>
        <v>0</v>
      </c>
      <c r="Q32" s="877"/>
      <c r="S32" s="47"/>
      <c r="T32" s="86"/>
      <c r="U32" s="86"/>
      <c r="V32" s="94"/>
      <c r="W32" s="94"/>
      <c r="X32" s="86"/>
      <c r="Y32" s="86"/>
      <c r="Z32" s="86"/>
      <c r="AA32" s="86"/>
      <c r="AB32" s="86"/>
      <c r="AC32" s="86"/>
      <c r="AD32" s="86"/>
      <c r="AE32" s="86"/>
      <c r="AF32" s="86"/>
      <c r="AG32" s="89"/>
    </row>
    <row r="33" spans="1:33" ht="20.149999999999999" customHeight="1" thickBot="1">
      <c r="B33" s="882" t="s">
        <v>0</v>
      </c>
      <c r="C33" s="883"/>
      <c r="D33" s="81"/>
      <c r="E33" s="82">
        <f>SUM(E25,E27,E29,E31)</f>
        <v>0</v>
      </c>
      <c r="F33" s="82">
        <f t="shared" ref="F33:P33" si="13">SUM(F25,F27,F29,F31)</f>
        <v>0</v>
      </c>
      <c r="G33" s="82">
        <f t="shared" si="13"/>
        <v>0</v>
      </c>
      <c r="H33" s="82">
        <f t="shared" si="13"/>
        <v>0</v>
      </c>
      <c r="I33" s="82">
        <f t="shared" si="13"/>
        <v>0</v>
      </c>
      <c r="J33" s="82">
        <f t="shared" si="13"/>
        <v>0</v>
      </c>
      <c r="K33" s="82">
        <f t="shared" si="13"/>
        <v>0</v>
      </c>
      <c r="L33" s="82">
        <f t="shared" si="13"/>
        <v>0</v>
      </c>
      <c r="M33" s="82">
        <f t="shared" si="13"/>
        <v>0</v>
      </c>
      <c r="N33" s="82">
        <f t="shared" si="13"/>
        <v>0</v>
      </c>
      <c r="O33" s="82">
        <f t="shared" si="13"/>
        <v>0</v>
      </c>
      <c r="P33" s="82">
        <f t="shared" si="13"/>
        <v>0</v>
      </c>
      <c r="Q33" s="83">
        <f>SUM(Q25:Q32)</f>
        <v>0</v>
      </c>
      <c r="S33" s="39"/>
      <c r="T33" s="93"/>
      <c r="U33" s="94"/>
      <c r="X33" s="94"/>
      <c r="Y33" s="94"/>
      <c r="Z33" s="94"/>
      <c r="AA33" s="94"/>
      <c r="AB33" s="94"/>
      <c r="AC33" s="94"/>
      <c r="AD33" s="94"/>
      <c r="AE33" s="94"/>
      <c r="AF33" s="94"/>
      <c r="AG33" s="89"/>
    </row>
    <row r="34" spans="1:33" ht="20.149999999999999" customHeight="1">
      <c r="A34" s="36"/>
      <c r="B34" s="36"/>
      <c r="C34" s="38"/>
      <c r="D34" s="39"/>
      <c r="E34" s="47"/>
      <c r="F34" s="48"/>
      <c r="G34" s="48"/>
      <c r="H34" s="48"/>
      <c r="I34" s="48"/>
      <c r="J34" s="48"/>
      <c r="K34" s="48"/>
      <c r="L34" s="48"/>
      <c r="M34" s="48"/>
      <c r="N34" s="48"/>
      <c r="O34" s="48"/>
      <c r="P34" s="48"/>
      <c r="Q34" s="49"/>
    </row>
    <row r="35" spans="1:33" ht="20.149999999999999" customHeight="1" thickBot="1">
      <c r="A35" s="40" t="s">
        <v>394</v>
      </c>
      <c r="B35" s="40"/>
      <c r="C35" s="36"/>
      <c r="D35" s="36"/>
      <c r="E35" s="50"/>
      <c r="F35" s="36"/>
      <c r="G35" s="36"/>
      <c r="H35" s="36"/>
      <c r="I35" s="36"/>
      <c r="J35" s="36"/>
      <c r="K35" s="36"/>
      <c r="L35" s="36"/>
      <c r="M35" s="36"/>
      <c r="N35" s="36"/>
      <c r="O35" s="36"/>
      <c r="P35" s="36"/>
      <c r="Q35" s="49"/>
    </row>
    <row r="36" spans="1:33" ht="20.149999999999999" customHeight="1">
      <c r="A36" s="36"/>
      <c r="B36" s="891" t="s">
        <v>86</v>
      </c>
      <c r="C36" s="892"/>
      <c r="D36" s="100" t="s">
        <v>124</v>
      </c>
      <c r="E36" s="41">
        <v>4</v>
      </c>
      <c r="F36" s="42">
        <v>5</v>
      </c>
      <c r="G36" s="42">
        <v>6</v>
      </c>
      <c r="H36" s="42">
        <v>7</v>
      </c>
      <c r="I36" s="42">
        <v>8</v>
      </c>
      <c r="J36" s="42">
        <v>9</v>
      </c>
      <c r="K36" s="42">
        <v>10</v>
      </c>
      <c r="L36" s="42">
        <v>11</v>
      </c>
      <c r="M36" s="42">
        <v>12</v>
      </c>
      <c r="N36" s="42">
        <v>1</v>
      </c>
      <c r="O36" s="42">
        <v>2</v>
      </c>
      <c r="P36" s="42">
        <v>3</v>
      </c>
      <c r="Q36" s="77" t="s">
        <v>1</v>
      </c>
      <c r="V36" s="85"/>
      <c r="W36" s="85"/>
    </row>
    <row r="37" spans="1:33" ht="20.149999999999999" customHeight="1">
      <c r="A37" s="36"/>
      <c r="B37" s="895" t="s">
        <v>338</v>
      </c>
      <c r="C37" s="896"/>
      <c r="D37" s="43" t="s">
        <v>176</v>
      </c>
      <c r="E37" s="44"/>
      <c r="F37" s="51">
        <f t="shared" ref="F37:P37" si="14">IF($E37=0,F7,$E37*F8)</f>
        <v>0</v>
      </c>
      <c r="G37" s="51">
        <f t="shared" si="14"/>
        <v>0</v>
      </c>
      <c r="H37" s="51">
        <f t="shared" si="14"/>
        <v>0</v>
      </c>
      <c r="I37" s="51">
        <f t="shared" si="14"/>
        <v>0</v>
      </c>
      <c r="J37" s="51">
        <f t="shared" si="14"/>
        <v>0</v>
      </c>
      <c r="K37" s="51">
        <f t="shared" si="14"/>
        <v>0</v>
      </c>
      <c r="L37" s="51">
        <f t="shared" si="14"/>
        <v>0</v>
      </c>
      <c r="M37" s="51">
        <f t="shared" si="14"/>
        <v>0</v>
      </c>
      <c r="N37" s="51">
        <f t="shared" si="14"/>
        <v>0</v>
      </c>
      <c r="O37" s="51">
        <f t="shared" si="14"/>
        <v>0</v>
      </c>
      <c r="P37" s="51">
        <f t="shared" si="14"/>
        <v>0</v>
      </c>
      <c r="Q37" s="45">
        <f>ROUND(SUM(E37:P37)/12,0)</f>
        <v>0</v>
      </c>
      <c r="S37" s="84"/>
      <c r="T37" s="85"/>
      <c r="U37" s="85"/>
      <c r="V37" s="88"/>
      <c r="W37" s="88"/>
      <c r="X37" s="85"/>
      <c r="Y37" s="85"/>
      <c r="Z37" s="85"/>
      <c r="AA37" s="85"/>
      <c r="AB37" s="85"/>
      <c r="AC37" s="85"/>
      <c r="AD37" s="85"/>
      <c r="AE37" s="85"/>
      <c r="AF37" s="85"/>
      <c r="AG37" s="86"/>
    </row>
    <row r="38" spans="1:33" ht="20.149999999999999" customHeight="1">
      <c r="A38" s="36"/>
      <c r="B38" s="895" t="s">
        <v>337</v>
      </c>
      <c r="C38" s="896"/>
      <c r="D38" s="46" t="s">
        <v>176</v>
      </c>
      <c r="E38" s="44"/>
      <c r="F38" s="51">
        <f t="shared" ref="F38:P38" si="15">IF($E38=0,F9,$E38*F10)</f>
        <v>0</v>
      </c>
      <c r="G38" s="51">
        <f t="shared" si="15"/>
        <v>0</v>
      </c>
      <c r="H38" s="51">
        <f t="shared" si="15"/>
        <v>0</v>
      </c>
      <c r="I38" s="51">
        <f t="shared" si="15"/>
        <v>0</v>
      </c>
      <c r="J38" s="51">
        <f t="shared" si="15"/>
        <v>0</v>
      </c>
      <c r="K38" s="51">
        <f t="shared" si="15"/>
        <v>0</v>
      </c>
      <c r="L38" s="51">
        <f t="shared" si="15"/>
        <v>0</v>
      </c>
      <c r="M38" s="51">
        <f t="shared" si="15"/>
        <v>0</v>
      </c>
      <c r="N38" s="51">
        <f t="shared" si="15"/>
        <v>0</v>
      </c>
      <c r="O38" s="51">
        <f t="shared" si="15"/>
        <v>0</v>
      </c>
      <c r="P38" s="51">
        <f t="shared" si="15"/>
        <v>0</v>
      </c>
      <c r="Q38" s="45">
        <f>ROUND(SUM(E38:P38)/12,0)</f>
        <v>0</v>
      </c>
      <c r="S38" s="47"/>
      <c r="T38" s="87"/>
      <c r="U38" s="88"/>
      <c r="V38" s="88"/>
      <c r="W38" s="88"/>
      <c r="X38" s="88"/>
      <c r="Y38" s="88"/>
      <c r="Z38" s="88"/>
      <c r="AA38" s="88"/>
      <c r="AB38" s="88"/>
      <c r="AC38" s="88"/>
      <c r="AD38" s="88"/>
      <c r="AE38" s="88"/>
      <c r="AF38" s="88"/>
      <c r="AG38" s="89"/>
    </row>
    <row r="39" spans="1:33" ht="20.149999999999999" customHeight="1">
      <c r="A39" s="36"/>
      <c r="B39" s="893" t="s">
        <v>8</v>
      </c>
      <c r="C39" s="894"/>
      <c r="D39" s="78" t="s">
        <v>176</v>
      </c>
      <c r="E39" s="79"/>
      <c r="F39" s="51">
        <f t="shared" ref="F39:P39" si="16">IF($E39=0,F11,$E39*F12)</f>
        <v>0</v>
      </c>
      <c r="G39" s="51">
        <f t="shared" si="16"/>
        <v>0</v>
      </c>
      <c r="H39" s="51">
        <f t="shared" si="16"/>
        <v>0</v>
      </c>
      <c r="I39" s="51">
        <f t="shared" si="16"/>
        <v>0</v>
      </c>
      <c r="J39" s="51">
        <f t="shared" si="16"/>
        <v>0</v>
      </c>
      <c r="K39" s="51">
        <f t="shared" si="16"/>
        <v>0</v>
      </c>
      <c r="L39" s="51">
        <f t="shared" si="16"/>
        <v>0</v>
      </c>
      <c r="M39" s="51">
        <f t="shared" si="16"/>
        <v>0</v>
      </c>
      <c r="N39" s="51">
        <f t="shared" si="16"/>
        <v>0</v>
      </c>
      <c r="O39" s="51">
        <f t="shared" si="16"/>
        <v>0</v>
      </c>
      <c r="P39" s="51">
        <f t="shared" si="16"/>
        <v>0</v>
      </c>
      <c r="Q39" s="80">
        <f>ROUND(SUM(E39:P39)/12,0)</f>
        <v>0</v>
      </c>
      <c r="S39" s="47"/>
      <c r="T39" s="87"/>
      <c r="U39" s="88"/>
      <c r="V39" s="88"/>
      <c r="W39" s="88"/>
      <c r="X39" s="88"/>
      <c r="Y39" s="88"/>
      <c r="Z39" s="88"/>
      <c r="AA39" s="88"/>
      <c r="AB39" s="88"/>
      <c r="AC39" s="88"/>
      <c r="AD39" s="88"/>
      <c r="AE39" s="88"/>
      <c r="AF39" s="88"/>
      <c r="AG39" s="89"/>
    </row>
    <row r="40" spans="1:33" ht="20.149999999999999" customHeight="1" thickBot="1">
      <c r="B40" s="882" t="s">
        <v>0</v>
      </c>
      <c r="C40" s="883"/>
      <c r="D40" s="81"/>
      <c r="E40" s="82">
        <f t="shared" ref="E40:Q40" si="17">SUM(E37:E39)</f>
        <v>0</v>
      </c>
      <c r="F40" s="82">
        <f t="shared" si="17"/>
        <v>0</v>
      </c>
      <c r="G40" s="82">
        <f t="shared" si="17"/>
        <v>0</v>
      </c>
      <c r="H40" s="82">
        <f t="shared" si="17"/>
        <v>0</v>
      </c>
      <c r="I40" s="82">
        <f t="shared" si="17"/>
        <v>0</v>
      </c>
      <c r="J40" s="82">
        <f t="shared" si="17"/>
        <v>0</v>
      </c>
      <c r="K40" s="82">
        <f t="shared" si="17"/>
        <v>0</v>
      </c>
      <c r="L40" s="82">
        <f t="shared" si="17"/>
        <v>0</v>
      </c>
      <c r="M40" s="82">
        <f t="shared" si="17"/>
        <v>0</v>
      </c>
      <c r="N40" s="82">
        <f t="shared" si="17"/>
        <v>0</v>
      </c>
      <c r="O40" s="82">
        <f t="shared" si="17"/>
        <v>0</v>
      </c>
      <c r="P40" s="82">
        <f t="shared" si="17"/>
        <v>0</v>
      </c>
      <c r="Q40" s="83">
        <f t="shared" si="17"/>
        <v>0</v>
      </c>
      <c r="S40" s="47"/>
      <c r="T40" s="87"/>
      <c r="U40" s="88"/>
      <c r="V40" s="86"/>
      <c r="W40" s="86"/>
      <c r="X40" s="88"/>
      <c r="Y40" s="88"/>
      <c r="Z40" s="88"/>
      <c r="AA40" s="88"/>
      <c r="AB40" s="88"/>
      <c r="AC40" s="88"/>
      <c r="AD40" s="88"/>
      <c r="AE40" s="88"/>
      <c r="AF40" s="88"/>
      <c r="AG40" s="89"/>
    </row>
    <row r="41" spans="1:33" ht="20.149999999999999" customHeight="1">
      <c r="A41" s="36"/>
      <c r="B41" s="911" t="s">
        <v>35</v>
      </c>
      <c r="C41" s="912"/>
      <c r="D41" s="100" t="s">
        <v>124</v>
      </c>
      <c r="E41" s="41">
        <v>4</v>
      </c>
      <c r="F41" s="42">
        <v>5</v>
      </c>
      <c r="G41" s="42">
        <v>6</v>
      </c>
      <c r="H41" s="42">
        <v>7</v>
      </c>
      <c r="I41" s="42">
        <v>8</v>
      </c>
      <c r="J41" s="42">
        <v>9</v>
      </c>
      <c r="K41" s="42">
        <v>10</v>
      </c>
      <c r="L41" s="42">
        <v>11</v>
      </c>
      <c r="M41" s="42">
        <v>12</v>
      </c>
      <c r="N41" s="42">
        <v>1</v>
      </c>
      <c r="O41" s="42">
        <v>2</v>
      </c>
      <c r="P41" s="42">
        <v>3</v>
      </c>
      <c r="Q41" s="77" t="s">
        <v>1</v>
      </c>
      <c r="S41" s="86"/>
      <c r="T41" s="86"/>
      <c r="U41" s="86"/>
      <c r="V41" s="85"/>
      <c r="W41" s="85"/>
      <c r="X41" s="86"/>
      <c r="Y41" s="86"/>
      <c r="Z41" s="86"/>
      <c r="AA41" s="86"/>
      <c r="AB41" s="86"/>
      <c r="AC41" s="86"/>
      <c r="AD41" s="86"/>
      <c r="AE41" s="86"/>
      <c r="AF41" s="86"/>
      <c r="AG41" s="86"/>
    </row>
    <row r="42" spans="1:33" ht="20.149999999999999" customHeight="1">
      <c r="A42" s="36"/>
      <c r="B42" s="895" t="s">
        <v>93</v>
      </c>
      <c r="C42" s="896"/>
      <c r="D42" s="43" t="s">
        <v>176</v>
      </c>
      <c r="E42" s="44"/>
      <c r="F42" s="51">
        <f t="shared" ref="F42:P42" si="18">IF($E42=0,F15,$E42*F16)</f>
        <v>0</v>
      </c>
      <c r="G42" s="51">
        <f t="shared" si="18"/>
        <v>0</v>
      </c>
      <c r="H42" s="51">
        <f t="shared" si="18"/>
        <v>0</v>
      </c>
      <c r="I42" s="51">
        <f t="shared" si="18"/>
        <v>0</v>
      </c>
      <c r="J42" s="51">
        <f t="shared" si="18"/>
        <v>0</v>
      </c>
      <c r="K42" s="51">
        <f t="shared" si="18"/>
        <v>0</v>
      </c>
      <c r="L42" s="51">
        <f t="shared" si="18"/>
        <v>0</v>
      </c>
      <c r="M42" s="51">
        <f t="shared" si="18"/>
        <v>0</v>
      </c>
      <c r="N42" s="51">
        <f t="shared" si="18"/>
        <v>0</v>
      </c>
      <c r="O42" s="51">
        <f t="shared" si="18"/>
        <v>0</v>
      </c>
      <c r="P42" s="51">
        <f t="shared" si="18"/>
        <v>0</v>
      </c>
      <c r="Q42" s="45">
        <f>ROUND(SUM(E42:P42)/12,0)</f>
        <v>0</v>
      </c>
      <c r="S42" s="86"/>
      <c r="T42" s="85"/>
      <c r="U42" s="85"/>
      <c r="V42" s="88"/>
      <c r="W42" s="88"/>
      <c r="X42" s="85"/>
      <c r="Y42" s="85"/>
      <c r="Z42" s="85"/>
      <c r="AA42" s="85"/>
      <c r="AB42" s="85"/>
      <c r="AC42" s="85"/>
      <c r="AD42" s="85"/>
      <c r="AE42" s="85"/>
      <c r="AF42" s="85"/>
      <c r="AG42" s="86"/>
    </row>
    <row r="43" spans="1:33" ht="20.149999999999999" customHeight="1">
      <c r="A43" s="36"/>
      <c r="B43" s="895" t="s">
        <v>70</v>
      </c>
      <c r="C43" s="896"/>
      <c r="D43" s="46" t="s">
        <v>176</v>
      </c>
      <c r="E43" s="44"/>
      <c r="F43" s="51">
        <f t="shared" ref="F43:P43" si="19">IF($E43=0,F17,$E43*F18)</f>
        <v>0</v>
      </c>
      <c r="G43" s="51">
        <f>IF($E43=0,G17,$E43*G18)</f>
        <v>0</v>
      </c>
      <c r="H43" s="51">
        <f t="shared" si="19"/>
        <v>0</v>
      </c>
      <c r="I43" s="51">
        <f t="shared" si="19"/>
        <v>0</v>
      </c>
      <c r="J43" s="51">
        <f t="shared" si="19"/>
        <v>0</v>
      </c>
      <c r="K43" s="51">
        <f t="shared" si="19"/>
        <v>0</v>
      </c>
      <c r="L43" s="51">
        <f t="shared" si="19"/>
        <v>0</v>
      </c>
      <c r="M43" s="51">
        <f t="shared" si="19"/>
        <v>0</v>
      </c>
      <c r="N43" s="51">
        <f t="shared" si="19"/>
        <v>0</v>
      </c>
      <c r="O43" s="51">
        <f t="shared" si="19"/>
        <v>0</v>
      </c>
      <c r="P43" s="51">
        <f t="shared" si="19"/>
        <v>0</v>
      </c>
      <c r="Q43" s="45">
        <f>ROUND(SUM(E43:P43)/12,0)</f>
        <v>0</v>
      </c>
      <c r="S43" s="39"/>
      <c r="T43" s="87"/>
      <c r="U43" s="88"/>
      <c r="V43" s="88"/>
      <c r="W43" s="88"/>
      <c r="X43" s="88"/>
      <c r="Y43" s="88"/>
      <c r="Z43" s="88"/>
      <c r="AA43" s="88"/>
      <c r="AB43" s="88"/>
      <c r="AC43" s="88"/>
      <c r="AD43" s="88"/>
      <c r="AE43" s="88"/>
      <c r="AF43" s="88"/>
      <c r="AG43" s="89"/>
    </row>
    <row r="44" spans="1:33" ht="20.149999999999999" customHeight="1">
      <c r="A44" s="36"/>
      <c r="B44" s="895" t="s">
        <v>337</v>
      </c>
      <c r="C44" s="896"/>
      <c r="D44" s="46" t="s">
        <v>176</v>
      </c>
      <c r="E44" s="44"/>
      <c r="F44" s="51">
        <f t="shared" ref="F44:P44" si="20">IF($E44=0,F19,$E44*F20)</f>
        <v>0</v>
      </c>
      <c r="G44" s="51">
        <f t="shared" si="20"/>
        <v>0</v>
      </c>
      <c r="H44" s="51">
        <f t="shared" si="20"/>
        <v>0</v>
      </c>
      <c r="I44" s="51">
        <f t="shared" si="20"/>
        <v>0</v>
      </c>
      <c r="J44" s="51">
        <f t="shared" si="20"/>
        <v>0</v>
      </c>
      <c r="K44" s="51">
        <f t="shared" si="20"/>
        <v>0</v>
      </c>
      <c r="L44" s="51">
        <f t="shared" si="20"/>
        <v>0</v>
      </c>
      <c r="M44" s="51">
        <f t="shared" si="20"/>
        <v>0</v>
      </c>
      <c r="N44" s="51">
        <f t="shared" si="20"/>
        <v>0</v>
      </c>
      <c r="O44" s="51">
        <f t="shared" si="20"/>
        <v>0</v>
      </c>
      <c r="P44" s="51">
        <f t="shared" si="20"/>
        <v>0</v>
      </c>
      <c r="Q44" s="45">
        <f>ROUND(SUM(E44:P44)/12,0)</f>
        <v>0</v>
      </c>
      <c r="S44" s="39"/>
      <c r="T44" s="87"/>
      <c r="U44" s="88"/>
      <c r="V44" s="88"/>
      <c r="W44" s="88"/>
      <c r="X44" s="88"/>
      <c r="Y44" s="88"/>
      <c r="Z44" s="88"/>
      <c r="AA44" s="88"/>
      <c r="AB44" s="88"/>
      <c r="AC44" s="88"/>
      <c r="AD44" s="88"/>
      <c r="AE44" s="88"/>
      <c r="AF44" s="88"/>
      <c r="AG44" s="89"/>
    </row>
    <row r="45" spans="1:33" ht="20.149999999999999" customHeight="1">
      <c r="A45" s="36"/>
      <c r="B45" s="893" t="s">
        <v>8</v>
      </c>
      <c r="C45" s="894"/>
      <c r="D45" s="78" t="s">
        <v>176</v>
      </c>
      <c r="E45" s="79"/>
      <c r="F45" s="51">
        <f t="shared" ref="F45:P45" si="21">IF($E45=0,F21,$E45*F22)</f>
        <v>0</v>
      </c>
      <c r="G45" s="51">
        <f t="shared" si="21"/>
        <v>0</v>
      </c>
      <c r="H45" s="51">
        <f t="shared" si="21"/>
        <v>0</v>
      </c>
      <c r="I45" s="51">
        <f t="shared" si="21"/>
        <v>0</v>
      </c>
      <c r="J45" s="51">
        <f t="shared" si="21"/>
        <v>0</v>
      </c>
      <c r="K45" s="51">
        <f t="shared" si="21"/>
        <v>0</v>
      </c>
      <c r="L45" s="51">
        <f t="shared" si="21"/>
        <v>0</v>
      </c>
      <c r="M45" s="51">
        <f t="shared" si="21"/>
        <v>0</v>
      </c>
      <c r="N45" s="51">
        <f t="shared" si="21"/>
        <v>0</v>
      </c>
      <c r="O45" s="51">
        <f t="shared" si="21"/>
        <v>0</v>
      </c>
      <c r="P45" s="51">
        <f t="shared" si="21"/>
        <v>0</v>
      </c>
      <c r="Q45" s="80">
        <f>ROUND(SUM(E45:P45)/12,0)</f>
        <v>0</v>
      </c>
      <c r="S45" s="39"/>
      <c r="T45" s="87"/>
      <c r="U45" s="88"/>
      <c r="V45" s="88"/>
      <c r="W45" s="88"/>
      <c r="X45" s="88"/>
      <c r="Y45" s="88"/>
      <c r="Z45" s="88"/>
      <c r="AA45" s="88"/>
      <c r="AB45" s="88"/>
      <c r="AC45" s="88"/>
      <c r="AD45" s="88"/>
      <c r="AE45" s="88"/>
      <c r="AF45" s="88"/>
      <c r="AG45" s="89"/>
    </row>
    <row r="46" spans="1:33" ht="20.149999999999999" customHeight="1" thickBot="1">
      <c r="B46" s="882" t="s">
        <v>0</v>
      </c>
      <c r="C46" s="883"/>
      <c r="D46" s="81"/>
      <c r="E46" s="82">
        <f t="shared" ref="E46:Q46" si="22">SUM(E42:E45)</f>
        <v>0</v>
      </c>
      <c r="F46" s="82">
        <f t="shared" si="22"/>
        <v>0</v>
      </c>
      <c r="G46" s="82">
        <f t="shared" si="22"/>
        <v>0</v>
      </c>
      <c r="H46" s="82">
        <f t="shared" si="22"/>
        <v>0</v>
      </c>
      <c r="I46" s="82">
        <f t="shared" si="22"/>
        <v>0</v>
      </c>
      <c r="J46" s="82">
        <f t="shared" si="22"/>
        <v>0</v>
      </c>
      <c r="K46" s="82">
        <f t="shared" si="22"/>
        <v>0</v>
      </c>
      <c r="L46" s="82">
        <f t="shared" si="22"/>
        <v>0</v>
      </c>
      <c r="M46" s="82">
        <f t="shared" si="22"/>
        <v>0</v>
      </c>
      <c r="N46" s="82">
        <f t="shared" si="22"/>
        <v>0</v>
      </c>
      <c r="O46" s="82">
        <f t="shared" si="22"/>
        <v>0</v>
      </c>
      <c r="P46" s="82">
        <f t="shared" si="22"/>
        <v>0</v>
      </c>
      <c r="Q46" s="83">
        <f t="shared" si="22"/>
        <v>0</v>
      </c>
      <c r="S46" s="39"/>
      <c r="T46" s="87"/>
      <c r="U46" s="88"/>
      <c r="V46" s="86"/>
      <c r="W46" s="86"/>
      <c r="X46" s="88"/>
      <c r="Y46" s="88"/>
      <c r="Z46" s="88"/>
      <c r="AA46" s="88"/>
      <c r="AB46" s="88"/>
      <c r="AC46" s="88"/>
      <c r="AD46" s="88"/>
      <c r="AE46" s="88"/>
      <c r="AF46" s="88"/>
      <c r="AG46" s="89"/>
    </row>
    <row r="47" spans="1:33" ht="20.149999999999999" customHeight="1">
      <c r="A47" s="36"/>
      <c r="B47" s="911" t="s">
        <v>95</v>
      </c>
      <c r="C47" s="912"/>
      <c r="D47" s="100" t="s">
        <v>124</v>
      </c>
      <c r="E47" s="41">
        <v>4</v>
      </c>
      <c r="F47" s="42">
        <v>5</v>
      </c>
      <c r="G47" s="42">
        <v>6</v>
      </c>
      <c r="H47" s="42">
        <v>7</v>
      </c>
      <c r="I47" s="42">
        <v>8</v>
      </c>
      <c r="J47" s="42">
        <v>9</v>
      </c>
      <c r="K47" s="42">
        <v>10</v>
      </c>
      <c r="L47" s="42">
        <v>11</v>
      </c>
      <c r="M47" s="42">
        <v>12</v>
      </c>
      <c r="N47" s="42">
        <v>1</v>
      </c>
      <c r="O47" s="42">
        <v>2</v>
      </c>
      <c r="P47" s="42">
        <v>3</v>
      </c>
      <c r="Q47" s="77" t="s">
        <v>1</v>
      </c>
      <c r="S47" s="86"/>
      <c r="T47" s="86"/>
      <c r="U47" s="86"/>
      <c r="V47" s="85"/>
      <c r="W47" s="85"/>
      <c r="X47" s="86"/>
      <c r="Y47" s="86"/>
      <c r="Z47" s="86"/>
      <c r="AA47" s="86"/>
      <c r="AB47" s="86"/>
      <c r="AC47" s="86"/>
      <c r="AD47" s="86"/>
      <c r="AE47" s="86"/>
      <c r="AF47" s="86"/>
      <c r="AG47" s="86"/>
    </row>
    <row r="48" spans="1:33" ht="20.149999999999999" customHeight="1">
      <c r="A48" s="36"/>
      <c r="B48" s="895" t="s">
        <v>93</v>
      </c>
      <c r="C48" s="896"/>
      <c r="D48" s="43" t="s">
        <v>176</v>
      </c>
      <c r="E48" s="44"/>
      <c r="F48" s="51">
        <f t="shared" ref="F48:P48" si="23">IF($E48=0,F25,$E48*F26)</f>
        <v>0</v>
      </c>
      <c r="G48" s="51">
        <f t="shared" si="23"/>
        <v>0</v>
      </c>
      <c r="H48" s="51">
        <f t="shared" si="23"/>
        <v>0</v>
      </c>
      <c r="I48" s="51">
        <f t="shared" si="23"/>
        <v>0</v>
      </c>
      <c r="J48" s="51">
        <f t="shared" si="23"/>
        <v>0</v>
      </c>
      <c r="K48" s="51">
        <f t="shared" si="23"/>
        <v>0</v>
      </c>
      <c r="L48" s="51">
        <f t="shared" si="23"/>
        <v>0</v>
      </c>
      <c r="M48" s="51">
        <f t="shared" si="23"/>
        <v>0</v>
      </c>
      <c r="N48" s="51">
        <f t="shared" si="23"/>
        <v>0</v>
      </c>
      <c r="O48" s="51">
        <f t="shared" si="23"/>
        <v>0</v>
      </c>
      <c r="P48" s="51">
        <f t="shared" si="23"/>
        <v>0</v>
      </c>
      <c r="Q48" s="45">
        <f>ROUND(SUM(E48:P48)/12,0)</f>
        <v>0</v>
      </c>
      <c r="S48" s="86"/>
      <c r="T48" s="85"/>
      <c r="U48" s="85"/>
      <c r="V48" s="88"/>
      <c r="W48" s="88"/>
      <c r="X48" s="85"/>
      <c r="Y48" s="85"/>
      <c r="Z48" s="85"/>
      <c r="AA48" s="85"/>
      <c r="AB48" s="85"/>
      <c r="AC48" s="85"/>
      <c r="AD48" s="85"/>
      <c r="AE48" s="85"/>
      <c r="AF48" s="85"/>
      <c r="AG48" s="86"/>
    </row>
    <row r="49" spans="1:33" ht="20.149999999999999" customHeight="1">
      <c r="A49" s="36"/>
      <c r="B49" s="895" t="s">
        <v>70</v>
      </c>
      <c r="C49" s="896"/>
      <c r="D49" s="46" t="s">
        <v>176</v>
      </c>
      <c r="E49" s="44"/>
      <c r="F49" s="51">
        <f t="shared" ref="F49:P49" si="24">IF($E49=0,F27,$E49*F28)</f>
        <v>0</v>
      </c>
      <c r="G49" s="51">
        <f t="shared" si="24"/>
        <v>0</v>
      </c>
      <c r="H49" s="51">
        <f t="shared" si="24"/>
        <v>0</v>
      </c>
      <c r="I49" s="51">
        <f t="shared" si="24"/>
        <v>0</v>
      </c>
      <c r="J49" s="51">
        <f t="shared" si="24"/>
        <v>0</v>
      </c>
      <c r="K49" s="51">
        <f t="shared" si="24"/>
        <v>0</v>
      </c>
      <c r="L49" s="51">
        <f t="shared" si="24"/>
        <v>0</v>
      </c>
      <c r="M49" s="51">
        <f t="shared" si="24"/>
        <v>0</v>
      </c>
      <c r="N49" s="51">
        <f t="shared" si="24"/>
        <v>0</v>
      </c>
      <c r="O49" s="51">
        <f t="shared" si="24"/>
        <v>0</v>
      </c>
      <c r="P49" s="51">
        <f t="shared" si="24"/>
        <v>0</v>
      </c>
      <c r="Q49" s="45">
        <f>ROUND(SUM(E49:P49)/12,0)</f>
        <v>0</v>
      </c>
      <c r="S49" s="39"/>
      <c r="T49" s="87"/>
      <c r="U49" s="88"/>
      <c r="V49" s="88"/>
      <c r="W49" s="88"/>
      <c r="X49" s="88"/>
      <c r="Y49" s="88"/>
      <c r="Z49" s="88"/>
      <c r="AA49" s="88"/>
      <c r="AB49" s="88"/>
      <c r="AC49" s="88"/>
      <c r="AD49" s="88"/>
      <c r="AE49" s="88"/>
      <c r="AF49" s="88"/>
      <c r="AG49" s="89"/>
    </row>
    <row r="50" spans="1:33" ht="20.149999999999999" customHeight="1">
      <c r="A50" s="36"/>
      <c r="B50" s="895" t="s">
        <v>337</v>
      </c>
      <c r="C50" s="896"/>
      <c r="D50" s="46" t="s">
        <v>176</v>
      </c>
      <c r="E50" s="44"/>
      <c r="F50" s="51">
        <f t="shared" ref="F50:P50" si="25">IF($E50=0,F29,$E50*F30)</f>
        <v>0</v>
      </c>
      <c r="G50" s="51">
        <f t="shared" si="25"/>
        <v>0</v>
      </c>
      <c r="H50" s="51">
        <f t="shared" si="25"/>
        <v>0</v>
      </c>
      <c r="I50" s="51">
        <f t="shared" si="25"/>
        <v>0</v>
      </c>
      <c r="J50" s="51">
        <f t="shared" si="25"/>
        <v>0</v>
      </c>
      <c r="K50" s="51">
        <f t="shared" si="25"/>
        <v>0</v>
      </c>
      <c r="L50" s="51">
        <f t="shared" si="25"/>
        <v>0</v>
      </c>
      <c r="M50" s="51">
        <f t="shared" si="25"/>
        <v>0</v>
      </c>
      <c r="N50" s="51">
        <f t="shared" si="25"/>
        <v>0</v>
      </c>
      <c r="O50" s="51">
        <f t="shared" si="25"/>
        <v>0</v>
      </c>
      <c r="P50" s="51">
        <f t="shared" si="25"/>
        <v>0</v>
      </c>
      <c r="Q50" s="45">
        <f>ROUND(SUM(E50:P50)/12,0)</f>
        <v>0</v>
      </c>
      <c r="S50" s="39"/>
      <c r="T50" s="87"/>
      <c r="U50" s="88"/>
      <c r="V50" s="88"/>
      <c r="W50" s="88"/>
      <c r="X50" s="88"/>
      <c r="Y50" s="88"/>
      <c r="Z50" s="88"/>
      <c r="AA50" s="88"/>
      <c r="AB50" s="88"/>
      <c r="AC50" s="88"/>
      <c r="AD50" s="88"/>
      <c r="AE50" s="88"/>
      <c r="AF50" s="88"/>
      <c r="AG50" s="89"/>
    </row>
    <row r="51" spans="1:33" ht="20.149999999999999" customHeight="1">
      <c r="A51" s="36"/>
      <c r="B51" s="893" t="s">
        <v>8</v>
      </c>
      <c r="C51" s="894"/>
      <c r="D51" s="78" t="s">
        <v>176</v>
      </c>
      <c r="E51" s="79"/>
      <c r="F51" s="51">
        <f t="shared" ref="F51:P51" si="26">IF($E51=0,F31,$E51*F32)</f>
        <v>0</v>
      </c>
      <c r="G51" s="51">
        <f t="shared" si="26"/>
        <v>0</v>
      </c>
      <c r="H51" s="51">
        <f t="shared" si="26"/>
        <v>0</v>
      </c>
      <c r="I51" s="51">
        <f t="shared" si="26"/>
        <v>0</v>
      </c>
      <c r="J51" s="51">
        <f t="shared" si="26"/>
        <v>0</v>
      </c>
      <c r="K51" s="51">
        <f t="shared" si="26"/>
        <v>0</v>
      </c>
      <c r="L51" s="51">
        <f t="shared" si="26"/>
        <v>0</v>
      </c>
      <c r="M51" s="51">
        <f t="shared" si="26"/>
        <v>0</v>
      </c>
      <c r="N51" s="51">
        <f t="shared" si="26"/>
        <v>0</v>
      </c>
      <c r="O51" s="51">
        <f t="shared" si="26"/>
        <v>0</v>
      </c>
      <c r="P51" s="51">
        <f t="shared" si="26"/>
        <v>0</v>
      </c>
      <c r="Q51" s="80">
        <f>ROUND(SUM(E51:P51)/12,0)</f>
        <v>0</v>
      </c>
      <c r="S51" s="39"/>
      <c r="T51" s="87"/>
      <c r="U51" s="88"/>
      <c r="V51" s="88"/>
      <c r="W51" s="88"/>
      <c r="X51" s="88"/>
      <c r="Y51" s="88"/>
      <c r="Z51" s="88"/>
      <c r="AA51" s="88"/>
      <c r="AB51" s="88"/>
      <c r="AC51" s="88"/>
      <c r="AD51" s="88"/>
      <c r="AE51" s="88"/>
      <c r="AF51" s="88"/>
      <c r="AG51" s="89"/>
    </row>
    <row r="52" spans="1:33" ht="20.149999999999999" customHeight="1" thickBot="1">
      <c r="B52" s="882" t="s">
        <v>0</v>
      </c>
      <c r="C52" s="883"/>
      <c r="D52" s="81"/>
      <c r="E52" s="82">
        <f t="shared" ref="E52:Q52" si="27">SUM(E48:E51)</f>
        <v>0</v>
      </c>
      <c r="F52" s="82">
        <f t="shared" si="27"/>
        <v>0</v>
      </c>
      <c r="G52" s="82">
        <f t="shared" si="27"/>
        <v>0</v>
      </c>
      <c r="H52" s="82">
        <f t="shared" si="27"/>
        <v>0</v>
      </c>
      <c r="I52" s="82">
        <f t="shared" si="27"/>
        <v>0</v>
      </c>
      <c r="J52" s="82">
        <f t="shared" si="27"/>
        <v>0</v>
      </c>
      <c r="K52" s="82">
        <f t="shared" si="27"/>
        <v>0</v>
      </c>
      <c r="L52" s="82">
        <f t="shared" si="27"/>
        <v>0</v>
      </c>
      <c r="M52" s="82">
        <f t="shared" si="27"/>
        <v>0</v>
      </c>
      <c r="N52" s="82">
        <f t="shared" si="27"/>
        <v>0</v>
      </c>
      <c r="O52" s="82">
        <f t="shared" si="27"/>
        <v>0</v>
      </c>
      <c r="P52" s="82">
        <f t="shared" si="27"/>
        <v>0</v>
      </c>
      <c r="Q52" s="83">
        <f t="shared" si="27"/>
        <v>0</v>
      </c>
      <c r="S52" s="39"/>
      <c r="T52" s="87"/>
      <c r="U52" s="88"/>
      <c r="X52" s="88"/>
      <c r="Y52" s="88"/>
      <c r="Z52" s="88"/>
      <c r="AA52" s="88"/>
      <c r="AB52" s="88"/>
      <c r="AC52" s="88"/>
      <c r="AD52" s="88"/>
      <c r="AE52" s="88"/>
      <c r="AF52" s="88"/>
      <c r="AG52" s="89"/>
    </row>
    <row r="53" spans="1:33" ht="20.149999999999999" customHeight="1">
      <c r="A53" s="36"/>
      <c r="B53" s="36"/>
      <c r="C53" s="47"/>
      <c r="D53" s="36"/>
      <c r="E53" s="36"/>
      <c r="F53" s="36"/>
      <c r="G53" s="36"/>
      <c r="H53" s="36"/>
      <c r="I53" s="36"/>
      <c r="J53" s="36"/>
      <c r="K53" s="36"/>
      <c r="L53" s="36"/>
      <c r="M53" s="36"/>
      <c r="N53" s="36"/>
      <c r="O53" s="36"/>
      <c r="P53" s="36"/>
      <c r="Q53" s="36"/>
      <c r="S53" s="39"/>
      <c r="T53" s="87"/>
      <c r="U53" s="88"/>
      <c r="X53" s="88"/>
      <c r="Y53" s="88"/>
      <c r="Z53" s="88"/>
      <c r="AA53" s="88"/>
      <c r="AB53" s="88"/>
      <c r="AC53" s="88"/>
      <c r="AD53" s="88"/>
      <c r="AE53" s="88"/>
      <c r="AF53" s="88"/>
      <c r="AG53" s="89"/>
    </row>
    <row r="54" spans="1:33" ht="20.149999999999999" customHeight="1" thickBot="1">
      <c r="A54" s="58" t="s">
        <v>390</v>
      </c>
      <c r="B54" s="36"/>
      <c r="C54" s="47"/>
      <c r="D54" s="36"/>
      <c r="E54" s="36"/>
      <c r="F54" s="36"/>
      <c r="G54" s="36"/>
      <c r="H54" s="36"/>
      <c r="I54" s="36"/>
      <c r="J54" s="36"/>
      <c r="K54" s="36"/>
      <c r="L54" s="36"/>
      <c r="M54" s="36"/>
      <c r="N54" s="36"/>
      <c r="O54" s="36"/>
      <c r="P54" s="36"/>
      <c r="Q54" s="36"/>
    </row>
    <row r="55" spans="1:33" ht="20.149999999999999" customHeight="1" thickBot="1">
      <c r="A55" s="36"/>
      <c r="B55" s="915" t="s">
        <v>391</v>
      </c>
      <c r="C55" s="916"/>
      <c r="D55" s="916"/>
      <c r="E55" s="916"/>
      <c r="F55" s="916"/>
      <c r="G55" s="916"/>
      <c r="H55" s="916"/>
      <c r="I55" s="916"/>
      <c r="J55" s="916"/>
      <c r="K55" s="916"/>
      <c r="L55" s="916"/>
      <c r="M55" s="159"/>
      <c r="N55" s="908"/>
      <c r="O55" s="909"/>
      <c r="P55" s="910"/>
      <c r="Q55" s="36"/>
    </row>
    <row r="56" spans="1:33" ht="20.149999999999999" customHeight="1">
      <c r="A56" s="36"/>
      <c r="B56" s="915" t="s">
        <v>396</v>
      </c>
      <c r="C56" s="916"/>
      <c r="D56" s="916"/>
      <c r="E56" s="916"/>
      <c r="F56" s="916"/>
      <c r="G56" s="916"/>
      <c r="H56" s="916"/>
      <c r="I56" s="916"/>
      <c r="J56" s="916"/>
      <c r="K56" s="916"/>
      <c r="L56" s="916"/>
      <c r="M56" s="101"/>
      <c r="N56" s="101"/>
      <c r="O56" s="101"/>
      <c r="P56" s="793"/>
      <c r="Q56" s="36"/>
    </row>
    <row r="57" spans="1:33" ht="9.75" customHeight="1">
      <c r="A57" s="36"/>
      <c r="B57" s="160"/>
      <c r="C57" s="161"/>
      <c r="D57" s="161"/>
      <c r="E57" s="161"/>
      <c r="F57" s="161"/>
      <c r="G57" s="161"/>
      <c r="H57" s="161"/>
      <c r="I57" s="161"/>
      <c r="J57" s="161"/>
      <c r="K57" s="161"/>
      <c r="L57" s="161"/>
      <c r="M57" s="101"/>
      <c r="N57" s="101"/>
      <c r="O57" s="101"/>
      <c r="P57" s="124"/>
      <c r="Q57" s="36"/>
    </row>
    <row r="58" spans="1:33" ht="20.149999999999999" customHeight="1">
      <c r="A58" s="58" t="s">
        <v>392</v>
      </c>
      <c r="B58" s="59"/>
      <c r="C58" s="52"/>
      <c r="D58" s="52"/>
      <c r="E58" s="52"/>
      <c r="F58" s="52"/>
      <c r="G58" s="52"/>
      <c r="H58" s="52"/>
      <c r="I58" s="52"/>
      <c r="J58" s="52"/>
      <c r="K58" s="52"/>
      <c r="L58" s="52"/>
      <c r="M58" s="52"/>
      <c r="N58" s="52"/>
      <c r="O58" s="52"/>
      <c r="P58" s="52"/>
      <c r="Q58" s="52"/>
    </row>
    <row r="59" spans="1:33" ht="20.149999999999999" customHeight="1">
      <c r="A59" s="60"/>
      <c r="B59" s="59" t="s">
        <v>393</v>
      </c>
      <c r="C59" s="52"/>
      <c r="D59" s="52"/>
      <c r="E59" s="52"/>
      <c r="F59" s="52"/>
      <c r="G59" s="52"/>
      <c r="H59" s="52"/>
      <c r="I59" s="52"/>
      <c r="J59" s="52"/>
      <c r="K59" s="52"/>
      <c r="L59" s="52"/>
      <c r="M59" s="52"/>
      <c r="N59" s="52"/>
      <c r="O59" s="52"/>
      <c r="P59" s="52"/>
      <c r="Q59" s="52"/>
    </row>
    <row r="60" spans="1:33" ht="20.149999999999999" customHeight="1" thickBot="1">
      <c r="A60" s="60"/>
      <c r="B60" s="59"/>
      <c r="C60" s="52"/>
      <c r="D60" s="52"/>
      <c r="E60" s="52"/>
      <c r="F60" s="52"/>
      <c r="G60" s="52"/>
      <c r="H60" s="52"/>
      <c r="I60" s="52"/>
      <c r="J60" s="52"/>
      <c r="K60" s="52"/>
      <c r="L60" s="52"/>
      <c r="M60" s="52"/>
      <c r="N60" s="52"/>
      <c r="O60" s="52"/>
      <c r="P60" s="52"/>
      <c r="Q60" s="52"/>
    </row>
    <row r="61" spans="1:33" ht="20.149999999999999" customHeight="1" thickBot="1">
      <c r="A61" s="60"/>
      <c r="B61" s="164"/>
      <c r="C61" s="61" t="s">
        <v>178</v>
      </c>
      <c r="D61" s="52"/>
      <c r="E61" s="52"/>
      <c r="F61" s="52"/>
      <c r="G61" s="52"/>
      <c r="H61" s="52"/>
      <c r="I61" s="52"/>
      <c r="J61" s="52"/>
      <c r="K61" s="52"/>
      <c r="L61" s="52"/>
      <c r="M61" s="52"/>
      <c r="N61" s="52"/>
      <c r="O61" s="52"/>
      <c r="P61" s="52"/>
      <c r="Q61" s="52"/>
    </row>
    <row r="62" spans="1:33" ht="20.149999999999999" customHeight="1" thickBot="1">
      <c r="A62" s="162"/>
      <c r="B62" s="163"/>
      <c r="C62" s="162"/>
      <c r="D62" s="162"/>
      <c r="E62" s="162"/>
      <c r="F62" s="162"/>
      <c r="G62" s="162"/>
      <c r="H62" s="162"/>
      <c r="I62" s="162"/>
      <c r="J62" s="162"/>
      <c r="K62" s="162"/>
      <c r="L62" s="162"/>
      <c r="M62" s="162"/>
      <c r="N62" s="162"/>
      <c r="O62" s="162"/>
      <c r="P62" s="162"/>
      <c r="Q62" s="162"/>
    </row>
    <row r="63" spans="1:33" ht="20.149999999999999" customHeight="1" thickBot="1">
      <c r="A63" s="60"/>
      <c r="B63" s="164"/>
      <c r="C63" s="61" t="s">
        <v>179</v>
      </c>
      <c r="D63" s="52"/>
      <c r="E63" s="52"/>
      <c r="F63" s="52"/>
      <c r="G63" s="52"/>
      <c r="H63" s="52"/>
      <c r="I63" s="52"/>
      <c r="J63" s="52"/>
      <c r="K63" s="52"/>
      <c r="L63" s="52"/>
      <c r="M63" s="52"/>
      <c r="N63" s="52"/>
      <c r="O63" s="52"/>
      <c r="P63" s="52"/>
      <c r="Q63" s="52"/>
    </row>
    <row r="64" spans="1:33" ht="20.149999999999999" customHeight="1" thickBot="1">
      <c r="A64" s="60"/>
      <c r="B64" s="62"/>
      <c r="C64" s="53"/>
      <c r="D64" s="52"/>
      <c r="E64" s="52"/>
      <c r="F64" s="52"/>
      <c r="G64" s="52"/>
      <c r="H64" s="52"/>
      <c r="I64" s="52"/>
      <c r="J64" s="52"/>
      <c r="K64" s="52"/>
      <c r="L64" s="52"/>
      <c r="M64" s="52"/>
      <c r="N64" s="52"/>
      <c r="O64" s="52"/>
      <c r="P64" s="52"/>
      <c r="Q64" s="52"/>
    </row>
    <row r="65" spans="1:33" ht="20.149999999999999" customHeight="1" thickBot="1">
      <c r="A65" s="60"/>
      <c r="B65" s="164"/>
      <c r="C65" s="61" t="s">
        <v>180</v>
      </c>
      <c r="D65" s="52"/>
      <c r="E65" s="52"/>
      <c r="F65" s="52"/>
      <c r="G65" s="52"/>
      <c r="H65" s="52"/>
      <c r="I65" s="52"/>
      <c r="J65" s="52"/>
      <c r="K65" s="52"/>
      <c r="L65" s="52"/>
      <c r="M65" s="52"/>
      <c r="N65" s="52"/>
      <c r="O65" s="52"/>
      <c r="P65" s="52"/>
      <c r="Q65" s="52"/>
      <c r="V65" s="25"/>
      <c r="W65" s="25"/>
    </row>
    <row r="66" spans="1:33" ht="20.149999999999999" customHeight="1">
      <c r="A66" s="60"/>
      <c r="B66" s="897"/>
      <c r="C66" s="898"/>
      <c r="D66" s="898"/>
      <c r="E66" s="898"/>
      <c r="F66" s="898"/>
      <c r="G66" s="898"/>
      <c r="H66" s="898"/>
      <c r="I66" s="898"/>
      <c r="J66" s="898"/>
      <c r="K66" s="898"/>
      <c r="L66" s="898"/>
      <c r="M66" s="898"/>
      <c r="N66" s="898"/>
      <c r="O66" s="898"/>
      <c r="P66" s="899"/>
      <c r="Q66" s="52"/>
      <c r="X66" s="25"/>
      <c r="Y66" s="25"/>
      <c r="Z66" s="25"/>
    </row>
    <row r="67" spans="1:33" ht="20.149999999999999" customHeight="1">
      <c r="A67" s="60"/>
      <c r="B67" s="900"/>
      <c r="C67" s="901"/>
      <c r="D67" s="901"/>
      <c r="E67" s="901"/>
      <c r="F67" s="901"/>
      <c r="G67" s="901"/>
      <c r="H67" s="901"/>
      <c r="I67" s="901"/>
      <c r="J67" s="901"/>
      <c r="K67" s="901"/>
      <c r="L67" s="901"/>
      <c r="M67" s="901"/>
      <c r="N67" s="901"/>
      <c r="O67" s="901"/>
      <c r="P67" s="902"/>
      <c r="Q67" s="52"/>
    </row>
    <row r="68" spans="1:33" ht="20.149999999999999" customHeight="1" thickBot="1">
      <c r="A68" s="55"/>
      <c r="B68" s="903"/>
      <c r="C68" s="904"/>
      <c r="D68" s="904"/>
      <c r="E68" s="904"/>
      <c r="F68" s="904"/>
      <c r="G68" s="904"/>
      <c r="H68" s="904"/>
      <c r="I68" s="904"/>
      <c r="J68" s="904"/>
      <c r="K68" s="904"/>
      <c r="L68" s="904"/>
      <c r="M68" s="904"/>
      <c r="N68" s="904"/>
      <c r="O68" s="904"/>
      <c r="P68" s="905"/>
      <c r="Q68" s="52"/>
    </row>
    <row r="69" spans="1:33" ht="20.149999999999999" customHeight="1">
      <c r="A69" s="5"/>
      <c r="B69" s="6"/>
      <c r="C69" s="6"/>
      <c r="D69" s="6"/>
      <c r="E69" s="6"/>
      <c r="F69" s="6"/>
      <c r="G69" s="6"/>
      <c r="H69" s="6"/>
      <c r="I69" s="6"/>
      <c r="J69" s="6"/>
      <c r="K69" s="6"/>
      <c r="L69" s="6"/>
      <c r="M69" s="6"/>
      <c r="N69" s="6"/>
      <c r="O69" s="6"/>
      <c r="P69" s="6"/>
      <c r="Q69" s="6"/>
      <c r="V69" s="5"/>
      <c r="W69" s="5"/>
    </row>
    <row r="70" spans="1:33" s="5" customFormat="1" ht="20.149999999999999" customHeight="1" thickBot="1">
      <c r="A70" s="54"/>
      <c r="B70" s="59" t="s">
        <v>395</v>
      </c>
      <c r="C70" s="52"/>
      <c r="D70" s="53"/>
      <c r="E70" s="102"/>
      <c r="F70" s="53"/>
      <c r="G70" s="53"/>
      <c r="H70" s="53"/>
      <c r="I70" s="53"/>
      <c r="J70" s="53"/>
      <c r="K70" s="53"/>
      <c r="L70" s="53"/>
      <c r="M70" s="53"/>
      <c r="N70" s="53"/>
      <c r="O70" s="53"/>
      <c r="P70" s="53"/>
      <c r="Q70" s="52"/>
    </row>
    <row r="71" spans="1:33" ht="20.149999999999999" customHeight="1" thickBot="1">
      <c r="A71" s="54"/>
      <c r="B71" s="906" t="s">
        <v>350</v>
      </c>
      <c r="C71" s="907"/>
      <c r="D71" s="104">
        <v>4</v>
      </c>
      <c r="E71" s="103" t="str">
        <f>IF(AND($D$71&lt;=E$72,$D$71&gt;3),"○","")</f>
        <v>○</v>
      </c>
      <c r="F71" s="103" t="str">
        <f t="shared" ref="F71:M71" si="28">IF(AND($D$71&lt;=F$72,$D$71&gt;3),"○","")</f>
        <v>○</v>
      </c>
      <c r="G71" s="103" t="str">
        <f t="shared" si="28"/>
        <v>○</v>
      </c>
      <c r="H71" s="103" t="str">
        <f t="shared" si="28"/>
        <v>○</v>
      </c>
      <c r="I71" s="103" t="str">
        <f t="shared" si="28"/>
        <v>○</v>
      </c>
      <c r="J71" s="103" t="str">
        <f t="shared" si="28"/>
        <v>○</v>
      </c>
      <c r="K71" s="103" t="str">
        <f t="shared" si="28"/>
        <v>○</v>
      </c>
      <c r="L71" s="103" t="str">
        <f t="shared" si="28"/>
        <v>○</v>
      </c>
      <c r="M71" s="103" t="str">
        <f t="shared" si="28"/>
        <v>○</v>
      </c>
      <c r="N71" s="103" t="str">
        <f>IF(AND($D$71&lt;=N$72+12,$D$71&gt;0),"○","")</f>
        <v>○</v>
      </c>
      <c r="O71" s="103" t="str">
        <f>IF(AND($D$71&lt;=O$72+12,$D$71&gt;0),"○","")</f>
        <v>○</v>
      </c>
      <c r="P71" s="103" t="str">
        <f>IF(AND($D$71&lt;=P$72+12,$D$71&gt;0),"○","")</f>
        <v>○</v>
      </c>
      <c r="Q71" s="105">
        <f>COUNTIF(E71:P71,"○")</f>
        <v>12</v>
      </c>
      <c r="X71" s="5"/>
      <c r="Y71" s="5"/>
      <c r="Z71" s="5"/>
    </row>
    <row r="72" spans="1:33" ht="20.149999999999999" customHeight="1">
      <c r="A72" s="55"/>
      <c r="B72" s="891" t="s">
        <v>86</v>
      </c>
      <c r="C72" s="892"/>
      <c r="D72" s="100" t="s">
        <v>124</v>
      </c>
      <c r="E72" s="56">
        <v>4</v>
      </c>
      <c r="F72" s="56">
        <v>5</v>
      </c>
      <c r="G72" s="56">
        <v>6</v>
      </c>
      <c r="H72" s="56">
        <v>7</v>
      </c>
      <c r="I72" s="56">
        <v>8</v>
      </c>
      <c r="J72" s="56">
        <v>9</v>
      </c>
      <c r="K72" s="56">
        <v>10</v>
      </c>
      <c r="L72" s="56">
        <v>11</v>
      </c>
      <c r="M72" s="56">
        <v>12</v>
      </c>
      <c r="N72" s="56">
        <v>1</v>
      </c>
      <c r="O72" s="56">
        <v>2</v>
      </c>
      <c r="P72" s="56">
        <v>3</v>
      </c>
      <c r="Q72" s="77" t="s">
        <v>1</v>
      </c>
    </row>
    <row r="73" spans="1:33" ht="20.149999999999999" customHeight="1">
      <c r="A73" s="36"/>
      <c r="B73" s="895" t="s">
        <v>338</v>
      </c>
      <c r="C73" s="896"/>
      <c r="D73" s="43" t="s">
        <v>176</v>
      </c>
      <c r="E73" s="44"/>
      <c r="F73" s="165"/>
      <c r="G73" s="165"/>
      <c r="H73" s="165"/>
      <c r="I73" s="165"/>
      <c r="J73" s="165"/>
      <c r="K73" s="165"/>
      <c r="L73" s="165"/>
      <c r="M73" s="165"/>
      <c r="N73" s="165"/>
      <c r="O73" s="165"/>
      <c r="P73" s="165"/>
      <c r="Q73" s="45">
        <f>IF(ISERROR(ROUND(SUM(E73:P73)/$Q$71,0)),0,ROUND(SUM(E73:P73)/$Q$71,0))</f>
        <v>0</v>
      </c>
      <c r="V73" s="88"/>
      <c r="W73" s="88"/>
    </row>
    <row r="74" spans="1:33" ht="20.149999999999999" customHeight="1">
      <c r="A74" s="36"/>
      <c r="B74" s="895" t="s">
        <v>337</v>
      </c>
      <c r="C74" s="896"/>
      <c r="D74" s="46" t="s">
        <v>176</v>
      </c>
      <c r="E74" s="44"/>
      <c r="F74" s="165"/>
      <c r="G74" s="165"/>
      <c r="H74" s="165"/>
      <c r="I74" s="165"/>
      <c r="J74" s="165"/>
      <c r="K74" s="165"/>
      <c r="L74" s="165"/>
      <c r="M74" s="165"/>
      <c r="N74" s="165"/>
      <c r="O74" s="165"/>
      <c r="P74" s="165"/>
      <c r="Q74" s="45">
        <f>IF(ISERROR(ROUND(SUM(E74:P74)/$Q$71,0)),0,ROUND(SUM(E74:P74)/$Q$71,0))</f>
        <v>0</v>
      </c>
      <c r="S74" s="47"/>
      <c r="T74" s="87"/>
      <c r="U74" s="88"/>
      <c r="V74" s="88"/>
      <c r="W74" s="88"/>
      <c r="X74" s="88"/>
      <c r="Y74" s="88"/>
      <c r="Z74" s="88"/>
      <c r="AA74" s="88"/>
      <c r="AB74" s="88"/>
      <c r="AC74" s="88"/>
      <c r="AD74" s="88"/>
      <c r="AE74" s="88"/>
      <c r="AF74" s="88"/>
      <c r="AG74" s="89"/>
    </row>
    <row r="75" spans="1:33" ht="20.149999999999999" customHeight="1">
      <c r="A75" s="36"/>
      <c r="B75" s="893" t="s">
        <v>8</v>
      </c>
      <c r="C75" s="894"/>
      <c r="D75" s="78" t="s">
        <v>176</v>
      </c>
      <c r="E75" s="79"/>
      <c r="F75" s="165"/>
      <c r="G75" s="165"/>
      <c r="H75" s="165"/>
      <c r="I75" s="165"/>
      <c r="J75" s="165"/>
      <c r="K75" s="165"/>
      <c r="L75" s="165"/>
      <c r="M75" s="165"/>
      <c r="N75" s="165"/>
      <c r="O75" s="165"/>
      <c r="P75" s="165"/>
      <c r="Q75" s="80">
        <f>IF(ISERROR(ROUND(SUM(E75:P75)/$Q$71,0)),0,ROUND(SUM(E75:P75)/$Q$71,0))</f>
        <v>0</v>
      </c>
      <c r="S75" s="47"/>
      <c r="T75" s="87"/>
      <c r="U75" s="88"/>
      <c r="V75" s="88"/>
      <c r="W75" s="88"/>
      <c r="X75" s="88"/>
      <c r="Y75" s="88"/>
      <c r="Z75" s="88"/>
      <c r="AA75" s="88"/>
      <c r="AB75" s="88"/>
      <c r="AC75" s="88"/>
      <c r="AD75" s="88"/>
      <c r="AE75" s="88"/>
      <c r="AF75" s="88"/>
      <c r="AG75" s="89"/>
    </row>
    <row r="76" spans="1:33" ht="20.149999999999999" customHeight="1" thickBot="1">
      <c r="B76" s="882" t="s">
        <v>0</v>
      </c>
      <c r="C76" s="883"/>
      <c r="D76" s="81"/>
      <c r="E76" s="82">
        <f t="shared" ref="E76:Q76" si="29">SUM(E73:E75)</f>
        <v>0</v>
      </c>
      <c r="F76" s="82">
        <f t="shared" si="29"/>
        <v>0</v>
      </c>
      <c r="G76" s="82">
        <f t="shared" si="29"/>
        <v>0</v>
      </c>
      <c r="H76" s="82">
        <f t="shared" si="29"/>
        <v>0</v>
      </c>
      <c r="I76" s="82">
        <f t="shared" si="29"/>
        <v>0</v>
      </c>
      <c r="J76" s="82">
        <f t="shared" si="29"/>
        <v>0</v>
      </c>
      <c r="K76" s="82">
        <f t="shared" si="29"/>
        <v>0</v>
      </c>
      <c r="L76" s="82">
        <f t="shared" si="29"/>
        <v>0</v>
      </c>
      <c r="M76" s="82">
        <f t="shared" si="29"/>
        <v>0</v>
      </c>
      <c r="N76" s="82">
        <f t="shared" si="29"/>
        <v>0</v>
      </c>
      <c r="O76" s="82">
        <f t="shared" si="29"/>
        <v>0</v>
      </c>
      <c r="P76" s="82">
        <f t="shared" si="29"/>
        <v>0</v>
      </c>
      <c r="Q76" s="83">
        <f t="shared" si="29"/>
        <v>0</v>
      </c>
      <c r="S76" s="47"/>
      <c r="T76" s="87"/>
      <c r="U76" s="88"/>
      <c r="V76" s="86"/>
      <c r="W76" s="86"/>
      <c r="X76" s="88"/>
      <c r="Y76" s="88"/>
      <c r="Z76" s="88"/>
      <c r="AA76" s="88"/>
      <c r="AB76" s="88"/>
      <c r="AC76" s="88"/>
      <c r="AD76" s="88"/>
      <c r="AE76" s="88"/>
      <c r="AF76" s="88"/>
      <c r="AG76" s="89"/>
    </row>
    <row r="77" spans="1:33" ht="20.149999999999999" customHeight="1">
      <c r="A77" s="36"/>
      <c r="B77" s="911" t="s">
        <v>35</v>
      </c>
      <c r="C77" s="912"/>
      <c r="D77" s="100" t="s">
        <v>124</v>
      </c>
      <c r="E77" s="41">
        <v>4</v>
      </c>
      <c r="F77" s="42">
        <v>5</v>
      </c>
      <c r="G77" s="42">
        <v>6</v>
      </c>
      <c r="H77" s="42">
        <v>7</v>
      </c>
      <c r="I77" s="42">
        <v>8</v>
      </c>
      <c r="J77" s="42">
        <v>9</v>
      </c>
      <c r="K77" s="42">
        <v>10</v>
      </c>
      <c r="L77" s="42">
        <v>11</v>
      </c>
      <c r="M77" s="42">
        <v>12</v>
      </c>
      <c r="N77" s="42">
        <v>1</v>
      </c>
      <c r="O77" s="42">
        <v>2</v>
      </c>
      <c r="P77" s="42">
        <v>3</v>
      </c>
      <c r="Q77" s="77" t="s">
        <v>1</v>
      </c>
      <c r="S77" s="86"/>
      <c r="T77" s="86"/>
      <c r="U77" s="86"/>
      <c r="V77" s="85"/>
      <c r="W77" s="85"/>
      <c r="X77" s="86"/>
      <c r="Y77" s="86"/>
      <c r="Z77" s="86"/>
      <c r="AA77" s="86"/>
      <c r="AB77" s="86"/>
      <c r="AC77" s="86"/>
      <c r="AD77" s="86"/>
      <c r="AE77" s="86"/>
      <c r="AF77" s="86"/>
      <c r="AG77" s="86"/>
    </row>
    <row r="78" spans="1:33" ht="20.149999999999999" customHeight="1">
      <c r="A78" s="36"/>
      <c r="B78" s="895" t="s">
        <v>93</v>
      </c>
      <c r="C78" s="896"/>
      <c r="D78" s="43" t="s">
        <v>176</v>
      </c>
      <c r="E78" s="44"/>
      <c r="F78" s="165"/>
      <c r="G78" s="165"/>
      <c r="H78" s="165"/>
      <c r="I78" s="165"/>
      <c r="J78" s="165"/>
      <c r="K78" s="165"/>
      <c r="L78" s="165"/>
      <c r="M78" s="165"/>
      <c r="N78" s="165"/>
      <c r="O78" s="165"/>
      <c r="P78" s="165"/>
      <c r="Q78" s="45">
        <f>IF(ISERROR(ROUND(SUM(E78:P78)/$Q$71,0)),0,ROUND(SUM(E78:P78)/$Q$71,0))</f>
        <v>0</v>
      </c>
      <c r="S78" s="86"/>
      <c r="T78" s="85"/>
      <c r="U78" s="85"/>
      <c r="V78" s="88"/>
      <c r="W78" s="88"/>
      <c r="X78" s="85"/>
      <c r="Y78" s="85"/>
      <c r="Z78" s="85"/>
      <c r="AA78" s="85"/>
      <c r="AB78" s="85"/>
      <c r="AC78" s="85"/>
      <c r="AD78" s="85"/>
      <c r="AE78" s="85"/>
      <c r="AF78" s="85"/>
      <c r="AG78" s="86"/>
    </row>
    <row r="79" spans="1:33" ht="20.149999999999999" customHeight="1">
      <c r="A79" s="36"/>
      <c r="B79" s="895" t="s">
        <v>70</v>
      </c>
      <c r="C79" s="896"/>
      <c r="D79" s="46" t="s">
        <v>176</v>
      </c>
      <c r="E79" s="44"/>
      <c r="F79" s="165"/>
      <c r="G79" s="165"/>
      <c r="H79" s="165"/>
      <c r="I79" s="165"/>
      <c r="J79" s="165"/>
      <c r="K79" s="165"/>
      <c r="L79" s="165"/>
      <c r="M79" s="165"/>
      <c r="N79" s="165"/>
      <c r="O79" s="165"/>
      <c r="P79" s="165"/>
      <c r="Q79" s="45">
        <f>IF(ISERROR(ROUND(SUM(E79:P79)/$Q$71,0)),0,ROUND(SUM(E79:P79)/$Q$71,0))</f>
        <v>0</v>
      </c>
      <c r="S79" s="39"/>
      <c r="T79" s="87"/>
      <c r="U79" s="88"/>
      <c r="V79" s="88"/>
      <c r="W79" s="88"/>
      <c r="X79" s="88"/>
      <c r="Y79" s="88"/>
      <c r="Z79" s="88"/>
      <c r="AA79" s="88"/>
      <c r="AB79" s="88"/>
      <c r="AC79" s="88"/>
      <c r="AD79" s="88"/>
      <c r="AE79" s="88"/>
      <c r="AF79" s="88"/>
      <c r="AG79" s="89"/>
    </row>
    <row r="80" spans="1:33" ht="20.149999999999999" customHeight="1">
      <c r="A80" s="36"/>
      <c r="B80" s="895" t="s">
        <v>337</v>
      </c>
      <c r="C80" s="896"/>
      <c r="D80" s="46" t="s">
        <v>176</v>
      </c>
      <c r="E80" s="44"/>
      <c r="F80" s="165"/>
      <c r="G80" s="165"/>
      <c r="H80" s="165"/>
      <c r="I80" s="165"/>
      <c r="J80" s="165"/>
      <c r="K80" s="165"/>
      <c r="L80" s="165"/>
      <c r="M80" s="165"/>
      <c r="N80" s="165"/>
      <c r="O80" s="165"/>
      <c r="P80" s="165"/>
      <c r="Q80" s="45">
        <f>IF(ISERROR(ROUND(SUM(E80:P80)/$Q$71,0)),0,ROUND(SUM(E80:P80)/$Q$71,0))</f>
        <v>0</v>
      </c>
      <c r="S80" s="39"/>
      <c r="T80" s="87"/>
      <c r="U80" s="88"/>
      <c r="V80" s="88"/>
      <c r="W80" s="88"/>
      <c r="X80" s="88"/>
      <c r="Y80" s="88"/>
      <c r="Z80" s="88"/>
      <c r="AA80" s="88"/>
      <c r="AB80" s="88"/>
      <c r="AC80" s="88"/>
      <c r="AD80" s="88"/>
      <c r="AE80" s="88"/>
      <c r="AF80" s="88"/>
      <c r="AG80" s="89"/>
    </row>
    <row r="81" spans="1:33" ht="20.149999999999999" customHeight="1">
      <c r="A81" s="36"/>
      <c r="B81" s="893" t="s">
        <v>8</v>
      </c>
      <c r="C81" s="894"/>
      <c r="D81" s="78" t="s">
        <v>176</v>
      </c>
      <c r="E81" s="79"/>
      <c r="F81" s="165"/>
      <c r="G81" s="165"/>
      <c r="H81" s="165"/>
      <c r="I81" s="165"/>
      <c r="J81" s="165"/>
      <c r="K81" s="165"/>
      <c r="L81" s="165"/>
      <c r="M81" s="165"/>
      <c r="N81" s="165"/>
      <c r="O81" s="165"/>
      <c r="P81" s="165"/>
      <c r="Q81" s="80">
        <f>IF(ISERROR(ROUND(SUM(E81:P81)/$Q$71,0)),0,ROUND(SUM(E81:P81)/$Q$71,0))</f>
        <v>0</v>
      </c>
      <c r="S81" s="39"/>
      <c r="T81" s="87"/>
      <c r="U81" s="88"/>
      <c r="V81" s="88"/>
      <c r="W81" s="88"/>
      <c r="X81" s="88"/>
      <c r="Y81" s="88"/>
      <c r="Z81" s="88"/>
      <c r="AA81" s="88"/>
      <c r="AB81" s="88"/>
      <c r="AC81" s="88"/>
      <c r="AD81" s="88"/>
      <c r="AE81" s="88"/>
      <c r="AF81" s="88"/>
      <c r="AG81" s="89"/>
    </row>
    <row r="82" spans="1:33" ht="20.149999999999999" customHeight="1" thickBot="1">
      <c r="B82" s="882" t="s">
        <v>0</v>
      </c>
      <c r="C82" s="883"/>
      <c r="D82" s="81"/>
      <c r="E82" s="82">
        <f t="shared" ref="E82:Q82" si="30">SUM(E78:E81)</f>
        <v>0</v>
      </c>
      <c r="F82" s="82">
        <f t="shared" si="30"/>
        <v>0</v>
      </c>
      <c r="G82" s="82">
        <f t="shared" si="30"/>
        <v>0</v>
      </c>
      <c r="H82" s="82">
        <f t="shared" si="30"/>
        <v>0</v>
      </c>
      <c r="I82" s="82">
        <f t="shared" si="30"/>
        <v>0</v>
      </c>
      <c r="J82" s="82">
        <f t="shared" si="30"/>
        <v>0</v>
      </c>
      <c r="K82" s="82">
        <f t="shared" si="30"/>
        <v>0</v>
      </c>
      <c r="L82" s="82">
        <f t="shared" si="30"/>
        <v>0</v>
      </c>
      <c r="M82" s="82">
        <f t="shared" si="30"/>
        <v>0</v>
      </c>
      <c r="N82" s="82">
        <f t="shared" si="30"/>
        <v>0</v>
      </c>
      <c r="O82" s="82">
        <f t="shared" si="30"/>
        <v>0</v>
      </c>
      <c r="P82" s="82">
        <f t="shared" si="30"/>
        <v>0</v>
      </c>
      <c r="Q82" s="83">
        <f t="shared" si="30"/>
        <v>0</v>
      </c>
      <c r="S82" s="39"/>
      <c r="T82" s="87"/>
      <c r="U82" s="88"/>
      <c r="V82" s="86"/>
      <c r="W82" s="86"/>
      <c r="X82" s="88"/>
      <c r="Y82" s="88"/>
      <c r="Z82" s="88"/>
      <c r="AA82" s="88"/>
      <c r="AB82" s="88"/>
      <c r="AC82" s="88"/>
      <c r="AD82" s="88"/>
      <c r="AE82" s="88"/>
      <c r="AF82" s="88"/>
      <c r="AG82" s="89"/>
    </row>
    <row r="83" spans="1:33" ht="20.149999999999999" customHeight="1">
      <c r="A83" s="36"/>
      <c r="B83" s="913" t="s">
        <v>95</v>
      </c>
      <c r="C83" s="914"/>
      <c r="D83" s="100" t="s">
        <v>124</v>
      </c>
      <c r="E83" s="41">
        <v>4</v>
      </c>
      <c r="F83" s="42">
        <v>5</v>
      </c>
      <c r="G83" s="42">
        <v>6</v>
      </c>
      <c r="H83" s="42">
        <v>7</v>
      </c>
      <c r="I83" s="42">
        <v>8</v>
      </c>
      <c r="J83" s="42">
        <v>9</v>
      </c>
      <c r="K83" s="42">
        <v>10</v>
      </c>
      <c r="L83" s="42">
        <v>11</v>
      </c>
      <c r="M83" s="42">
        <v>12</v>
      </c>
      <c r="N83" s="42">
        <v>1</v>
      </c>
      <c r="O83" s="42">
        <v>2</v>
      </c>
      <c r="P83" s="42">
        <v>3</v>
      </c>
      <c r="Q83" s="77" t="s">
        <v>1</v>
      </c>
      <c r="S83" s="86"/>
      <c r="T83" s="86"/>
      <c r="U83" s="86"/>
      <c r="V83" s="85"/>
      <c r="W83" s="85"/>
      <c r="X83" s="86"/>
      <c r="Y83" s="86"/>
      <c r="Z83" s="86"/>
      <c r="AA83" s="86"/>
      <c r="AB83" s="86"/>
      <c r="AC83" s="86"/>
      <c r="AD83" s="86"/>
      <c r="AE83" s="86"/>
      <c r="AF83" s="86"/>
      <c r="AG83" s="86"/>
    </row>
    <row r="84" spans="1:33" ht="20.149999999999999" customHeight="1">
      <c r="A84" s="36"/>
      <c r="B84" s="895" t="s">
        <v>93</v>
      </c>
      <c r="C84" s="896"/>
      <c r="D84" s="43" t="s">
        <v>176</v>
      </c>
      <c r="E84" s="44"/>
      <c r="F84" s="165"/>
      <c r="G84" s="165"/>
      <c r="H84" s="165"/>
      <c r="I84" s="165"/>
      <c r="J84" s="165"/>
      <c r="K84" s="165"/>
      <c r="L84" s="165"/>
      <c r="M84" s="165"/>
      <c r="N84" s="165"/>
      <c r="O84" s="165"/>
      <c r="P84" s="165"/>
      <c r="Q84" s="45">
        <f>IF(ISERROR(ROUND(SUM(E84:P84)/$Q$71,0)),0,ROUND(SUM(E84:P84)/$Q$71,0))</f>
        <v>0</v>
      </c>
      <c r="S84" s="86"/>
      <c r="T84" s="85"/>
      <c r="U84" s="85"/>
      <c r="V84" s="88"/>
      <c r="W84" s="88"/>
      <c r="X84" s="85"/>
      <c r="Y84" s="85"/>
      <c r="Z84" s="85"/>
      <c r="AA84" s="85"/>
      <c r="AB84" s="85"/>
      <c r="AC84" s="85"/>
      <c r="AD84" s="85"/>
      <c r="AE84" s="85"/>
      <c r="AF84" s="85"/>
      <c r="AG84" s="86"/>
    </row>
    <row r="85" spans="1:33" ht="20.149999999999999" customHeight="1">
      <c r="A85" s="36"/>
      <c r="B85" s="895" t="s">
        <v>70</v>
      </c>
      <c r="C85" s="896"/>
      <c r="D85" s="46" t="s">
        <v>176</v>
      </c>
      <c r="E85" s="44"/>
      <c r="F85" s="165"/>
      <c r="G85" s="165"/>
      <c r="H85" s="165"/>
      <c r="I85" s="165"/>
      <c r="J85" s="165"/>
      <c r="K85" s="165"/>
      <c r="L85" s="165"/>
      <c r="M85" s="165"/>
      <c r="N85" s="165"/>
      <c r="O85" s="165"/>
      <c r="P85" s="165"/>
      <c r="Q85" s="45">
        <f>IF(ISERROR(ROUND(SUM(E85:P85)/$Q$71,0)),0,ROUND(SUM(E85:P85)/$Q$71,0))</f>
        <v>0</v>
      </c>
      <c r="S85" s="39"/>
      <c r="T85" s="87"/>
      <c r="U85" s="88"/>
      <c r="V85" s="88"/>
      <c r="W85" s="88"/>
      <c r="X85" s="88"/>
      <c r="Y85" s="88"/>
      <c r="Z85" s="88"/>
      <c r="AA85" s="88"/>
      <c r="AB85" s="88"/>
      <c r="AC85" s="88"/>
      <c r="AD85" s="88"/>
      <c r="AE85" s="88"/>
      <c r="AF85" s="88"/>
      <c r="AG85" s="89"/>
    </row>
    <row r="86" spans="1:33" ht="20.149999999999999" customHeight="1">
      <c r="A86" s="36"/>
      <c r="B86" s="895" t="s">
        <v>337</v>
      </c>
      <c r="C86" s="896"/>
      <c r="D86" s="46" t="s">
        <v>176</v>
      </c>
      <c r="E86" s="44"/>
      <c r="F86" s="165"/>
      <c r="G86" s="165"/>
      <c r="H86" s="165"/>
      <c r="I86" s="165"/>
      <c r="J86" s="165"/>
      <c r="K86" s="165"/>
      <c r="L86" s="165"/>
      <c r="M86" s="165"/>
      <c r="N86" s="165"/>
      <c r="O86" s="165"/>
      <c r="P86" s="165"/>
      <c r="Q86" s="45">
        <f>IF(ISERROR(ROUND(SUM(E86:P86)/$Q$71,0)),0,ROUND(SUM(E86:P86)/$Q$71,0))</f>
        <v>0</v>
      </c>
      <c r="S86" s="39"/>
      <c r="T86" s="87"/>
      <c r="U86" s="88"/>
      <c r="V86" s="88"/>
      <c r="W86" s="88"/>
      <c r="X86" s="88"/>
      <c r="Y86" s="88"/>
      <c r="Z86" s="88"/>
      <c r="AA86" s="88"/>
      <c r="AB86" s="88"/>
      <c r="AC86" s="88"/>
      <c r="AD86" s="88"/>
      <c r="AE86" s="88"/>
      <c r="AF86" s="88"/>
      <c r="AG86" s="89"/>
    </row>
    <row r="87" spans="1:33" ht="20.149999999999999" customHeight="1">
      <c r="A87" s="36"/>
      <c r="B87" s="893" t="s">
        <v>8</v>
      </c>
      <c r="C87" s="894"/>
      <c r="D87" s="78" t="s">
        <v>176</v>
      </c>
      <c r="E87" s="79"/>
      <c r="F87" s="165"/>
      <c r="G87" s="165"/>
      <c r="H87" s="165"/>
      <c r="I87" s="165"/>
      <c r="J87" s="165"/>
      <c r="K87" s="165"/>
      <c r="L87" s="165"/>
      <c r="M87" s="165"/>
      <c r="N87" s="165"/>
      <c r="O87" s="165"/>
      <c r="P87" s="165"/>
      <c r="Q87" s="80">
        <f>IF(ISERROR(ROUND(SUM(E87:P87)/$Q$71,0)),0,ROUND(SUM(E87:P87)/$Q$71,0))</f>
        <v>0</v>
      </c>
      <c r="S87" s="39"/>
      <c r="T87" s="87"/>
      <c r="U87" s="88"/>
      <c r="V87" s="88"/>
      <c r="W87" s="88"/>
      <c r="X87" s="88"/>
      <c r="Y87" s="88"/>
      <c r="Z87" s="88"/>
      <c r="AA87" s="88"/>
      <c r="AB87" s="88"/>
      <c r="AC87" s="88"/>
      <c r="AD87" s="88"/>
      <c r="AE87" s="88"/>
      <c r="AF87" s="88"/>
      <c r="AG87" s="89"/>
    </row>
    <row r="88" spans="1:33" ht="20.149999999999999" customHeight="1" thickBot="1">
      <c r="B88" s="882" t="s">
        <v>0</v>
      </c>
      <c r="C88" s="883"/>
      <c r="D88" s="81"/>
      <c r="E88" s="82">
        <f t="shared" ref="E88:Q88" si="31">SUM(E84:E87)</f>
        <v>0</v>
      </c>
      <c r="F88" s="82">
        <f t="shared" si="31"/>
        <v>0</v>
      </c>
      <c r="G88" s="82">
        <f t="shared" si="31"/>
        <v>0</v>
      </c>
      <c r="H88" s="82">
        <f t="shared" si="31"/>
        <v>0</v>
      </c>
      <c r="I88" s="82">
        <f t="shared" si="31"/>
        <v>0</v>
      </c>
      <c r="J88" s="82">
        <f t="shared" si="31"/>
        <v>0</v>
      </c>
      <c r="K88" s="82">
        <f t="shared" si="31"/>
        <v>0</v>
      </c>
      <c r="L88" s="82">
        <f t="shared" si="31"/>
        <v>0</v>
      </c>
      <c r="M88" s="82">
        <f t="shared" si="31"/>
        <v>0</v>
      </c>
      <c r="N88" s="82">
        <f t="shared" si="31"/>
        <v>0</v>
      </c>
      <c r="O88" s="82">
        <f t="shared" si="31"/>
        <v>0</v>
      </c>
      <c r="P88" s="82">
        <f t="shared" si="31"/>
        <v>0</v>
      </c>
      <c r="Q88" s="83">
        <f t="shared" si="31"/>
        <v>0</v>
      </c>
      <c r="S88" s="39"/>
      <c r="T88" s="87"/>
      <c r="U88" s="88"/>
      <c r="X88" s="88"/>
      <c r="Y88" s="88"/>
      <c r="Z88" s="88"/>
      <c r="AA88" s="88"/>
      <c r="AB88" s="88"/>
      <c r="AC88" s="88"/>
      <c r="AD88" s="88"/>
      <c r="AE88" s="88"/>
      <c r="AF88" s="88"/>
      <c r="AG88" s="89"/>
    </row>
    <row r="89" spans="1:33" ht="20.149999999999999" customHeight="1">
      <c r="A89" s="52"/>
      <c r="B89" s="52"/>
      <c r="C89" s="53"/>
      <c r="D89" s="53"/>
      <c r="E89" s="57"/>
      <c r="F89" s="57"/>
      <c r="G89" s="57"/>
      <c r="H89" s="57"/>
      <c r="I89" s="57"/>
      <c r="J89" s="57"/>
      <c r="K89" s="57"/>
      <c r="L89" s="57"/>
      <c r="M89" s="57"/>
      <c r="N89" s="57"/>
      <c r="O89" s="57"/>
      <c r="P89" s="57"/>
      <c r="Q89" s="57"/>
    </row>
    <row r="90" spans="1:33" ht="20.149999999999999" customHeight="1">
      <c r="B90" s="63"/>
      <c r="C90" s="63"/>
      <c r="D90" s="63"/>
      <c r="E90" s="63"/>
      <c r="F90" s="63"/>
      <c r="G90" s="63"/>
      <c r="H90" s="63"/>
      <c r="I90" s="63"/>
      <c r="J90" s="63"/>
      <c r="K90" s="63"/>
      <c r="L90" s="63"/>
      <c r="M90" s="63"/>
      <c r="N90" s="63"/>
      <c r="O90" s="63"/>
      <c r="P90" s="63"/>
      <c r="Q90" s="63"/>
    </row>
    <row r="91" spans="1:33" ht="17.25" customHeight="1"/>
    <row r="92" spans="1:33" ht="17.25" customHeight="1"/>
    <row r="93" spans="1:33" ht="17.25" customHeight="1"/>
    <row r="94" spans="1:33" ht="17.25" customHeight="1"/>
    <row r="95" spans="1:33" ht="17.25" customHeight="1"/>
    <row r="96" spans="1:33"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sheetData>
  <sheetProtection algorithmName="SHA-512" hashValue="kdyHiEAGqJY+gWkUMlhEWtl5Gei3q6QaBHbQSP9uKId6EfTSTXYUZn2o4YhQRIk4pNaqgwmsOUvxK1xkjOiQMw==" saltValue="77NJvwZ8Y3CHQizTajlrrw==" spinCount="100000" sheet="1" objects="1" scenarios="1"/>
  <customSheetViews>
    <customSheetView guid="{2E52E5FF-9846-4DC5-A671-268FE925398C}" showPageBreaks="1" printArea="1" view="pageBreakPreview">
      <selection activeCell="X7" sqref="X7"/>
      <rowBreaks count="1" manualBreakCount="1">
        <brk id="55" max="16" man="1"/>
      </rowBreaks>
      <pageMargins left="0.70866141732283472" right="0.70866141732283472" top="0.74803149606299213" bottom="0.74803149606299213" header="0.31496062992125984" footer="0.31496062992125984"/>
      <pageSetup paperSize="9" scale="70" orientation="portrait" r:id="rId1"/>
    </customSheetView>
    <customSheetView guid="{BADA99B3-B36A-4925-87A7-F72FC97D3DBA}" showPageBreaks="1" printArea="1" view="pageBreakPreview">
      <selection activeCell="P10" sqref="P10"/>
      <rowBreaks count="1" manualBreakCount="1">
        <brk id="55" max="16" man="1"/>
      </rowBreaks>
      <pageMargins left="0.70866141732283472" right="0.70866141732283472" top="0.74803149606299213" bottom="0.74803149606299213" header="0.31496062992125984" footer="0.31496062992125984"/>
      <pageSetup paperSize="9" scale="70" orientation="portrait" r:id="rId2"/>
    </customSheetView>
  </customSheetViews>
  <mergeCells count="71">
    <mergeCell ref="B56:L56"/>
    <mergeCell ref="B52:C52"/>
    <mergeCell ref="B36:C36"/>
    <mergeCell ref="B37:C37"/>
    <mergeCell ref="B43:C43"/>
    <mergeCell ref="B44:C44"/>
    <mergeCell ref="B45:C45"/>
    <mergeCell ref="B46:C46"/>
    <mergeCell ref="B51:C51"/>
    <mergeCell ref="B47:C47"/>
    <mergeCell ref="B48:C48"/>
    <mergeCell ref="B42:C42"/>
    <mergeCell ref="B55:L55"/>
    <mergeCell ref="B41:C41"/>
    <mergeCell ref="B49:C49"/>
    <mergeCell ref="B50:C50"/>
    <mergeCell ref="B38:C38"/>
    <mergeCell ref="B39:C39"/>
    <mergeCell ref="B40:C40"/>
    <mergeCell ref="B29:C30"/>
    <mergeCell ref="Q29:Q30"/>
    <mergeCell ref="B31:C32"/>
    <mergeCell ref="Q31:Q32"/>
    <mergeCell ref="N55:P55"/>
    <mergeCell ref="B33:C33"/>
    <mergeCell ref="B86:C86"/>
    <mergeCell ref="B87:C87"/>
    <mergeCell ref="B88:C88"/>
    <mergeCell ref="B73:C73"/>
    <mergeCell ref="B74:C74"/>
    <mergeCell ref="B76:C76"/>
    <mergeCell ref="B77:C77"/>
    <mergeCell ref="B78:C78"/>
    <mergeCell ref="B79:C79"/>
    <mergeCell ref="B80:C80"/>
    <mergeCell ref="B81:C81"/>
    <mergeCell ref="B82:C82"/>
    <mergeCell ref="B83:C83"/>
    <mergeCell ref="B84:C84"/>
    <mergeCell ref="B75:C75"/>
    <mergeCell ref="B85:C85"/>
    <mergeCell ref="B66:P68"/>
    <mergeCell ref="B71:C71"/>
    <mergeCell ref="B72:C72"/>
    <mergeCell ref="V1:AB1"/>
    <mergeCell ref="B21:C22"/>
    <mergeCell ref="Q21:Q22"/>
    <mergeCell ref="B25:C26"/>
    <mergeCell ref="Q25:Q26"/>
    <mergeCell ref="O1:Q1"/>
    <mergeCell ref="A1:N1"/>
    <mergeCell ref="T1:U1"/>
    <mergeCell ref="B13:C13"/>
    <mergeCell ref="B24:C24"/>
    <mergeCell ref="B6:C6"/>
    <mergeCell ref="B14:C14"/>
    <mergeCell ref="Q7:Q8"/>
    <mergeCell ref="B7:C8"/>
    <mergeCell ref="B9:C10"/>
    <mergeCell ref="B11:C12"/>
    <mergeCell ref="Q9:Q10"/>
    <mergeCell ref="B27:C28"/>
    <mergeCell ref="Q27:Q28"/>
    <mergeCell ref="B15:C16"/>
    <mergeCell ref="Q15:Q16"/>
    <mergeCell ref="B17:C18"/>
    <mergeCell ref="Q17:Q18"/>
    <mergeCell ref="B19:C20"/>
    <mergeCell ref="B23:C23"/>
    <mergeCell ref="Q11:Q12"/>
    <mergeCell ref="Q19:Q20"/>
  </mergeCells>
  <phoneticPr fontId="36"/>
  <dataValidations disablePrompts="1" count="4">
    <dataValidation type="list" showInputMessage="1" showErrorMessage="1" sqref="B61 B63 B65" xr:uid="{00000000-0002-0000-0800-000000000000}">
      <formula1>$U$2:$U$3</formula1>
    </dataValidation>
    <dataValidation type="list" allowBlank="1" showInputMessage="1" showErrorMessage="1" sqref="WVM983110 D65613 JA65606 SW65606 ACS65606 AMO65606 AWK65606 BGG65606 BQC65606 BZY65606 CJU65606 CTQ65606 DDM65606 DNI65606 DXE65606 EHA65606 EQW65606 FAS65606 FKO65606 FUK65606 GEG65606 GOC65606 GXY65606 HHU65606 HRQ65606 IBM65606 ILI65606 IVE65606 JFA65606 JOW65606 JYS65606 KIO65606 KSK65606 LCG65606 LMC65606 LVY65606 MFU65606 MPQ65606 MZM65606 NJI65606 NTE65606 ODA65606 OMW65606 OWS65606 PGO65606 PQK65606 QAG65606 QKC65606 QTY65606 RDU65606 RNQ65606 RXM65606 SHI65606 SRE65606 TBA65606 TKW65606 TUS65606 UEO65606 UOK65606 UYG65606 VIC65606 VRY65606 WBU65606 WLQ65606 WVM65606 D131149 JA131142 SW131142 ACS131142 AMO131142 AWK131142 BGG131142 BQC131142 BZY131142 CJU131142 CTQ131142 DDM131142 DNI131142 DXE131142 EHA131142 EQW131142 FAS131142 FKO131142 FUK131142 GEG131142 GOC131142 GXY131142 HHU131142 HRQ131142 IBM131142 ILI131142 IVE131142 JFA131142 JOW131142 JYS131142 KIO131142 KSK131142 LCG131142 LMC131142 LVY131142 MFU131142 MPQ131142 MZM131142 NJI131142 NTE131142 ODA131142 OMW131142 OWS131142 PGO131142 PQK131142 QAG131142 QKC131142 QTY131142 RDU131142 RNQ131142 RXM131142 SHI131142 SRE131142 TBA131142 TKW131142 TUS131142 UEO131142 UOK131142 UYG131142 VIC131142 VRY131142 WBU131142 WLQ131142 WVM131142 D196685 JA196678 SW196678 ACS196678 AMO196678 AWK196678 BGG196678 BQC196678 BZY196678 CJU196678 CTQ196678 DDM196678 DNI196678 DXE196678 EHA196678 EQW196678 FAS196678 FKO196678 FUK196678 GEG196678 GOC196678 GXY196678 HHU196678 HRQ196678 IBM196678 ILI196678 IVE196678 JFA196678 JOW196678 JYS196678 KIO196678 KSK196678 LCG196678 LMC196678 LVY196678 MFU196678 MPQ196678 MZM196678 NJI196678 NTE196678 ODA196678 OMW196678 OWS196678 PGO196678 PQK196678 QAG196678 QKC196678 QTY196678 RDU196678 RNQ196678 RXM196678 SHI196678 SRE196678 TBA196678 TKW196678 TUS196678 UEO196678 UOK196678 UYG196678 VIC196678 VRY196678 WBU196678 WLQ196678 WVM196678 D262221 JA262214 SW262214 ACS262214 AMO262214 AWK262214 BGG262214 BQC262214 BZY262214 CJU262214 CTQ262214 DDM262214 DNI262214 DXE262214 EHA262214 EQW262214 FAS262214 FKO262214 FUK262214 GEG262214 GOC262214 GXY262214 HHU262214 HRQ262214 IBM262214 ILI262214 IVE262214 JFA262214 JOW262214 JYS262214 KIO262214 KSK262214 LCG262214 LMC262214 LVY262214 MFU262214 MPQ262214 MZM262214 NJI262214 NTE262214 ODA262214 OMW262214 OWS262214 PGO262214 PQK262214 QAG262214 QKC262214 QTY262214 RDU262214 RNQ262214 RXM262214 SHI262214 SRE262214 TBA262214 TKW262214 TUS262214 UEO262214 UOK262214 UYG262214 VIC262214 VRY262214 WBU262214 WLQ262214 WVM262214 D327757 JA327750 SW327750 ACS327750 AMO327750 AWK327750 BGG327750 BQC327750 BZY327750 CJU327750 CTQ327750 DDM327750 DNI327750 DXE327750 EHA327750 EQW327750 FAS327750 FKO327750 FUK327750 GEG327750 GOC327750 GXY327750 HHU327750 HRQ327750 IBM327750 ILI327750 IVE327750 JFA327750 JOW327750 JYS327750 KIO327750 KSK327750 LCG327750 LMC327750 LVY327750 MFU327750 MPQ327750 MZM327750 NJI327750 NTE327750 ODA327750 OMW327750 OWS327750 PGO327750 PQK327750 QAG327750 QKC327750 QTY327750 RDU327750 RNQ327750 RXM327750 SHI327750 SRE327750 TBA327750 TKW327750 TUS327750 UEO327750 UOK327750 UYG327750 VIC327750 VRY327750 WBU327750 WLQ327750 WVM327750 D393293 JA393286 SW393286 ACS393286 AMO393286 AWK393286 BGG393286 BQC393286 BZY393286 CJU393286 CTQ393286 DDM393286 DNI393286 DXE393286 EHA393286 EQW393286 FAS393286 FKO393286 FUK393286 GEG393286 GOC393286 GXY393286 HHU393286 HRQ393286 IBM393286 ILI393286 IVE393286 JFA393286 JOW393286 JYS393286 KIO393286 KSK393286 LCG393286 LMC393286 LVY393286 MFU393286 MPQ393286 MZM393286 NJI393286 NTE393286 ODA393286 OMW393286 OWS393286 PGO393286 PQK393286 QAG393286 QKC393286 QTY393286 RDU393286 RNQ393286 RXM393286 SHI393286 SRE393286 TBA393286 TKW393286 TUS393286 UEO393286 UOK393286 UYG393286 VIC393286 VRY393286 WBU393286 WLQ393286 WVM393286 D458829 JA458822 SW458822 ACS458822 AMO458822 AWK458822 BGG458822 BQC458822 BZY458822 CJU458822 CTQ458822 DDM458822 DNI458822 DXE458822 EHA458822 EQW458822 FAS458822 FKO458822 FUK458822 GEG458822 GOC458822 GXY458822 HHU458822 HRQ458822 IBM458822 ILI458822 IVE458822 JFA458822 JOW458822 JYS458822 KIO458822 KSK458822 LCG458822 LMC458822 LVY458822 MFU458822 MPQ458822 MZM458822 NJI458822 NTE458822 ODA458822 OMW458822 OWS458822 PGO458822 PQK458822 QAG458822 QKC458822 QTY458822 RDU458822 RNQ458822 RXM458822 SHI458822 SRE458822 TBA458822 TKW458822 TUS458822 UEO458822 UOK458822 UYG458822 VIC458822 VRY458822 WBU458822 WLQ458822 WVM458822 D524365 JA524358 SW524358 ACS524358 AMO524358 AWK524358 BGG524358 BQC524358 BZY524358 CJU524358 CTQ524358 DDM524358 DNI524358 DXE524358 EHA524358 EQW524358 FAS524358 FKO524358 FUK524358 GEG524358 GOC524358 GXY524358 HHU524358 HRQ524358 IBM524358 ILI524358 IVE524358 JFA524358 JOW524358 JYS524358 KIO524358 KSK524358 LCG524358 LMC524358 LVY524358 MFU524358 MPQ524358 MZM524358 NJI524358 NTE524358 ODA524358 OMW524358 OWS524358 PGO524358 PQK524358 QAG524358 QKC524358 QTY524358 RDU524358 RNQ524358 RXM524358 SHI524358 SRE524358 TBA524358 TKW524358 TUS524358 UEO524358 UOK524358 UYG524358 VIC524358 VRY524358 WBU524358 WLQ524358 WVM524358 D589901 JA589894 SW589894 ACS589894 AMO589894 AWK589894 BGG589894 BQC589894 BZY589894 CJU589894 CTQ589894 DDM589894 DNI589894 DXE589894 EHA589894 EQW589894 FAS589894 FKO589894 FUK589894 GEG589894 GOC589894 GXY589894 HHU589894 HRQ589894 IBM589894 ILI589894 IVE589894 JFA589894 JOW589894 JYS589894 KIO589894 KSK589894 LCG589894 LMC589894 LVY589894 MFU589894 MPQ589894 MZM589894 NJI589894 NTE589894 ODA589894 OMW589894 OWS589894 PGO589894 PQK589894 QAG589894 QKC589894 QTY589894 RDU589894 RNQ589894 RXM589894 SHI589894 SRE589894 TBA589894 TKW589894 TUS589894 UEO589894 UOK589894 UYG589894 VIC589894 VRY589894 WBU589894 WLQ589894 WVM589894 D655437 JA655430 SW655430 ACS655430 AMO655430 AWK655430 BGG655430 BQC655430 BZY655430 CJU655430 CTQ655430 DDM655430 DNI655430 DXE655430 EHA655430 EQW655430 FAS655430 FKO655430 FUK655430 GEG655430 GOC655430 GXY655430 HHU655430 HRQ655430 IBM655430 ILI655430 IVE655430 JFA655430 JOW655430 JYS655430 KIO655430 KSK655430 LCG655430 LMC655430 LVY655430 MFU655430 MPQ655430 MZM655430 NJI655430 NTE655430 ODA655430 OMW655430 OWS655430 PGO655430 PQK655430 QAG655430 QKC655430 QTY655430 RDU655430 RNQ655430 RXM655430 SHI655430 SRE655430 TBA655430 TKW655430 TUS655430 UEO655430 UOK655430 UYG655430 VIC655430 VRY655430 WBU655430 WLQ655430 WVM655430 D720973 JA720966 SW720966 ACS720966 AMO720966 AWK720966 BGG720966 BQC720966 BZY720966 CJU720966 CTQ720966 DDM720966 DNI720966 DXE720966 EHA720966 EQW720966 FAS720966 FKO720966 FUK720966 GEG720966 GOC720966 GXY720966 HHU720966 HRQ720966 IBM720966 ILI720966 IVE720966 JFA720966 JOW720966 JYS720966 KIO720966 KSK720966 LCG720966 LMC720966 LVY720966 MFU720966 MPQ720966 MZM720966 NJI720966 NTE720966 ODA720966 OMW720966 OWS720966 PGO720966 PQK720966 QAG720966 QKC720966 QTY720966 RDU720966 RNQ720966 RXM720966 SHI720966 SRE720966 TBA720966 TKW720966 TUS720966 UEO720966 UOK720966 UYG720966 VIC720966 VRY720966 WBU720966 WLQ720966 WVM720966 D786509 JA786502 SW786502 ACS786502 AMO786502 AWK786502 BGG786502 BQC786502 BZY786502 CJU786502 CTQ786502 DDM786502 DNI786502 DXE786502 EHA786502 EQW786502 FAS786502 FKO786502 FUK786502 GEG786502 GOC786502 GXY786502 HHU786502 HRQ786502 IBM786502 ILI786502 IVE786502 JFA786502 JOW786502 JYS786502 KIO786502 KSK786502 LCG786502 LMC786502 LVY786502 MFU786502 MPQ786502 MZM786502 NJI786502 NTE786502 ODA786502 OMW786502 OWS786502 PGO786502 PQK786502 QAG786502 QKC786502 QTY786502 RDU786502 RNQ786502 RXM786502 SHI786502 SRE786502 TBA786502 TKW786502 TUS786502 UEO786502 UOK786502 UYG786502 VIC786502 VRY786502 WBU786502 WLQ786502 WVM786502 D852045 JA852038 SW852038 ACS852038 AMO852038 AWK852038 BGG852038 BQC852038 BZY852038 CJU852038 CTQ852038 DDM852038 DNI852038 DXE852038 EHA852038 EQW852038 FAS852038 FKO852038 FUK852038 GEG852038 GOC852038 GXY852038 HHU852038 HRQ852038 IBM852038 ILI852038 IVE852038 JFA852038 JOW852038 JYS852038 KIO852038 KSK852038 LCG852038 LMC852038 LVY852038 MFU852038 MPQ852038 MZM852038 NJI852038 NTE852038 ODA852038 OMW852038 OWS852038 PGO852038 PQK852038 QAG852038 QKC852038 QTY852038 RDU852038 RNQ852038 RXM852038 SHI852038 SRE852038 TBA852038 TKW852038 TUS852038 UEO852038 UOK852038 UYG852038 VIC852038 VRY852038 WBU852038 WLQ852038 WVM852038 D917581 JA917574 SW917574 ACS917574 AMO917574 AWK917574 BGG917574 BQC917574 BZY917574 CJU917574 CTQ917574 DDM917574 DNI917574 DXE917574 EHA917574 EQW917574 FAS917574 FKO917574 FUK917574 GEG917574 GOC917574 GXY917574 HHU917574 HRQ917574 IBM917574 ILI917574 IVE917574 JFA917574 JOW917574 JYS917574 KIO917574 KSK917574 LCG917574 LMC917574 LVY917574 MFU917574 MPQ917574 MZM917574 NJI917574 NTE917574 ODA917574 OMW917574 OWS917574 PGO917574 PQK917574 QAG917574 QKC917574 QTY917574 RDU917574 RNQ917574 RXM917574 SHI917574 SRE917574 TBA917574 TKW917574 TUS917574 UEO917574 UOK917574 UYG917574 VIC917574 VRY917574 WBU917574 WLQ917574 WVM917574 D983117 JA983110 SW983110 ACS983110 AMO983110 AWK983110 BGG983110 BQC983110 BZY983110 CJU983110 CTQ983110 DDM983110 DNI983110 DXE983110 EHA983110 EQW983110 FAS983110 FKO983110 FUK983110 GEG983110 GOC983110 GXY983110 HHU983110 HRQ983110 IBM983110 ILI983110 IVE983110 JFA983110 JOW983110 JYS983110 KIO983110 KSK983110 LCG983110 LMC983110 LVY983110 MFU983110 MPQ983110 MZM983110 NJI983110 NTE983110 ODA983110 OMW983110 OWS983110 PGO983110 PQK983110 QAG983110 QKC983110 QTY983110 RDU983110 RNQ983110 RXM983110 SHI983110 SRE983110 TBA983110 TKW983110 TUS983110 UEO983110 UOK983110 UYG983110 VIC983110 VRY983110 WBU983110 WLQ983110" xr:uid="{00000000-0002-0000-0800-000001000000}">
      <formula1>"　,満たす,満たさない"</formula1>
    </dataValidation>
    <dataValidation type="list" allowBlank="1" showInputMessage="1" showErrorMessage="1" sqref="D65604:D65612 JA65597:JA65605 SW65597:SW65605 ACS65597:ACS65605 AMO65597:AMO65605 AWK65597:AWK65605 BGG65597:BGG65605 BQC65597:BQC65605 BZY65597:BZY65605 CJU65597:CJU65605 CTQ65597:CTQ65605 DDM65597:DDM65605 DNI65597:DNI65605 DXE65597:DXE65605 EHA65597:EHA65605 EQW65597:EQW65605 FAS65597:FAS65605 FKO65597:FKO65605 FUK65597:FUK65605 GEG65597:GEG65605 GOC65597:GOC65605 GXY65597:GXY65605 HHU65597:HHU65605 HRQ65597:HRQ65605 IBM65597:IBM65605 ILI65597:ILI65605 IVE65597:IVE65605 JFA65597:JFA65605 JOW65597:JOW65605 JYS65597:JYS65605 KIO65597:KIO65605 KSK65597:KSK65605 LCG65597:LCG65605 LMC65597:LMC65605 LVY65597:LVY65605 MFU65597:MFU65605 MPQ65597:MPQ65605 MZM65597:MZM65605 NJI65597:NJI65605 NTE65597:NTE65605 ODA65597:ODA65605 OMW65597:OMW65605 OWS65597:OWS65605 PGO65597:PGO65605 PQK65597:PQK65605 QAG65597:QAG65605 QKC65597:QKC65605 QTY65597:QTY65605 RDU65597:RDU65605 RNQ65597:RNQ65605 RXM65597:RXM65605 SHI65597:SHI65605 SRE65597:SRE65605 TBA65597:TBA65605 TKW65597:TKW65605 TUS65597:TUS65605 UEO65597:UEO65605 UOK65597:UOK65605 UYG65597:UYG65605 VIC65597:VIC65605 VRY65597:VRY65605 WBU65597:WBU65605 WLQ65597:WLQ65605 WVM65597:WVM65605 D131140:D131148 JA131133:JA131141 SW131133:SW131141 ACS131133:ACS131141 AMO131133:AMO131141 AWK131133:AWK131141 BGG131133:BGG131141 BQC131133:BQC131141 BZY131133:BZY131141 CJU131133:CJU131141 CTQ131133:CTQ131141 DDM131133:DDM131141 DNI131133:DNI131141 DXE131133:DXE131141 EHA131133:EHA131141 EQW131133:EQW131141 FAS131133:FAS131141 FKO131133:FKO131141 FUK131133:FUK131141 GEG131133:GEG131141 GOC131133:GOC131141 GXY131133:GXY131141 HHU131133:HHU131141 HRQ131133:HRQ131141 IBM131133:IBM131141 ILI131133:ILI131141 IVE131133:IVE131141 JFA131133:JFA131141 JOW131133:JOW131141 JYS131133:JYS131141 KIO131133:KIO131141 KSK131133:KSK131141 LCG131133:LCG131141 LMC131133:LMC131141 LVY131133:LVY131141 MFU131133:MFU131141 MPQ131133:MPQ131141 MZM131133:MZM131141 NJI131133:NJI131141 NTE131133:NTE131141 ODA131133:ODA131141 OMW131133:OMW131141 OWS131133:OWS131141 PGO131133:PGO131141 PQK131133:PQK131141 QAG131133:QAG131141 QKC131133:QKC131141 QTY131133:QTY131141 RDU131133:RDU131141 RNQ131133:RNQ131141 RXM131133:RXM131141 SHI131133:SHI131141 SRE131133:SRE131141 TBA131133:TBA131141 TKW131133:TKW131141 TUS131133:TUS131141 UEO131133:UEO131141 UOK131133:UOK131141 UYG131133:UYG131141 VIC131133:VIC131141 VRY131133:VRY131141 WBU131133:WBU131141 WLQ131133:WLQ131141 WVM131133:WVM131141 D196676:D196684 JA196669:JA196677 SW196669:SW196677 ACS196669:ACS196677 AMO196669:AMO196677 AWK196669:AWK196677 BGG196669:BGG196677 BQC196669:BQC196677 BZY196669:BZY196677 CJU196669:CJU196677 CTQ196669:CTQ196677 DDM196669:DDM196677 DNI196669:DNI196677 DXE196669:DXE196677 EHA196669:EHA196677 EQW196669:EQW196677 FAS196669:FAS196677 FKO196669:FKO196677 FUK196669:FUK196677 GEG196669:GEG196677 GOC196669:GOC196677 GXY196669:GXY196677 HHU196669:HHU196677 HRQ196669:HRQ196677 IBM196669:IBM196677 ILI196669:ILI196677 IVE196669:IVE196677 JFA196669:JFA196677 JOW196669:JOW196677 JYS196669:JYS196677 KIO196669:KIO196677 KSK196669:KSK196677 LCG196669:LCG196677 LMC196669:LMC196677 LVY196669:LVY196677 MFU196669:MFU196677 MPQ196669:MPQ196677 MZM196669:MZM196677 NJI196669:NJI196677 NTE196669:NTE196677 ODA196669:ODA196677 OMW196669:OMW196677 OWS196669:OWS196677 PGO196669:PGO196677 PQK196669:PQK196677 QAG196669:QAG196677 QKC196669:QKC196677 QTY196669:QTY196677 RDU196669:RDU196677 RNQ196669:RNQ196677 RXM196669:RXM196677 SHI196669:SHI196677 SRE196669:SRE196677 TBA196669:TBA196677 TKW196669:TKW196677 TUS196669:TUS196677 UEO196669:UEO196677 UOK196669:UOK196677 UYG196669:UYG196677 VIC196669:VIC196677 VRY196669:VRY196677 WBU196669:WBU196677 WLQ196669:WLQ196677 WVM196669:WVM196677 D262212:D262220 JA262205:JA262213 SW262205:SW262213 ACS262205:ACS262213 AMO262205:AMO262213 AWK262205:AWK262213 BGG262205:BGG262213 BQC262205:BQC262213 BZY262205:BZY262213 CJU262205:CJU262213 CTQ262205:CTQ262213 DDM262205:DDM262213 DNI262205:DNI262213 DXE262205:DXE262213 EHA262205:EHA262213 EQW262205:EQW262213 FAS262205:FAS262213 FKO262205:FKO262213 FUK262205:FUK262213 GEG262205:GEG262213 GOC262205:GOC262213 GXY262205:GXY262213 HHU262205:HHU262213 HRQ262205:HRQ262213 IBM262205:IBM262213 ILI262205:ILI262213 IVE262205:IVE262213 JFA262205:JFA262213 JOW262205:JOW262213 JYS262205:JYS262213 KIO262205:KIO262213 KSK262205:KSK262213 LCG262205:LCG262213 LMC262205:LMC262213 LVY262205:LVY262213 MFU262205:MFU262213 MPQ262205:MPQ262213 MZM262205:MZM262213 NJI262205:NJI262213 NTE262205:NTE262213 ODA262205:ODA262213 OMW262205:OMW262213 OWS262205:OWS262213 PGO262205:PGO262213 PQK262205:PQK262213 QAG262205:QAG262213 QKC262205:QKC262213 QTY262205:QTY262213 RDU262205:RDU262213 RNQ262205:RNQ262213 RXM262205:RXM262213 SHI262205:SHI262213 SRE262205:SRE262213 TBA262205:TBA262213 TKW262205:TKW262213 TUS262205:TUS262213 UEO262205:UEO262213 UOK262205:UOK262213 UYG262205:UYG262213 VIC262205:VIC262213 VRY262205:VRY262213 WBU262205:WBU262213 WLQ262205:WLQ262213 WVM262205:WVM262213 D327748:D327756 JA327741:JA327749 SW327741:SW327749 ACS327741:ACS327749 AMO327741:AMO327749 AWK327741:AWK327749 BGG327741:BGG327749 BQC327741:BQC327749 BZY327741:BZY327749 CJU327741:CJU327749 CTQ327741:CTQ327749 DDM327741:DDM327749 DNI327741:DNI327749 DXE327741:DXE327749 EHA327741:EHA327749 EQW327741:EQW327749 FAS327741:FAS327749 FKO327741:FKO327749 FUK327741:FUK327749 GEG327741:GEG327749 GOC327741:GOC327749 GXY327741:GXY327749 HHU327741:HHU327749 HRQ327741:HRQ327749 IBM327741:IBM327749 ILI327741:ILI327749 IVE327741:IVE327749 JFA327741:JFA327749 JOW327741:JOW327749 JYS327741:JYS327749 KIO327741:KIO327749 KSK327741:KSK327749 LCG327741:LCG327749 LMC327741:LMC327749 LVY327741:LVY327749 MFU327741:MFU327749 MPQ327741:MPQ327749 MZM327741:MZM327749 NJI327741:NJI327749 NTE327741:NTE327749 ODA327741:ODA327749 OMW327741:OMW327749 OWS327741:OWS327749 PGO327741:PGO327749 PQK327741:PQK327749 QAG327741:QAG327749 QKC327741:QKC327749 QTY327741:QTY327749 RDU327741:RDU327749 RNQ327741:RNQ327749 RXM327741:RXM327749 SHI327741:SHI327749 SRE327741:SRE327749 TBA327741:TBA327749 TKW327741:TKW327749 TUS327741:TUS327749 UEO327741:UEO327749 UOK327741:UOK327749 UYG327741:UYG327749 VIC327741:VIC327749 VRY327741:VRY327749 WBU327741:WBU327749 WLQ327741:WLQ327749 WVM327741:WVM327749 D393284:D393292 JA393277:JA393285 SW393277:SW393285 ACS393277:ACS393285 AMO393277:AMO393285 AWK393277:AWK393285 BGG393277:BGG393285 BQC393277:BQC393285 BZY393277:BZY393285 CJU393277:CJU393285 CTQ393277:CTQ393285 DDM393277:DDM393285 DNI393277:DNI393285 DXE393277:DXE393285 EHA393277:EHA393285 EQW393277:EQW393285 FAS393277:FAS393285 FKO393277:FKO393285 FUK393277:FUK393285 GEG393277:GEG393285 GOC393277:GOC393285 GXY393277:GXY393285 HHU393277:HHU393285 HRQ393277:HRQ393285 IBM393277:IBM393285 ILI393277:ILI393285 IVE393277:IVE393285 JFA393277:JFA393285 JOW393277:JOW393285 JYS393277:JYS393285 KIO393277:KIO393285 KSK393277:KSK393285 LCG393277:LCG393285 LMC393277:LMC393285 LVY393277:LVY393285 MFU393277:MFU393285 MPQ393277:MPQ393285 MZM393277:MZM393285 NJI393277:NJI393285 NTE393277:NTE393285 ODA393277:ODA393285 OMW393277:OMW393285 OWS393277:OWS393285 PGO393277:PGO393285 PQK393277:PQK393285 QAG393277:QAG393285 QKC393277:QKC393285 QTY393277:QTY393285 RDU393277:RDU393285 RNQ393277:RNQ393285 RXM393277:RXM393285 SHI393277:SHI393285 SRE393277:SRE393285 TBA393277:TBA393285 TKW393277:TKW393285 TUS393277:TUS393285 UEO393277:UEO393285 UOK393277:UOK393285 UYG393277:UYG393285 VIC393277:VIC393285 VRY393277:VRY393285 WBU393277:WBU393285 WLQ393277:WLQ393285 WVM393277:WVM393285 D458820:D458828 JA458813:JA458821 SW458813:SW458821 ACS458813:ACS458821 AMO458813:AMO458821 AWK458813:AWK458821 BGG458813:BGG458821 BQC458813:BQC458821 BZY458813:BZY458821 CJU458813:CJU458821 CTQ458813:CTQ458821 DDM458813:DDM458821 DNI458813:DNI458821 DXE458813:DXE458821 EHA458813:EHA458821 EQW458813:EQW458821 FAS458813:FAS458821 FKO458813:FKO458821 FUK458813:FUK458821 GEG458813:GEG458821 GOC458813:GOC458821 GXY458813:GXY458821 HHU458813:HHU458821 HRQ458813:HRQ458821 IBM458813:IBM458821 ILI458813:ILI458821 IVE458813:IVE458821 JFA458813:JFA458821 JOW458813:JOW458821 JYS458813:JYS458821 KIO458813:KIO458821 KSK458813:KSK458821 LCG458813:LCG458821 LMC458813:LMC458821 LVY458813:LVY458821 MFU458813:MFU458821 MPQ458813:MPQ458821 MZM458813:MZM458821 NJI458813:NJI458821 NTE458813:NTE458821 ODA458813:ODA458821 OMW458813:OMW458821 OWS458813:OWS458821 PGO458813:PGO458821 PQK458813:PQK458821 QAG458813:QAG458821 QKC458813:QKC458821 QTY458813:QTY458821 RDU458813:RDU458821 RNQ458813:RNQ458821 RXM458813:RXM458821 SHI458813:SHI458821 SRE458813:SRE458821 TBA458813:TBA458821 TKW458813:TKW458821 TUS458813:TUS458821 UEO458813:UEO458821 UOK458813:UOK458821 UYG458813:UYG458821 VIC458813:VIC458821 VRY458813:VRY458821 WBU458813:WBU458821 WLQ458813:WLQ458821 WVM458813:WVM458821 D524356:D524364 JA524349:JA524357 SW524349:SW524357 ACS524349:ACS524357 AMO524349:AMO524357 AWK524349:AWK524357 BGG524349:BGG524357 BQC524349:BQC524357 BZY524349:BZY524357 CJU524349:CJU524357 CTQ524349:CTQ524357 DDM524349:DDM524357 DNI524349:DNI524357 DXE524349:DXE524357 EHA524349:EHA524357 EQW524349:EQW524357 FAS524349:FAS524357 FKO524349:FKO524357 FUK524349:FUK524357 GEG524349:GEG524357 GOC524349:GOC524357 GXY524349:GXY524357 HHU524349:HHU524357 HRQ524349:HRQ524357 IBM524349:IBM524357 ILI524349:ILI524357 IVE524349:IVE524357 JFA524349:JFA524357 JOW524349:JOW524357 JYS524349:JYS524357 KIO524349:KIO524357 KSK524349:KSK524357 LCG524349:LCG524357 LMC524349:LMC524357 LVY524349:LVY524357 MFU524349:MFU524357 MPQ524349:MPQ524357 MZM524349:MZM524357 NJI524349:NJI524357 NTE524349:NTE524357 ODA524349:ODA524357 OMW524349:OMW524357 OWS524349:OWS524357 PGO524349:PGO524357 PQK524349:PQK524357 QAG524349:QAG524357 QKC524349:QKC524357 QTY524349:QTY524357 RDU524349:RDU524357 RNQ524349:RNQ524357 RXM524349:RXM524357 SHI524349:SHI524357 SRE524349:SRE524357 TBA524349:TBA524357 TKW524349:TKW524357 TUS524349:TUS524357 UEO524349:UEO524357 UOK524349:UOK524357 UYG524349:UYG524357 VIC524349:VIC524357 VRY524349:VRY524357 WBU524349:WBU524357 WLQ524349:WLQ524357 WVM524349:WVM524357 D589892:D589900 JA589885:JA589893 SW589885:SW589893 ACS589885:ACS589893 AMO589885:AMO589893 AWK589885:AWK589893 BGG589885:BGG589893 BQC589885:BQC589893 BZY589885:BZY589893 CJU589885:CJU589893 CTQ589885:CTQ589893 DDM589885:DDM589893 DNI589885:DNI589893 DXE589885:DXE589893 EHA589885:EHA589893 EQW589885:EQW589893 FAS589885:FAS589893 FKO589885:FKO589893 FUK589885:FUK589893 GEG589885:GEG589893 GOC589885:GOC589893 GXY589885:GXY589893 HHU589885:HHU589893 HRQ589885:HRQ589893 IBM589885:IBM589893 ILI589885:ILI589893 IVE589885:IVE589893 JFA589885:JFA589893 JOW589885:JOW589893 JYS589885:JYS589893 KIO589885:KIO589893 KSK589885:KSK589893 LCG589885:LCG589893 LMC589885:LMC589893 LVY589885:LVY589893 MFU589885:MFU589893 MPQ589885:MPQ589893 MZM589885:MZM589893 NJI589885:NJI589893 NTE589885:NTE589893 ODA589885:ODA589893 OMW589885:OMW589893 OWS589885:OWS589893 PGO589885:PGO589893 PQK589885:PQK589893 QAG589885:QAG589893 QKC589885:QKC589893 QTY589885:QTY589893 RDU589885:RDU589893 RNQ589885:RNQ589893 RXM589885:RXM589893 SHI589885:SHI589893 SRE589885:SRE589893 TBA589885:TBA589893 TKW589885:TKW589893 TUS589885:TUS589893 UEO589885:UEO589893 UOK589885:UOK589893 UYG589885:UYG589893 VIC589885:VIC589893 VRY589885:VRY589893 WBU589885:WBU589893 WLQ589885:WLQ589893 WVM589885:WVM589893 D655428:D655436 JA655421:JA655429 SW655421:SW655429 ACS655421:ACS655429 AMO655421:AMO655429 AWK655421:AWK655429 BGG655421:BGG655429 BQC655421:BQC655429 BZY655421:BZY655429 CJU655421:CJU655429 CTQ655421:CTQ655429 DDM655421:DDM655429 DNI655421:DNI655429 DXE655421:DXE655429 EHA655421:EHA655429 EQW655421:EQW655429 FAS655421:FAS655429 FKO655421:FKO655429 FUK655421:FUK655429 GEG655421:GEG655429 GOC655421:GOC655429 GXY655421:GXY655429 HHU655421:HHU655429 HRQ655421:HRQ655429 IBM655421:IBM655429 ILI655421:ILI655429 IVE655421:IVE655429 JFA655421:JFA655429 JOW655421:JOW655429 JYS655421:JYS655429 KIO655421:KIO655429 KSK655421:KSK655429 LCG655421:LCG655429 LMC655421:LMC655429 LVY655421:LVY655429 MFU655421:MFU655429 MPQ655421:MPQ655429 MZM655421:MZM655429 NJI655421:NJI655429 NTE655421:NTE655429 ODA655421:ODA655429 OMW655421:OMW655429 OWS655421:OWS655429 PGO655421:PGO655429 PQK655421:PQK655429 QAG655421:QAG655429 QKC655421:QKC655429 QTY655421:QTY655429 RDU655421:RDU655429 RNQ655421:RNQ655429 RXM655421:RXM655429 SHI655421:SHI655429 SRE655421:SRE655429 TBA655421:TBA655429 TKW655421:TKW655429 TUS655421:TUS655429 UEO655421:UEO655429 UOK655421:UOK655429 UYG655421:UYG655429 VIC655421:VIC655429 VRY655421:VRY655429 WBU655421:WBU655429 WLQ655421:WLQ655429 WVM655421:WVM655429 D720964:D720972 JA720957:JA720965 SW720957:SW720965 ACS720957:ACS720965 AMO720957:AMO720965 AWK720957:AWK720965 BGG720957:BGG720965 BQC720957:BQC720965 BZY720957:BZY720965 CJU720957:CJU720965 CTQ720957:CTQ720965 DDM720957:DDM720965 DNI720957:DNI720965 DXE720957:DXE720965 EHA720957:EHA720965 EQW720957:EQW720965 FAS720957:FAS720965 FKO720957:FKO720965 FUK720957:FUK720965 GEG720957:GEG720965 GOC720957:GOC720965 GXY720957:GXY720965 HHU720957:HHU720965 HRQ720957:HRQ720965 IBM720957:IBM720965 ILI720957:ILI720965 IVE720957:IVE720965 JFA720957:JFA720965 JOW720957:JOW720965 JYS720957:JYS720965 KIO720957:KIO720965 KSK720957:KSK720965 LCG720957:LCG720965 LMC720957:LMC720965 LVY720957:LVY720965 MFU720957:MFU720965 MPQ720957:MPQ720965 MZM720957:MZM720965 NJI720957:NJI720965 NTE720957:NTE720965 ODA720957:ODA720965 OMW720957:OMW720965 OWS720957:OWS720965 PGO720957:PGO720965 PQK720957:PQK720965 QAG720957:QAG720965 QKC720957:QKC720965 QTY720957:QTY720965 RDU720957:RDU720965 RNQ720957:RNQ720965 RXM720957:RXM720965 SHI720957:SHI720965 SRE720957:SRE720965 TBA720957:TBA720965 TKW720957:TKW720965 TUS720957:TUS720965 UEO720957:UEO720965 UOK720957:UOK720965 UYG720957:UYG720965 VIC720957:VIC720965 VRY720957:VRY720965 WBU720957:WBU720965 WLQ720957:WLQ720965 WVM720957:WVM720965 D786500:D786508 JA786493:JA786501 SW786493:SW786501 ACS786493:ACS786501 AMO786493:AMO786501 AWK786493:AWK786501 BGG786493:BGG786501 BQC786493:BQC786501 BZY786493:BZY786501 CJU786493:CJU786501 CTQ786493:CTQ786501 DDM786493:DDM786501 DNI786493:DNI786501 DXE786493:DXE786501 EHA786493:EHA786501 EQW786493:EQW786501 FAS786493:FAS786501 FKO786493:FKO786501 FUK786493:FUK786501 GEG786493:GEG786501 GOC786493:GOC786501 GXY786493:GXY786501 HHU786493:HHU786501 HRQ786493:HRQ786501 IBM786493:IBM786501 ILI786493:ILI786501 IVE786493:IVE786501 JFA786493:JFA786501 JOW786493:JOW786501 JYS786493:JYS786501 KIO786493:KIO786501 KSK786493:KSK786501 LCG786493:LCG786501 LMC786493:LMC786501 LVY786493:LVY786501 MFU786493:MFU786501 MPQ786493:MPQ786501 MZM786493:MZM786501 NJI786493:NJI786501 NTE786493:NTE786501 ODA786493:ODA786501 OMW786493:OMW786501 OWS786493:OWS786501 PGO786493:PGO786501 PQK786493:PQK786501 QAG786493:QAG786501 QKC786493:QKC786501 QTY786493:QTY786501 RDU786493:RDU786501 RNQ786493:RNQ786501 RXM786493:RXM786501 SHI786493:SHI786501 SRE786493:SRE786501 TBA786493:TBA786501 TKW786493:TKW786501 TUS786493:TUS786501 UEO786493:UEO786501 UOK786493:UOK786501 UYG786493:UYG786501 VIC786493:VIC786501 VRY786493:VRY786501 WBU786493:WBU786501 WLQ786493:WLQ786501 WVM786493:WVM786501 D852036:D852044 JA852029:JA852037 SW852029:SW852037 ACS852029:ACS852037 AMO852029:AMO852037 AWK852029:AWK852037 BGG852029:BGG852037 BQC852029:BQC852037 BZY852029:BZY852037 CJU852029:CJU852037 CTQ852029:CTQ852037 DDM852029:DDM852037 DNI852029:DNI852037 DXE852029:DXE852037 EHA852029:EHA852037 EQW852029:EQW852037 FAS852029:FAS852037 FKO852029:FKO852037 FUK852029:FUK852037 GEG852029:GEG852037 GOC852029:GOC852037 GXY852029:GXY852037 HHU852029:HHU852037 HRQ852029:HRQ852037 IBM852029:IBM852037 ILI852029:ILI852037 IVE852029:IVE852037 JFA852029:JFA852037 JOW852029:JOW852037 JYS852029:JYS852037 KIO852029:KIO852037 KSK852029:KSK852037 LCG852029:LCG852037 LMC852029:LMC852037 LVY852029:LVY852037 MFU852029:MFU852037 MPQ852029:MPQ852037 MZM852029:MZM852037 NJI852029:NJI852037 NTE852029:NTE852037 ODA852029:ODA852037 OMW852029:OMW852037 OWS852029:OWS852037 PGO852029:PGO852037 PQK852029:PQK852037 QAG852029:QAG852037 QKC852029:QKC852037 QTY852029:QTY852037 RDU852029:RDU852037 RNQ852029:RNQ852037 RXM852029:RXM852037 SHI852029:SHI852037 SRE852029:SRE852037 TBA852029:TBA852037 TKW852029:TKW852037 TUS852029:TUS852037 UEO852029:UEO852037 UOK852029:UOK852037 UYG852029:UYG852037 VIC852029:VIC852037 VRY852029:VRY852037 WBU852029:WBU852037 WLQ852029:WLQ852037 WVM852029:WVM852037 D917572:D917580 JA917565:JA917573 SW917565:SW917573 ACS917565:ACS917573 AMO917565:AMO917573 AWK917565:AWK917573 BGG917565:BGG917573 BQC917565:BQC917573 BZY917565:BZY917573 CJU917565:CJU917573 CTQ917565:CTQ917573 DDM917565:DDM917573 DNI917565:DNI917573 DXE917565:DXE917573 EHA917565:EHA917573 EQW917565:EQW917573 FAS917565:FAS917573 FKO917565:FKO917573 FUK917565:FUK917573 GEG917565:GEG917573 GOC917565:GOC917573 GXY917565:GXY917573 HHU917565:HHU917573 HRQ917565:HRQ917573 IBM917565:IBM917573 ILI917565:ILI917573 IVE917565:IVE917573 JFA917565:JFA917573 JOW917565:JOW917573 JYS917565:JYS917573 KIO917565:KIO917573 KSK917565:KSK917573 LCG917565:LCG917573 LMC917565:LMC917573 LVY917565:LVY917573 MFU917565:MFU917573 MPQ917565:MPQ917573 MZM917565:MZM917573 NJI917565:NJI917573 NTE917565:NTE917573 ODA917565:ODA917573 OMW917565:OMW917573 OWS917565:OWS917573 PGO917565:PGO917573 PQK917565:PQK917573 QAG917565:QAG917573 QKC917565:QKC917573 QTY917565:QTY917573 RDU917565:RDU917573 RNQ917565:RNQ917573 RXM917565:RXM917573 SHI917565:SHI917573 SRE917565:SRE917573 TBA917565:TBA917573 TKW917565:TKW917573 TUS917565:TUS917573 UEO917565:UEO917573 UOK917565:UOK917573 UYG917565:UYG917573 VIC917565:VIC917573 VRY917565:VRY917573 WBU917565:WBU917573 WLQ917565:WLQ917573 WVM917565:WVM917573 D983108:D983116 JA983101:JA983109 SW983101:SW983109 ACS983101:ACS983109 AMO983101:AMO983109 AWK983101:AWK983109 BGG983101:BGG983109 BQC983101:BQC983109 BZY983101:BZY983109 CJU983101:CJU983109 CTQ983101:CTQ983109 DDM983101:DDM983109 DNI983101:DNI983109 DXE983101:DXE983109 EHA983101:EHA983109 EQW983101:EQW983109 FAS983101:FAS983109 FKO983101:FKO983109 FUK983101:FUK983109 GEG983101:GEG983109 GOC983101:GOC983109 GXY983101:GXY983109 HHU983101:HHU983109 HRQ983101:HRQ983109 IBM983101:IBM983109 ILI983101:ILI983109 IVE983101:IVE983109 JFA983101:JFA983109 JOW983101:JOW983109 JYS983101:JYS983109 KIO983101:KIO983109 KSK983101:KSK983109 LCG983101:LCG983109 LMC983101:LMC983109 LVY983101:LVY983109 MFU983101:MFU983109 MPQ983101:MPQ983109 MZM983101:MZM983109 NJI983101:NJI983109 NTE983101:NTE983109 ODA983101:ODA983109 OMW983101:OMW983109 OWS983101:OWS983109 PGO983101:PGO983109 PQK983101:PQK983109 QAG983101:QAG983109 QKC983101:QKC983109 QTY983101:QTY983109 RDU983101:RDU983109 RNQ983101:RNQ983109 RXM983101:RXM983109 SHI983101:SHI983109 SRE983101:SRE983109 TBA983101:TBA983109 TKW983101:TKW983109 TUS983101:TUS983109 UEO983101:UEO983109 UOK983101:UOK983109 UYG983101:UYG983109 VIC983101:VIC983109 VRY983101:VRY983109 WBU983101:WBU983109 WLQ983101:WLQ983109 WVM983101:WVM983109 SW54 WVM14 WLQ14 WBU14 VRY14 VIC14 UYG14 UOK14 UEO14 TUS14 TKW14 TBA14 SRE14 SHI14 RXM14 RNQ14 RDU14 QTY14 QKC14 QAG14 PQK14 PGO14 OWS14 OMW14 ODA14 NTE14 NJI14 MZM14 MPQ14 MFU14 LVY14 LMC14 LCG14 KSK14 KIO14 JYS14 JOW14 JFA14 IVE14 ILI14 IBM14 HRQ14 HHU14 GXY14 GOC14 GEG14 FUK14 FKO14 FAS14 EQW14 EHA14 DXE14 DNI14 DDM14 CTQ14 CJU14 BZY14 BQC14 BGG14 AWK14 AMO14 ACS14 SW14 JA14 JA24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54 WVM54 WLQ54 WBU54 VRY54 VIC54 UYG54 UOK54 UEO54 TUS54 TKW54 TBA54 SRE54 SHI54 RXM54 RNQ54 RDU54 QTY54 QKC54 QAG54 PQK54 PGO54 OWS54 OMW54 ODA54 NTE54 NJI54 MZM54 MPQ54 MFU54 LVY54 LMC54 LCG54 KSK54 KIO54 JYS54 JOW54 JFA54 IVE54 ILI54 IBM54 HRQ54 HHU54 GXY54 GOC54 GEG54 FUK54 FKO54 FAS54 EQW54 EHA54 DXE54 DNI54 DDM54 CTQ54 CJU54 BZY54 BQC54 BGG54 AWK54 AMO54 ACS54 WVM41 WLQ41 WBU41 VRY41 VIC41 UYG41 UOK41 UEO41 TUS41 TKW41 TBA41 SRE41 SHI41 RXM41 RNQ41 RDU41 QTY41 QKC41 QAG41 PQK41 PGO41 OWS41 OMW41 ODA41 NTE41 NJI41 MZM41 MPQ41 MFU41 LVY41 LMC41 LCG41 KSK41 KIO41 JYS41 JOW41 JFA41 IVE41 ILI41 IBM41 HRQ41 HHU41 GXY41 GOC41 GEG41 FUK41 FKO41 FAS41 EQW41 EHA41 DXE41 DNI41 DDM41 CTQ41 CJU41 BZY41 BQC41 BGG41 AWK41 AMO41 ACS41 SW41 JA41 JA47 WVM47 WLQ47 WBU47 VRY47 VIC47 UYG47 UOK47 UEO47 TUS47 TKW47 TBA47 SRE47 SHI47 RXM47 RNQ47 RDU47 QTY47 QKC47 QAG47 PQK47 PGO47 OWS47 OMW47 ODA47 NTE47 NJI47 MZM47 MPQ47 MFU47 LVY47 LMC47 LCG47 KSK47 KIO47 JYS47 JOW47 JFA47 IVE47 ILI47 IBM47 HRQ47 HHU47 GXY47 GOC47 GEG47 FUK47 FKO47 FAS47 EQW47 EHA47 DXE47 DNI47 DDM47 CTQ47 CJU47 BZY47 BQC47 BGG47 AWK47 AMO47 ACS47 SW47 D53:D54 SW89 JA89 WVM89 WLQ89 WBU89 VRY89 VIC89 UYG89 UOK89 UEO89 TUS89 TKW89 TBA89 SRE89 SHI89 RXM89 RNQ89 RDU89 QTY89 QKC89 QAG89 PQK89 PGO89 OWS89 OMW89 ODA89 NTE89 NJI89 MZM89 MPQ89 MFU89 LVY89 LMC89 LCG89 KSK89 KIO89 JYS89 JOW89 JFA89 IVE89 ILI89 IBM89 HRQ89 HHU89 GXY89 GOC89 GEG89 FUK89 FKO89 FAS89 EQW89 EHA89 DXE89 DNI89 DDM89 CTQ89 CJU89 BZY89 BQC89 BGG89 AWK89 AMO89 ACS89 WVM77 WLQ77 WBU77 VRY77 VIC77 UYG77 UOK77 UEO77 TUS77 TKW77 TBA77 SRE77 SHI77 RXM77 RNQ77 RDU77 QTY77 QKC77 QAG77 PQK77 PGO77 OWS77 OMW77 ODA77 NTE77 NJI77 MZM77 MPQ77 MFU77 LVY77 LMC77 LCG77 KSK77 KIO77 JYS77 JOW77 JFA77 IVE77 ILI77 IBM77 HRQ77 HHU77 GXY77 GOC77 GEG77 FUK77 FKO77 FAS77 EQW77 EHA77 DXE77 DNI77 DDM77 CTQ77 CJU77 BZY77 BQC77 BGG77 AWK77 AMO77 ACS77 SW77 JA77 JA83 WVM83 WLQ83 WBU83 VRY83 VIC83 UYG83 UOK83 UEO83 TUS83 TKW83 TBA83 SRE83 SHI83 RXM83 RNQ83 RDU83 QTY83 QKC83 QAG83 PQK83 PGO83 OWS83 OMW83 ODA83 NTE83 NJI83 MZM83 MPQ83 MFU83 LVY83 LMC83 LCG83 KSK83 KIO83 JYS83 JOW83 JFA83 IVE83 ILI83 IBM83 HRQ83 HHU83 GXY83 GOC83 GEG83 FUK83 FKO83 FAS83 EQW83 EHA83 DXE83 DNI83 DDM83 CTQ83 CJU83 BZY83 BQC83 BGG83 AWK83 AMO83 ACS83 SW83 D35 SW34:SW36 JA34:JA36 WVM34:WVM36 WLQ34:WLQ36 WBU34:WBU36 VRY34:VRY36 VIC34:VIC36 UYG34:UYG36 UOK34:UOK36 UEO34:UEO36 TUS34:TUS36 TKW34:TKW36 TBA34:TBA36 SRE34:SRE36 SHI34:SHI36 RXM34:RXM36 RNQ34:RNQ36 RDU34:RDU36 QTY34:QTY36 QKC34:QKC36 QAG34:QAG36 PQK34:PQK36 PGO34:PGO36 OWS34:OWS36 OMW34:OMW36 ODA34:ODA36 NTE34:NTE36 NJI34:NJI36 MZM34:MZM36 MPQ34:MPQ36 MFU34:MFU36 LVY34:LVY36 LMC34:LMC36 LCG34:LCG36 KSK34:KSK36 KIO34:KIO36 JYS34:JYS36 JOW34:JOW36 JFA34:JFA36 IVE34:IVE36 ILI34:ILI36 IBM34:IBM36 HRQ34:HRQ36 HHU34:HHU36 GXY34:GXY36 GOC34:GOC36 GEG34:GEG36 FUK34:FUK36 FKO34:FKO36 FAS34:FAS36 EQW34:EQW36 EHA34:EHA36 DXE34:DXE36 DNI34:DNI36 DDM34:DDM36 CTQ34:CTQ36 CJU34:CJU36 BZY34:BZY36 BQC34:BQC36 BGG34:BGG36 AWK34:AWK36 AMO34:AMO36 ACS34:ACS36" xr:uid="{00000000-0002-0000-0800-000002000000}">
      <formula1>"　,あり,なし"</formula1>
    </dataValidation>
    <dataValidation type="list" allowBlank="1" showInputMessage="1" showErrorMessage="1" sqref="N55:P55" xr:uid="{00000000-0002-0000-0800-000003000000}">
      <formula1>$T$2:$T$4</formula1>
    </dataValidation>
  </dataValidations>
  <pageMargins left="0.70866141732283472" right="0.70866141732283472" top="0.74803149606299213" bottom="0.74803149606299213" header="0.31496062992125984" footer="0.31496062992125984"/>
  <pageSetup paperSize="9" scale="70" orientation="portrait" r:id="rId3"/>
  <rowBreaks count="1" manualBreakCount="1">
    <brk id="57" max="16"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6">
    <tabColor rgb="FF92D050"/>
  </sheetPr>
  <dimension ref="A1:AE103"/>
  <sheetViews>
    <sheetView view="pageBreakPreview" zoomScale="85" zoomScaleNormal="100" zoomScaleSheetLayoutView="85" workbookViewId="0">
      <selection activeCell="E7" sqref="E7"/>
    </sheetView>
  </sheetViews>
  <sheetFormatPr defaultRowHeight="13" outlineLevelCol="1"/>
  <cols>
    <col min="1" max="1" width="2.26953125" style="34" customWidth="1"/>
    <col min="2" max="2" width="4.26953125" style="34" customWidth="1"/>
    <col min="3" max="3" width="10.36328125" style="34" customWidth="1"/>
    <col min="4" max="4" width="8.6328125" style="34" customWidth="1"/>
    <col min="5" max="16" width="6.6328125" style="34" customWidth="1"/>
    <col min="17" max="17" width="8.6328125" style="34" customWidth="1"/>
    <col min="18" max="20" width="9" style="34" hidden="1" customWidth="1" outlineLevel="1"/>
    <col min="21" max="21" width="5.453125" style="34" hidden="1" customWidth="1" outlineLevel="1"/>
    <col min="22" max="26" width="9" style="34" hidden="1" customWidth="1" outlineLevel="1"/>
    <col min="27" max="27" width="9" style="34" collapsed="1"/>
    <col min="28" max="255" width="9" style="34"/>
    <col min="256" max="256" width="2.26953125" style="34" customWidth="1"/>
    <col min="257" max="257" width="4.26953125" style="34" customWidth="1"/>
    <col min="258" max="258" width="10.36328125" style="34" customWidth="1"/>
    <col min="259" max="259" width="8.6328125" style="34" customWidth="1"/>
    <col min="260" max="271" width="6.6328125" style="34" customWidth="1"/>
    <col min="272" max="272" width="8.6328125" style="34" customWidth="1"/>
    <col min="273" max="511" width="9" style="34"/>
    <col min="512" max="512" width="2.26953125" style="34" customWidth="1"/>
    <col min="513" max="513" width="4.26953125" style="34" customWidth="1"/>
    <col min="514" max="514" width="10.36328125" style="34" customWidth="1"/>
    <col min="515" max="515" width="8.6328125" style="34" customWidth="1"/>
    <col min="516" max="527" width="6.6328125" style="34" customWidth="1"/>
    <col min="528" max="528" width="8.6328125" style="34" customWidth="1"/>
    <col min="529" max="767" width="9" style="34"/>
    <col min="768" max="768" width="2.26953125" style="34" customWidth="1"/>
    <col min="769" max="769" width="4.26953125" style="34" customWidth="1"/>
    <col min="770" max="770" width="10.36328125" style="34" customWidth="1"/>
    <col min="771" max="771" width="8.6328125" style="34" customWidth="1"/>
    <col min="772" max="783" width="6.6328125" style="34" customWidth="1"/>
    <col min="784" max="784" width="8.6328125" style="34" customWidth="1"/>
    <col min="785" max="1023" width="9" style="34"/>
    <col min="1024" max="1024" width="2.26953125" style="34" customWidth="1"/>
    <col min="1025" max="1025" width="4.26953125" style="34" customWidth="1"/>
    <col min="1026" max="1026" width="10.36328125" style="34" customWidth="1"/>
    <col min="1027" max="1027" width="8.6328125" style="34" customWidth="1"/>
    <col min="1028" max="1039" width="6.6328125" style="34" customWidth="1"/>
    <col min="1040" max="1040" width="8.6328125" style="34" customWidth="1"/>
    <col min="1041" max="1279" width="9" style="34"/>
    <col min="1280" max="1280" width="2.26953125" style="34" customWidth="1"/>
    <col min="1281" max="1281" width="4.26953125" style="34" customWidth="1"/>
    <col min="1282" max="1282" width="10.36328125" style="34" customWidth="1"/>
    <col min="1283" max="1283" width="8.6328125" style="34" customWidth="1"/>
    <col min="1284" max="1295" width="6.6328125" style="34" customWidth="1"/>
    <col min="1296" max="1296" width="8.6328125" style="34" customWidth="1"/>
    <col min="1297" max="1535" width="9" style="34"/>
    <col min="1536" max="1536" width="2.26953125" style="34" customWidth="1"/>
    <col min="1537" max="1537" width="4.26953125" style="34" customWidth="1"/>
    <col min="1538" max="1538" width="10.36328125" style="34" customWidth="1"/>
    <col min="1539" max="1539" width="8.6328125" style="34" customWidth="1"/>
    <col min="1540" max="1551" width="6.6328125" style="34" customWidth="1"/>
    <col min="1552" max="1552" width="8.6328125" style="34" customWidth="1"/>
    <col min="1553" max="1791" width="9" style="34"/>
    <col min="1792" max="1792" width="2.26953125" style="34" customWidth="1"/>
    <col min="1793" max="1793" width="4.26953125" style="34" customWidth="1"/>
    <col min="1794" max="1794" width="10.36328125" style="34" customWidth="1"/>
    <col min="1795" max="1795" width="8.6328125" style="34" customWidth="1"/>
    <col min="1796" max="1807" width="6.6328125" style="34" customWidth="1"/>
    <col min="1808" max="1808" width="8.6328125" style="34" customWidth="1"/>
    <col min="1809" max="2047" width="9" style="34"/>
    <col min="2048" max="2048" width="2.26953125" style="34" customWidth="1"/>
    <col min="2049" max="2049" width="4.26953125" style="34" customWidth="1"/>
    <col min="2050" max="2050" width="10.36328125" style="34" customWidth="1"/>
    <col min="2051" max="2051" width="8.6328125" style="34" customWidth="1"/>
    <col min="2052" max="2063" width="6.6328125" style="34" customWidth="1"/>
    <col min="2064" max="2064" width="8.6328125" style="34" customWidth="1"/>
    <col min="2065" max="2303" width="9" style="34"/>
    <col min="2304" max="2304" width="2.26953125" style="34" customWidth="1"/>
    <col min="2305" max="2305" width="4.26953125" style="34" customWidth="1"/>
    <col min="2306" max="2306" width="10.36328125" style="34" customWidth="1"/>
    <col min="2307" max="2307" width="8.6328125" style="34" customWidth="1"/>
    <col min="2308" max="2319" width="6.6328125" style="34" customWidth="1"/>
    <col min="2320" max="2320" width="8.6328125" style="34" customWidth="1"/>
    <col min="2321" max="2559" width="9" style="34"/>
    <col min="2560" max="2560" width="2.26953125" style="34" customWidth="1"/>
    <col min="2561" max="2561" width="4.26953125" style="34" customWidth="1"/>
    <col min="2562" max="2562" width="10.36328125" style="34" customWidth="1"/>
    <col min="2563" max="2563" width="8.6328125" style="34" customWidth="1"/>
    <col min="2564" max="2575" width="6.6328125" style="34" customWidth="1"/>
    <col min="2576" max="2576" width="8.6328125" style="34" customWidth="1"/>
    <col min="2577" max="2815" width="9" style="34"/>
    <col min="2816" max="2816" width="2.26953125" style="34" customWidth="1"/>
    <col min="2817" max="2817" width="4.26953125" style="34" customWidth="1"/>
    <col min="2818" max="2818" width="10.36328125" style="34" customWidth="1"/>
    <col min="2819" max="2819" width="8.6328125" style="34" customWidth="1"/>
    <col min="2820" max="2831" width="6.6328125" style="34" customWidth="1"/>
    <col min="2832" max="2832" width="8.6328125" style="34" customWidth="1"/>
    <col min="2833" max="3071" width="9" style="34"/>
    <col min="3072" max="3072" width="2.26953125" style="34" customWidth="1"/>
    <col min="3073" max="3073" width="4.26953125" style="34" customWidth="1"/>
    <col min="3074" max="3074" width="10.36328125" style="34" customWidth="1"/>
    <col min="3075" max="3075" width="8.6328125" style="34" customWidth="1"/>
    <col min="3076" max="3087" width="6.6328125" style="34" customWidth="1"/>
    <col min="3088" max="3088" width="8.6328125" style="34" customWidth="1"/>
    <col min="3089" max="3327" width="9" style="34"/>
    <col min="3328" max="3328" width="2.26953125" style="34" customWidth="1"/>
    <col min="3329" max="3329" width="4.26953125" style="34" customWidth="1"/>
    <col min="3330" max="3330" width="10.36328125" style="34" customWidth="1"/>
    <col min="3331" max="3331" width="8.6328125" style="34" customWidth="1"/>
    <col min="3332" max="3343" width="6.6328125" style="34" customWidth="1"/>
    <col min="3344" max="3344" width="8.6328125" style="34" customWidth="1"/>
    <col min="3345" max="3583" width="9" style="34"/>
    <col min="3584" max="3584" width="2.26953125" style="34" customWidth="1"/>
    <col min="3585" max="3585" width="4.26953125" style="34" customWidth="1"/>
    <col min="3586" max="3586" width="10.36328125" style="34" customWidth="1"/>
    <col min="3587" max="3587" width="8.6328125" style="34" customWidth="1"/>
    <col min="3588" max="3599" width="6.6328125" style="34" customWidth="1"/>
    <col min="3600" max="3600" width="8.6328125" style="34" customWidth="1"/>
    <col min="3601" max="3839" width="9" style="34"/>
    <col min="3840" max="3840" width="2.26953125" style="34" customWidth="1"/>
    <col min="3841" max="3841" width="4.26953125" style="34" customWidth="1"/>
    <col min="3842" max="3842" width="10.36328125" style="34" customWidth="1"/>
    <col min="3843" max="3843" width="8.6328125" style="34" customWidth="1"/>
    <col min="3844" max="3855" width="6.6328125" style="34" customWidth="1"/>
    <col min="3856" max="3856" width="8.6328125" style="34" customWidth="1"/>
    <col min="3857" max="4095" width="9" style="34"/>
    <col min="4096" max="4096" width="2.26953125" style="34" customWidth="1"/>
    <col min="4097" max="4097" width="4.26953125" style="34" customWidth="1"/>
    <col min="4098" max="4098" width="10.36328125" style="34" customWidth="1"/>
    <col min="4099" max="4099" width="8.6328125" style="34" customWidth="1"/>
    <col min="4100" max="4111" width="6.6328125" style="34" customWidth="1"/>
    <col min="4112" max="4112" width="8.6328125" style="34" customWidth="1"/>
    <col min="4113" max="4351" width="9" style="34"/>
    <col min="4352" max="4352" width="2.26953125" style="34" customWidth="1"/>
    <col min="4353" max="4353" width="4.26953125" style="34" customWidth="1"/>
    <col min="4354" max="4354" width="10.36328125" style="34" customWidth="1"/>
    <col min="4355" max="4355" width="8.6328125" style="34" customWidth="1"/>
    <col min="4356" max="4367" width="6.6328125" style="34" customWidth="1"/>
    <col min="4368" max="4368" width="8.6328125" style="34" customWidth="1"/>
    <col min="4369" max="4607" width="9" style="34"/>
    <col min="4608" max="4608" width="2.26953125" style="34" customWidth="1"/>
    <col min="4609" max="4609" width="4.26953125" style="34" customWidth="1"/>
    <col min="4610" max="4610" width="10.36328125" style="34" customWidth="1"/>
    <col min="4611" max="4611" width="8.6328125" style="34" customWidth="1"/>
    <col min="4612" max="4623" width="6.6328125" style="34" customWidth="1"/>
    <col min="4624" max="4624" width="8.6328125" style="34" customWidth="1"/>
    <col min="4625" max="4863" width="9" style="34"/>
    <col min="4864" max="4864" width="2.26953125" style="34" customWidth="1"/>
    <col min="4865" max="4865" width="4.26953125" style="34" customWidth="1"/>
    <col min="4866" max="4866" width="10.36328125" style="34" customWidth="1"/>
    <col min="4867" max="4867" width="8.6328125" style="34" customWidth="1"/>
    <col min="4868" max="4879" width="6.6328125" style="34" customWidth="1"/>
    <col min="4880" max="4880" width="8.6328125" style="34" customWidth="1"/>
    <col min="4881" max="5119" width="9" style="34"/>
    <col min="5120" max="5120" width="2.26953125" style="34" customWidth="1"/>
    <col min="5121" max="5121" width="4.26953125" style="34" customWidth="1"/>
    <col min="5122" max="5122" width="10.36328125" style="34" customWidth="1"/>
    <col min="5123" max="5123" width="8.6328125" style="34" customWidth="1"/>
    <col min="5124" max="5135" width="6.6328125" style="34" customWidth="1"/>
    <col min="5136" max="5136" width="8.6328125" style="34" customWidth="1"/>
    <col min="5137" max="5375" width="9" style="34"/>
    <col min="5376" max="5376" width="2.26953125" style="34" customWidth="1"/>
    <col min="5377" max="5377" width="4.26953125" style="34" customWidth="1"/>
    <col min="5378" max="5378" width="10.36328125" style="34" customWidth="1"/>
    <col min="5379" max="5379" width="8.6328125" style="34" customWidth="1"/>
    <col min="5380" max="5391" width="6.6328125" style="34" customWidth="1"/>
    <col min="5392" max="5392" width="8.6328125" style="34" customWidth="1"/>
    <col min="5393" max="5631" width="9" style="34"/>
    <col min="5632" max="5632" width="2.26953125" style="34" customWidth="1"/>
    <col min="5633" max="5633" width="4.26953125" style="34" customWidth="1"/>
    <col min="5634" max="5634" width="10.36328125" style="34" customWidth="1"/>
    <col min="5635" max="5635" width="8.6328125" style="34" customWidth="1"/>
    <col min="5636" max="5647" width="6.6328125" style="34" customWidth="1"/>
    <col min="5648" max="5648" width="8.6328125" style="34" customWidth="1"/>
    <col min="5649" max="5887" width="9" style="34"/>
    <col min="5888" max="5888" width="2.26953125" style="34" customWidth="1"/>
    <col min="5889" max="5889" width="4.26953125" style="34" customWidth="1"/>
    <col min="5890" max="5890" width="10.36328125" style="34" customWidth="1"/>
    <col min="5891" max="5891" width="8.6328125" style="34" customWidth="1"/>
    <col min="5892" max="5903" width="6.6328125" style="34" customWidth="1"/>
    <col min="5904" max="5904" width="8.6328125" style="34" customWidth="1"/>
    <col min="5905" max="6143" width="9" style="34"/>
    <col min="6144" max="6144" width="2.26953125" style="34" customWidth="1"/>
    <col min="6145" max="6145" width="4.26953125" style="34" customWidth="1"/>
    <col min="6146" max="6146" width="10.36328125" style="34" customWidth="1"/>
    <col min="6147" max="6147" width="8.6328125" style="34" customWidth="1"/>
    <col min="6148" max="6159" width="6.6328125" style="34" customWidth="1"/>
    <col min="6160" max="6160" width="8.6328125" style="34" customWidth="1"/>
    <col min="6161" max="6399" width="9" style="34"/>
    <col min="6400" max="6400" width="2.26953125" style="34" customWidth="1"/>
    <col min="6401" max="6401" width="4.26953125" style="34" customWidth="1"/>
    <col min="6402" max="6402" width="10.36328125" style="34" customWidth="1"/>
    <col min="6403" max="6403" width="8.6328125" style="34" customWidth="1"/>
    <col min="6404" max="6415" width="6.6328125" style="34" customWidth="1"/>
    <col min="6416" max="6416" width="8.6328125" style="34" customWidth="1"/>
    <col min="6417" max="6655" width="9" style="34"/>
    <col min="6656" max="6656" width="2.26953125" style="34" customWidth="1"/>
    <col min="6657" max="6657" width="4.26953125" style="34" customWidth="1"/>
    <col min="6658" max="6658" width="10.36328125" style="34" customWidth="1"/>
    <col min="6659" max="6659" width="8.6328125" style="34" customWidth="1"/>
    <col min="6660" max="6671" width="6.6328125" style="34" customWidth="1"/>
    <col min="6672" max="6672" width="8.6328125" style="34" customWidth="1"/>
    <col min="6673" max="6911" width="9" style="34"/>
    <col min="6912" max="6912" width="2.26953125" style="34" customWidth="1"/>
    <col min="6913" max="6913" width="4.26953125" style="34" customWidth="1"/>
    <col min="6914" max="6914" width="10.36328125" style="34" customWidth="1"/>
    <col min="6915" max="6915" width="8.6328125" style="34" customWidth="1"/>
    <col min="6916" max="6927" width="6.6328125" style="34" customWidth="1"/>
    <col min="6928" max="6928" width="8.6328125" style="34" customWidth="1"/>
    <col min="6929" max="7167" width="9" style="34"/>
    <col min="7168" max="7168" width="2.26953125" style="34" customWidth="1"/>
    <col min="7169" max="7169" width="4.26953125" style="34" customWidth="1"/>
    <col min="7170" max="7170" width="10.36328125" style="34" customWidth="1"/>
    <col min="7171" max="7171" width="8.6328125" style="34" customWidth="1"/>
    <col min="7172" max="7183" width="6.6328125" style="34" customWidth="1"/>
    <col min="7184" max="7184" width="8.6328125" style="34" customWidth="1"/>
    <col min="7185" max="7423" width="9" style="34"/>
    <col min="7424" max="7424" width="2.26953125" style="34" customWidth="1"/>
    <col min="7425" max="7425" width="4.26953125" style="34" customWidth="1"/>
    <col min="7426" max="7426" width="10.36328125" style="34" customWidth="1"/>
    <col min="7427" max="7427" width="8.6328125" style="34" customWidth="1"/>
    <col min="7428" max="7439" width="6.6328125" style="34" customWidth="1"/>
    <col min="7440" max="7440" width="8.6328125" style="34" customWidth="1"/>
    <col min="7441" max="7679" width="9" style="34"/>
    <col min="7680" max="7680" width="2.26953125" style="34" customWidth="1"/>
    <col min="7681" max="7681" width="4.26953125" style="34" customWidth="1"/>
    <col min="7682" max="7682" width="10.36328125" style="34" customWidth="1"/>
    <col min="7683" max="7683" width="8.6328125" style="34" customWidth="1"/>
    <col min="7684" max="7695" width="6.6328125" style="34" customWidth="1"/>
    <col min="7696" max="7696" width="8.6328125" style="34" customWidth="1"/>
    <col min="7697" max="7935" width="9" style="34"/>
    <col min="7936" max="7936" width="2.26953125" style="34" customWidth="1"/>
    <col min="7937" max="7937" width="4.26953125" style="34" customWidth="1"/>
    <col min="7938" max="7938" width="10.36328125" style="34" customWidth="1"/>
    <col min="7939" max="7939" width="8.6328125" style="34" customWidth="1"/>
    <col min="7940" max="7951" width="6.6328125" style="34" customWidth="1"/>
    <col min="7952" max="7952" width="8.6328125" style="34" customWidth="1"/>
    <col min="7953" max="8191" width="9" style="34"/>
    <col min="8192" max="8192" width="2.26953125" style="34" customWidth="1"/>
    <col min="8193" max="8193" width="4.26953125" style="34" customWidth="1"/>
    <col min="8194" max="8194" width="10.36328125" style="34" customWidth="1"/>
    <col min="8195" max="8195" width="8.6328125" style="34" customWidth="1"/>
    <col min="8196" max="8207" width="6.6328125" style="34" customWidth="1"/>
    <col min="8208" max="8208" width="8.6328125" style="34" customWidth="1"/>
    <col min="8209" max="8447" width="9" style="34"/>
    <col min="8448" max="8448" width="2.26953125" style="34" customWidth="1"/>
    <col min="8449" max="8449" width="4.26953125" style="34" customWidth="1"/>
    <col min="8450" max="8450" width="10.36328125" style="34" customWidth="1"/>
    <col min="8451" max="8451" width="8.6328125" style="34" customWidth="1"/>
    <col min="8452" max="8463" width="6.6328125" style="34" customWidth="1"/>
    <col min="8464" max="8464" width="8.6328125" style="34" customWidth="1"/>
    <col min="8465" max="8703" width="9" style="34"/>
    <col min="8704" max="8704" width="2.26953125" style="34" customWidth="1"/>
    <col min="8705" max="8705" width="4.26953125" style="34" customWidth="1"/>
    <col min="8706" max="8706" width="10.36328125" style="34" customWidth="1"/>
    <col min="8707" max="8707" width="8.6328125" style="34" customWidth="1"/>
    <col min="8708" max="8719" width="6.6328125" style="34" customWidth="1"/>
    <col min="8720" max="8720" width="8.6328125" style="34" customWidth="1"/>
    <col min="8721" max="8959" width="9" style="34"/>
    <col min="8960" max="8960" width="2.26953125" style="34" customWidth="1"/>
    <col min="8961" max="8961" width="4.26953125" style="34" customWidth="1"/>
    <col min="8962" max="8962" width="10.36328125" style="34" customWidth="1"/>
    <col min="8963" max="8963" width="8.6328125" style="34" customWidth="1"/>
    <col min="8964" max="8975" width="6.6328125" style="34" customWidth="1"/>
    <col min="8976" max="8976" width="8.6328125" style="34" customWidth="1"/>
    <col min="8977" max="9215" width="9" style="34"/>
    <col min="9216" max="9216" width="2.26953125" style="34" customWidth="1"/>
    <col min="9217" max="9217" width="4.26953125" style="34" customWidth="1"/>
    <col min="9218" max="9218" width="10.36328125" style="34" customWidth="1"/>
    <col min="9219" max="9219" width="8.6328125" style="34" customWidth="1"/>
    <col min="9220" max="9231" width="6.6328125" style="34" customWidth="1"/>
    <col min="9232" max="9232" width="8.6328125" style="34" customWidth="1"/>
    <col min="9233" max="9471" width="9" style="34"/>
    <col min="9472" max="9472" width="2.26953125" style="34" customWidth="1"/>
    <col min="9473" max="9473" width="4.26953125" style="34" customWidth="1"/>
    <col min="9474" max="9474" width="10.36328125" style="34" customWidth="1"/>
    <col min="9475" max="9475" width="8.6328125" style="34" customWidth="1"/>
    <col min="9476" max="9487" width="6.6328125" style="34" customWidth="1"/>
    <col min="9488" max="9488" width="8.6328125" style="34" customWidth="1"/>
    <col min="9489" max="9727" width="9" style="34"/>
    <col min="9728" max="9728" width="2.26953125" style="34" customWidth="1"/>
    <col min="9729" max="9729" width="4.26953125" style="34" customWidth="1"/>
    <col min="9730" max="9730" width="10.36328125" style="34" customWidth="1"/>
    <col min="9731" max="9731" width="8.6328125" style="34" customWidth="1"/>
    <col min="9732" max="9743" width="6.6328125" style="34" customWidth="1"/>
    <col min="9744" max="9744" width="8.6328125" style="34" customWidth="1"/>
    <col min="9745" max="9983" width="9" style="34"/>
    <col min="9984" max="9984" width="2.26953125" style="34" customWidth="1"/>
    <col min="9985" max="9985" width="4.26953125" style="34" customWidth="1"/>
    <col min="9986" max="9986" width="10.36328125" style="34" customWidth="1"/>
    <col min="9987" max="9987" width="8.6328125" style="34" customWidth="1"/>
    <col min="9988" max="9999" width="6.6328125" style="34" customWidth="1"/>
    <col min="10000" max="10000" width="8.6328125" style="34" customWidth="1"/>
    <col min="10001" max="10239" width="9" style="34"/>
    <col min="10240" max="10240" width="2.26953125" style="34" customWidth="1"/>
    <col min="10241" max="10241" width="4.26953125" style="34" customWidth="1"/>
    <col min="10242" max="10242" width="10.36328125" style="34" customWidth="1"/>
    <col min="10243" max="10243" width="8.6328125" style="34" customWidth="1"/>
    <col min="10244" max="10255" width="6.6328125" style="34" customWidth="1"/>
    <col min="10256" max="10256" width="8.6328125" style="34" customWidth="1"/>
    <col min="10257" max="10495" width="9" style="34"/>
    <col min="10496" max="10496" width="2.26953125" style="34" customWidth="1"/>
    <col min="10497" max="10497" width="4.26953125" style="34" customWidth="1"/>
    <col min="10498" max="10498" width="10.36328125" style="34" customWidth="1"/>
    <col min="10499" max="10499" width="8.6328125" style="34" customWidth="1"/>
    <col min="10500" max="10511" width="6.6328125" style="34" customWidth="1"/>
    <col min="10512" max="10512" width="8.6328125" style="34" customWidth="1"/>
    <col min="10513" max="10751" width="9" style="34"/>
    <col min="10752" max="10752" width="2.26953125" style="34" customWidth="1"/>
    <col min="10753" max="10753" width="4.26953125" style="34" customWidth="1"/>
    <col min="10754" max="10754" width="10.36328125" style="34" customWidth="1"/>
    <col min="10755" max="10755" width="8.6328125" style="34" customWidth="1"/>
    <col min="10756" max="10767" width="6.6328125" style="34" customWidth="1"/>
    <col min="10768" max="10768" width="8.6328125" style="34" customWidth="1"/>
    <col min="10769" max="11007" width="9" style="34"/>
    <col min="11008" max="11008" width="2.26953125" style="34" customWidth="1"/>
    <col min="11009" max="11009" width="4.26953125" style="34" customWidth="1"/>
    <col min="11010" max="11010" width="10.36328125" style="34" customWidth="1"/>
    <col min="11011" max="11011" width="8.6328125" style="34" customWidth="1"/>
    <col min="11012" max="11023" width="6.6328125" style="34" customWidth="1"/>
    <col min="11024" max="11024" width="8.6328125" style="34" customWidth="1"/>
    <col min="11025" max="11263" width="9" style="34"/>
    <col min="11264" max="11264" width="2.26953125" style="34" customWidth="1"/>
    <col min="11265" max="11265" width="4.26953125" style="34" customWidth="1"/>
    <col min="11266" max="11266" width="10.36328125" style="34" customWidth="1"/>
    <col min="11267" max="11267" width="8.6328125" style="34" customWidth="1"/>
    <col min="11268" max="11279" width="6.6328125" style="34" customWidth="1"/>
    <col min="11280" max="11280" width="8.6328125" style="34" customWidth="1"/>
    <col min="11281" max="11519" width="9" style="34"/>
    <col min="11520" max="11520" width="2.26953125" style="34" customWidth="1"/>
    <col min="11521" max="11521" width="4.26953125" style="34" customWidth="1"/>
    <col min="11522" max="11522" width="10.36328125" style="34" customWidth="1"/>
    <col min="11523" max="11523" width="8.6328125" style="34" customWidth="1"/>
    <col min="11524" max="11535" width="6.6328125" style="34" customWidth="1"/>
    <col min="11536" max="11536" width="8.6328125" style="34" customWidth="1"/>
    <col min="11537" max="11775" width="9" style="34"/>
    <col min="11776" max="11776" width="2.26953125" style="34" customWidth="1"/>
    <col min="11777" max="11777" width="4.26953125" style="34" customWidth="1"/>
    <col min="11778" max="11778" width="10.36328125" style="34" customWidth="1"/>
    <col min="11779" max="11779" width="8.6328125" style="34" customWidth="1"/>
    <col min="11780" max="11791" width="6.6328125" style="34" customWidth="1"/>
    <col min="11792" max="11792" width="8.6328125" style="34" customWidth="1"/>
    <col min="11793" max="12031" width="9" style="34"/>
    <col min="12032" max="12032" width="2.26953125" style="34" customWidth="1"/>
    <col min="12033" max="12033" width="4.26953125" style="34" customWidth="1"/>
    <col min="12034" max="12034" width="10.36328125" style="34" customWidth="1"/>
    <col min="12035" max="12035" width="8.6328125" style="34" customWidth="1"/>
    <col min="12036" max="12047" width="6.6328125" style="34" customWidth="1"/>
    <col min="12048" max="12048" width="8.6328125" style="34" customWidth="1"/>
    <col min="12049" max="12287" width="9" style="34"/>
    <col min="12288" max="12288" width="2.26953125" style="34" customWidth="1"/>
    <col min="12289" max="12289" width="4.26953125" style="34" customWidth="1"/>
    <col min="12290" max="12290" width="10.36328125" style="34" customWidth="1"/>
    <col min="12291" max="12291" width="8.6328125" style="34" customWidth="1"/>
    <col min="12292" max="12303" width="6.6328125" style="34" customWidth="1"/>
    <col min="12304" max="12304" width="8.6328125" style="34" customWidth="1"/>
    <col min="12305" max="12543" width="9" style="34"/>
    <col min="12544" max="12544" width="2.26953125" style="34" customWidth="1"/>
    <col min="12545" max="12545" width="4.26953125" style="34" customWidth="1"/>
    <col min="12546" max="12546" width="10.36328125" style="34" customWidth="1"/>
    <col min="12547" max="12547" width="8.6328125" style="34" customWidth="1"/>
    <col min="12548" max="12559" width="6.6328125" style="34" customWidth="1"/>
    <col min="12560" max="12560" width="8.6328125" style="34" customWidth="1"/>
    <col min="12561" max="12799" width="9" style="34"/>
    <col min="12800" max="12800" width="2.26953125" style="34" customWidth="1"/>
    <col min="12801" max="12801" width="4.26953125" style="34" customWidth="1"/>
    <col min="12802" max="12802" width="10.36328125" style="34" customWidth="1"/>
    <col min="12803" max="12803" width="8.6328125" style="34" customWidth="1"/>
    <col min="12804" max="12815" width="6.6328125" style="34" customWidth="1"/>
    <col min="12816" max="12816" width="8.6328125" style="34" customWidth="1"/>
    <col min="12817" max="13055" width="9" style="34"/>
    <col min="13056" max="13056" width="2.26953125" style="34" customWidth="1"/>
    <col min="13057" max="13057" width="4.26953125" style="34" customWidth="1"/>
    <col min="13058" max="13058" width="10.36328125" style="34" customWidth="1"/>
    <col min="13059" max="13059" width="8.6328125" style="34" customWidth="1"/>
    <col min="13060" max="13071" width="6.6328125" style="34" customWidth="1"/>
    <col min="13072" max="13072" width="8.6328125" style="34" customWidth="1"/>
    <col min="13073" max="13311" width="9" style="34"/>
    <col min="13312" max="13312" width="2.26953125" style="34" customWidth="1"/>
    <col min="13313" max="13313" width="4.26953125" style="34" customWidth="1"/>
    <col min="13314" max="13314" width="10.36328125" style="34" customWidth="1"/>
    <col min="13315" max="13315" width="8.6328125" style="34" customWidth="1"/>
    <col min="13316" max="13327" width="6.6328125" style="34" customWidth="1"/>
    <col min="13328" max="13328" width="8.6328125" style="34" customWidth="1"/>
    <col min="13329" max="13567" width="9" style="34"/>
    <col min="13568" max="13568" width="2.26953125" style="34" customWidth="1"/>
    <col min="13569" max="13569" width="4.26953125" style="34" customWidth="1"/>
    <col min="13570" max="13570" width="10.36328125" style="34" customWidth="1"/>
    <col min="13571" max="13571" width="8.6328125" style="34" customWidth="1"/>
    <col min="13572" max="13583" width="6.6328125" style="34" customWidth="1"/>
    <col min="13584" max="13584" width="8.6328125" style="34" customWidth="1"/>
    <col min="13585" max="13823" width="9" style="34"/>
    <col min="13824" max="13824" width="2.26953125" style="34" customWidth="1"/>
    <col min="13825" max="13825" width="4.26953125" style="34" customWidth="1"/>
    <col min="13826" max="13826" width="10.36328125" style="34" customWidth="1"/>
    <col min="13827" max="13827" width="8.6328125" style="34" customWidth="1"/>
    <col min="13828" max="13839" width="6.6328125" style="34" customWidth="1"/>
    <col min="13840" max="13840" width="8.6328125" style="34" customWidth="1"/>
    <col min="13841" max="14079" width="9" style="34"/>
    <col min="14080" max="14080" width="2.26953125" style="34" customWidth="1"/>
    <col min="14081" max="14081" width="4.26953125" style="34" customWidth="1"/>
    <col min="14082" max="14082" width="10.36328125" style="34" customWidth="1"/>
    <col min="14083" max="14083" width="8.6328125" style="34" customWidth="1"/>
    <col min="14084" max="14095" width="6.6328125" style="34" customWidth="1"/>
    <col min="14096" max="14096" width="8.6328125" style="34" customWidth="1"/>
    <col min="14097" max="14335" width="9" style="34"/>
    <col min="14336" max="14336" width="2.26953125" style="34" customWidth="1"/>
    <col min="14337" max="14337" width="4.26953125" style="34" customWidth="1"/>
    <col min="14338" max="14338" width="10.36328125" style="34" customWidth="1"/>
    <col min="14339" max="14339" width="8.6328125" style="34" customWidth="1"/>
    <col min="14340" max="14351" width="6.6328125" style="34" customWidth="1"/>
    <col min="14352" max="14352" width="8.6328125" style="34" customWidth="1"/>
    <col min="14353" max="14591" width="9" style="34"/>
    <col min="14592" max="14592" width="2.26953125" style="34" customWidth="1"/>
    <col min="14593" max="14593" width="4.26953125" style="34" customWidth="1"/>
    <col min="14594" max="14594" width="10.36328125" style="34" customWidth="1"/>
    <col min="14595" max="14595" width="8.6328125" style="34" customWidth="1"/>
    <col min="14596" max="14607" width="6.6328125" style="34" customWidth="1"/>
    <col min="14608" max="14608" width="8.6328125" style="34" customWidth="1"/>
    <col min="14609" max="14847" width="9" style="34"/>
    <col min="14848" max="14848" width="2.26953125" style="34" customWidth="1"/>
    <col min="14849" max="14849" width="4.26953125" style="34" customWidth="1"/>
    <col min="14850" max="14850" width="10.36328125" style="34" customWidth="1"/>
    <col min="14851" max="14851" width="8.6328125" style="34" customWidth="1"/>
    <col min="14852" max="14863" width="6.6328125" style="34" customWidth="1"/>
    <col min="14864" max="14864" width="8.6328125" style="34" customWidth="1"/>
    <col min="14865" max="15103" width="9" style="34"/>
    <col min="15104" max="15104" width="2.26953125" style="34" customWidth="1"/>
    <col min="15105" max="15105" width="4.26953125" style="34" customWidth="1"/>
    <col min="15106" max="15106" width="10.36328125" style="34" customWidth="1"/>
    <col min="15107" max="15107" width="8.6328125" style="34" customWidth="1"/>
    <col min="15108" max="15119" width="6.6328125" style="34" customWidth="1"/>
    <col min="15120" max="15120" width="8.6328125" style="34" customWidth="1"/>
    <col min="15121" max="15359" width="9" style="34"/>
    <col min="15360" max="15360" width="2.26953125" style="34" customWidth="1"/>
    <col min="15361" max="15361" width="4.26953125" style="34" customWidth="1"/>
    <col min="15362" max="15362" width="10.36328125" style="34" customWidth="1"/>
    <col min="15363" max="15363" width="8.6328125" style="34" customWidth="1"/>
    <col min="15364" max="15375" width="6.6328125" style="34" customWidth="1"/>
    <col min="15376" max="15376" width="8.6328125" style="34" customWidth="1"/>
    <col min="15377" max="15615" width="9" style="34"/>
    <col min="15616" max="15616" width="2.26953125" style="34" customWidth="1"/>
    <col min="15617" max="15617" width="4.26953125" style="34" customWidth="1"/>
    <col min="15618" max="15618" width="10.36328125" style="34" customWidth="1"/>
    <col min="15619" max="15619" width="8.6328125" style="34" customWidth="1"/>
    <col min="15620" max="15631" width="6.6328125" style="34" customWidth="1"/>
    <col min="15632" max="15632" width="8.6328125" style="34" customWidth="1"/>
    <col min="15633" max="15871" width="9" style="34"/>
    <col min="15872" max="15872" width="2.26953125" style="34" customWidth="1"/>
    <col min="15873" max="15873" width="4.26953125" style="34" customWidth="1"/>
    <col min="15874" max="15874" width="10.36328125" style="34" customWidth="1"/>
    <col min="15875" max="15875" width="8.6328125" style="34" customWidth="1"/>
    <col min="15876" max="15887" width="6.6328125" style="34" customWidth="1"/>
    <col min="15888" max="15888" width="8.6328125" style="34" customWidth="1"/>
    <col min="15889" max="16127" width="9" style="34"/>
    <col min="16128" max="16128" width="2.26953125" style="34" customWidth="1"/>
    <col min="16129" max="16129" width="4.26953125" style="34" customWidth="1"/>
    <col min="16130" max="16130" width="10.36328125" style="34" customWidth="1"/>
    <col min="16131" max="16131" width="8.6328125" style="34" customWidth="1"/>
    <col min="16132" max="16143" width="6.6328125" style="34" customWidth="1"/>
    <col min="16144" max="16144" width="8.6328125" style="34" customWidth="1"/>
    <col min="16145" max="16384" width="9" style="34"/>
  </cols>
  <sheetData>
    <row r="1" spans="1:31" ht="20.149999999999999" customHeight="1">
      <c r="A1" s="888" t="s">
        <v>364</v>
      </c>
      <c r="B1" s="888"/>
      <c r="C1" s="888"/>
      <c r="D1" s="888"/>
      <c r="E1" s="888"/>
      <c r="F1" s="888"/>
      <c r="G1" s="888"/>
      <c r="H1" s="888"/>
      <c r="I1" s="888"/>
      <c r="J1" s="888"/>
      <c r="K1" s="888"/>
      <c r="L1" s="888"/>
      <c r="M1" s="888"/>
      <c r="N1" s="888"/>
      <c r="O1" s="887" t="e">
        <f>CONCATENATE(#REF!,"/",#REF!,"/",#REF!)</f>
        <v>#REF!</v>
      </c>
      <c r="P1" s="887"/>
      <c r="Q1" s="887"/>
      <c r="T1" s="35" t="s">
        <v>82</v>
      </c>
      <c r="U1" s="35" t="s">
        <v>82</v>
      </c>
      <c r="V1" s="926" t="s">
        <v>346</v>
      </c>
      <c r="W1" s="926"/>
      <c r="X1" s="926"/>
      <c r="Y1" s="926"/>
      <c r="Z1" s="926"/>
    </row>
    <row r="2" spans="1:31" ht="20.149999999999999" customHeight="1">
      <c r="A2" s="36"/>
      <c r="B2" s="36"/>
      <c r="C2" s="37"/>
      <c r="D2" s="36"/>
      <c r="E2" s="36"/>
      <c r="F2" s="36"/>
      <c r="G2" s="36"/>
      <c r="H2" s="36"/>
      <c r="I2" s="36"/>
      <c r="J2" s="36"/>
      <c r="K2" s="36"/>
      <c r="L2" s="36"/>
      <c r="M2" s="36"/>
      <c r="N2" s="36"/>
      <c r="O2" s="36"/>
      <c r="P2" s="36"/>
      <c r="Q2" s="36"/>
      <c r="T2" s="35"/>
      <c r="U2" s="35"/>
      <c r="V2" s="154"/>
      <c r="W2" s="35" t="s">
        <v>348</v>
      </c>
      <c r="X2" s="35" t="s">
        <v>349</v>
      </c>
      <c r="Y2" s="35"/>
      <c r="Z2" s="35" t="s">
        <v>363</v>
      </c>
    </row>
    <row r="3" spans="1:31" ht="20.149999999999999" customHeight="1">
      <c r="A3" s="36"/>
      <c r="B3" s="38" t="s">
        <v>174</v>
      </c>
      <c r="C3" s="36"/>
      <c r="D3" s="36"/>
      <c r="E3" s="36"/>
      <c r="F3" s="36"/>
      <c r="G3" s="36"/>
      <c r="H3" s="39"/>
      <c r="I3" s="39"/>
      <c r="J3" s="39"/>
      <c r="K3" s="39"/>
      <c r="L3" s="39"/>
      <c r="M3" s="39"/>
      <c r="N3" s="39"/>
      <c r="O3" s="39"/>
      <c r="P3" s="39"/>
      <c r="Q3" s="39"/>
      <c r="T3" s="35" t="s">
        <v>342</v>
      </c>
      <c r="U3" s="35" t="s">
        <v>344</v>
      </c>
      <c r="V3" s="35" t="s">
        <v>93</v>
      </c>
      <c r="W3" s="35">
        <f>IF($N$42="はい",Q60,Q29)</f>
        <v>0</v>
      </c>
      <c r="X3" s="35">
        <f>IF($N$42="はい",Q66,Q35)</f>
        <v>0</v>
      </c>
      <c r="Y3" s="35" t="s">
        <v>358</v>
      </c>
      <c r="Z3" s="35">
        <f>SUM(W6:X6)</f>
        <v>0</v>
      </c>
    </row>
    <row r="4" spans="1:31" ht="20.149999999999999" customHeight="1">
      <c r="A4" s="36"/>
      <c r="B4" s="166" t="s">
        <v>175</v>
      </c>
      <c r="C4" s="36"/>
      <c r="D4" s="36"/>
      <c r="E4" s="36"/>
      <c r="F4" s="36"/>
      <c r="G4" s="36"/>
      <c r="H4" s="39"/>
      <c r="I4" s="39"/>
      <c r="J4" s="39"/>
      <c r="K4" s="39"/>
      <c r="L4" s="39"/>
      <c r="M4" s="39"/>
      <c r="N4" s="39"/>
      <c r="O4" s="39"/>
      <c r="P4" s="39"/>
      <c r="Q4" s="39"/>
      <c r="T4" s="35" t="s">
        <v>343</v>
      </c>
      <c r="U4" s="35"/>
      <c r="V4" s="35" t="s">
        <v>70</v>
      </c>
      <c r="W4" s="35">
        <f>IF($N$42="はい",Q61,Q30)</f>
        <v>0</v>
      </c>
      <c r="X4" s="35">
        <f>IF($N$42="はい",Q67,Q36)</f>
        <v>0</v>
      </c>
      <c r="Y4" s="35" t="s">
        <v>359</v>
      </c>
      <c r="Z4" s="35">
        <f>SUM(W5:X5)</f>
        <v>0</v>
      </c>
    </row>
    <row r="5" spans="1:31" ht="20.149999999999999" customHeight="1" thickBot="1">
      <c r="A5" s="40" t="s">
        <v>340</v>
      </c>
      <c r="B5" s="40"/>
      <c r="C5" s="36"/>
      <c r="D5" s="36"/>
      <c r="E5" s="36"/>
      <c r="F5" s="36"/>
      <c r="G5" s="36"/>
      <c r="H5" s="36"/>
      <c r="I5" s="36"/>
      <c r="J5" s="36"/>
      <c r="K5" s="36"/>
      <c r="L5" s="36"/>
      <c r="M5" s="36"/>
      <c r="N5" s="36"/>
      <c r="O5" s="36"/>
      <c r="P5" s="36"/>
      <c r="Q5" s="36"/>
      <c r="V5" s="35" t="s">
        <v>337</v>
      </c>
      <c r="W5" s="35">
        <f>IF($N$42="はい",Q62,Q31)</f>
        <v>0</v>
      </c>
      <c r="X5" s="35">
        <f>IF($N$42="はい",Q68,Q37)</f>
        <v>0</v>
      </c>
      <c r="Y5" s="35" t="s">
        <v>361</v>
      </c>
      <c r="Z5" s="35">
        <f>SUM(W4:X4)</f>
        <v>0</v>
      </c>
    </row>
    <row r="6" spans="1:31" ht="20.149999999999999" customHeight="1">
      <c r="A6" s="36"/>
      <c r="B6" s="911" t="s">
        <v>35</v>
      </c>
      <c r="C6" s="912"/>
      <c r="D6" s="100" t="s">
        <v>124</v>
      </c>
      <c r="E6" s="41">
        <v>4</v>
      </c>
      <c r="F6" s="42">
        <v>5</v>
      </c>
      <c r="G6" s="42">
        <v>6</v>
      </c>
      <c r="H6" s="42">
        <v>7</v>
      </c>
      <c r="I6" s="42">
        <v>8</v>
      </c>
      <c r="J6" s="42">
        <v>9</v>
      </c>
      <c r="K6" s="42">
        <v>10</v>
      </c>
      <c r="L6" s="42">
        <v>11</v>
      </c>
      <c r="M6" s="42">
        <v>12</v>
      </c>
      <c r="N6" s="42">
        <v>1</v>
      </c>
      <c r="O6" s="42">
        <v>2</v>
      </c>
      <c r="P6" s="42">
        <v>3</v>
      </c>
      <c r="Q6" s="77" t="s">
        <v>1</v>
      </c>
      <c r="V6" s="35" t="s">
        <v>334</v>
      </c>
      <c r="W6" s="35">
        <f>IF($N$42="はい",Q63,Q32)</f>
        <v>0</v>
      </c>
      <c r="X6" s="35">
        <f>IF($N$42="はい",Q69,Q38)</f>
        <v>0</v>
      </c>
      <c r="Y6" s="35" t="s">
        <v>362</v>
      </c>
      <c r="Z6" s="35">
        <f>SUM(W3:X3)</f>
        <v>0</v>
      </c>
    </row>
    <row r="7" spans="1:31" ht="20.149999999999999" customHeight="1">
      <c r="A7" s="36"/>
      <c r="B7" s="878" t="s">
        <v>93</v>
      </c>
      <c r="C7" s="879"/>
      <c r="D7" s="90" t="s">
        <v>176</v>
      </c>
      <c r="E7" s="91"/>
      <c r="F7" s="92"/>
      <c r="G7" s="91"/>
      <c r="H7" s="92"/>
      <c r="I7" s="91"/>
      <c r="J7" s="92"/>
      <c r="K7" s="91"/>
      <c r="L7" s="92"/>
      <c r="M7" s="91"/>
      <c r="N7" s="92"/>
      <c r="O7" s="91"/>
      <c r="P7" s="92"/>
      <c r="Q7" s="876">
        <f>ROUND(SUM(E7:P7)/12,0)</f>
        <v>0</v>
      </c>
      <c r="S7" s="76"/>
      <c r="T7" s="85"/>
      <c r="U7" s="85"/>
      <c r="V7" s="85"/>
      <c r="W7" s="85"/>
      <c r="X7" s="85"/>
      <c r="Y7" s="86"/>
      <c r="Z7" s="86"/>
      <c r="AA7" s="85"/>
      <c r="AB7" s="85"/>
      <c r="AC7" s="85"/>
      <c r="AD7" s="85"/>
      <c r="AE7" s="86"/>
    </row>
    <row r="8" spans="1:31" ht="10" customHeight="1">
      <c r="A8" s="36"/>
      <c r="B8" s="880"/>
      <c r="C8" s="881"/>
      <c r="D8" s="97" t="s">
        <v>339</v>
      </c>
      <c r="E8" s="98"/>
      <c r="F8" s="99">
        <f t="shared" ref="F8:P8" si="0">IF($E7=0,F7/1,IF(ISERROR(F7/$E7),0,F7/$E7))</f>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877"/>
      <c r="S8" s="47"/>
      <c r="T8" s="86"/>
      <c r="U8" s="86"/>
      <c r="V8" s="86"/>
      <c r="W8" s="86"/>
      <c r="X8" s="86"/>
      <c r="Y8" s="94"/>
      <c r="Z8" s="94"/>
      <c r="AA8" s="86"/>
      <c r="AB8" s="86"/>
      <c r="AC8" s="86"/>
      <c r="AD8" s="86"/>
      <c r="AE8" s="89" t="s">
        <v>177</v>
      </c>
    </row>
    <row r="9" spans="1:31" ht="20.149999999999999" customHeight="1">
      <c r="A9" s="36"/>
      <c r="B9" s="878" t="s">
        <v>70</v>
      </c>
      <c r="C9" s="879"/>
      <c r="D9" s="90" t="s">
        <v>176</v>
      </c>
      <c r="E9" s="91"/>
      <c r="F9" s="92"/>
      <c r="G9" s="91"/>
      <c r="H9" s="92"/>
      <c r="I9" s="91"/>
      <c r="J9" s="92"/>
      <c r="K9" s="91"/>
      <c r="L9" s="92"/>
      <c r="M9" s="91"/>
      <c r="N9" s="92"/>
      <c r="O9" s="91"/>
      <c r="P9" s="92"/>
      <c r="Q9" s="876">
        <f>ROUND(SUM(E9:P9)/12,0)</f>
        <v>0</v>
      </c>
      <c r="S9" s="47"/>
      <c r="T9" s="93"/>
      <c r="U9" s="94"/>
      <c r="V9" s="94"/>
      <c r="W9" s="94"/>
      <c r="X9" s="94"/>
      <c r="Y9" s="86"/>
      <c r="Z9" s="86"/>
      <c r="AA9" s="94"/>
      <c r="AB9" s="94"/>
      <c r="AC9" s="94"/>
      <c r="AD9" s="94"/>
      <c r="AE9" s="89"/>
    </row>
    <row r="10" spans="1:31" ht="10" customHeight="1">
      <c r="A10" s="36"/>
      <c r="B10" s="880"/>
      <c r="C10" s="881"/>
      <c r="D10" s="97" t="s">
        <v>339</v>
      </c>
      <c r="E10" s="98"/>
      <c r="F10" s="99">
        <f t="shared" ref="F10:P10" si="1">IF($E9=0,F9/1,IF(ISERROR(F9/$E9),0,F9/$E9))</f>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877"/>
      <c r="S10" s="47"/>
      <c r="T10" s="86"/>
      <c r="U10" s="86"/>
      <c r="V10" s="86"/>
      <c r="W10" s="86"/>
      <c r="X10" s="86"/>
      <c r="Y10" s="94"/>
      <c r="Z10" s="94"/>
      <c r="AA10" s="86"/>
      <c r="AB10" s="86"/>
      <c r="AC10" s="86"/>
      <c r="AD10" s="86"/>
      <c r="AE10" s="89"/>
    </row>
    <row r="11" spans="1:31" ht="20.149999999999999" customHeight="1">
      <c r="A11" s="36"/>
      <c r="B11" s="878" t="s">
        <v>337</v>
      </c>
      <c r="C11" s="879"/>
      <c r="D11" s="90" t="s">
        <v>176</v>
      </c>
      <c r="E11" s="91"/>
      <c r="F11" s="92"/>
      <c r="G11" s="91"/>
      <c r="H11" s="92"/>
      <c r="I11" s="91"/>
      <c r="J11" s="92"/>
      <c r="K11" s="91"/>
      <c r="L11" s="92"/>
      <c r="M11" s="91"/>
      <c r="N11" s="92"/>
      <c r="O11" s="91"/>
      <c r="P11" s="92"/>
      <c r="Q11" s="876">
        <f>ROUND(SUM(E11:P11)/12,0)</f>
        <v>0</v>
      </c>
      <c r="S11" s="47"/>
      <c r="T11" s="93"/>
      <c r="U11" s="94"/>
      <c r="V11" s="94"/>
      <c r="W11" s="94"/>
      <c r="X11" s="94"/>
      <c r="Y11" s="86"/>
      <c r="Z11" s="86"/>
      <c r="AA11" s="94"/>
      <c r="AB11" s="94"/>
      <c r="AC11" s="94"/>
      <c r="AD11" s="94"/>
      <c r="AE11" s="89"/>
    </row>
    <row r="12" spans="1:31" ht="10" customHeight="1">
      <c r="A12" s="36"/>
      <c r="B12" s="880"/>
      <c r="C12" s="881"/>
      <c r="D12" s="97" t="s">
        <v>339</v>
      </c>
      <c r="E12" s="98"/>
      <c r="F12" s="99">
        <f t="shared" ref="F12:P12" si="2">IF($E11=0,F11/1,IF(ISERROR(F11/$E11),0,F11/$E11))</f>
        <v>0</v>
      </c>
      <c r="G12" s="99">
        <f t="shared" si="2"/>
        <v>0</v>
      </c>
      <c r="H12" s="99">
        <f t="shared" si="2"/>
        <v>0</v>
      </c>
      <c r="I12" s="99">
        <f t="shared" si="2"/>
        <v>0</v>
      </c>
      <c r="J12" s="99">
        <f t="shared" si="2"/>
        <v>0</v>
      </c>
      <c r="K12" s="99">
        <f t="shared" si="2"/>
        <v>0</v>
      </c>
      <c r="L12" s="99">
        <f t="shared" si="2"/>
        <v>0</v>
      </c>
      <c r="M12" s="99">
        <f t="shared" si="2"/>
        <v>0</v>
      </c>
      <c r="N12" s="99">
        <f t="shared" si="2"/>
        <v>0</v>
      </c>
      <c r="O12" s="99">
        <f t="shared" si="2"/>
        <v>0</v>
      </c>
      <c r="P12" s="99">
        <f t="shared" si="2"/>
        <v>0</v>
      </c>
      <c r="Q12" s="877"/>
      <c r="S12" s="47"/>
      <c r="T12" s="86"/>
      <c r="U12" s="86"/>
      <c r="V12" s="86"/>
      <c r="W12" s="86"/>
      <c r="X12" s="86"/>
      <c r="Y12" s="94"/>
      <c r="Z12" s="94"/>
      <c r="AA12" s="86"/>
      <c r="AB12" s="86"/>
      <c r="AC12" s="86"/>
      <c r="AD12" s="86"/>
      <c r="AE12" s="89"/>
    </row>
    <row r="13" spans="1:31" ht="20.149999999999999" customHeight="1">
      <c r="A13" s="36"/>
      <c r="B13" s="878" t="s">
        <v>8</v>
      </c>
      <c r="C13" s="879"/>
      <c r="D13" s="90" t="s">
        <v>176</v>
      </c>
      <c r="E13" s="91"/>
      <c r="F13" s="92"/>
      <c r="G13" s="91"/>
      <c r="H13" s="92"/>
      <c r="I13" s="91"/>
      <c r="J13" s="92"/>
      <c r="K13" s="91"/>
      <c r="L13" s="92"/>
      <c r="M13" s="91"/>
      <c r="N13" s="92"/>
      <c r="O13" s="91"/>
      <c r="P13" s="92"/>
      <c r="Q13" s="876">
        <f>ROUND(SUM(E13:P13)/12,0)</f>
        <v>0</v>
      </c>
      <c r="S13" s="47"/>
      <c r="T13" s="93"/>
      <c r="U13" s="94"/>
      <c r="V13" s="94"/>
      <c r="W13" s="94"/>
      <c r="X13" s="94"/>
      <c r="Y13" s="86"/>
      <c r="Z13" s="86"/>
      <c r="AA13" s="94"/>
      <c r="AB13" s="94"/>
      <c r="AC13" s="94"/>
      <c r="AD13" s="94"/>
      <c r="AE13" s="89"/>
    </row>
    <row r="14" spans="1:31" ht="10" customHeight="1">
      <c r="A14" s="36"/>
      <c r="B14" s="880"/>
      <c r="C14" s="881"/>
      <c r="D14" s="97" t="s">
        <v>339</v>
      </c>
      <c r="E14" s="98"/>
      <c r="F14" s="99">
        <f t="shared" ref="F14:P14" si="3">IF($E13=0,F13/1,IF(ISERROR(F13/$E13),0,F13/$E13))</f>
        <v>0</v>
      </c>
      <c r="G14" s="99">
        <f t="shared" si="3"/>
        <v>0</v>
      </c>
      <c r="H14" s="99">
        <f t="shared" si="3"/>
        <v>0</v>
      </c>
      <c r="I14" s="99">
        <f t="shared" si="3"/>
        <v>0</v>
      </c>
      <c r="J14" s="99">
        <f t="shared" si="3"/>
        <v>0</v>
      </c>
      <c r="K14" s="99">
        <f t="shared" si="3"/>
        <v>0</v>
      </c>
      <c r="L14" s="99">
        <f t="shared" si="3"/>
        <v>0</v>
      </c>
      <c r="M14" s="99">
        <f t="shared" si="3"/>
        <v>0</v>
      </c>
      <c r="N14" s="99">
        <f t="shared" si="3"/>
        <v>0</v>
      </c>
      <c r="O14" s="99">
        <f t="shared" si="3"/>
        <v>0</v>
      </c>
      <c r="P14" s="99">
        <f t="shared" si="3"/>
        <v>0</v>
      </c>
      <c r="Q14" s="877"/>
      <c r="S14" s="47"/>
      <c r="T14" s="86"/>
      <c r="U14" s="86"/>
      <c r="V14" s="86"/>
      <c r="W14" s="86"/>
      <c r="X14" s="86"/>
      <c r="Y14" s="94"/>
      <c r="Z14" s="94"/>
      <c r="AA14" s="86"/>
      <c r="AB14" s="86"/>
      <c r="AC14" s="86"/>
      <c r="AD14" s="86"/>
      <c r="AE14" s="89"/>
    </row>
    <row r="15" spans="1:31" ht="20.149999999999999" customHeight="1" thickBot="1">
      <c r="B15" s="882" t="s">
        <v>0</v>
      </c>
      <c r="C15" s="883"/>
      <c r="D15" s="81"/>
      <c r="E15" s="82">
        <f>SUM(E7,E9,E11,E13)</f>
        <v>0</v>
      </c>
      <c r="F15" s="82">
        <f t="shared" ref="F15:P15" si="4">SUM(F7,F9,F11,F13)</f>
        <v>0</v>
      </c>
      <c r="G15" s="82">
        <f t="shared" si="4"/>
        <v>0</v>
      </c>
      <c r="H15" s="82">
        <f t="shared" si="4"/>
        <v>0</v>
      </c>
      <c r="I15" s="82">
        <f t="shared" si="4"/>
        <v>0</v>
      </c>
      <c r="J15" s="82">
        <f t="shared" si="4"/>
        <v>0</v>
      </c>
      <c r="K15" s="82">
        <f t="shared" si="4"/>
        <v>0</v>
      </c>
      <c r="L15" s="82">
        <f t="shared" si="4"/>
        <v>0</v>
      </c>
      <c r="M15" s="82">
        <f t="shared" si="4"/>
        <v>0</v>
      </c>
      <c r="N15" s="82">
        <f t="shared" si="4"/>
        <v>0</v>
      </c>
      <c r="O15" s="82">
        <f t="shared" si="4"/>
        <v>0</v>
      </c>
      <c r="P15" s="82">
        <f t="shared" si="4"/>
        <v>0</v>
      </c>
      <c r="Q15" s="83">
        <f>SUM(Q7:Q14)</f>
        <v>0</v>
      </c>
      <c r="S15" s="39"/>
      <c r="T15" s="93"/>
      <c r="U15" s="94"/>
      <c r="V15" s="94"/>
      <c r="W15" s="94"/>
      <c r="X15" s="94"/>
      <c r="AA15" s="94"/>
      <c r="AB15" s="94"/>
      <c r="AC15" s="94"/>
      <c r="AD15" s="94"/>
      <c r="AE15" s="89"/>
    </row>
    <row r="16" spans="1:31" ht="20.149999999999999" customHeight="1">
      <c r="A16" s="36"/>
      <c r="B16" s="911" t="s">
        <v>95</v>
      </c>
      <c r="C16" s="912"/>
      <c r="D16" s="100" t="s">
        <v>124</v>
      </c>
      <c r="E16" s="41">
        <v>4</v>
      </c>
      <c r="F16" s="42">
        <v>5</v>
      </c>
      <c r="G16" s="42">
        <v>6</v>
      </c>
      <c r="H16" s="42">
        <v>7</v>
      </c>
      <c r="I16" s="42">
        <v>8</v>
      </c>
      <c r="J16" s="42">
        <v>9</v>
      </c>
      <c r="K16" s="42">
        <v>10</v>
      </c>
      <c r="L16" s="42">
        <v>11</v>
      </c>
      <c r="M16" s="42">
        <v>12</v>
      </c>
      <c r="N16" s="42">
        <v>1</v>
      </c>
      <c r="O16" s="42">
        <v>2</v>
      </c>
      <c r="P16" s="42">
        <v>3</v>
      </c>
      <c r="Q16" s="77" t="s">
        <v>1</v>
      </c>
      <c r="Y16" s="85"/>
      <c r="Z16" s="85"/>
      <c r="AE16" s="86"/>
    </row>
    <row r="17" spans="1:31" ht="20.149999999999999" customHeight="1">
      <c r="A17" s="36"/>
      <c r="B17" s="878" t="s">
        <v>93</v>
      </c>
      <c r="C17" s="879"/>
      <c r="D17" s="90" t="s">
        <v>176</v>
      </c>
      <c r="E17" s="91"/>
      <c r="F17" s="92"/>
      <c r="G17" s="91"/>
      <c r="H17" s="92"/>
      <c r="I17" s="91"/>
      <c r="J17" s="92"/>
      <c r="K17" s="91"/>
      <c r="L17" s="92"/>
      <c r="M17" s="91"/>
      <c r="N17" s="92"/>
      <c r="O17" s="91"/>
      <c r="P17" s="92"/>
      <c r="Q17" s="876">
        <f>ROUND(SUM(E17:P17)/12,0)</f>
        <v>0</v>
      </c>
      <c r="S17" s="76"/>
      <c r="T17" s="85"/>
      <c r="U17" s="85"/>
      <c r="V17" s="85"/>
      <c r="W17" s="85"/>
      <c r="X17" s="85"/>
      <c r="Y17" s="86"/>
      <c r="Z17" s="86"/>
      <c r="AA17" s="85"/>
      <c r="AB17" s="85"/>
      <c r="AC17" s="85"/>
      <c r="AD17" s="85"/>
      <c r="AE17" s="86"/>
    </row>
    <row r="18" spans="1:31" ht="10" customHeight="1">
      <c r="A18" s="36"/>
      <c r="B18" s="880"/>
      <c r="C18" s="881"/>
      <c r="D18" s="97" t="s">
        <v>339</v>
      </c>
      <c r="E18" s="98"/>
      <c r="F18" s="99">
        <f t="shared" ref="F18:P18" si="5">IF($E17=0,F17/1,IF(ISERROR(F17/$E17),0,F17/$E17))</f>
        <v>0</v>
      </c>
      <c r="G18" s="99">
        <f t="shared" si="5"/>
        <v>0</v>
      </c>
      <c r="H18" s="99">
        <f t="shared" si="5"/>
        <v>0</v>
      </c>
      <c r="I18" s="99">
        <f t="shared" si="5"/>
        <v>0</v>
      </c>
      <c r="J18" s="99">
        <f t="shared" si="5"/>
        <v>0</v>
      </c>
      <c r="K18" s="99">
        <f t="shared" si="5"/>
        <v>0</v>
      </c>
      <c r="L18" s="99">
        <f t="shared" si="5"/>
        <v>0</v>
      </c>
      <c r="M18" s="99">
        <f t="shared" si="5"/>
        <v>0</v>
      </c>
      <c r="N18" s="99">
        <f t="shared" si="5"/>
        <v>0</v>
      </c>
      <c r="O18" s="99">
        <f t="shared" si="5"/>
        <v>0</v>
      </c>
      <c r="P18" s="99">
        <f t="shared" si="5"/>
        <v>0</v>
      </c>
      <c r="Q18" s="877"/>
      <c r="S18" s="47"/>
      <c r="T18" s="86"/>
      <c r="U18" s="86"/>
      <c r="V18" s="86"/>
      <c r="W18" s="86"/>
      <c r="X18" s="86"/>
      <c r="Y18" s="94"/>
      <c r="Z18" s="94"/>
      <c r="AA18" s="86"/>
      <c r="AB18" s="86"/>
      <c r="AC18" s="86"/>
      <c r="AD18" s="86"/>
      <c r="AE18" s="89" t="s">
        <v>177</v>
      </c>
    </row>
    <row r="19" spans="1:31" ht="20.149999999999999" customHeight="1">
      <c r="A19" s="36"/>
      <c r="B19" s="878" t="s">
        <v>70</v>
      </c>
      <c r="C19" s="879"/>
      <c r="D19" s="90" t="s">
        <v>176</v>
      </c>
      <c r="E19" s="91"/>
      <c r="F19" s="92"/>
      <c r="G19" s="91"/>
      <c r="H19" s="92"/>
      <c r="I19" s="91"/>
      <c r="J19" s="92"/>
      <c r="K19" s="91"/>
      <c r="L19" s="92"/>
      <c r="M19" s="91"/>
      <c r="N19" s="92"/>
      <c r="O19" s="91"/>
      <c r="P19" s="92"/>
      <c r="Q19" s="876">
        <f>ROUND(SUM(E19:P19)/12,0)</f>
        <v>0</v>
      </c>
      <c r="S19" s="47"/>
      <c r="T19" s="93"/>
      <c r="U19" s="94"/>
      <c r="V19" s="94"/>
      <c r="W19" s="94"/>
      <c r="X19" s="94"/>
      <c r="Y19" s="86"/>
      <c r="Z19" s="86"/>
      <c r="AA19" s="94"/>
      <c r="AB19" s="94"/>
      <c r="AC19" s="94"/>
      <c r="AD19" s="94"/>
      <c r="AE19" s="89"/>
    </row>
    <row r="20" spans="1:31" ht="10" customHeight="1">
      <c r="A20" s="36"/>
      <c r="B20" s="880"/>
      <c r="C20" s="881"/>
      <c r="D20" s="97" t="s">
        <v>339</v>
      </c>
      <c r="E20" s="98"/>
      <c r="F20" s="99">
        <f t="shared" ref="F20:P20" si="6">IF($E19=0,F19/1,IF(ISERROR(F19/$E19),0,F19/$E19))</f>
        <v>0</v>
      </c>
      <c r="G20" s="99">
        <f t="shared" si="6"/>
        <v>0</v>
      </c>
      <c r="H20" s="99">
        <f t="shared" si="6"/>
        <v>0</v>
      </c>
      <c r="I20" s="99">
        <f t="shared" si="6"/>
        <v>0</v>
      </c>
      <c r="J20" s="99">
        <f t="shared" si="6"/>
        <v>0</v>
      </c>
      <c r="K20" s="99">
        <f t="shared" si="6"/>
        <v>0</v>
      </c>
      <c r="L20" s="99">
        <f t="shared" si="6"/>
        <v>0</v>
      </c>
      <c r="M20" s="99">
        <f t="shared" si="6"/>
        <v>0</v>
      </c>
      <c r="N20" s="99">
        <f t="shared" si="6"/>
        <v>0</v>
      </c>
      <c r="O20" s="99">
        <f t="shared" si="6"/>
        <v>0</v>
      </c>
      <c r="P20" s="99">
        <f t="shared" si="6"/>
        <v>0</v>
      </c>
      <c r="Q20" s="877"/>
      <c r="S20" s="47"/>
      <c r="T20" s="86"/>
      <c r="U20" s="86"/>
      <c r="V20" s="86"/>
      <c r="W20" s="86"/>
      <c r="X20" s="86"/>
      <c r="Y20" s="94"/>
      <c r="Z20" s="94"/>
      <c r="AA20" s="86"/>
      <c r="AB20" s="86"/>
      <c r="AC20" s="86"/>
      <c r="AD20" s="86"/>
      <c r="AE20" s="89"/>
    </row>
    <row r="21" spans="1:31" ht="20.149999999999999" customHeight="1">
      <c r="A21" s="36"/>
      <c r="B21" s="878" t="s">
        <v>337</v>
      </c>
      <c r="C21" s="879"/>
      <c r="D21" s="90" t="s">
        <v>176</v>
      </c>
      <c r="E21" s="91"/>
      <c r="F21" s="92"/>
      <c r="G21" s="91"/>
      <c r="H21" s="92"/>
      <c r="I21" s="91"/>
      <c r="J21" s="92"/>
      <c r="K21" s="91"/>
      <c r="L21" s="92"/>
      <c r="M21" s="91"/>
      <c r="N21" s="92"/>
      <c r="O21" s="91"/>
      <c r="P21" s="92"/>
      <c r="Q21" s="876">
        <f>ROUND(SUM(E21:P21)/12,0)</f>
        <v>0</v>
      </c>
      <c r="S21" s="47"/>
      <c r="T21" s="93"/>
      <c r="U21" s="94"/>
      <c r="V21" s="94"/>
      <c r="W21" s="94"/>
      <c r="X21" s="94"/>
      <c r="Y21" s="86"/>
      <c r="Z21" s="86"/>
      <c r="AA21" s="94"/>
      <c r="AB21" s="94"/>
      <c r="AC21" s="94"/>
      <c r="AD21" s="94"/>
      <c r="AE21" s="89"/>
    </row>
    <row r="22" spans="1:31" ht="10" customHeight="1">
      <c r="A22" s="36"/>
      <c r="B22" s="880"/>
      <c r="C22" s="881"/>
      <c r="D22" s="97" t="s">
        <v>339</v>
      </c>
      <c r="E22" s="98"/>
      <c r="F22" s="99">
        <f t="shared" ref="F22:P22" si="7">IF($E21=0,F21/1,IF(ISERROR(F21/$E21),0,F21/$E21))</f>
        <v>0</v>
      </c>
      <c r="G22" s="99">
        <f t="shared" si="7"/>
        <v>0</v>
      </c>
      <c r="H22" s="99">
        <f t="shared" si="7"/>
        <v>0</v>
      </c>
      <c r="I22" s="99">
        <f t="shared" si="7"/>
        <v>0</v>
      </c>
      <c r="J22" s="99">
        <f t="shared" si="7"/>
        <v>0</v>
      </c>
      <c r="K22" s="99">
        <f t="shared" si="7"/>
        <v>0</v>
      </c>
      <c r="L22" s="99">
        <f t="shared" si="7"/>
        <v>0</v>
      </c>
      <c r="M22" s="99">
        <f t="shared" si="7"/>
        <v>0</v>
      </c>
      <c r="N22" s="99">
        <f t="shared" si="7"/>
        <v>0</v>
      </c>
      <c r="O22" s="99">
        <f t="shared" si="7"/>
        <v>0</v>
      </c>
      <c r="P22" s="99">
        <f t="shared" si="7"/>
        <v>0</v>
      </c>
      <c r="Q22" s="877"/>
      <c r="S22" s="47"/>
      <c r="T22" s="86"/>
      <c r="U22" s="86"/>
      <c r="V22" s="86"/>
      <c r="W22" s="86"/>
      <c r="X22" s="86"/>
      <c r="Y22" s="94"/>
      <c r="Z22" s="94"/>
      <c r="AA22" s="86"/>
      <c r="AB22" s="86"/>
      <c r="AC22" s="86"/>
      <c r="AD22" s="86"/>
      <c r="AE22" s="89"/>
    </row>
    <row r="23" spans="1:31" ht="20.149999999999999" customHeight="1">
      <c r="A23" s="36"/>
      <c r="B23" s="878" t="s">
        <v>8</v>
      </c>
      <c r="C23" s="879"/>
      <c r="D23" s="90" t="s">
        <v>176</v>
      </c>
      <c r="E23" s="91"/>
      <c r="F23" s="92"/>
      <c r="G23" s="91"/>
      <c r="H23" s="92"/>
      <c r="I23" s="91"/>
      <c r="J23" s="92"/>
      <c r="K23" s="91"/>
      <c r="L23" s="92"/>
      <c r="M23" s="91"/>
      <c r="N23" s="92"/>
      <c r="O23" s="91"/>
      <c r="P23" s="92"/>
      <c r="Q23" s="876">
        <f>ROUND(SUM(E23:P23)/12,0)</f>
        <v>0</v>
      </c>
      <c r="S23" s="47"/>
      <c r="T23" s="93"/>
      <c r="U23" s="94"/>
      <c r="V23" s="94"/>
      <c r="W23" s="94"/>
      <c r="X23" s="94"/>
      <c r="Y23" s="86"/>
      <c r="Z23" s="86"/>
      <c r="AA23" s="94"/>
      <c r="AB23" s="94"/>
      <c r="AC23" s="94"/>
      <c r="AD23" s="94"/>
      <c r="AE23" s="89"/>
    </row>
    <row r="24" spans="1:31" ht="10" customHeight="1">
      <c r="A24" s="36"/>
      <c r="B24" s="880"/>
      <c r="C24" s="881"/>
      <c r="D24" s="97" t="s">
        <v>339</v>
      </c>
      <c r="E24" s="98"/>
      <c r="F24" s="99">
        <f t="shared" ref="F24:P24" si="8">IF($E23=0,F23/1,IF(ISERROR(F23/$E23),0,F23/$E23))</f>
        <v>0</v>
      </c>
      <c r="G24" s="99">
        <f t="shared" si="8"/>
        <v>0</v>
      </c>
      <c r="H24" s="99">
        <f t="shared" si="8"/>
        <v>0</v>
      </c>
      <c r="I24" s="99">
        <f t="shared" si="8"/>
        <v>0</v>
      </c>
      <c r="J24" s="99">
        <f t="shared" si="8"/>
        <v>0</v>
      </c>
      <c r="K24" s="99">
        <f t="shared" si="8"/>
        <v>0</v>
      </c>
      <c r="L24" s="99">
        <f t="shared" si="8"/>
        <v>0</v>
      </c>
      <c r="M24" s="99">
        <f t="shared" si="8"/>
        <v>0</v>
      </c>
      <c r="N24" s="99">
        <f t="shared" si="8"/>
        <v>0</v>
      </c>
      <c r="O24" s="99">
        <f t="shared" si="8"/>
        <v>0</v>
      </c>
      <c r="P24" s="99">
        <f t="shared" si="8"/>
        <v>0</v>
      </c>
      <c r="Q24" s="877"/>
      <c r="S24" s="47"/>
      <c r="T24" s="86"/>
      <c r="U24" s="86"/>
      <c r="V24" s="86"/>
      <c r="W24" s="86"/>
      <c r="X24" s="86"/>
      <c r="Y24" s="94"/>
      <c r="Z24" s="94"/>
      <c r="AA24" s="86"/>
      <c r="AB24" s="86"/>
      <c r="AC24" s="86"/>
      <c r="AD24" s="86"/>
      <c r="AE24" s="89"/>
    </row>
    <row r="25" spans="1:31" ht="20.149999999999999" customHeight="1" thickBot="1">
      <c r="B25" s="882" t="s">
        <v>0</v>
      </c>
      <c r="C25" s="883"/>
      <c r="D25" s="81"/>
      <c r="E25" s="82">
        <f>SUM(E17,E19,E21,E23)</f>
        <v>0</v>
      </c>
      <c r="F25" s="82">
        <f t="shared" ref="F25:P25" si="9">SUM(F17,F19,F21,F23)</f>
        <v>0</v>
      </c>
      <c r="G25" s="82">
        <f t="shared" si="9"/>
        <v>0</v>
      </c>
      <c r="H25" s="82">
        <f t="shared" si="9"/>
        <v>0</v>
      </c>
      <c r="I25" s="82">
        <f t="shared" si="9"/>
        <v>0</v>
      </c>
      <c r="J25" s="82">
        <f t="shared" si="9"/>
        <v>0</v>
      </c>
      <c r="K25" s="82">
        <f t="shared" si="9"/>
        <v>0</v>
      </c>
      <c r="L25" s="82">
        <f t="shared" si="9"/>
        <v>0</v>
      </c>
      <c r="M25" s="82">
        <f t="shared" si="9"/>
        <v>0</v>
      </c>
      <c r="N25" s="82">
        <f t="shared" si="9"/>
        <v>0</v>
      </c>
      <c r="O25" s="82">
        <f t="shared" si="9"/>
        <v>0</v>
      </c>
      <c r="P25" s="82">
        <f t="shared" si="9"/>
        <v>0</v>
      </c>
      <c r="Q25" s="83">
        <f>SUM(Q17:Q24)</f>
        <v>0</v>
      </c>
      <c r="S25" s="39"/>
      <c r="T25" s="93"/>
      <c r="U25" s="94"/>
      <c r="V25" s="94"/>
      <c r="W25" s="94"/>
      <c r="X25" s="94"/>
      <c r="AA25" s="94"/>
      <c r="AB25" s="94"/>
      <c r="AC25" s="94"/>
      <c r="AD25" s="94"/>
      <c r="AE25" s="89"/>
    </row>
    <row r="26" spans="1:31" ht="20.149999999999999" customHeight="1">
      <c r="A26" s="36"/>
      <c r="B26" s="36"/>
      <c r="C26" s="38"/>
      <c r="D26" s="39"/>
      <c r="E26" s="47"/>
      <c r="F26" s="48"/>
      <c r="G26" s="48"/>
      <c r="H26" s="48"/>
      <c r="I26" s="48"/>
      <c r="J26" s="48"/>
      <c r="K26" s="48"/>
      <c r="L26" s="48"/>
      <c r="M26" s="48"/>
      <c r="N26" s="48"/>
      <c r="O26" s="48"/>
      <c r="P26" s="48"/>
      <c r="Q26" s="49"/>
    </row>
    <row r="27" spans="1:31" ht="20.149999999999999" customHeight="1" thickBot="1">
      <c r="A27" s="40" t="s">
        <v>341</v>
      </c>
      <c r="B27" s="40"/>
      <c r="C27" s="36"/>
      <c r="D27" s="36"/>
      <c r="E27" s="50"/>
      <c r="F27" s="36"/>
      <c r="G27" s="36"/>
      <c r="H27" s="36"/>
      <c r="I27" s="36"/>
      <c r="J27" s="36"/>
      <c r="K27" s="36"/>
      <c r="L27" s="36"/>
      <c r="M27" s="36"/>
      <c r="N27" s="36"/>
      <c r="O27" s="36"/>
      <c r="P27" s="36"/>
      <c r="Q27" s="49"/>
    </row>
    <row r="28" spans="1:31" ht="20.149999999999999" customHeight="1">
      <c r="A28" s="36"/>
      <c r="B28" s="911" t="s">
        <v>35</v>
      </c>
      <c r="C28" s="912"/>
      <c r="D28" s="100" t="s">
        <v>124</v>
      </c>
      <c r="E28" s="41">
        <v>4</v>
      </c>
      <c r="F28" s="42">
        <v>5</v>
      </c>
      <c r="G28" s="42">
        <v>6</v>
      </c>
      <c r="H28" s="42">
        <v>7</v>
      </c>
      <c r="I28" s="42">
        <v>8</v>
      </c>
      <c r="J28" s="42">
        <v>9</v>
      </c>
      <c r="K28" s="42">
        <v>10</v>
      </c>
      <c r="L28" s="42">
        <v>11</v>
      </c>
      <c r="M28" s="42">
        <v>12</v>
      </c>
      <c r="N28" s="42">
        <v>1</v>
      </c>
      <c r="O28" s="42">
        <v>2</v>
      </c>
      <c r="P28" s="42">
        <v>3</v>
      </c>
      <c r="Q28" s="77" t="s">
        <v>1</v>
      </c>
      <c r="V28" s="86"/>
      <c r="W28" s="86"/>
      <c r="X28" s="86"/>
      <c r="Y28" s="85"/>
      <c r="Z28" s="85"/>
    </row>
    <row r="29" spans="1:31" ht="20.149999999999999" customHeight="1">
      <c r="A29" s="36"/>
      <c r="B29" s="895" t="s">
        <v>93</v>
      </c>
      <c r="C29" s="896"/>
      <c r="D29" s="43" t="s">
        <v>176</v>
      </c>
      <c r="E29" s="44"/>
      <c r="F29" s="51">
        <f t="shared" ref="F29:P29" si="10">IF($E29=0,F7,$E29*F8)</f>
        <v>0</v>
      </c>
      <c r="G29" s="51">
        <f t="shared" si="10"/>
        <v>0</v>
      </c>
      <c r="H29" s="51">
        <f t="shared" si="10"/>
        <v>0</v>
      </c>
      <c r="I29" s="51">
        <f t="shared" si="10"/>
        <v>0</v>
      </c>
      <c r="J29" s="51">
        <f t="shared" si="10"/>
        <v>0</v>
      </c>
      <c r="K29" s="51">
        <f t="shared" si="10"/>
        <v>0</v>
      </c>
      <c r="L29" s="51">
        <f t="shared" si="10"/>
        <v>0</v>
      </c>
      <c r="M29" s="51">
        <f t="shared" si="10"/>
        <v>0</v>
      </c>
      <c r="N29" s="51">
        <f t="shared" si="10"/>
        <v>0</v>
      </c>
      <c r="O29" s="51">
        <f t="shared" si="10"/>
        <v>0</v>
      </c>
      <c r="P29" s="51">
        <f t="shared" si="10"/>
        <v>0</v>
      </c>
      <c r="Q29" s="45">
        <f>ROUND(SUM(E29:P29)/12,0)</f>
        <v>0</v>
      </c>
      <c r="S29" s="86"/>
      <c r="T29" s="85"/>
      <c r="U29" s="85"/>
      <c r="V29" s="85"/>
      <c r="W29" s="85"/>
      <c r="X29" s="85"/>
      <c r="Y29" s="88"/>
      <c r="Z29" s="88"/>
      <c r="AA29" s="85"/>
      <c r="AB29" s="85"/>
      <c r="AC29" s="85"/>
      <c r="AD29" s="85"/>
      <c r="AE29" s="86"/>
    </row>
    <row r="30" spans="1:31" ht="20.149999999999999" customHeight="1">
      <c r="A30" s="36"/>
      <c r="B30" s="895" t="s">
        <v>70</v>
      </c>
      <c r="C30" s="896"/>
      <c r="D30" s="46" t="s">
        <v>176</v>
      </c>
      <c r="E30" s="44"/>
      <c r="F30" s="51">
        <f t="shared" ref="F30:P30" si="11">IF($E30=0,F9,$E30*F10)</f>
        <v>0</v>
      </c>
      <c r="G30" s="51">
        <f t="shared" si="11"/>
        <v>0</v>
      </c>
      <c r="H30" s="51">
        <f t="shared" si="11"/>
        <v>0</v>
      </c>
      <c r="I30" s="51">
        <f t="shared" si="11"/>
        <v>0</v>
      </c>
      <c r="J30" s="51">
        <f t="shared" si="11"/>
        <v>0</v>
      </c>
      <c r="K30" s="51">
        <f t="shared" si="11"/>
        <v>0</v>
      </c>
      <c r="L30" s="51">
        <f t="shared" si="11"/>
        <v>0</v>
      </c>
      <c r="M30" s="51">
        <f t="shared" si="11"/>
        <v>0</v>
      </c>
      <c r="N30" s="51">
        <f t="shared" si="11"/>
        <v>0</v>
      </c>
      <c r="O30" s="51">
        <f t="shared" si="11"/>
        <v>0</v>
      </c>
      <c r="P30" s="51">
        <f t="shared" si="11"/>
        <v>0</v>
      </c>
      <c r="Q30" s="45">
        <f>ROUND(SUM(E30:P30)/12,0)</f>
        <v>0</v>
      </c>
      <c r="S30" s="39"/>
      <c r="T30" s="87"/>
      <c r="U30" s="88"/>
      <c r="V30" s="88"/>
      <c r="W30" s="88"/>
      <c r="X30" s="88"/>
      <c r="Y30" s="88"/>
      <c r="Z30" s="88"/>
      <c r="AA30" s="88"/>
      <c r="AB30" s="88"/>
      <c r="AC30" s="88"/>
      <c r="AD30" s="88"/>
      <c r="AE30" s="89"/>
    </row>
    <row r="31" spans="1:31" ht="20.149999999999999" customHeight="1">
      <c r="A31" s="36"/>
      <c r="B31" s="895" t="s">
        <v>337</v>
      </c>
      <c r="C31" s="896"/>
      <c r="D31" s="46" t="s">
        <v>176</v>
      </c>
      <c r="E31" s="44"/>
      <c r="F31" s="51">
        <f t="shared" ref="F31:P31" si="12">IF($E31=0,F11,$E31*F12)</f>
        <v>0</v>
      </c>
      <c r="G31" s="51">
        <f t="shared" si="12"/>
        <v>0</v>
      </c>
      <c r="H31" s="51">
        <f t="shared" si="12"/>
        <v>0</v>
      </c>
      <c r="I31" s="51">
        <f t="shared" si="12"/>
        <v>0</v>
      </c>
      <c r="J31" s="51">
        <f t="shared" si="12"/>
        <v>0</v>
      </c>
      <c r="K31" s="51">
        <f t="shared" si="12"/>
        <v>0</v>
      </c>
      <c r="L31" s="51">
        <f t="shared" si="12"/>
        <v>0</v>
      </c>
      <c r="M31" s="51">
        <f t="shared" si="12"/>
        <v>0</v>
      </c>
      <c r="N31" s="51">
        <f t="shared" si="12"/>
        <v>0</v>
      </c>
      <c r="O31" s="51">
        <f t="shared" si="12"/>
        <v>0</v>
      </c>
      <c r="P31" s="51">
        <f t="shared" si="12"/>
        <v>0</v>
      </c>
      <c r="Q31" s="45">
        <f>ROUND(SUM(E31:P31)/12,0)</f>
        <v>0</v>
      </c>
      <c r="S31" s="39"/>
      <c r="T31" s="87"/>
      <c r="U31" s="88"/>
      <c r="V31" s="88"/>
      <c r="W31" s="88"/>
      <c r="X31" s="88"/>
      <c r="Y31" s="88"/>
      <c r="Z31" s="88"/>
      <c r="AA31" s="88"/>
      <c r="AB31" s="88"/>
      <c r="AC31" s="88"/>
      <c r="AD31" s="88"/>
      <c r="AE31" s="89"/>
    </row>
    <row r="32" spans="1:31" ht="20.149999999999999" customHeight="1">
      <c r="A32" s="36"/>
      <c r="B32" s="893" t="s">
        <v>8</v>
      </c>
      <c r="C32" s="894"/>
      <c r="D32" s="78" t="s">
        <v>176</v>
      </c>
      <c r="E32" s="79"/>
      <c r="F32" s="51">
        <f t="shared" ref="F32:P32" si="13">IF($E32=0,F13,$E32*F14)</f>
        <v>0</v>
      </c>
      <c r="G32" s="51">
        <f t="shared" si="13"/>
        <v>0</v>
      </c>
      <c r="H32" s="51">
        <f t="shared" si="13"/>
        <v>0</v>
      </c>
      <c r="I32" s="51">
        <f t="shared" si="13"/>
        <v>0</v>
      </c>
      <c r="J32" s="51">
        <f t="shared" si="13"/>
        <v>0</v>
      </c>
      <c r="K32" s="51">
        <f t="shared" si="13"/>
        <v>0</v>
      </c>
      <c r="L32" s="51">
        <f t="shared" si="13"/>
        <v>0</v>
      </c>
      <c r="M32" s="51">
        <f t="shared" si="13"/>
        <v>0</v>
      </c>
      <c r="N32" s="51">
        <f t="shared" si="13"/>
        <v>0</v>
      </c>
      <c r="O32" s="51">
        <f t="shared" si="13"/>
        <v>0</v>
      </c>
      <c r="P32" s="51">
        <f t="shared" si="13"/>
        <v>0</v>
      </c>
      <c r="Q32" s="80">
        <f>ROUND(SUM(E32:P32)/12,0)</f>
        <v>0</v>
      </c>
      <c r="S32" s="39"/>
      <c r="T32" s="87"/>
      <c r="U32" s="88"/>
      <c r="V32" s="88"/>
      <c r="W32" s="88"/>
      <c r="X32" s="88"/>
      <c r="Y32" s="88"/>
      <c r="Z32" s="88"/>
      <c r="AA32" s="88"/>
      <c r="AB32" s="88"/>
      <c r="AC32" s="88"/>
      <c r="AD32" s="88"/>
      <c r="AE32" s="89"/>
    </row>
    <row r="33" spans="1:31" ht="20.149999999999999" customHeight="1" thickBot="1">
      <c r="B33" s="882" t="s">
        <v>0</v>
      </c>
      <c r="C33" s="883"/>
      <c r="D33" s="81"/>
      <c r="E33" s="82">
        <f>SUM(E29:E32)</f>
        <v>0</v>
      </c>
      <c r="F33" s="82">
        <f t="shared" ref="F33:P33" si="14">SUM(F29:F32)</f>
        <v>0</v>
      </c>
      <c r="G33" s="82">
        <f t="shared" si="14"/>
        <v>0</v>
      </c>
      <c r="H33" s="82">
        <f t="shared" si="14"/>
        <v>0</v>
      </c>
      <c r="I33" s="82">
        <f t="shared" si="14"/>
        <v>0</v>
      </c>
      <c r="J33" s="82">
        <f t="shared" si="14"/>
        <v>0</v>
      </c>
      <c r="K33" s="82">
        <f t="shared" si="14"/>
        <v>0</v>
      </c>
      <c r="L33" s="82">
        <f t="shared" si="14"/>
        <v>0</v>
      </c>
      <c r="M33" s="82">
        <f t="shared" si="14"/>
        <v>0</v>
      </c>
      <c r="N33" s="82">
        <f t="shared" si="14"/>
        <v>0</v>
      </c>
      <c r="O33" s="82">
        <f t="shared" si="14"/>
        <v>0</v>
      </c>
      <c r="P33" s="82">
        <f t="shared" si="14"/>
        <v>0</v>
      </c>
      <c r="Q33" s="83">
        <f>SUM(Q29:Q32)</f>
        <v>0</v>
      </c>
      <c r="S33" s="39"/>
      <c r="T33" s="87"/>
      <c r="U33" s="88"/>
      <c r="V33" s="88"/>
      <c r="W33" s="88"/>
      <c r="X33" s="88"/>
      <c r="Y33" s="86"/>
      <c r="Z33" s="86"/>
      <c r="AA33" s="88"/>
      <c r="AB33" s="88"/>
      <c r="AC33" s="88"/>
      <c r="AD33" s="88"/>
      <c r="AE33" s="89"/>
    </row>
    <row r="34" spans="1:31" ht="20.149999999999999" customHeight="1">
      <c r="A34" s="36"/>
      <c r="B34" s="911" t="s">
        <v>95</v>
      </c>
      <c r="C34" s="912"/>
      <c r="D34" s="100" t="s">
        <v>124</v>
      </c>
      <c r="E34" s="41">
        <v>4</v>
      </c>
      <c r="F34" s="42">
        <v>5</v>
      </c>
      <c r="G34" s="42">
        <v>6</v>
      </c>
      <c r="H34" s="42">
        <v>7</v>
      </c>
      <c r="I34" s="42">
        <v>8</v>
      </c>
      <c r="J34" s="42">
        <v>9</v>
      </c>
      <c r="K34" s="42">
        <v>10</v>
      </c>
      <c r="L34" s="42">
        <v>11</v>
      </c>
      <c r="M34" s="42">
        <v>12</v>
      </c>
      <c r="N34" s="42">
        <v>1</v>
      </c>
      <c r="O34" s="42">
        <v>2</v>
      </c>
      <c r="P34" s="42">
        <v>3</v>
      </c>
      <c r="Q34" s="77" t="s">
        <v>1</v>
      </c>
      <c r="S34" s="86"/>
      <c r="T34" s="86"/>
      <c r="U34" s="86"/>
      <c r="V34" s="86"/>
      <c r="W34" s="86"/>
      <c r="X34" s="86"/>
      <c r="Y34" s="85"/>
      <c r="Z34" s="85"/>
      <c r="AA34" s="86"/>
      <c r="AB34" s="86"/>
      <c r="AC34" s="86"/>
      <c r="AD34" s="86"/>
      <c r="AE34" s="86"/>
    </row>
    <row r="35" spans="1:31" ht="20.149999999999999" customHeight="1">
      <c r="A35" s="36"/>
      <c r="B35" s="895" t="s">
        <v>93</v>
      </c>
      <c r="C35" s="896"/>
      <c r="D35" s="43" t="s">
        <v>176</v>
      </c>
      <c r="E35" s="44"/>
      <c r="F35" s="51">
        <f t="shared" ref="F35:P35" si="15">IF($E35=0,F17,$E35*F18)</f>
        <v>0</v>
      </c>
      <c r="G35" s="51">
        <f t="shared" si="15"/>
        <v>0</v>
      </c>
      <c r="H35" s="51">
        <f t="shared" si="15"/>
        <v>0</v>
      </c>
      <c r="I35" s="51">
        <f t="shared" si="15"/>
        <v>0</v>
      </c>
      <c r="J35" s="51">
        <f t="shared" si="15"/>
        <v>0</v>
      </c>
      <c r="K35" s="51">
        <f t="shared" si="15"/>
        <v>0</v>
      </c>
      <c r="L35" s="51">
        <f t="shared" si="15"/>
        <v>0</v>
      </c>
      <c r="M35" s="51">
        <f t="shared" si="15"/>
        <v>0</v>
      </c>
      <c r="N35" s="51">
        <f t="shared" si="15"/>
        <v>0</v>
      </c>
      <c r="O35" s="51">
        <f t="shared" si="15"/>
        <v>0</v>
      </c>
      <c r="P35" s="51">
        <f t="shared" si="15"/>
        <v>0</v>
      </c>
      <c r="Q35" s="45">
        <f>ROUND(SUM(E35:P35)/12,0)</f>
        <v>0</v>
      </c>
      <c r="S35" s="86"/>
      <c r="T35" s="85"/>
      <c r="U35" s="85"/>
      <c r="V35" s="85"/>
      <c r="W35" s="85"/>
      <c r="X35" s="85"/>
      <c r="Y35" s="88"/>
      <c r="Z35" s="88"/>
      <c r="AA35" s="85"/>
      <c r="AB35" s="85"/>
      <c r="AC35" s="85"/>
      <c r="AD35" s="85"/>
      <c r="AE35" s="86"/>
    </row>
    <row r="36" spans="1:31" ht="20.149999999999999" customHeight="1">
      <c r="A36" s="36"/>
      <c r="B36" s="895" t="s">
        <v>70</v>
      </c>
      <c r="C36" s="896"/>
      <c r="D36" s="46" t="s">
        <v>176</v>
      </c>
      <c r="E36" s="44"/>
      <c r="F36" s="51">
        <f t="shared" ref="F36:P36" si="16">IF($E36=0,F19,$E36*F20)</f>
        <v>0</v>
      </c>
      <c r="G36" s="51">
        <f t="shared" si="16"/>
        <v>0</v>
      </c>
      <c r="H36" s="51">
        <f t="shared" si="16"/>
        <v>0</v>
      </c>
      <c r="I36" s="51">
        <f t="shared" si="16"/>
        <v>0</v>
      </c>
      <c r="J36" s="51">
        <f t="shared" si="16"/>
        <v>0</v>
      </c>
      <c r="K36" s="51">
        <f t="shared" si="16"/>
        <v>0</v>
      </c>
      <c r="L36" s="51">
        <f t="shared" si="16"/>
        <v>0</v>
      </c>
      <c r="M36" s="51">
        <f t="shared" si="16"/>
        <v>0</v>
      </c>
      <c r="N36" s="51">
        <f t="shared" si="16"/>
        <v>0</v>
      </c>
      <c r="O36" s="51">
        <f t="shared" si="16"/>
        <v>0</v>
      </c>
      <c r="P36" s="51">
        <f t="shared" si="16"/>
        <v>0</v>
      </c>
      <c r="Q36" s="45">
        <f>ROUND(SUM(E36:P36)/12,0)</f>
        <v>0</v>
      </c>
      <c r="S36" s="39"/>
      <c r="T36" s="87"/>
      <c r="U36" s="88"/>
      <c r="V36" s="88"/>
      <c r="W36" s="88"/>
      <c r="X36" s="88"/>
      <c r="Y36" s="88"/>
      <c r="Z36" s="88"/>
      <c r="AA36" s="88"/>
      <c r="AB36" s="88"/>
      <c r="AC36" s="88"/>
      <c r="AD36" s="88"/>
      <c r="AE36" s="89"/>
    </row>
    <row r="37" spans="1:31" ht="20.149999999999999" customHeight="1">
      <c r="A37" s="36"/>
      <c r="B37" s="895" t="s">
        <v>337</v>
      </c>
      <c r="C37" s="896"/>
      <c r="D37" s="46" t="s">
        <v>176</v>
      </c>
      <c r="E37" s="44"/>
      <c r="F37" s="51">
        <f t="shared" ref="F37:P37" si="17">IF($E37=0,F21,$E37*F22)</f>
        <v>0</v>
      </c>
      <c r="G37" s="51">
        <f t="shared" si="17"/>
        <v>0</v>
      </c>
      <c r="H37" s="51">
        <f t="shared" si="17"/>
        <v>0</v>
      </c>
      <c r="I37" s="51">
        <f t="shared" si="17"/>
        <v>0</v>
      </c>
      <c r="J37" s="51">
        <f t="shared" si="17"/>
        <v>0</v>
      </c>
      <c r="K37" s="51">
        <f t="shared" si="17"/>
        <v>0</v>
      </c>
      <c r="L37" s="51">
        <f t="shared" si="17"/>
        <v>0</v>
      </c>
      <c r="M37" s="51">
        <f t="shared" si="17"/>
        <v>0</v>
      </c>
      <c r="N37" s="51">
        <f t="shared" si="17"/>
        <v>0</v>
      </c>
      <c r="O37" s="51">
        <f t="shared" si="17"/>
        <v>0</v>
      </c>
      <c r="P37" s="51">
        <f t="shared" si="17"/>
        <v>0</v>
      </c>
      <c r="Q37" s="45">
        <f>ROUND(SUM(E37:P37)/12,0)</f>
        <v>0</v>
      </c>
      <c r="S37" s="39"/>
      <c r="T37" s="87"/>
      <c r="U37" s="88"/>
      <c r="V37" s="88"/>
      <c r="W37" s="88"/>
      <c r="X37" s="88"/>
      <c r="Y37" s="88"/>
      <c r="Z37" s="88"/>
      <c r="AA37" s="88"/>
      <c r="AB37" s="88"/>
      <c r="AC37" s="88"/>
      <c r="AD37" s="88"/>
      <c r="AE37" s="89"/>
    </row>
    <row r="38" spans="1:31" ht="20.149999999999999" customHeight="1">
      <c r="A38" s="36"/>
      <c r="B38" s="893" t="s">
        <v>8</v>
      </c>
      <c r="C38" s="894"/>
      <c r="D38" s="78" t="s">
        <v>176</v>
      </c>
      <c r="E38" s="79"/>
      <c r="F38" s="51">
        <f t="shared" ref="F38:P38" si="18">IF($E38=0,F23,$E38*F24)</f>
        <v>0</v>
      </c>
      <c r="G38" s="51">
        <f t="shared" si="18"/>
        <v>0</v>
      </c>
      <c r="H38" s="51">
        <f t="shared" si="18"/>
        <v>0</v>
      </c>
      <c r="I38" s="51">
        <f t="shared" si="18"/>
        <v>0</v>
      </c>
      <c r="J38" s="51">
        <f t="shared" si="18"/>
        <v>0</v>
      </c>
      <c r="K38" s="51">
        <f t="shared" si="18"/>
        <v>0</v>
      </c>
      <c r="L38" s="51">
        <f t="shared" si="18"/>
        <v>0</v>
      </c>
      <c r="M38" s="51">
        <f t="shared" si="18"/>
        <v>0</v>
      </c>
      <c r="N38" s="51">
        <f t="shared" si="18"/>
        <v>0</v>
      </c>
      <c r="O38" s="51">
        <f t="shared" si="18"/>
        <v>0</v>
      </c>
      <c r="P38" s="51">
        <f t="shared" si="18"/>
        <v>0</v>
      </c>
      <c r="Q38" s="80">
        <f>ROUND(SUM(E38:P38)/12,0)</f>
        <v>0</v>
      </c>
      <c r="S38" s="39"/>
      <c r="T38" s="87"/>
      <c r="U38" s="88"/>
      <c r="V38" s="88"/>
      <c r="W38" s="88"/>
      <c r="X38" s="88"/>
      <c r="Y38" s="88"/>
      <c r="Z38" s="88"/>
      <c r="AA38" s="88"/>
      <c r="AB38" s="88"/>
      <c r="AC38" s="88"/>
      <c r="AD38" s="88"/>
      <c r="AE38" s="89"/>
    </row>
    <row r="39" spans="1:31" ht="20.149999999999999" customHeight="1" thickBot="1">
      <c r="B39" s="882" t="s">
        <v>0</v>
      </c>
      <c r="C39" s="883"/>
      <c r="D39" s="81"/>
      <c r="E39" s="82">
        <f>SUM(E35:E38)</f>
        <v>0</v>
      </c>
      <c r="F39" s="82">
        <f t="shared" ref="F39:P39" si="19">SUM(F35:F38)</f>
        <v>0</v>
      </c>
      <c r="G39" s="82">
        <f t="shared" si="19"/>
        <v>0</v>
      </c>
      <c r="H39" s="82">
        <f t="shared" si="19"/>
        <v>0</v>
      </c>
      <c r="I39" s="82">
        <f t="shared" si="19"/>
        <v>0</v>
      </c>
      <c r="J39" s="82">
        <f t="shared" si="19"/>
        <v>0</v>
      </c>
      <c r="K39" s="82">
        <f t="shared" si="19"/>
        <v>0</v>
      </c>
      <c r="L39" s="82">
        <f t="shared" si="19"/>
        <v>0</v>
      </c>
      <c r="M39" s="82">
        <f t="shared" si="19"/>
        <v>0</v>
      </c>
      <c r="N39" s="82">
        <f t="shared" si="19"/>
        <v>0</v>
      </c>
      <c r="O39" s="82">
        <f t="shared" si="19"/>
        <v>0</v>
      </c>
      <c r="P39" s="82">
        <f t="shared" si="19"/>
        <v>0</v>
      </c>
      <c r="Q39" s="83">
        <f>SUM(Q35:Q38)</f>
        <v>0</v>
      </c>
      <c r="S39" s="39"/>
      <c r="T39" s="87"/>
      <c r="U39" s="88"/>
      <c r="V39" s="88"/>
      <c r="W39" s="88"/>
      <c r="X39" s="88"/>
      <c r="AA39" s="88"/>
      <c r="AB39" s="88"/>
      <c r="AC39" s="88"/>
      <c r="AD39" s="88"/>
      <c r="AE39" s="89"/>
    </row>
    <row r="40" spans="1:31" ht="20.149999999999999" customHeight="1">
      <c r="A40" s="36"/>
      <c r="B40" s="36"/>
      <c r="C40" s="384"/>
      <c r="D40" s="36"/>
      <c r="E40" s="36"/>
      <c r="F40" s="36"/>
      <c r="G40" s="36"/>
      <c r="H40" s="36"/>
      <c r="I40" s="36"/>
      <c r="J40" s="36"/>
      <c r="K40" s="36"/>
      <c r="L40" s="36"/>
      <c r="M40" s="36"/>
      <c r="N40" s="36"/>
      <c r="O40" s="36"/>
      <c r="P40" s="36"/>
      <c r="Q40" s="36"/>
    </row>
    <row r="41" spans="1:31" ht="20.149999999999999" customHeight="1" thickBot="1">
      <c r="A41" s="58" t="s">
        <v>390</v>
      </c>
      <c r="B41" s="36"/>
      <c r="C41" s="384"/>
      <c r="D41" s="36"/>
      <c r="E41" s="36"/>
      <c r="F41" s="36"/>
      <c r="G41" s="36"/>
      <c r="H41" s="36"/>
      <c r="I41" s="36"/>
      <c r="J41" s="36"/>
      <c r="K41" s="36"/>
      <c r="L41" s="36"/>
      <c r="M41" s="36"/>
      <c r="N41" s="36"/>
      <c r="O41" s="36"/>
      <c r="P41" s="36"/>
      <c r="Q41" s="36"/>
    </row>
    <row r="42" spans="1:31" ht="20.149999999999999" customHeight="1" thickBot="1">
      <c r="A42" s="36"/>
      <c r="B42" s="915" t="s">
        <v>391</v>
      </c>
      <c r="C42" s="916"/>
      <c r="D42" s="916"/>
      <c r="E42" s="916"/>
      <c r="F42" s="916"/>
      <c r="G42" s="916"/>
      <c r="H42" s="916"/>
      <c r="I42" s="916"/>
      <c r="J42" s="916"/>
      <c r="K42" s="916"/>
      <c r="L42" s="916"/>
      <c r="M42" s="101"/>
      <c r="N42" s="908"/>
      <c r="O42" s="909"/>
      <c r="P42" s="910"/>
      <c r="Q42" s="36"/>
    </row>
    <row r="43" spans="1:31" ht="20.149999999999999" customHeight="1">
      <c r="A43" s="36"/>
      <c r="B43" s="915" t="s">
        <v>396</v>
      </c>
      <c r="C43" s="916"/>
      <c r="D43" s="916"/>
      <c r="E43" s="916"/>
      <c r="F43" s="916"/>
      <c r="G43" s="916"/>
      <c r="H43" s="916"/>
      <c r="I43" s="916"/>
      <c r="J43" s="916"/>
      <c r="K43" s="916"/>
      <c r="L43" s="916"/>
      <c r="M43" s="52"/>
      <c r="N43" s="52"/>
      <c r="O43" s="52"/>
      <c r="P43" s="52"/>
      <c r="Q43" s="52"/>
    </row>
    <row r="44" spans="1:31" ht="20.149999999999999" customHeight="1">
      <c r="A44" s="36"/>
      <c r="B44" s="382"/>
      <c r="C44" s="383"/>
      <c r="D44" s="383"/>
      <c r="E44" s="383"/>
      <c r="F44" s="383"/>
      <c r="G44" s="383"/>
      <c r="H44" s="383"/>
      <c r="I44" s="383"/>
      <c r="J44" s="383"/>
      <c r="K44" s="383"/>
      <c r="L44" s="383"/>
      <c r="M44" s="52"/>
      <c r="N44" s="52"/>
      <c r="O44" s="52"/>
      <c r="P44" s="52"/>
      <c r="Q44" s="52"/>
    </row>
    <row r="45" spans="1:31" ht="20.149999999999999" customHeight="1">
      <c r="A45" s="58" t="s">
        <v>392</v>
      </c>
      <c r="B45" s="59"/>
      <c r="C45" s="52"/>
      <c r="D45" s="52"/>
      <c r="E45" s="52"/>
      <c r="F45" s="52"/>
      <c r="G45" s="52"/>
      <c r="H45" s="52"/>
      <c r="I45" s="52"/>
      <c r="J45" s="52"/>
      <c r="K45" s="52"/>
      <c r="L45" s="52"/>
      <c r="M45" s="52"/>
      <c r="N45" s="52"/>
      <c r="O45" s="52"/>
      <c r="P45" s="52"/>
      <c r="Q45" s="52"/>
    </row>
    <row r="46" spans="1:31" ht="20.149999999999999" customHeight="1">
      <c r="A46" s="60"/>
      <c r="B46" s="59" t="s">
        <v>393</v>
      </c>
      <c r="C46" s="52"/>
      <c r="D46" s="52"/>
      <c r="E46" s="52"/>
      <c r="F46" s="52"/>
      <c r="G46" s="52"/>
      <c r="H46" s="52"/>
      <c r="I46" s="52"/>
      <c r="J46" s="52"/>
      <c r="K46" s="52"/>
      <c r="L46" s="52"/>
      <c r="M46" s="52"/>
      <c r="N46" s="52"/>
      <c r="O46" s="52"/>
      <c r="P46" s="52"/>
      <c r="Q46" s="52"/>
    </row>
    <row r="47" spans="1:31" ht="20.149999999999999" customHeight="1" thickBot="1">
      <c r="A47" s="60"/>
      <c r="B47" s="59"/>
      <c r="C47" s="52"/>
      <c r="D47" s="52"/>
      <c r="E47" s="52"/>
      <c r="F47" s="52"/>
      <c r="G47" s="52"/>
      <c r="H47" s="52"/>
      <c r="I47" s="52"/>
      <c r="J47" s="52"/>
      <c r="K47" s="52"/>
      <c r="L47" s="52"/>
      <c r="M47" s="52"/>
      <c r="N47" s="52"/>
      <c r="O47" s="52"/>
      <c r="P47" s="52"/>
      <c r="Q47" s="52"/>
    </row>
    <row r="48" spans="1:31" ht="20.149999999999999" customHeight="1" thickBot="1">
      <c r="A48" s="60"/>
      <c r="B48" s="164"/>
      <c r="C48" s="61" t="s">
        <v>178</v>
      </c>
      <c r="D48" s="52"/>
      <c r="E48" s="52"/>
      <c r="F48" s="52"/>
      <c r="G48" s="52"/>
      <c r="H48" s="52"/>
      <c r="I48" s="52"/>
      <c r="J48" s="52"/>
      <c r="K48" s="52"/>
      <c r="L48" s="52"/>
      <c r="M48" s="52"/>
      <c r="N48" s="52"/>
      <c r="O48" s="52"/>
      <c r="P48" s="52"/>
      <c r="Q48" s="52"/>
    </row>
    <row r="49" spans="1:31" ht="20.149999999999999" customHeight="1" thickBot="1">
      <c r="A49" s="162"/>
      <c r="B49" s="163"/>
      <c r="C49" s="162"/>
      <c r="D49" s="162"/>
      <c r="E49" s="162"/>
      <c r="F49" s="162"/>
      <c r="G49" s="162"/>
      <c r="H49" s="162"/>
      <c r="I49" s="162"/>
      <c r="J49" s="162"/>
      <c r="K49" s="162"/>
      <c r="L49" s="162"/>
      <c r="M49" s="162"/>
      <c r="N49" s="162"/>
      <c r="O49" s="162"/>
      <c r="P49" s="162"/>
      <c r="Q49" s="162"/>
    </row>
    <row r="50" spans="1:31" ht="20.149999999999999" customHeight="1" thickBot="1">
      <c r="A50" s="60"/>
      <c r="B50" s="164"/>
      <c r="C50" s="61" t="s">
        <v>179</v>
      </c>
      <c r="D50" s="52"/>
      <c r="E50" s="52"/>
      <c r="F50" s="52"/>
      <c r="G50" s="52"/>
      <c r="H50" s="52"/>
      <c r="I50" s="52"/>
      <c r="J50" s="52"/>
      <c r="K50" s="52"/>
      <c r="L50" s="52"/>
      <c r="M50" s="52"/>
      <c r="N50" s="52"/>
      <c r="O50" s="52"/>
      <c r="P50" s="52"/>
      <c r="Q50" s="52"/>
    </row>
    <row r="51" spans="1:31" ht="20.149999999999999" customHeight="1" thickBot="1">
      <c r="A51" s="60"/>
      <c r="B51" s="62"/>
      <c r="C51" s="53"/>
      <c r="D51" s="52"/>
      <c r="E51" s="52"/>
      <c r="F51" s="52"/>
      <c r="G51" s="52"/>
      <c r="H51" s="52"/>
      <c r="I51" s="52"/>
      <c r="J51" s="52"/>
      <c r="K51" s="52"/>
      <c r="L51" s="52"/>
      <c r="M51" s="52"/>
      <c r="N51" s="52"/>
      <c r="O51" s="52"/>
      <c r="P51" s="52"/>
      <c r="Q51" s="52"/>
    </row>
    <row r="52" spans="1:31" ht="20.149999999999999" customHeight="1" thickBot="1">
      <c r="A52" s="60"/>
      <c r="B52" s="164"/>
      <c r="C52" s="61" t="s">
        <v>180</v>
      </c>
      <c r="D52" s="52"/>
      <c r="E52" s="52"/>
      <c r="F52" s="52"/>
      <c r="G52" s="52"/>
      <c r="H52" s="52"/>
      <c r="I52" s="52"/>
      <c r="J52" s="52"/>
      <c r="K52" s="52"/>
      <c r="L52" s="52"/>
      <c r="M52" s="52"/>
      <c r="N52" s="52"/>
      <c r="O52" s="52"/>
      <c r="P52" s="52"/>
      <c r="Q52" s="52"/>
    </row>
    <row r="53" spans="1:31" ht="20.149999999999999" customHeight="1">
      <c r="A53" s="60"/>
      <c r="B53" s="917"/>
      <c r="C53" s="918"/>
      <c r="D53" s="918"/>
      <c r="E53" s="918"/>
      <c r="F53" s="918"/>
      <c r="G53" s="918"/>
      <c r="H53" s="918"/>
      <c r="I53" s="918"/>
      <c r="J53" s="918"/>
      <c r="K53" s="918"/>
      <c r="L53" s="918"/>
      <c r="M53" s="918"/>
      <c r="N53" s="918"/>
      <c r="O53" s="918"/>
      <c r="P53" s="919"/>
      <c r="Q53" s="52"/>
      <c r="V53" s="25"/>
      <c r="W53" s="25"/>
      <c r="X53" s="25"/>
    </row>
    <row r="54" spans="1:31" ht="20.149999999999999" customHeight="1">
      <c r="A54" s="60"/>
      <c r="B54" s="920"/>
      <c r="C54" s="921"/>
      <c r="D54" s="921"/>
      <c r="E54" s="921"/>
      <c r="F54" s="921"/>
      <c r="G54" s="921"/>
      <c r="H54" s="921"/>
      <c r="I54" s="921"/>
      <c r="J54" s="921"/>
      <c r="K54" s="921"/>
      <c r="L54" s="921"/>
      <c r="M54" s="921"/>
      <c r="N54" s="921"/>
      <c r="O54" s="921"/>
      <c r="P54" s="922"/>
      <c r="Q54" s="52"/>
    </row>
    <row r="55" spans="1:31" ht="20.149999999999999" customHeight="1" thickBot="1">
      <c r="A55" s="55"/>
      <c r="B55" s="923"/>
      <c r="C55" s="924"/>
      <c r="D55" s="924"/>
      <c r="E55" s="924"/>
      <c r="F55" s="924"/>
      <c r="G55" s="924"/>
      <c r="H55" s="924"/>
      <c r="I55" s="924"/>
      <c r="J55" s="924"/>
      <c r="K55" s="924"/>
      <c r="L55" s="924"/>
      <c r="M55" s="924"/>
      <c r="N55" s="924"/>
      <c r="O55" s="924"/>
      <c r="P55" s="925"/>
      <c r="Q55" s="52"/>
    </row>
    <row r="56" spans="1:31" ht="20.149999999999999" customHeight="1">
      <c r="A56" s="5"/>
      <c r="B56" s="6"/>
      <c r="C56" s="6"/>
      <c r="D56" s="6"/>
      <c r="E56" s="6"/>
      <c r="F56" s="6"/>
      <c r="G56" s="6"/>
      <c r="H56" s="6"/>
      <c r="I56" s="6"/>
      <c r="J56" s="6"/>
      <c r="K56" s="6"/>
      <c r="L56" s="6"/>
      <c r="M56" s="6"/>
      <c r="N56" s="6"/>
      <c r="O56" s="6"/>
      <c r="P56" s="6"/>
      <c r="Q56" s="6"/>
      <c r="Y56" s="5"/>
      <c r="Z56" s="5"/>
    </row>
    <row r="57" spans="1:31" s="5" customFormat="1" ht="20.149999999999999" customHeight="1" thickBot="1">
      <c r="A57" s="54"/>
      <c r="B57" s="59" t="s">
        <v>345</v>
      </c>
      <c r="C57" s="52"/>
      <c r="D57" s="53"/>
      <c r="E57" s="102"/>
      <c r="F57" s="53"/>
      <c r="G57" s="53"/>
      <c r="H57" s="53"/>
      <c r="I57" s="53"/>
      <c r="J57" s="53"/>
      <c r="K57" s="53"/>
      <c r="L57" s="53"/>
      <c r="M57" s="53"/>
      <c r="N57" s="53"/>
      <c r="O57" s="53"/>
      <c r="P57" s="53"/>
      <c r="Q57" s="52"/>
      <c r="Y57" s="34"/>
      <c r="Z57" s="34"/>
    </row>
    <row r="58" spans="1:31" ht="20.149999999999999" customHeight="1" thickBot="1">
      <c r="A58" s="54"/>
      <c r="B58" s="906" t="s">
        <v>350</v>
      </c>
      <c r="C58" s="907"/>
      <c r="D58" s="104">
        <v>4</v>
      </c>
      <c r="E58" s="103" t="str">
        <f t="shared" ref="E58:M58" si="20">IF(AND($D$58&lt;=E$59,$D$58&gt;3),"○","")</f>
        <v>○</v>
      </c>
      <c r="F58" s="103" t="str">
        <f t="shared" si="20"/>
        <v>○</v>
      </c>
      <c r="G58" s="103" t="str">
        <f t="shared" si="20"/>
        <v>○</v>
      </c>
      <c r="H58" s="103" t="str">
        <f t="shared" si="20"/>
        <v>○</v>
      </c>
      <c r="I58" s="103" t="str">
        <f t="shared" si="20"/>
        <v>○</v>
      </c>
      <c r="J58" s="103" t="str">
        <f t="shared" si="20"/>
        <v>○</v>
      </c>
      <c r="K58" s="103" t="str">
        <f t="shared" si="20"/>
        <v>○</v>
      </c>
      <c r="L58" s="103" t="str">
        <f t="shared" si="20"/>
        <v>○</v>
      </c>
      <c r="M58" s="103" t="str">
        <f t="shared" si="20"/>
        <v>○</v>
      </c>
      <c r="N58" s="103" t="str">
        <f>IF(AND($D$58&lt;=N$59+12,$D$58&gt;0),"○","")</f>
        <v>○</v>
      </c>
      <c r="O58" s="103" t="str">
        <f>IF(AND($D$58&lt;=O$59+12,$D$58&gt;0),"○","")</f>
        <v>○</v>
      </c>
      <c r="P58" s="103" t="str">
        <f>IF(AND($D$58&lt;=P$59+12,$D$58&gt;0),"○","")</f>
        <v>○</v>
      </c>
      <c r="Q58" s="105">
        <f>COUNTIF(E58:P58,"○")</f>
        <v>12</v>
      </c>
      <c r="V58" s="5"/>
      <c r="W58" s="5"/>
      <c r="X58" s="5"/>
    </row>
    <row r="59" spans="1:31" ht="20.149999999999999" customHeight="1">
      <c r="A59" s="55"/>
      <c r="B59" s="911" t="s">
        <v>35</v>
      </c>
      <c r="C59" s="912"/>
      <c r="D59" s="100" t="s">
        <v>124</v>
      </c>
      <c r="E59" s="56">
        <v>4</v>
      </c>
      <c r="F59" s="56">
        <v>5</v>
      </c>
      <c r="G59" s="56">
        <v>6</v>
      </c>
      <c r="H59" s="56">
        <v>7</v>
      </c>
      <c r="I59" s="56">
        <v>8</v>
      </c>
      <c r="J59" s="56">
        <v>9</v>
      </c>
      <c r="K59" s="56">
        <v>10</v>
      </c>
      <c r="L59" s="56">
        <v>11</v>
      </c>
      <c r="M59" s="56">
        <v>12</v>
      </c>
      <c r="N59" s="56">
        <v>1</v>
      </c>
      <c r="O59" s="56">
        <v>2</v>
      </c>
      <c r="P59" s="56">
        <v>3</v>
      </c>
      <c r="Q59" s="77" t="s">
        <v>1</v>
      </c>
    </row>
    <row r="60" spans="1:31" ht="20.149999999999999" customHeight="1">
      <c r="A60" s="36"/>
      <c r="B60" s="895" t="s">
        <v>93</v>
      </c>
      <c r="C60" s="896"/>
      <c r="D60" s="43" t="s">
        <v>176</v>
      </c>
      <c r="E60" s="44"/>
      <c r="F60" s="165"/>
      <c r="G60" s="165"/>
      <c r="H60" s="165"/>
      <c r="I60" s="165"/>
      <c r="J60" s="165"/>
      <c r="K60" s="165"/>
      <c r="L60" s="165"/>
      <c r="M60" s="165"/>
      <c r="N60" s="165"/>
      <c r="O60" s="165"/>
      <c r="P60" s="165"/>
      <c r="Q60" s="45">
        <f>IF(ISERROR(ROUND(SUM(E60:P60)/$Q$58,0)),0,ROUND(SUM(E60:P60)/$Q$58,0))</f>
        <v>0</v>
      </c>
      <c r="V60" s="85"/>
      <c r="W60" s="85"/>
      <c r="X60" s="85"/>
      <c r="Y60" s="88"/>
      <c r="Z60" s="88"/>
    </row>
    <row r="61" spans="1:31" ht="20.149999999999999" customHeight="1">
      <c r="A61" s="36"/>
      <c r="B61" s="895" t="s">
        <v>70</v>
      </c>
      <c r="C61" s="896"/>
      <c r="D61" s="46" t="s">
        <v>176</v>
      </c>
      <c r="E61" s="44"/>
      <c r="F61" s="165"/>
      <c r="G61" s="165"/>
      <c r="H61" s="165"/>
      <c r="I61" s="165"/>
      <c r="J61" s="165"/>
      <c r="K61" s="165"/>
      <c r="L61" s="165"/>
      <c r="M61" s="165"/>
      <c r="N61" s="165"/>
      <c r="O61" s="165"/>
      <c r="P61" s="165"/>
      <c r="Q61" s="45">
        <f>IF(ISERROR(ROUND(SUM(E61:P61)/$Q$58,0)),0,ROUND(SUM(E61:P61)/$Q$58,0))</f>
        <v>0</v>
      </c>
      <c r="S61" s="39"/>
      <c r="T61" s="87"/>
      <c r="U61" s="88"/>
      <c r="V61" s="88"/>
      <c r="W61" s="88"/>
      <c r="X61" s="88"/>
      <c r="Y61" s="88"/>
      <c r="Z61" s="88"/>
      <c r="AA61" s="88"/>
      <c r="AB61" s="88"/>
      <c r="AC61" s="88"/>
      <c r="AD61" s="88"/>
      <c r="AE61" s="89"/>
    </row>
    <row r="62" spans="1:31" ht="20.149999999999999" customHeight="1">
      <c r="A62" s="36"/>
      <c r="B62" s="895" t="s">
        <v>337</v>
      </c>
      <c r="C62" s="896"/>
      <c r="D62" s="46" t="s">
        <v>176</v>
      </c>
      <c r="E62" s="44"/>
      <c r="F62" s="165"/>
      <c r="G62" s="165"/>
      <c r="H62" s="165"/>
      <c r="I62" s="165"/>
      <c r="J62" s="165"/>
      <c r="K62" s="165"/>
      <c r="L62" s="165"/>
      <c r="M62" s="165"/>
      <c r="N62" s="165"/>
      <c r="O62" s="165"/>
      <c r="P62" s="165"/>
      <c r="Q62" s="45">
        <f>IF(ISERROR(ROUND(SUM(E62:P62)/$Q$58,0)),0,ROUND(SUM(E62:P62)/$Q$58,0))</f>
        <v>0</v>
      </c>
      <c r="S62" s="39"/>
      <c r="T62" s="87"/>
      <c r="U62" s="88"/>
      <c r="V62" s="88"/>
      <c r="W62" s="88"/>
      <c r="X62" s="88"/>
      <c r="Y62" s="88"/>
      <c r="Z62" s="88"/>
      <c r="AA62" s="88"/>
      <c r="AB62" s="88"/>
      <c r="AC62" s="88"/>
      <c r="AD62" s="88"/>
      <c r="AE62" s="89"/>
    </row>
    <row r="63" spans="1:31" ht="20.149999999999999" customHeight="1">
      <c r="A63" s="36"/>
      <c r="B63" s="893" t="s">
        <v>8</v>
      </c>
      <c r="C63" s="894"/>
      <c r="D63" s="78" t="s">
        <v>176</v>
      </c>
      <c r="E63" s="79"/>
      <c r="F63" s="165"/>
      <c r="G63" s="165"/>
      <c r="H63" s="165"/>
      <c r="I63" s="165"/>
      <c r="J63" s="165"/>
      <c r="K63" s="165"/>
      <c r="L63" s="165"/>
      <c r="M63" s="165"/>
      <c r="N63" s="165"/>
      <c r="O63" s="165"/>
      <c r="P63" s="165"/>
      <c r="Q63" s="80">
        <f>IF(ISERROR(ROUND(SUM(E63:P63)/$Q$58,0)),0,ROUND(SUM(E63:P63)/$Q$58,0))</f>
        <v>0</v>
      </c>
      <c r="S63" s="39"/>
      <c r="T63" s="87"/>
      <c r="U63" s="88"/>
      <c r="V63" s="88"/>
      <c r="W63" s="88"/>
      <c r="X63" s="88"/>
      <c r="Y63" s="88"/>
      <c r="Z63" s="88"/>
      <c r="AA63" s="88"/>
      <c r="AB63" s="88"/>
      <c r="AC63" s="88"/>
      <c r="AD63" s="88"/>
      <c r="AE63" s="89"/>
    </row>
    <row r="64" spans="1:31" ht="20.149999999999999" customHeight="1" thickBot="1">
      <c r="B64" s="882" t="s">
        <v>0</v>
      </c>
      <c r="C64" s="883"/>
      <c r="D64" s="81"/>
      <c r="E64" s="82">
        <f>SUM(E60:E63)</f>
        <v>0</v>
      </c>
      <c r="F64" s="82">
        <f t="shared" ref="F64:P64" si="21">SUM(F60:F63)</f>
        <v>0</v>
      </c>
      <c r="G64" s="82">
        <f t="shared" si="21"/>
        <v>0</v>
      </c>
      <c r="H64" s="82">
        <f t="shared" si="21"/>
        <v>0</v>
      </c>
      <c r="I64" s="82">
        <f t="shared" si="21"/>
        <v>0</v>
      </c>
      <c r="J64" s="82">
        <f t="shared" si="21"/>
        <v>0</v>
      </c>
      <c r="K64" s="82">
        <f t="shared" si="21"/>
        <v>0</v>
      </c>
      <c r="L64" s="82">
        <f t="shared" si="21"/>
        <v>0</v>
      </c>
      <c r="M64" s="82">
        <f t="shared" si="21"/>
        <v>0</v>
      </c>
      <c r="N64" s="82">
        <f t="shared" si="21"/>
        <v>0</v>
      </c>
      <c r="O64" s="82">
        <f t="shared" si="21"/>
        <v>0</v>
      </c>
      <c r="P64" s="82">
        <f t="shared" si="21"/>
        <v>0</v>
      </c>
      <c r="Q64" s="83">
        <f>SUM(Q60:Q63)</f>
        <v>0</v>
      </c>
      <c r="S64" s="39"/>
      <c r="T64" s="87"/>
      <c r="U64" s="88"/>
      <c r="V64" s="88"/>
      <c r="W64" s="88"/>
      <c r="X64" s="88"/>
      <c r="Y64" s="86"/>
      <c r="Z64" s="86"/>
      <c r="AA64" s="88"/>
      <c r="AB64" s="88"/>
      <c r="AC64" s="88"/>
      <c r="AD64" s="88"/>
      <c r="AE64" s="89"/>
    </row>
    <row r="65" spans="1:31" ht="20.149999999999999" customHeight="1">
      <c r="A65" s="36"/>
      <c r="B65" s="913" t="s">
        <v>95</v>
      </c>
      <c r="C65" s="914"/>
      <c r="D65" s="100" t="s">
        <v>124</v>
      </c>
      <c r="E65" s="41">
        <v>4</v>
      </c>
      <c r="F65" s="42">
        <v>5</v>
      </c>
      <c r="G65" s="42">
        <v>6</v>
      </c>
      <c r="H65" s="42">
        <v>7</v>
      </c>
      <c r="I65" s="42">
        <v>8</v>
      </c>
      <c r="J65" s="42">
        <v>9</v>
      </c>
      <c r="K65" s="42">
        <v>10</v>
      </c>
      <c r="L65" s="42">
        <v>11</v>
      </c>
      <c r="M65" s="42">
        <v>12</v>
      </c>
      <c r="N65" s="42">
        <v>1</v>
      </c>
      <c r="O65" s="42">
        <v>2</v>
      </c>
      <c r="P65" s="42">
        <v>3</v>
      </c>
      <c r="Q65" s="77" t="s">
        <v>1</v>
      </c>
      <c r="S65" s="86"/>
      <c r="T65" s="86"/>
      <c r="U65" s="86"/>
      <c r="V65" s="86"/>
      <c r="W65" s="86"/>
      <c r="X65" s="86"/>
      <c r="Y65" s="85"/>
      <c r="Z65" s="85"/>
      <c r="AA65" s="86"/>
      <c r="AB65" s="86"/>
      <c r="AC65" s="86"/>
      <c r="AD65" s="86"/>
      <c r="AE65" s="86"/>
    </row>
    <row r="66" spans="1:31" ht="20.149999999999999" customHeight="1">
      <c r="A66" s="36"/>
      <c r="B66" s="895" t="s">
        <v>93</v>
      </c>
      <c r="C66" s="896"/>
      <c r="D66" s="43" t="s">
        <v>176</v>
      </c>
      <c r="E66" s="44"/>
      <c r="F66" s="165"/>
      <c r="G66" s="165"/>
      <c r="H66" s="165"/>
      <c r="I66" s="165"/>
      <c r="J66" s="165"/>
      <c r="K66" s="165"/>
      <c r="L66" s="165"/>
      <c r="M66" s="165"/>
      <c r="N66" s="165"/>
      <c r="O66" s="165"/>
      <c r="P66" s="165"/>
      <c r="Q66" s="45">
        <f>IF(ISERROR(ROUND(SUM(E66:P66)/$Q$58,0)),0,ROUND(SUM(E66:P66)/$Q$58,0))</f>
        <v>0</v>
      </c>
      <c r="S66" s="86"/>
      <c r="T66" s="85"/>
      <c r="U66" s="85"/>
      <c r="V66" s="85"/>
      <c r="W66" s="85"/>
      <c r="X66" s="85"/>
      <c r="Y66" s="88"/>
      <c r="Z66" s="88"/>
      <c r="AA66" s="85"/>
      <c r="AB66" s="85"/>
      <c r="AC66" s="85"/>
      <c r="AD66" s="85"/>
      <c r="AE66" s="86"/>
    </row>
    <row r="67" spans="1:31" ht="20.149999999999999" customHeight="1">
      <c r="A67" s="36"/>
      <c r="B67" s="895" t="s">
        <v>70</v>
      </c>
      <c r="C67" s="896"/>
      <c r="D67" s="46" t="s">
        <v>176</v>
      </c>
      <c r="E67" s="44"/>
      <c r="F67" s="165"/>
      <c r="G67" s="165"/>
      <c r="H67" s="165"/>
      <c r="I67" s="165"/>
      <c r="J67" s="165"/>
      <c r="K67" s="165"/>
      <c r="L67" s="165"/>
      <c r="M67" s="165"/>
      <c r="N67" s="165"/>
      <c r="O67" s="165"/>
      <c r="P67" s="165"/>
      <c r="Q67" s="45">
        <f>IF(ISERROR(ROUND(SUM(E67:P67)/$Q$58,0)),0,ROUND(SUM(E67:P67)/$Q$58,0))</f>
        <v>0</v>
      </c>
      <c r="S67" s="39"/>
      <c r="T67" s="87"/>
      <c r="U67" s="88"/>
      <c r="V67" s="88"/>
      <c r="W67" s="88"/>
      <c r="X67" s="88"/>
      <c r="Y67" s="88"/>
      <c r="Z67" s="88"/>
      <c r="AA67" s="88"/>
      <c r="AB67" s="88"/>
      <c r="AC67" s="88"/>
      <c r="AD67" s="88"/>
      <c r="AE67" s="89"/>
    </row>
    <row r="68" spans="1:31" ht="20.149999999999999" customHeight="1">
      <c r="A68" s="36"/>
      <c r="B68" s="895" t="s">
        <v>337</v>
      </c>
      <c r="C68" s="896"/>
      <c r="D68" s="46" t="s">
        <v>176</v>
      </c>
      <c r="E68" s="44"/>
      <c r="F68" s="165"/>
      <c r="G68" s="165"/>
      <c r="H68" s="165"/>
      <c r="I68" s="165"/>
      <c r="J68" s="165"/>
      <c r="K68" s="165"/>
      <c r="L68" s="165"/>
      <c r="M68" s="165"/>
      <c r="N68" s="165"/>
      <c r="O68" s="165"/>
      <c r="P68" s="165"/>
      <c r="Q68" s="45">
        <f>IF(ISERROR(ROUND(SUM(E68:P68)/$Q$58,0)),0,ROUND(SUM(E68:P68)/$Q$58,0))</f>
        <v>0</v>
      </c>
      <c r="S68" s="39"/>
      <c r="T68" s="87"/>
      <c r="U68" s="88"/>
      <c r="V68" s="88"/>
      <c r="W68" s="88"/>
      <c r="X68" s="88"/>
      <c r="Y68" s="88"/>
      <c r="Z68" s="88"/>
      <c r="AA68" s="88"/>
      <c r="AB68" s="88"/>
      <c r="AC68" s="88"/>
      <c r="AD68" s="88"/>
      <c r="AE68" s="89"/>
    </row>
    <row r="69" spans="1:31" ht="20.149999999999999" customHeight="1">
      <c r="A69" s="36"/>
      <c r="B69" s="893" t="s">
        <v>8</v>
      </c>
      <c r="C69" s="894"/>
      <c r="D69" s="78" t="s">
        <v>176</v>
      </c>
      <c r="E69" s="79"/>
      <c r="F69" s="165"/>
      <c r="G69" s="165"/>
      <c r="H69" s="165"/>
      <c r="I69" s="165"/>
      <c r="J69" s="165"/>
      <c r="K69" s="165"/>
      <c r="L69" s="165"/>
      <c r="M69" s="165"/>
      <c r="N69" s="165"/>
      <c r="O69" s="165"/>
      <c r="P69" s="165"/>
      <c r="Q69" s="80">
        <f>IF(ISERROR(ROUND(SUM(E69:P69)/$Q$58,0)),0,ROUND(SUM(E69:P69)/$Q$58,0))</f>
        <v>0</v>
      </c>
      <c r="S69" s="39"/>
      <c r="T69" s="87"/>
      <c r="U69" s="88"/>
      <c r="V69" s="88"/>
      <c r="W69" s="88"/>
      <c r="X69" s="88"/>
      <c r="Y69" s="88"/>
      <c r="Z69" s="88"/>
      <c r="AA69" s="88"/>
      <c r="AB69" s="88"/>
      <c r="AC69" s="88"/>
      <c r="AD69" s="88"/>
      <c r="AE69" s="89"/>
    </row>
    <row r="70" spans="1:31" ht="20.149999999999999" customHeight="1" thickBot="1">
      <c r="B70" s="882" t="s">
        <v>0</v>
      </c>
      <c r="C70" s="883"/>
      <c r="D70" s="81"/>
      <c r="E70" s="82">
        <f>SUM(E66:E69)</f>
        <v>0</v>
      </c>
      <c r="F70" s="82">
        <f t="shared" ref="F70:P70" si="22">SUM(F66:F69)</f>
        <v>0</v>
      </c>
      <c r="G70" s="82">
        <f t="shared" si="22"/>
        <v>0</v>
      </c>
      <c r="H70" s="82">
        <f t="shared" si="22"/>
        <v>0</v>
      </c>
      <c r="I70" s="82">
        <f t="shared" si="22"/>
        <v>0</v>
      </c>
      <c r="J70" s="82">
        <f t="shared" si="22"/>
        <v>0</v>
      </c>
      <c r="K70" s="82">
        <f t="shared" si="22"/>
        <v>0</v>
      </c>
      <c r="L70" s="82">
        <f t="shared" si="22"/>
        <v>0</v>
      </c>
      <c r="M70" s="82">
        <f t="shared" si="22"/>
        <v>0</v>
      </c>
      <c r="N70" s="82">
        <f t="shared" si="22"/>
        <v>0</v>
      </c>
      <c r="O70" s="82">
        <f t="shared" si="22"/>
        <v>0</v>
      </c>
      <c r="P70" s="82">
        <f t="shared" si="22"/>
        <v>0</v>
      </c>
      <c r="Q70" s="83">
        <f>SUM(Q66:Q69)</f>
        <v>0</v>
      </c>
      <c r="S70" s="39"/>
      <c r="T70" s="87"/>
      <c r="U70" s="88"/>
      <c r="V70" s="88"/>
      <c r="W70" s="88"/>
      <c r="X70" s="88"/>
      <c r="AA70" s="88"/>
      <c r="AB70" s="88"/>
      <c r="AC70" s="88"/>
      <c r="AD70" s="88"/>
      <c r="AE70" s="89"/>
    </row>
    <row r="71" spans="1:31" ht="20.149999999999999" customHeight="1">
      <c r="A71" s="52"/>
      <c r="B71" s="52"/>
      <c r="C71" s="53"/>
      <c r="D71" s="53"/>
      <c r="E71" s="57"/>
      <c r="F71" s="57"/>
      <c r="G71" s="57"/>
      <c r="H71" s="57"/>
      <c r="I71" s="57"/>
      <c r="J71" s="57"/>
      <c r="K71" s="57"/>
      <c r="L71" s="57"/>
      <c r="M71" s="57"/>
      <c r="N71" s="57"/>
      <c r="O71" s="57"/>
      <c r="P71" s="57"/>
      <c r="Q71" s="57"/>
    </row>
    <row r="72" spans="1:31" ht="20.149999999999999" customHeight="1">
      <c r="B72" s="63"/>
      <c r="C72" s="63"/>
      <c r="D72" s="63"/>
      <c r="E72" s="63"/>
      <c r="F72" s="63"/>
      <c r="G72" s="63"/>
      <c r="H72" s="63"/>
      <c r="I72" s="63"/>
      <c r="J72" s="63"/>
      <c r="K72" s="63"/>
      <c r="L72" s="63"/>
      <c r="M72" s="63"/>
      <c r="N72" s="63"/>
      <c r="O72" s="63"/>
      <c r="P72" s="63"/>
      <c r="Q72" s="63"/>
    </row>
    <row r="73" spans="1:31" ht="17.25" customHeight="1"/>
    <row r="74" spans="1:31" ht="17.25" customHeight="1"/>
    <row r="75" spans="1:31" ht="17.25" customHeight="1"/>
    <row r="76" spans="1:31" ht="17.25" customHeight="1"/>
    <row r="77" spans="1:31" ht="17.25" customHeight="1"/>
    <row r="78" spans="1:31" ht="17.25" customHeight="1"/>
    <row r="79" spans="1:31" ht="17.25" customHeight="1"/>
    <row r="80" spans="1:31"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sheetData>
  <sheetProtection algorithmName="SHA-512" hashValue="xnOQjK+24AurVsbub5uSSoeRPcGQxwt01GksC1RlahAbie/Q+AI08OX8DfOOCYXGcTU+dEYxxgXlLjRZIIbUxA==" saltValue="Htlyhv/HZyGV1pHHeeYp3A==" spinCount="100000" sheet="1" objects="1" scenarios="1"/>
  <customSheetViews>
    <customSheetView guid="{2E52E5FF-9846-4DC5-A671-268FE925398C}" scale="85" showPageBreaks="1" printArea="1" view="pageBreakPreview">
      <selection activeCell="Y13" sqref="Y13"/>
      <rowBreaks count="1" manualBreakCount="1">
        <brk id="42" max="16" man="1"/>
      </rowBreaks>
      <pageMargins left="0.70866141732283472" right="0.70866141732283472" top="0.74803149606299213" bottom="0.74803149606299213" header="0.31496062992125984" footer="0.31496062992125984"/>
      <pageSetup paperSize="9" scale="70" orientation="portrait" r:id="rId1"/>
    </customSheetView>
    <customSheetView guid="{BADA99B3-B36A-4925-87A7-F72FC97D3DBA}" scale="85" showPageBreaks="1" printArea="1" view="pageBreakPreview">
      <selection activeCell="Y13" sqref="Y13"/>
      <rowBreaks count="1" manualBreakCount="1">
        <brk id="42" max="16" man="1"/>
      </rowBreaks>
      <pageMargins left="0.70866141732283472" right="0.70866141732283472" top="0.74803149606299213" bottom="0.74803149606299213" header="0.31496062992125984" footer="0.31496062992125984"/>
      <pageSetup paperSize="9" scale="70" orientation="portrait" r:id="rId2"/>
    </customSheetView>
  </customSheetViews>
  <mergeCells count="52">
    <mergeCell ref="B6:C6"/>
    <mergeCell ref="V1:Z1"/>
    <mergeCell ref="A1:N1"/>
    <mergeCell ref="O1:Q1"/>
    <mergeCell ref="B7:C8"/>
    <mergeCell ref="Q7:Q8"/>
    <mergeCell ref="B9:C10"/>
    <mergeCell ref="Q9:Q10"/>
    <mergeCell ref="B11:C12"/>
    <mergeCell ref="Q11:Q12"/>
    <mergeCell ref="B13:C14"/>
    <mergeCell ref="Q13:Q14"/>
    <mergeCell ref="B15:C15"/>
    <mergeCell ref="B16:C16"/>
    <mergeCell ref="B17:C18"/>
    <mergeCell ref="Q17:Q18"/>
    <mergeCell ref="B25:C25"/>
    <mergeCell ref="B19:C20"/>
    <mergeCell ref="Q19:Q20"/>
    <mergeCell ref="B21:C22"/>
    <mergeCell ref="Q21:Q22"/>
    <mergeCell ref="B23:C24"/>
    <mergeCell ref="Q23:Q24"/>
    <mergeCell ref="B39:C39"/>
    <mergeCell ref="B28:C28"/>
    <mergeCell ref="B29:C29"/>
    <mergeCell ref="B30:C30"/>
    <mergeCell ref="B31:C31"/>
    <mergeCell ref="B32:C32"/>
    <mergeCell ref="B33:C33"/>
    <mergeCell ref="B34:C34"/>
    <mergeCell ref="B35:C35"/>
    <mergeCell ref="B36:C36"/>
    <mergeCell ref="B37:C37"/>
    <mergeCell ref="B38:C38"/>
    <mergeCell ref="B60:C60"/>
    <mergeCell ref="B61:C61"/>
    <mergeCell ref="B59:C59"/>
    <mergeCell ref="N42:P42"/>
    <mergeCell ref="B53:P55"/>
    <mergeCell ref="B58:C58"/>
    <mergeCell ref="B42:L42"/>
    <mergeCell ref="B43:L43"/>
    <mergeCell ref="B68:C68"/>
    <mergeCell ref="B69:C69"/>
    <mergeCell ref="B70:C70"/>
    <mergeCell ref="B62:C62"/>
    <mergeCell ref="B63:C63"/>
    <mergeCell ref="B64:C64"/>
    <mergeCell ref="B65:C65"/>
    <mergeCell ref="B66:C66"/>
    <mergeCell ref="B67:C67"/>
  </mergeCells>
  <phoneticPr fontId="36"/>
  <dataValidations count="4">
    <dataValidation type="list" allowBlank="1" showInputMessage="1" showErrorMessage="1" sqref="N42:P42" xr:uid="{00000000-0002-0000-0900-000000000000}">
      <formula1>$T$2:$T$4</formula1>
    </dataValidation>
    <dataValidation type="list" allowBlank="1" showInputMessage="1" showErrorMessage="1" sqref="D65586:D65594 IY65579:IY65587 SU65579:SU65587 ACQ65579:ACQ65587 AMM65579:AMM65587 AWI65579:AWI65587 BGE65579:BGE65587 BQA65579:BQA65587 BZW65579:BZW65587 CJS65579:CJS65587 CTO65579:CTO65587 DDK65579:DDK65587 DNG65579:DNG65587 DXC65579:DXC65587 EGY65579:EGY65587 EQU65579:EQU65587 FAQ65579:FAQ65587 FKM65579:FKM65587 FUI65579:FUI65587 GEE65579:GEE65587 GOA65579:GOA65587 GXW65579:GXW65587 HHS65579:HHS65587 HRO65579:HRO65587 IBK65579:IBK65587 ILG65579:ILG65587 IVC65579:IVC65587 JEY65579:JEY65587 JOU65579:JOU65587 JYQ65579:JYQ65587 KIM65579:KIM65587 KSI65579:KSI65587 LCE65579:LCE65587 LMA65579:LMA65587 LVW65579:LVW65587 MFS65579:MFS65587 MPO65579:MPO65587 MZK65579:MZK65587 NJG65579:NJG65587 NTC65579:NTC65587 OCY65579:OCY65587 OMU65579:OMU65587 OWQ65579:OWQ65587 PGM65579:PGM65587 PQI65579:PQI65587 QAE65579:QAE65587 QKA65579:QKA65587 QTW65579:QTW65587 RDS65579:RDS65587 RNO65579:RNO65587 RXK65579:RXK65587 SHG65579:SHG65587 SRC65579:SRC65587 TAY65579:TAY65587 TKU65579:TKU65587 TUQ65579:TUQ65587 UEM65579:UEM65587 UOI65579:UOI65587 UYE65579:UYE65587 VIA65579:VIA65587 VRW65579:VRW65587 WBS65579:WBS65587 WLO65579:WLO65587 WVK65579:WVK65587 D131122:D131130 IY131115:IY131123 SU131115:SU131123 ACQ131115:ACQ131123 AMM131115:AMM131123 AWI131115:AWI131123 BGE131115:BGE131123 BQA131115:BQA131123 BZW131115:BZW131123 CJS131115:CJS131123 CTO131115:CTO131123 DDK131115:DDK131123 DNG131115:DNG131123 DXC131115:DXC131123 EGY131115:EGY131123 EQU131115:EQU131123 FAQ131115:FAQ131123 FKM131115:FKM131123 FUI131115:FUI131123 GEE131115:GEE131123 GOA131115:GOA131123 GXW131115:GXW131123 HHS131115:HHS131123 HRO131115:HRO131123 IBK131115:IBK131123 ILG131115:ILG131123 IVC131115:IVC131123 JEY131115:JEY131123 JOU131115:JOU131123 JYQ131115:JYQ131123 KIM131115:KIM131123 KSI131115:KSI131123 LCE131115:LCE131123 LMA131115:LMA131123 LVW131115:LVW131123 MFS131115:MFS131123 MPO131115:MPO131123 MZK131115:MZK131123 NJG131115:NJG131123 NTC131115:NTC131123 OCY131115:OCY131123 OMU131115:OMU131123 OWQ131115:OWQ131123 PGM131115:PGM131123 PQI131115:PQI131123 QAE131115:QAE131123 QKA131115:QKA131123 QTW131115:QTW131123 RDS131115:RDS131123 RNO131115:RNO131123 RXK131115:RXK131123 SHG131115:SHG131123 SRC131115:SRC131123 TAY131115:TAY131123 TKU131115:TKU131123 TUQ131115:TUQ131123 UEM131115:UEM131123 UOI131115:UOI131123 UYE131115:UYE131123 VIA131115:VIA131123 VRW131115:VRW131123 WBS131115:WBS131123 WLO131115:WLO131123 WVK131115:WVK131123 D196658:D196666 IY196651:IY196659 SU196651:SU196659 ACQ196651:ACQ196659 AMM196651:AMM196659 AWI196651:AWI196659 BGE196651:BGE196659 BQA196651:BQA196659 BZW196651:BZW196659 CJS196651:CJS196659 CTO196651:CTO196659 DDK196651:DDK196659 DNG196651:DNG196659 DXC196651:DXC196659 EGY196651:EGY196659 EQU196651:EQU196659 FAQ196651:FAQ196659 FKM196651:FKM196659 FUI196651:FUI196659 GEE196651:GEE196659 GOA196651:GOA196659 GXW196651:GXW196659 HHS196651:HHS196659 HRO196651:HRO196659 IBK196651:IBK196659 ILG196651:ILG196659 IVC196651:IVC196659 JEY196651:JEY196659 JOU196651:JOU196659 JYQ196651:JYQ196659 KIM196651:KIM196659 KSI196651:KSI196659 LCE196651:LCE196659 LMA196651:LMA196659 LVW196651:LVW196659 MFS196651:MFS196659 MPO196651:MPO196659 MZK196651:MZK196659 NJG196651:NJG196659 NTC196651:NTC196659 OCY196651:OCY196659 OMU196651:OMU196659 OWQ196651:OWQ196659 PGM196651:PGM196659 PQI196651:PQI196659 QAE196651:QAE196659 QKA196651:QKA196659 QTW196651:QTW196659 RDS196651:RDS196659 RNO196651:RNO196659 RXK196651:RXK196659 SHG196651:SHG196659 SRC196651:SRC196659 TAY196651:TAY196659 TKU196651:TKU196659 TUQ196651:TUQ196659 UEM196651:UEM196659 UOI196651:UOI196659 UYE196651:UYE196659 VIA196651:VIA196659 VRW196651:VRW196659 WBS196651:WBS196659 WLO196651:WLO196659 WVK196651:WVK196659 D262194:D262202 IY262187:IY262195 SU262187:SU262195 ACQ262187:ACQ262195 AMM262187:AMM262195 AWI262187:AWI262195 BGE262187:BGE262195 BQA262187:BQA262195 BZW262187:BZW262195 CJS262187:CJS262195 CTO262187:CTO262195 DDK262187:DDK262195 DNG262187:DNG262195 DXC262187:DXC262195 EGY262187:EGY262195 EQU262187:EQU262195 FAQ262187:FAQ262195 FKM262187:FKM262195 FUI262187:FUI262195 GEE262187:GEE262195 GOA262187:GOA262195 GXW262187:GXW262195 HHS262187:HHS262195 HRO262187:HRO262195 IBK262187:IBK262195 ILG262187:ILG262195 IVC262187:IVC262195 JEY262187:JEY262195 JOU262187:JOU262195 JYQ262187:JYQ262195 KIM262187:KIM262195 KSI262187:KSI262195 LCE262187:LCE262195 LMA262187:LMA262195 LVW262187:LVW262195 MFS262187:MFS262195 MPO262187:MPO262195 MZK262187:MZK262195 NJG262187:NJG262195 NTC262187:NTC262195 OCY262187:OCY262195 OMU262187:OMU262195 OWQ262187:OWQ262195 PGM262187:PGM262195 PQI262187:PQI262195 QAE262187:QAE262195 QKA262187:QKA262195 QTW262187:QTW262195 RDS262187:RDS262195 RNO262187:RNO262195 RXK262187:RXK262195 SHG262187:SHG262195 SRC262187:SRC262195 TAY262187:TAY262195 TKU262187:TKU262195 TUQ262187:TUQ262195 UEM262187:UEM262195 UOI262187:UOI262195 UYE262187:UYE262195 VIA262187:VIA262195 VRW262187:VRW262195 WBS262187:WBS262195 WLO262187:WLO262195 WVK262187:WVK262195 D327730:D327738 IY327723:IY327731 SU327723:SU327731 ACQ327723:ACQ327731 AMM327723:AMM327731 AWI327723:AWI327731 BGE327723:BGE327731 BQA327723:BQA327731 BZW327723:BZW327731 CJS327723:CJS327731 CTO327723:CTO327731 DDK327723:DDK327731 DNG327723:DNG327731 DXC327723:DXC327731 EGY327723:EGY327731 EQU327723:EQU327731 FAQ327723:FAQ327731 FKM327723:FKM327731 FUI327723:FUI327731 GEE327723:GEE327731 GOA327723:GOA327731 GXW327723:GXW327731 HHS327723:HHS327731 HRO327723:HRO327731 IBK327723:IBK327731 ILG327723:ILG327731 IVC327723:IVC327731 JEY327723:JEY327731 JOU327723:JOU327731 JYQ327723:JYQ327731 KIM327723:KIM327731 KSI327723:KSI327731 LCE327723:LCE327731 LMA327723:LMA327731 LVW327723:LVW327731 MFS327723:MFS327731 MPO327723:MPO327731 MZK327723:MZK327731 NJG327723:NJG327731 NTC327723:NTC327731 OCY327723:OCY327731 OMU327723:OMU327731 OWQ327723:OWQ327731 PGM327723:PGM327731 PQI327723:PQI327731 QAE327723:QAE327731 QKA327723:QKA327731 QTW327723:QTW327731 RDS327723:RDS327731 RNO327723:RNO327731 RXK327723:RXK327731 SHG327723:SHG327731 SRC327723:SRC327731 TAY327723:TAY327731 TKU327723:TKU327731 TUQ327723:TUQ327731 UEM327723:UEM327731 UOI327723:UOI327731 UYE327723:UYE327731 VIA327723:VIA327731 VRW327723:VRW327731 WBS327723:WBS327731 WLO327723:WLO327731 WVK327723:WVK327731 D393266:D393274 IY393259:IY393267 SU393259:SU393267 ACQ393259:ACQ393267 AMM393259:AMM393267 AWI393259:AWI393267 BGE393259:BGE393267 BQA393259:BQA393267 BZW393259:BZW393267 CJS393259:CJS393267 CTO393259:CTO393267 DDK393259:DDK393267 DNG393259:DNG393267 DXC393259:DXC393267 EGY393259:EGY393267 EQU393259:EQU393267 FAQ393259:FAQ393267 FKM393259:FKM393267 FUI393259:FUI393267 GEE393259:GEE393267 GOA393259:GOA393267 GXW393259:GXW393267 HHS393259:HHS393267 HRO393259:HRO393267 IBK393259:IBK393267 ILG393259:ILG393267 IVC393259:IVC393267 JEY393259:JEY393267 JOU393259:JOU393267 JYQ393259:JYQ393267 KIM393259:KIM393267 KSI393259:KSI393267 LCE393259:LCE393267 LMA393259:LMA393267 LVW393259:LVW393267 MFS393259:MFS393267 MPO393259:MPO393267 MZK393259:MZK393267 NJG393259:NJG393267 NTC393259:NTC393267 OCY393259:OCY393267 OMU393259:OMU393267 OWQ393259:OWQ393267 PGM393259:PGM393267 PQI393259:PQI393267 QAE393259:QAE393267 QKA393259:QKA393267 QTW393259:QTW393267 RDS393259:RDS393267 RNO393259:RNO393267 RXK393259:RXK393267 SHG393259:SHG393267 SRC393259:SRC393267 TAY393259:TAY393267 TKU393259:TKU393267 TUQ393259:TUQ393267 UEM393259:UEM393267 UOI393259:UOI393267 UYE393259:UYE393267 VIA393259:VIA393267 VRW393259:VRW393267 WBS393259:WBS393267 WLO393259:WLO393267 WVK393259:WVK393267 D458802:D458810 IY458795:IY458803 SU458795:SU458803 ACQ458795:ACQ458803 AMM458795:AMM458803 AWI458795:AWI458803 BGE458795:BGE458803 BQA458795:BQA458803 BZW458795:BZW458803 CJS458795:CJS458803 CTO458795:CTO458803 DDK458795:DDK458803 DNG458795:DNG458803 DXC458795:DXC458803 EGY458795:EGY458803 EQU458795:EQU458803 FAQ458795:FAQ458803 FKM458795:FKM458803 FUI458795:FUI458803 GEE458795:GEE458803 GOA458795:GOA458803 GXW458795:GXW458803 HHS458795:HHS458803 HRO458795:HRO458803 IBK458795:IBK458803 ILG458795:ILG458803 IVC458795:IVC458803 JEY458795:JEY458803 JOU458795:JOU458803 JYQ458795:JYQ458803 KIM458795:KIM458803 KSI458795:KSI458803 LCE458795:LCE458803 LMA458795:LMA458803 LVW458795:LVW458803 MFS458795:MFS458803 MPO458795:MPO458803 MZK458795:MZK458803 NJG458795:NJG458803 NTC458795:NTC458803 OCY458795:OCY458803 OMU458795:OMU458803 OWQ458795:OWQ458803 PGM458795:PGM458803 PQI458795:PQI458803 QAE458795:QAE458803 QKA458795:QKA458803 QTW458795:QTW458803 RDS458795:RDS458803 RNO458795:RNO458803 RXK458795:RXK458803 SHG458795:SHG458803 SRC458795:SRC458803 TAY458795:TAY458803 TKU458795:TKU458803 TUQ458795:TUQ458803 UEM458795:UEM458803 UOI458795:UOI458803 UYE458795:UYE458803 VIA458795:VIA458803 VRW458795:VRW458803 WBS458795:WBS458803 WLO458795:WLO458803 WVK458795:WVK458803 D524338:D524346 IY524331:IY524339 SU524331:SU524339 ACQ524331:ACQ524339 AMM524331:AMM524339 AWI524331:AWI524339 BGE524331:BGE524339 BQA524331:BQA524339 BZW524331:BZW524339 CJS524331:CJS524339 CTO524331:CTO524339 DDK524331:DDK524339 DNG524331:DNG524339 DXC524331:DXC524339 EGY524331:EGY524339 EQU524331:EQU524339 FAQ524331:FAQ524339 FKM524331:FKM524339 FUI524331:FUI524339 GEE524331:GEE524339 GOA524331:GOA524339 GXW524331:GXW524339 HHS524331:HHS524339 HRO524331:HRO524339 IBK524331:IBK524339 ILG524331:ILG524339 IVC524331:IVC524339 JEY524331:JEY524339 JOU524331:JOU524339 JYQ524331:JYQ524339 KIM524331:KIM524339 KSI524331:KSI524339 LCE524331:LCE524339 LMA524331:LMA524339 LVW524331:LVW524339 MFS524331:MFS524339 MPO524331:MPO524339 MZK524331:MZK524339 NJG524331:NJG524339 NTC524331:NTC524339 OCY524331:OCY524339 OMU524331:OMU524339 OWQ524331:OWQ524339 PGM524331:PGM524339 PQI524331:PQI524339 QAE524331:QAE524339 QKA524331:QKA524339 QTW524331:QTW524339 RDS524331:RDS524339 RNO524331:RNO524339 RXK524331:RXK524339 SHG524331:SHG524339 SRC524331:SRC524339 TAY524331:TAY524339 TKU524331:TKU524339 TUQ524331:TUQ524339 UEM524331:UEM524339 UOI524331:UOI524339 UYE524331:UYE524339 VIA524331:VIA524339 VRW524331:VRW524339 WBS524331:WBS524339 WLO524331:WLO524339 WVK524331:WVK524339 D589874:D589882 IY589867:IY589875 SU589867:SU589875 ACQ589867:ACQ589875 AMM589867:AMM589875 AWI589867:AWI589875 BGE589867:BGE589875 BQA589867:BQA589875 BZW589867:BZW589875 CJS589867:CJS589875 CTO589867:CTO589875 DDK589867:DDK589875 DNG589867:DNG589875 DXC589867:DXC589875 EGY589867:EGY589875 EQU589867:EQU589875 FAQ589867:FAQ589875 FKM589867:FKM589875 FUI589867:FUI589875 GEE589867:GEE589875 GOA589867:GOA589875 GXW589867:GXW589875 HHS589867:HHS589875 HRO589867:HRO589875 IBK589867:IBK589875 ILG589867:ILG589875 IVC589867:IVC589875 JEY589867:JEY589875 JOU589867:JOU589875 JYQ589867:JYQ589875 KIM589867:KIM589875 KSI589867:KSI589875 LCE589867:LCE589875 LMA589867:LMA589875 LVW589867:LVW589875 MFS589867:MFS589875 MPO589867:MPO589875 MZK589867:MZK589875 NJG589867:NJG589875 NTC589867:NTC589875 OCY589867:OCY589875 OMU589867:OMU589875 OWQ589867:OWQ589875 PGM589867:PGM589875 PQI589867:PQI589875 QAE589867:QAE589875 QKA589867:QKA589875 QTW589867:QTW589875 RDS589867:RDS589875 RNO589867:RNO589875 RXK589867:RXK589875 SHG589867:SHG589875 SRC589867:SRC589875 TAY589867:TAY589875 TKU589867:TKU589875 TUQ589867:TUQ589875 UEM589867:UEM589875 UOI589867:UOI589875 UYE589867:UYE589875 VIA589867:VIA589875 VRW589867:VRW589875 WBS589867:WBS589875 WLO589867:WLO589875 WVK589867:WVK589875 D655410:D655418 IY655403:IY655411 SU655403:SU655411 ACQ655403:ACQ655411 AMM655403:AMM655411 AWI655403:AWI655411 BGE655403:BGE655411 BQA655403:BQA655411 BZW655403:BZW655411 CJS655403:CJS655411 CTO655403:CTO655411 DDK655403:DDK655411 DNG655403:DNG655411 DXC655403:DXC655411 EGY655403:EGY655411 EQU655403:EQU655411 FAQ655403:FAQ655411 FKM655403:FKM655411 FUI655403:FUI655411 GEE655403:GEE655411 GOA655403:GOA655411 GXW655403:GXW655411 HHS655403:HHS655411 HRO655403:HRO655411 IBK655403:IBK655411 ILG655403:ILG655411 IVC655403:IVC655411 JEY655403:JEY655411 JOU655403:JOU655411 JYQ655403:JYQ655411 KIM655403:KIM655411 KSI655403:KSI655411 LCE655403:LCE655411 LMA655403:LMA655411 LVW655403:LVW655411 MFS655403:MFS655411 MPO655403:MPO655411 MZK655403:MZK655411 NJG655403:NJG655411 NTC655403:NTC655411 OCY655403:OCY655411 OMU655403:OMU655411 OWQ655403:OWQ655411 PGM655403:PGM655411 PQI655403:PQI655411 QAE655403:QAE655411 QKA655403:QKA655411 QTW655403:QTW655411 RDS655403:RDS655411 RNO655403:RNO655411 RXK655403:RXK655411 SHG655403:SHG655411 SRC655403:SRC655411 TAY655403:TAY655411 TKU655403:TKU655411 TUQ655403:TUQ655411 UEM655403:UEM655411 UOI655403:UOI655411 UYE655403:UYE655411 VIA655403:VIA655411 VRW655403:VRW655411 WBS655403:WBS655411 WLO655403:WLO655411 WVK655403:WVK655411 D720946:D720954 IY720939:IY720947 SU720939:SU720947 ACQ720939:ACQ720947 AMM720939:AMM720947 AWI720939:AWI720947 BGE720939:BGE720947 BQA720939:BQA720947 BZW720939:BZW720947 CJS720939:CJS720947 CTO720939:CTO720947 DDK720939:DDK720947 DNG720939:DNG720947 DXC720939:DXC720947 EGY720939:EGY720947 EQU720939:EQU720947 FAQ720939:FAQ720947 FKM720939:FKM720947 FUI720939:FUI720947 GEE720939:GEE720947 GOA720939:GOA720947 GXW720939:GXW720947 HHS720939:HHS720947 HRO720939:HRO720947 IBK720939:IBK720947 ILG720939:ILG720947 IVC720939:IVC720947 JEY720939:JEY720947 JOU720939:JOU720947 JYQ720939:JYQ720947 KIM720939:KIM720947 KSI720939:KSI720947 LCE720939:LCE720947 LMA720939:LMA720947 LVW720939:LVW720947 MFS720939:MFS720947 MPO720939:MPO720947 MZK720939:MZK720947 NJG720939:NJG720947 NTC720939:NTC720947 OCY720939:OCY720947 OMU720939:OMU720947 OWQ720939:OWQ720947 PGM720939:PGM720947 PQI720939:PQI720947 QAE720939:QAE720947 QKA720939:QKA720947 QTW720939:QTW720947 RDS720939:RDS720947 RNO720939:RNO720947 RXK720939:RXK720947 SHG720939:SHG720947 SRC720939:SRC720947 TAY720939:TAY720947 TKU720939:TKU720947 TUQ720939:TUQ720947 UEM720939:UEM720947 UOI720939:UOI720947 UYE720939:UYE720947 VIA720939:VIA720947 VRW720939:VRW720947 WBS720939:WBS720947 WLO720939:WLO720947 WVK720939:WVK720947 D786482:D786490 IY786475:IY786483 SU786475:SU786483 ACQ786475:ACQ786483 AMM786475:AMM786483 AWI786475:AWI786483 BGE786475:BGE786483 BQA786475:BQA786483 BZW786475:BZW786483 CJS786475:CJS786483 CTO786475:CTO786483 DDK786475:DDK786483 DNG786475:DNG786483 DXC786475:DXC786483 EGY786475:EGY786483 EQU786475:EQU786483 FAQ786475:FAQ786483 FKM786475:FKM786483 FUI786475:FUI786483 GEE786475:GEE786483 GOA786475:GOA786483 GXW786475:GXW786483 HHS786475:HHS786483 HRO786475:HRO786483 IBK786475:IBK786483 ILG786475:ILG786483 IVC786475:IVC786483 JEY786475:JEY786483 JOU786475:JOU786483 JYQ786475:JYQ786483 KIM786475:KIM786483 KSI786475:KSI786483 LCE786475:LCE786483 LMA786475:LMA786483 LVW786475:LVW786483 MFS786475:MFS786483 MPO786475:MPO786483 MZK786475:MZK786483 NJG786475:NJG786483 NTC786475:NTC786483 OCY786475:OCY786483 OMU786475:OMU786483 OWQ786475:OWQ786483 PGM786475:PGM786483 PQI786475:PQI786483 QAE786475:QAE786483 QKA786475:QKA786483 QTW786475:QTW786483 RDS786475:RDS786483 RNO786475:RNO786483 RXK786475:RXK786483 SHG786475:SHG786483 SRC786475:SRC786483 TAY786475:TAY786483 TKU786475:TKU786483 TUQ786475:TUQ786483 UEM786475:UEM786483 UOI786475:UOI786483 UYE786475:UYE786483 VIA786475:VIA786483 VRW786475:VRW786483 WBS786475:WBS786483 WLO786475:WLO786483 WVK786475:WVK786483 D852018:D852026 IY852011:IY852019 SU852011:SU852019 ACQ852011:ACQ852019 AMM852011:AMM852019 AWI852011:AWI852019 BGE852011:BGE852019 BQA852011:BQA852019 BZW852011:BZW852019 CJS852011:CJS852019 CTO852011:CTO852019 DDK852011:DDK852019 DNG852011:DNG852019 DXC852011:DXC852019 EGY852011:EGY852019 EQU852011:EQU852019 FAQ852011:FAQ852019 FKM852011:FKM852019 FUI852011:FUI852019 GEE852011:GEE852019 GOA852011:GOA852019 GXW852011:GXW852019 HHS852011:HHS852019 HRO852011:HRO852019 IBK852011:IBK852019 ILG852011:ILG852019 IVC852011:IVC852019 JEY852011:JEY852019 JOU852011:JOU852019 JYQ852011:JYQ852019 KIM852011:KIM852019 KSI852011:KSI852019 LCE852011:LCE852019 LMA852011:LMA852019 LVW852011:LVW852019 MFS852011:MFS852019 MPO852011:MPO852019 MZK852011:MZK852019 NJG852011:NJG852019 NTC852011:NTC852019 OCY852011:OCY852019 OMU852011:OMU852019 OWQ852011:OWQ852019 PGM852011:PGM852019 PQI852011:PQI852019 QAE852011:QAE852019 QKA852011:QKA852019 QTW852011:QTW852019 RDS852011:RDS852019 RNO852011:RNO852019 RXK852011:RXK852019 SHG852011:SHG852019 SRC852011:SRC852019 TAY852011:TAY852019 TKU852011:TKU852019 TUQ852011:TUQ852019 UEM852011:UEM852019 UOI852011:UOI852019 UYE852011:UYE852019 VIA852011:VIA852019 VRW852011:VRW852019 WBS852011:WBS852019 WLO852011:WLO852019 WVK852011:WVK852019 D917554:D917562 IY917547:IY917555 SU917547:SU917555 ACQ917547:ACQ917555 AMM917547:AMM917555 AWI917547:AWI917555 BGE917547:BGE917555 BQA917547:BQA917555 BZW917547:BZW917555 CJS917547:CJS917555 CTO917547:CTO917555 DDK917547:DDK917555 DNG917547:DNG917555 DXC917547:DXC917555 EGY917547:EGY917555 EQU917547:EQU917555 FAQ917547:FAQ917555 FKM917547:FKM917555 FUI917547:FUI917555 GEE917547:GEE917555 GOA917547:GOA917555 GXW917547:GXW917555 HHS917547:HHS917555 HRO917547:HRO917555 IBK917547:IBK917555 ILG917547:ILG917555 IVC917547:IVC917555 JEY917547:JEY917555 JOU917547:JOU917555 JYQ917547:JYQ917555 KIM917547:KIM917555 KSI917547:KSI917555 LCE917547:LCE917555 LMA917547:LMA917555 LVW917547:LVW917555 MFS917547:MFS917555 MPO917547:MPO917555 MZK917547:MZK917555 NJG917547:NJG917555 NTC917547:NTC917555 OCY917547:OCY917555 OMU917547:OMU917555 OWQ917547:OWQ917555 PGM917547:PGM917555 PQI917547:PQI917555 QAE917547:QAE917555 QKA917547:QKA917555 QTW917547:QTW917555 RDS917547:RDS917555 RNO917547:RNO917555 RXK917547:RXK917555 SHG917547:SHG917555 SRC917547:SRC917555 TAY917547:TAY917555 TKU917547:TKU917555 TUQ917547:TUQ917555 UEM917547:UEM917555 UOI917547:UOI917555 UYE917547:UYE917555 VIA917547:VIA917555 VRW917547:VRW917555 WBS917547:WBS917555 WLO917547:WLO917555 WVK917547:WVK917555 D983090:D983098 IY983083:IY983091 SU983083:SU983091 ACQ983083:ACQ983091 AMM983083:AMM983091 AWI983083:AWI983091 BGE983083:BGE983091 BQA983083:BQA983091 BZW983083:BZW983091 CJS983083:CJS983091 CTO983083:CTO983091 DDK983083:DDK983091 DNG983083:DNG983091 DXC983083:DXC983091 EGY983083:EGY983091 EQU983083:EQU983091 FAQ983083:FAQ983091 FKM983083:FKM983091 FUI983083:FUI983091 GEE983083:GEE983091 GOA983083:GOA983091 GXW983083:GXW983091 HHS983083:HHS983091 HRO983083:HRO983091 IBK983083:IBK983091 ILG983083:ILG983091 IVC983083:IVC983091 JEY983083:JEY983091 JOU983083:JOU983091 JYQ983083:JYQ983091 KIM983083:KIM983091 KSI983083:KSI983091 LCE983083:LCE983091 LMA983083:LMA983091 LVW983083:LVW983091 MFS983083:MFS983091 MPO983083:MPO983091 MZK983083:MZK983091 NJG983083:NJG983091 NTC983083:NTC983091 OCY983083:OCY983091 OMU983083:OMU983091 OWQ983083:OWQ983091 PGM983083:PGM983091 PQI983083:PQI983091 QAE983083:QAE983091 QKA983083:QKA983091 QTW983083:QTW983091 RDS983083:RDS983091 RNO983083:RNO983091 RXK983083:RXK983091 SHG983083:SHG983091 SRC983083:SRC983091 TAY983083:TAY983091 TKU983083:TKU983091 TUQ983083:TUQ983091 UEM983083:UEM983091 UOI983083:UOI983091 UYE983083:UYE983091 VIA983083:VIA983091 VRW983083:VRW983091 WBS983083:WBS983091 WLO983083:WLO983091 WVK983083:WVK983091 SU40 IY16 WVK16 WLO16 WBS16 VRW16 VIA16 UYE16 UOI16 UEM16 TUQ16 TKU16 TAY16 SRC16 SHG16 RXK16 RNO16 RDS16 QTW16 QKA16 QAE16 PQI16 PGM16 OWQ16 OMU16 OCY16 NTC16 NJG16 MZK16 MPO16 MFS16 LVW16 LMA16 LCE16 KSI16 KIM16 JYQ16 JOU16 JEY16 IVC16 ILG16 IBK16 HRO16 HHS16 GXW16 GOA16 GEE16 FUI16 FKM16 FAQ16 EQU16 EGY16 DXC16 DNG16 DDK16 CTO16 CJS16 BZW16 BQA16 BGE16 AWI16 AMM16 ACQ16 SU16 IY40 WVK40 WLO40 WBS40 VRW40 VIA40 UYE40 UOI40 UEM40 TUQ40 TKU40 TAY40 SRC40 SHG40 RXK40 RNO40 RDS40 QTW40 QKA40 QAE40 PQI40 PGM40 OWQ40 OMU40 OCY40 NTC40 NJG40 MZK40 MPO40 MFS40 LVW40 LMA40 LCE40 KSI40 KIM40 JYQ40 JOU40 JEY40 IVC40 ILG40 IBK40 HRO40 HHS40 GXW40 GOA40 GEE40 FUI40 FKM40 FAQ40 EQU40 EGY40 DXC40 DNG40 DDK40 CTO40 CJS40 BZW40 BQA40 BGE40 AWI40 AMM40 ACQ40 IY34 WVK34 WLO34 WBS34 VRW34 VIA34 UYE34 UOI34 UEM34 TUQ34 TKU34 TAY34 SRC34 SHG34 RXK34 RNO34 RDS34 QTW34 QKA34 QAE34 PQI34 PGM34 OWQ34 OMU34 OCY34 NTC34 NJG34 MZK34 MPO34 MFS34 LVW34 LMA34 LCE34 KSI34 KIM34 JYQ34 JOU34 JEY34 IVC34 ILG34 IBK34 HRO34 HHS34 GXW34 GOA34 GEE34 FUI34 FKM34 FAQ34 EQU34 EGY34 DXC34 DNG34 DDK34 CTO34 CJS34 BZW34 BQA34 BGE34 AWI34 AMM34 ACQ34 SU34 D40:D41 SU71 IY71 WVK71 WLO71 WBS71 VRW71 VIA71 UYE71 UOI71 UEM71 TUQ71 TKU71 TAY71 SRC71 SHG71 RXK71 RNO71 RDS71 QTW71 QKA71 QAE71 PQI71 PGM71 OWQ71 OMU71 OCY71 NTC71 NJG71 MZK71 MPO71 MFS71 LVW71 LMA71 LCE71 KSI71 KIM71 JYQ71 JOU71 JEY71 IVC71 ILG71 IBK71 HRO71 HHS71 GXW71 GOA71 GEE71 FUI71 FKM71 FAQ71 EQU71 EGY71 DXC71 DNG71 DDK71 CTO71 CJS71 BZW71 BQA71 BGE71 AWI71 AMM71 ACQ71 IY65 WVK65 WLO65 WBS65 VRW65 VIA65 UYE65 UOI65 UEM65 TUQ65 TKU65 TAY65 SRC65 SHG65 RXK65 RNO65 RDS65 QTW65 QKA65 QAE65 PQI65 PGM65 OWQ65 OMU65 OCY65 NTC65 NJG65 MZK65 MPO65 MFS65 LVW65 LMA65 LCE65 KSI65 KIM65 JYQ65 JOU65 JEY65 IVC65 ILG65 IBK65 HRO65 HHS65 GXW65 GOA65 GEE65 FUI65 FKM65 FAQ65 EQU65 EGY65 DXC65 DNG65 DDK65 CTO65 CJS65 BZW65 BQA65 BGE65 AWI65 AMM65 ACQ65 SU65 D27 SU26:SU28 IY26:IY28 WVK26:WVK28 WLO26:WLO28 WBS26:WBS28 VRW26:VRW28 VIA26:VIA28 UYE26:UYE28 UOI26:UOI28 UEM26:UEM28 TUQ26:TUQ28 TKU26:TKU28 TAY26:TAY28 SRC26:SRC28 SHG26:SHG28 RXK26:RXK28 RNO26:RNO28 RDS26:RDS28 QTW26:QTW28 QKA26:QKA28 QAE26:QAE28 PQI26:PQI28 PGM26:PGM28 OWQ26:OWQ28 OMU26:OMU28 OCY26:OCY28 NTC26:NTC28 NJG26:NJG28 MZK26:MZK28 MPO26:MPO28 MFS26:MFS28 LVW26:LVW28 LMA26:LMA28 LCE26:LCE28 KSI26:KSI28 KIM26:KIM28 JYQ26:JYQ28 JOU26:JOU28 JEY26:JEY28 IVC26:IVC28 ILG26:ILG28 IBK26:IBK28 HRO26:HRO28 HHS26:HHS28 GXW26:GXW28 GOA26:GOA28 GEE26:GEE28 FUI26:FUI28 FKM26:FKM28 FAQ26:FAQ28 EQU26:EQU28 EGY26:EGY28 DXC26:DXC28 DNG26:DNG28 DDK26:DDK28 CTO26:CTO28 CJS26:CJS28 BZW26:BZW28 BQA26:BQA28 BGE26:BGE28 AWI26:AWI28 AMM26:AMM28 ACQ26:ACQ28" xr:uid="{00000000-0002-0000-0900-000001000000}">
      <formula1>"　,あり,なし"</formula1>
    </dataValidation>
    <dataValidation type="list" allowBlank="1" showInputMessage="1" showErrorMessage="1" sqref="WVK983092 D65595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D131131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D196667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D262203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D327739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D393275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D458811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D524347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D589883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D655419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D720955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D786491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D852027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D917563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D983099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xr:uid="{00000000-0002-0000-0900-000002000000}">
      <formula1>"　,満たす,満たさない"</formula1>
    </dataValidation>
    <dataValidation type="list" showInputMessage="1" showErrorMessage="1" sqref="B48 B50 B52" xr:uid="{00000000-0002-0000-0900-000003000000}">
      <formula1>$U$2:$U$3</formula1>
    </dataValidation>
  </dataValidations>
  <pageMargins left="0.70866141732283472" right="0.70866141732283472" top="0.74803149606299213" bottom="0.74803149606299213" header="0.31496062992125984" footer="0.31496062992125984"/>
  <pageSetup paperSize="9" scale="70" orientation="portrait" r:id="rId3"/>
  <rowBreaks count="1" manualBreakCount="1">
    <brk id="44" max="16"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7572-3BC8-448D-B467-2CB5E9CF6B34}">
  <sheetPr>
    <tabColor theme="1"/>
  </sheetPr>
  <dimension ref="A1"/>
  <sheetViews>
    <sheetView workbookViewId="0"/>
  </sheetViews>
  <sheetFormatPr defaultRowHeight="13"/>
  <sheetData/>
  <sheetProtection algorithmName="SHA-512" hashValue="9p2zzyWIxqN4h65urbCrzYWgU7hgByM1/LNDyPVYcC5DgUkruM3FqmajLRnHk2FKfXGNJVAuKP8sSymgDYZjTg==" saltValue="L7L1tM2Q6Dcof28N8GSX0w==" spinCount="100000" sheet="1" objects="1" scenarios="1"/>
  <phoneticPr fontId="36"/>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6" tint="0.59999389629810485"/>
  </sheetPr>
  <dimension ref="A1:AM74"/>
  <sheetViews>
    <sheetView view="pageBreakPreview" zoomScale="70" zoomScaleNormal="70" zoomScaleSheetLayoutView="70" workbookViewId="0">
      <selection activeCell="D7" sqref="D7:E7"/>
    </sheetView>
  </sheetViews>
  <sheetFormatPr defaultColWidth="8.90625" defaultRowHeight="16.5" outlineLevelCol="1"/>
  <cols>
    <col min="1" max="1" width="14.26953125" style="465" customWidth="1"/>
    <col min="2" max="3" width="11.90625" style="465" customWidth="1"/>
    <col min="4" max="10" width="15.7265625" style="465" customWidth="1"/>
    <col min="11" max="11" width="19.08984375" style="465" customWidth="1"/>
    <col min="12" max="12" width="15.7265625" style="465" customWidth="1"/>
    <col min="13" max="13" width="16.36328125" style="465" customWidth="1"/>
    <col min="14" max="17" width="15.7265625" style="465" customWidth="1"/>
    <col min="18" max="18" width="15.90625" style="465" customWidth="1"/>
    <col min="19" max="19" width="15.6328125" style="465" customWidth="1"/>
    <col min="20" max="20" width="15.6328125" style="461" hidden="1" customWidth="1" outlineLevel="1"/>
    <col min="21" max="22" width="15.6328125" style="465" hidden="1" customWidth="1" outlineLevel="1"/>
    <col min="23" max="27" width="8.90625" style="465" hidden="1" customWidth="1" outlineLevel="1"/>
    <col min="28" max="28" width="10.26953125" style="465" hidden="1" customWidth="1" outlineLevel="1"/>
    <col min="29" max="38" width="8.90625" style="465" hidden="1" customWidth="1" outlineLevel="1"/>
    <col min="39" max="39" width="8.90625" style="465" collapsed="1"/>
    <col min="40" max="16384" width="8.90625" style="465"/>
  </cols>
  <sheetData>
    <row r="1" spans="1:33" ht="20.149999999999999" customHeight="1" thickBot="1">
      <c r="A1" s="459" t="str">
        <f ca="1">RIGHT(CELL("filename",A2),LEN(CELL("filename",A2))-FIND("]",CELL("filename",A2)))</f>
        <v>入力（加算）保</v>
      </c>
      <c r="B1" s="460"/>
      <c r="C1" s="460"/>
      <c r="D1" s="460"/>
      <c r="E1" s="460"/>
      <c r="F1" s="460"/>
      <c r="G1" s="460"/>
      <c r="H1" s="460"/>
      <c r="I1" s="460"/>
      <c r="J1" s="460"/>
      <c r="K1" s="460"/>
      <c r="L1" s="460"/>
      <c r="M1" s="460"/>
      <c r="N1" s="460"/>
      <c r="O1" s="460"/>
      <c r="P1" s="954" t="e">
        <f>CONCATENATE(#REF!,"/",#REF!,"/",#REF!)</f>
        <v>#REF!</v>
      </c>
      <c r="Q1" s="954"/>
      <c r="R1" s="954"/>
      <c r="S1" s="954"/>
      <c r="U1" s="462" t="s">
        <v>109</v>
      </c>
      <c r="V1" s="463" t="s">
        <v>84</v>
      </c>
      <c r="W1" s="464" t="s">
        <v>82</v>
      </c>
      <c r="X1" s="462" t="s">
        <v>81</v>
      </c>
      <c r="Y1" s="464" t="s">
        <v>80</v>
      </c>
      <c r="Z1" s="464" t="s">
        <v>133</v>
      </c>
      <c r="AA1" s="462" t="s">
        <v>78</v>
      </c>
      <c r="AB1" s="462" t="s">
        <v>143</v>
      </c>
      <c r="AC1" s="462" t="s">
        <v>79</v>
      </c>
      <c r="AD1" s="462" t="s">
        <v>85</v>
      </c>
      <c r="AE1" s="961" t="s">
        <v>88</v>
      </c>
      <c r="AF1" s="961"/>
      <c r="AG1" s="462" t="s">
        <v>149</v>
      </c>
    </row>
    <row r="2" spans="1:33" ht="20.149999999999999" customHeight="1" thickBot="1">
      <c r="A2" s="460"/>
      <c r="B2" s="955" t="s">
        <v>437</v>
      </c>
      <c r="C2" s="955"/>
      <c r="D2" s="955"/>
      <c r="E2" s="955"/>
      <c r="F2" s="955"/>
      <c r="G2" s="955"/>
      <c r="H2" s="955"/>
      <c r="I2" s="955"/>
      <c r="J2" s="955"/>
      <c r="K2" s="955"/>
      <c r="L2" s="955"/>
      <c r="M2" s="955"/>
      <c r="N2" s="955"/>
      <c r="O2" s="955"/>
      <c r="P2" s="955"/>
      <c r="Q2" s="955"/>
      <c r="R2" s="955"/>
      <c r="S2" s="460"/>
      <c r="U2" s="466"/>
      <c r="V2" s="467">
        <f>IF(ISERROR(VLOOKUP($J$12,$U$3:$V$14,2,FALSE)+1-VLOOKUP($J$11,$U$3:$V$14,2,FALSE)),0,VLOOKUP($J$12,$U$3:$V$14,2,FALSE)+1-VLOOKUP($J$11,$U$3:$V$14,2,FALSE))</f>
        <v>0</v>
      </c>
      <c r="W2" s="464"/>
      <c r="X2" s="462"/>
      <c r="Y2" s="464"/>
      <c r="Z2" s="464"/>
      <c r="AA2" s="462"/>
      <c r="AB2" s="462"/>
      <c r="AC2" s="462"/>
      <c r="AD2" s="462"/>
      <c r="AE2" s="462">
        <v>1</v>
      </c>
      <c r="AF2" s="462">
        <v>1</v>
      </c>
      <c r="AG2" s="468">
        <f>IF(M19="あり",VLOOKUP($D$9,#REF!,57,TRUE),1)</f>
        <v>1</v>
      </c>
    </row>
    <row r="3" spans="1:33" ht="20.149999999999999" customHeight="1">
      <c r="A3" s="460"/>
      <c r="B3" s="955"/>
      <c r="C3" s="955"/>
      <c r="D3" s="955"/>
      <c r="E3" s="955"/>
      <c r="F3" s="955"/>
      <c r="G3" s="955"/>
      <c r="H3" s="955"/>
      <c r="I3" s="955"/>
      <c r="J3" s="955"/>
      <c r="K3" s="955"/>
      <c r="L3" s="955"/>
      <c r="M3" s="955"/>
      <c r="N3" s="955"/>
      <c r="O3" s="955"/>
      <c r="P3" s="955"/>
      <c r="Q3" s="955"/>
      <c r="R3" s="955"/>
      <c r="S3" s="460"/>
      <c r="U3" s="469">
        <v>4</v>
      </c>
      <c r="V3" s="470">
        <v>1</v>
      </c>
      <c r="W3" s="464" t="s">
        <v>18</v>
      </c>
      <c r="X3" s="133">
        <v>3</v>
      </c>
      <c r="Y3" s="134">
        <v>6.3</v>
      </c>
      <c r="Z3" s="134" t="s">
        <v>134</v>
      </c>
      <c r="AA3" s="462" t="s">
        <v>19</v>
      </c>
      <c r="AB3" s="462" t="s">
        <v>141</v>
      </c>
      <c r="AC3" s="471" t="s">
        <v>87</v>
      </c>
      <c r="AD3" s="462" t="s">
        <v>19</v>
      </c>
      <c r="AE3" s="462">
        <v>46</v>
      </c>
      <c r="AF3" s="462">
        <v>2</v>
      </c>
    </row>
    <row r="4" spans="1:33" ht="20.149999999999999" customHeight="1">
      <c r="A4" s="460"/>
      <c r="B4" s="958" t="s">
        <v>383</v>
      </c>
      <c r="C4" s="958"/>
      <c r="D4" s="958"/>
      <c r="E4" s="460"/>
      <c r="F4" s="460"/>
      <c r="G4" s="690"/>
      <c r="H4" s="690"/>
      <c r="I4" s="690"/>
      <c r="J4" s="690"/>
      <c r="K4" s="690"/>
      <c r="L4" s="690"/>
      <c r="M4" s="690"/>
      <c r="N4" s="690"/>
      <c r="O4" s="690"/>
      <c r="P4" s="690"/>
      <c r="Q4" s="473" t="s">
        <v>56</v>
      </c>
      <c r="S4" s="460"/>
      <c r="T4" s="460"/>
      <c r="U4" s="469">
        <v>5</v>
      </c>
      <c r="V4" s="470">
        <v>2</v>
      </c>
      <c r="W4" s="464" t="s">
        <v>19</v>
      </c>
      <c r="X4" s="133">
        <v>4</v>
      </c>
      <c r="Y4" s="134">
        <v>4.3</v>
      </c>
      <c r="Z4" s="134" t="s">
        <v>135</v>
      </c>
      <c r="AA4" s="462" t="s">
        <v>76</v>
      </c>
      <c r="AB4" s="462" t="s">
        <v>144</v>
      </c>
      <c r="AC4" s="471">
        <v>1</v>
      </c>
      <c r="AD4" s="462">
        <v>1</v>
      </c>
      <c r="AE4" s="474">
        <v>151</v>
      </c>
      <c r="AF4" s="471">
        <v>3</v>
      </c>
    </row>
    <row r="5" spans="1:33" ht="20.149999999999999" customHeight="1">
      <c r="A5" s="460"/>
      <c r="B5" s="962" t="s">
        <v>3</v>
      </c>
      <c r="C5" s="962"/>
      <c r="D5" s="951"/>
      <c r="E5" s="951"/>
      <c r="F5" s="837"/>
      <c r="G5" s="690"/>
      <c r="H5" s="690"/>
      <c r="I5" s="690"/>
      <c r="J5" s="690"/>
      <c r="K5" s="690"/>
      <c r="L5" s="690"/>
      <c r="M5" s="690"/>
      <c r="N5" s="690"/>
      <c r="O5" s="690"/>
      <c r="P5" s="690"/>
      <c r="Q5" s="475" t="s">
        <v>57</v>
      </c>
      <c r="R5" s="460" t="s">
        <v>54</v>
      </c>
      <c r="S5" s="460"/>
      <c r="T5" s="460"/>
      <c r="U5" s="469">
        <v>6</v>
      </c>
      <c r="V5" s="470">
        <v>3</v>
      </c>
      <c r="X5" s="135">
        <v>5</v>
      </c>
      <c r="Y5" s="136">
        <v>2.4</v>
      </c>
      <c r="Z5" s="136" t="s">
        <v>136</v>
      </c>
      <c r="AA5" s="462" t="s">
        <v>77</v>
      </c>
      <c r="AB5" s="462" t="s">
        <v>142</v>
      </c>
      <c r="AC5" s="471">
        <v>2</v>
      </c>
      <c r="AD5" s="462">
        <v>2</v>
      </c>
      <c r="AE5" s="474">
        <v>241</v>
      </c>
      <c r="AF5" s="474">
        <v>3.5</v>
      </c>
    </row>
    <row r="6" spans="1:33" ht="20.149999999999999" customHeight="1">
      <c r="A6" s="460"/>
      <c r="B6" s="962" t="s">
        <v>4</v>
      </c>
      <c r="C6" s="962"/>
      <c r="D6" s="951" t="s">
        <v>31</v>
      </c>
      <c r="E6" s="951"/>
      <c r="F6" s="837"/>
      <c r="G6" s="690"/>
      <c r="H6" s="690"/>
      <c r="I6" s="690"/>
      <c r="J6" s="690"/>
      <c r="K6" s="690"/>
      <c r="L6" s="690"/>
      <c r="M6" s="690"/>
      <c r="N6" s="690"/>
      <c r="O6" s="690"/>
      <c r="P6" s="690"/>
      <c r="Q6" s="476" t="s">
        <v>58</v>
      </c>
      <c r="R6" s="477" t="s">
        <v>59</v>
      </c>
      <c r="S6" s="460"/>
      <c r="T6" s="460"/>
      <c r="U6" s="469">
        <v>7</v>
      </c>
      <c r="V6" s="470">
        <v>4</v>
      </c>
      <c r="X6" s="133">
        <v>6</v>
      </c>
      <c r="Y6" s="134">
        <v>1.1000000000000001</v>
      </c>
      <c r="Z6" s="136" t="s">
        <v>137</v>
      </c>
      <c r="AC6" s="471">
        <v>3</v>
      </c>
      <c r="AD6" s="462">
        <v>3</v>
      </c>
      <c r="AE6" s="462">
        <v>271</v>
      </c>
      <c r="AF6" s="462">
        <v>5</v>
      </c>
    </row>
    <row r="7" spans="1:33" ht="27" customHeight="1">
      <c r="A7" s="460"/>
      <c r="B7" s="963" t="s">
        <v>100</v>
      </c>
      <c r="C7" s="815" t="s">
        <v>90</v>
      </c>
      <c r="D7" s="956"/>
      <c r="E7" s="956"/>
      <c r="F7" s="847"/>
      <c r="G7" s="690"/>
      <c r="H7" s="690"/>
      <c r="I7" s="690"/>
      <c r="J7" s="690"/>
      <c r="K7" s="690"/>
      <c r="L7" s="690"/>
      <c r="M7" s="690"/>
      <c r="N7" s="690"/>
      <c r="O7" s="690"/>
      <c r="P7" s="690"/>
      <c r="Q7" s="460"/>
      <c r="R7" s="460"/>
      <c r="S7" s="460"/>
      <c r="T7" s="460"/>
      <c r="U7" s="469">
        <v>8</v>
      </c>
      <c r="V7" s="470">
        <v>5</v>
      </c>
      <c r="Z7" s="136" t="s">
        <v>138</v>
      </c>
      <c r="AC7" s="471">
        <v>3.5</v>
      </c>
      <c r="AD7" s="462">
        <v>4</v>
      </c>
      <c r="AE7" s="462">
        <v>301</v>
      </c>
      <c r="AF7" s="462">
        <v>6</v>
      </c>
    </row>
    <row r="8" spans="1:33" ht="27" customHeight="1">
      <c r="A8" s="460"/>
      <c r="B8" s="962"/>
      <c r="C8" s="815" t="s">
        <v>91</v>
      </c>
      <c r="D8" s="956"/>
      <c r="E8" s="956"/>
      <c r="F8" s="847"/>
      <c r="G8" s="690"/>
      <c r="H8" s="690"/>
      <c r="I8" s="690"/>
      <c r="J8" s="690"/>
      <c r="K8" s="690"/>
      <c r="L8" s="690"/>
      <c r="M8" s="690"/>
      <c r="N8" s="690"/>
      <c r="O8" s="690"/>
      <c r="P8" s="690"/>
      <c r="Q8" s="460"/>
      <c r="R8" s="460"/>
      <c r="S8" s="460"/>
      <c r="T8" s="460"/>
      <c r="U8" s="469">
        <v>9</v>
      </c>
      <c r="V8" s="470">
        <v>6</v>
      </c>
      <c r="AC8" s="471">
        <v>4</v>
      </c>
      <c r="AD8" s="462">
        <v>5</v>
      </c>
      <c r="AE8" s="462">
        <v>451</v>
      </c>
      <c r="AF8" s="462">
        <v>8</v>
      </c>
    </row>
    <row r="9" spans="1:33" ht="27" customHeight="1">
      <c r="A9" s="460"/>
      <c r="B9" s="962"/>
      <c r="C9" s="815" t="s">
        <v>99</v>
      </c>
      <c r="D9" s="957">
        <f>SUM(D7:E8)</f>
        <v>0</v>
      </c>
      <c r="E9" s="957"/>
      <c r="F9" s="847"/>
      <c r="G9" s="690"/>
      <c r="H9" s="690"/>
      <c r="I9" s="690"/>
      <c r="J9" s="690"/>
      <c r="K9" s="690"/>
      <c r="L9" s="690"/>
      <c r="M9" s="690"/>
      <c r="N9" s="690"/>
      <c r="O9" s="690"/>
      <c r="P9" s="690"/>
      <c r="Q9" s="460"/>
      <c r="R9" s="460"/>
      <c r="S9" s="460"/>
      <c r="T9" s="460"/>
      <c r="U9" s="469">
        <v>10</v>
      </c>
      <c r="V9" s="470">
        <v>7</v>
      </c>
      <c r="AC9" s="471">
        <v>4.5</v>
      </c>
    </row>
    <row r="10" spans="1:33" ht="27" customHeight="1">
      <c r="A10" s="460"/>
      <c r="B10" s="963" t="s">
        <v>101</v>
      </c>
      <c r="C10" s="815" t="s">
        <v>90</v>
      </c>
      <c r="D10" s="956"/>
      <c r="E10" s="956"/>
      <c r="F10" s="847"/>
      <c r="G10" s="690"/>
      <c r="H10" s="690"/>
      <c r="I10" s="690"/>
      <c r="J10" s="690"/>
      <c r="K10" s="690"/>
      <c r="L10" s="690"/>
      <c r="M10" s="690"/>
      <c r="N10" s="690"/>
      <c r="O10" s="690"/>
      <c r="P10" s="690"/>
      <c r="Q10" s="460"/>
      <c r="R10" s="460"/>
      <c r="T10" s="460"/>
      <c r="U10" s="469">
        <v>11</v>
      </c>
      <c r="V10" s="470">
        <v>8</v>
      </c>
      <c r="AC10" s="471">
        <v>5</v>
      </c>
    </row>
    <row r="11" spans="1:33" ht="27" customHeight="1">
      <c r="A11" s="460"/>
      <c r="B11" s="962"/>
      <c r="C11" s="815" t="s">
        <v>91</v>
      </c>
      <c r="D11" s="956"/>
      <c r="E11" s="956"/>
      <c r="F11" s="847"/>
      <c r="G11" s="690"/>
      <c r="H11" s="690"/>
      <c r="I11" s="690"/>
      <c r="J11" s="690"/>
      <c r="K11" s="690"/>
      <c r="L11" s="690"/>
      <c r="M11" s="690"/>
      <c r="N11" s="690"/>
      <c r="O11" s="690"/>
      <c r="P11" s="690"/>
      <c r="Q11" s="460"/>
      <c r="R11" s="460"/>
      <c r="S11" s="460"/>
      <c r="T11" s="460"/>
      <c r="U11" s="469">
        <v>12</v>
      </c>
      <c r="V11" s="470">
        <v>9</v>
      </c>
      <c r="AC11" s="471">
        <v>5.5</v>
      </c>
    </row>
    <row r="12" spans="1:33" ht="27" customHeight="1">
      <c r="A12" s="460"/>
      <c r="B12" s="962"/>
      <c r="C12" s="815" t="s">
        <v>99</v>
      </c>
      <c r="D12" s="957">
        <f>SUM(D10:E11)</f>
        <v>0</v>
      </c>
      <c r="E12" s="957"/>
      <c r="F12" s="847"/>
      <c r="G12" s="690"/>
      <c r="H12" s="690"/>
      <c r="I12" s="690"/>
      <c r="J12" s="690"/>
      <c r="K12" s="690"/>
      <c r="L12" s="690"/>
      <c r="M12" s="690"/>
      <c r="N12" s="690"/>
      <c r="O12" s="690"/>
      <c r="P12" s="690"/>
      <c r="Q12" s="460"/>
      <c r="R12" s="460"/>
      <c r="S12" s="460"/>
      <c r="T12" s="460"/>
      <c r="U12" s="469">
        <v>1</v>
      </c>
      <c r="V12" s="470">
        <v>10</v>
      </c>
      <c r="AC12" s="471">
        <v>6</v>
      </c>
    </row>
    <row r="13" spans="1:33" ht="21" customHeight="1">
      <c r="A13" s="460"/>
      <c r="B13" s="460"/>
      <c r="C13" s="460"/>
      <c r="D13" s="460"/>
      <c r="E13" s="460"/>
      <c r="F13" s="460"/>
      <c r="G13" s="690"/>
      <c r="H13" s="690"/>
      <c r="I13" s="690"/>
      <c r="J13" s="690"/>
      <c r="K13" s="690"/>
      <c r="L13" s="690"/>
      <c r="M13" s="690"/>
      <c r="N13" s="690"/>
      <c r="O13" s="690"/>
      <c r="P13" s="690"/>
      <c r="Q13" s="460"/>
      <c r="R13" s="460"/>
      <c r="S13" s="460"/>
      <c r="T13" s="460"/>
      <c r="U13" s="469">
        <v>2</v>
      </c>
      <c r="V13" s="470">
        <v>11</v>
      </c>
      <c r="AC13" s="471">
        <v>6.5</v>
      </c>
    </row>
    <row r="14" spans="1:33" ht="20.149999999999999" customHeight="1">
      <c r="A14" s="460"/>
      <c r="B14" s="460"/>
      <c r="C14" s="460"/>
      <c r="D14" s="460"/>
      <c r="E14" s="460"/>
      <c r="F14" s="460"/>
      <c r="G14" s="690"/>
      <c r="H14" s="690"/>
      <c r="I14" s="690"/>
      <c r="J14" s="690"/>
      <c r="K14" s="690"/>
      <c r="L14" s="690"/>
      <c r="M14" s="690"/>
      <c r="N14" s="690"/>
      <c r="O14" s="690"/>
      <c r="P14" s="690"/>
      <c r="Q14" s="460"/>
      <c r="R14" s="460"/>
      <c r="S14" s="460"/>
      <c r="U14" s="469">
        <v>3</v>
      </c>
      <c r="V14" s="470">
        <v>12</v>
      </c>
      <c r="AC14" s="471">
        <v>7</v>
      </c>
    </row>
    <row r="15" spans="1:33" ht="19.5" customHeight="1">
      <c r="A15" s="460"/>
      <c r="B15" s="942" t="s">
        <v>387</v>
      </c>
      <c r="C15" s="942"/>
      <c r="D15" s="460"/>
      <c r="E15" s="460"/>
      <c r="F15" s="460"/>
      <c r="G15" s="478"/>
      <c r="H15" s="472"/>
      <c r="I15" s="472"/>
      <c r="J15" s="137"/>
      <c r="K15" s="138"/>
      <c r="L15" s="447"/>
      <c r="M15" s="447"/>
      <c r="N15" s="460"/>
      <c r="P15" s="460"/>
      <c r="Q15" s="460"/>
      <c r="S15" s="460"/>
      <c r="AC15" s="471">
        <v>7.5</v>
      </c>
    </row>
    <row r="16" spans="1:33" ht="20.149999999999999" customHeight="1">
      <c r="A16" s="460"/>
      <c r="B16" s="943"/>
      <c r="C16" s="943"/>
      <c r="D16" s="139" t="s">
        <v>158</v>
      </c>
      <c r="E16" s="140"/>
      <c r="F16" s="140"/>
      <c r="G16" s="140"/>
      <c r="H16" s="140"/>
      <c r="I16" s="140"/>
      <c r="J16" s="139" t="s">
        <v>123</v>
      </c>
      <c r="K16" s="140"/>
      <c r="L16" s="141"/>
      <c r="M16" s="142" t="s">
        <v>113</v>
      </c>
      <c r="N16" s="139" t="s">
        <v>114</v>
      </c>
      <c r="O16" s="140"/>
      <c r="P16" s="141"/>
      <c r="Q16" s="141"/>
      <c r="R16" s="478"/>
      <c r="S16" s="460"/>
      <c r="AC16" s="471">
        <v>8</v>
      </c>
    </row>
    <row r="17" spans="1:28" ht="20.149999999999999" customHeight="1">
      <c r="A17" s="460"/>
      <c r="B17" s="930" t="s">
        <v>98</v>
      </c>
      <c r="C17" s="930"/>
      <c r="D17" s="947" t="s">
        <v>9</v>
      </c>
      <c r="E17" s="947" t="s">
        <v>25</v>
      </c>
      <c r="F17" s="947" t="s">
        <v>540</v>
      </c>
      <c r="G17" s="968" t="s">
        <v>27</v>
      </c>
      <c r="H17" s="947" t="s">
        <v>28</v>
      </c>
      <c r="I17" s="947" t="s">
        <v>49</v>
      </c>
      <c r="J17" s="947" t="s">
        <v>29</v>
      </c>
      <c r="K17" s="952" t="s">
        <v>351</v>
      </c>
      <c r="L17" s="947" t="s">
        <v>131</v>
      </c>
      <c r="M17" s="979" t="s">
        <v>140</v>
      </c>
      <c r="N17" s="947" t="s">
        <v>32</v>
      </c>
      <c r="O17" s="947" t="s">
        <v>17</v>
      </c>
      <c r="P17" s="947" t="s">
        <v>92</v>
      </c>
      <c r="Q17" s="947" t="s">
        <v>139</v>
      </c>
      <c r="R17" s="478"/>
      <c r="S17" s="478"/>
    </row>
    <row r="18" spans="1:28" ht="20.149999999999999" customHeight="1">
      <c r="A18" s="460"/>
      <c r="B18" s="930"/>
      <c r="C18" s="930"/>
      <c r="D18" s="948"/>
      <c r="E18" s="948"/>
      <c r="F18" s="948"/>
      <c r="G18" s="969"/>
      <c r="H18" s="948"/>
      <c r="I18" s="948"/>
      <c r="J18" s="948"/>
      <c r="K18" s="953"/>
      <c r="L18" s="948"/>
      <c r="M18" s="980"/>
      <c r="N18" s="948"/>
      <c r="O18" s="948"/>
      <c r="P18" s="948"/>
      <c r="Q18" s="948"/>
      <c r="R18" s="478"/>
      <c r="S18" s="478"/>
      <c r="Z18" s="479"/>
    </row>
    <row r="19" spans="1:28" ht="20.149999999999999" customHeight="1">
      <c r="A19" s="460"/>
      <c r="B19" s="930"/>
      <c r="C19" s="930"/>
      <c r="D19" s="448" t="s">
        <v>53</v>
      </c>
      <c r="E19" s="143"/>
      <c r="F19" s="143"/>
      <c r="G19" s="687"/>
      <c r="H19" s="388"/>
      <c r="I19" s="143"/>
      <c r="J19" s="143"/>
      <c r="K19" s="143"/>
      <c r="L19" s="143"/>
      <c r="M19" s="143"/>
      <c r="N19" s="143"/>
      <c r="O19" s="143"/>
      <c r="P19" s="143"/>
      <c r="Q19" s="143"/>
      <c r="R19" s="480"/>
      <c r="S19" s="460"/>
    </row>
    <row r="20" spans="1:28" ht="30" customHeight="1">
      <c r="A20" s="460"/>
      <c r="B20" s="447"/>
      <c r="C20" s="447"/>
      <c r="D20" s="447"/>
      <c r="E20" s="447"/>
      <c r="F20" s="837"/>
      <c r="G20" s="447"/>
      <c r="H20" s="447"/>
      <c r="I20" s="447"/>
      <c r="J20" s="447"/>
      <c r="K20" s="447"/>
      <c r="L20" s="447"/>
      <c r="N20" s="447"/>
      <c r="O20" s="447"/>
      <c r="P20" s="447"/>
      <c r="Q20" s="447"/>
      <c r="R20" s="460"/>
      <c r="S20" s="460"/>
    </row>
    <row r="21" spans="1:28" ht="21.5" hidden="1" thickBot="1">
      <c r="A21" s="460"/>
      <c r="B21" s="943" t="s">
        <v>388</v>
      </c>
      <c r="C21" s="943"/>
      <c r="D21" s="944" t="s">
        <v>68</v>
      </c>
      <c r="E21" s="945"/>
      <c r="F21" s="945"/>
      <c r="G21" s="945"/>
      <c r="H21" s="945"/>
      <c r="I21" s="945"/>
      <c r="J21" s="945"/>
      <c r="K21" s="945"/>
      <c r="L21" s="945"/>
      <c r="M21" s="945"/>
      <c r="N21" s="945"/>
      <c r="O21" s="945"/>
      <c r="P21" s="945"/>
      <c r="Q21" s="945"/>
      <c r="R21" s="946"/>
      <c r="S21" s="460"/>
      <c r="U21" s="460"/>
      <c r="AA21" s="481"/>
    </row>
    <row r="22" spans="1:28" s="461" customFormat="1" ht="21" hidden="1" customHeight="1">
      <c r="A22" s="927" t="s">
        <v>46</v>
      </c>
      <c r="B22" s="932" t="s">
        <v>35</v>
      </c>
      <c r="C22" s="981"/>
      <c r="D22" s="972" t="s">
        <v>9</v>
      </c>
      <c r="E22" s="972" t="s">
        <v>25</v>
      </c>
      <c r="F22" s="838"/>
      <c r="G22" s="972" t="s">
        <v>27</v>
      </c>
      <c r="H22" s="972" t="s">
        <v>28</v>
      </c>
      <c r="I22" s="972" t="s">
        <v>49</v>
      </c>
      <c r="J22" s="972" t="s">
        <v>29</v>
      </c>
      <c r="K22" s="973" t="s">
        <v>132</v>
      </c>
      <c r="L22" s="974" t="s">
        <v>131</v>
      </c>
      <c r="M22" s="144" t="s">
        <v>148</v>
      </c>
      <c r="N22" s="975" t="s">
        <v>32</v>
      </c>
      <c r="O22" s="977" t="s">
        <v>17</v>
      </c>
      <c r="P22" s="967" t="s">
        <v>92</v>
      </c>
      <c r="Q22" s="949" t="s">
        <v>139</v>
      </c>
      <c r="R22" s="965" t="s">
        <v>60</v>
      </c>
      <c r="S22" s="145"/>
      <c r="U22" s="460"/>
      <c r="V22" s="465"/>
      <c r="W22" s="465"/>
      <c r="X22" s="465"/>
      <c r="Y22" s="465"/>
      <c r="AA22" s="479"/>
    </row>
    <row r="23" spans="1:28" s="461" customFormat="1" hidden="1">
      <c r="A23" s="928"/>
      <c r="B23" s="934"/>
      <c r="C23" s="982"/>
      <c r="D23" s="948"/>
      <c r="E23" s="948"/>
      <c r="F23" s="836"/>
      <c r="G23" s="948"/>
      <c r="H23" s="948"/>
      <c r="I23" s="948"/>
      <c r="J23" s="948"/>
      <c r="K23" s="953"/>
      <c r="L23" s="971"/>
      <c r="M23" s="146" t="str">
        <f>IF($AG$2=1,"",CONCATENATE("（乗除調整",TEXT($AG$2,"##/100"),")"))</f>
        <v/>
      </c>
      <c r="N23" s="976"/>
      <c r="O23" s="978"/>
      <c r="P23" s="953"/>
      <c r="Q23" s="950"/>
      <c r="R23" s="966"/>
      <c r="S23" s="145"/>
      <c r="U23" s="960"/>
      <c r="V23" s="959"/>
      <c r="W23" s="959"/>
      <c r="X23" s="651"/>
      <c r="Y23" s="465"/>
      <c r="Z23" s="964"/>
      <c r="AA23" s="964"/>
      <c r="AB23" s="964"/>
    </row>
    <row r="24" spans="1:28" ht="20.149999999999999" hidden="1" customHeight="1">
      <c r="A24" s="928"/>
      <c r="B24" s="930" t="s">
        <v>93</v>
      </c>
      <c r="C24" s="931"/>
      <c r="D24" s="482" t="e">
        <f>IF(D$19="あり",VLOOKUP($D$9,#REF!,10,TRUE),0)</f>
        <v>#REF!</v>
      </c>
      <c r="E24" s="483"/>
      <c r="F24" s="482"/>
      <c r="G24" s="482">
        <f>IF(ISERROR(#REF!),0,#REF!)</f>
        <v>0</v>
      </c>
      <c r="H24" s="482">
        <f>IF(H$19="あり",VLOOKUP(SUM($D$9,$D$12),#REF!,31,TRUE),0)</f>
        <v>0</v>
      </c>
      <c r="I24" s="482">
        <f>IF(AND($I$19&lt;&gt;"",$I$19&lt;&gt;"なし"),VLOOKUP(SUM($D$9,$D$12),#REF!,42,TRUE)*IF(SUM($D$9,$D$12)&lt;121,MIN(1,$I$19),MIN(2,$I$19)),0)</f>
        <v>0</v>
      </c>
      <c r="J24" s="483"/>
      <c r="K24" s="482">
        <f>IF(K19="あり",-VLOOKUP(SUM($D$9,$D$12),#REF!,50,TRUE),0)</f>
        <v>0</v>
      </c>
      <c r="L24" s="484">
        <f>IFERROR(-IF(ROUNDDOWN(SUM($D24,$E24,$H24)*VLOOKUP($L$19,#REF!,2,FALSE),-1)&lt;10,ROUNDDOWN(SUM($D24,$E24,$H24)*VLOOKUP($L$19,#REF!,2,FALSE),0),ROUNDDOWN(SUM($D24,$E24,$H24)*VLOOKUP($L$19,#REF!,2,FALSE),-1)),0)</f>
        <v>0</v>
      </c>
      <c r="M24" s="485" t="e">
        <f>IF($AG$2=1,SUM($D24:$L24),(IF(ROUNDDOWN(SUM($D24:$L24)*$AG$2,-1)&lt;10,ROUNDDOWN(SUM($D24:$L24)*$AG$2,0),(ROUNDDOWN(SUM($D24:$L24)*$AG$2,-1)))))</f>
        <v>#REF!</v>
      </c>
      <c r="N24" s="486">
        <f>IF(N$19="あり",IF(ROUNDDOWN(#REF!/$J$71,-1)&lt;10,ROUNDDOWN(#REF!/$J$71,0),ROUNDDOWN(#REF!/$J$71,-1)),0)</f>
        <v>0</v>
      </c>
      <c r="O24" s="482">
        <f>IF(O$19="特児",IF(ROUNDDOWN(#REF!/$J$71,-1)&lt;10,ROUNDDOWN(#REF!/$J$71,0),ROUNDDOWN(#REF!/$J$71,-1)),IF(O$19="その他",IF(ROUNDDOWN(#REF!/$J$71,-1)&lt;10,ROUNDDOWN(#REF!/$J$71,0),ROUNDDOWN(#REF!/$J$71,-1)),0))</f>
        <v>0</v>
      </c>
      <c r="P24" s="482">
        <f>IF(P$19="あり",IF(ROUNDDOWN(#REF!/$J$71,-1)&lt;10,ROUNDDOWN(#REF!/$J$71,0),ROUNDDOWN(#REF!/$J$71,-1)),0)</f>
        <v>0</v>
      </c>
      <c r="Q24" s="484">
        <f>IF(Q$19="配置",IF(ROUNDDOWN(#REF!/$J$71,-1)&lt;10,ROUNDDOWN(#REF!/$J$71,0),ROUNDDOWN(#REF!/$J$71,-1)),IF(Q$19="兼務",IF(ROUNDDOWN(#REF!/$J$71,-1)&lt;10,ROUNDDOWN(#REF!/$J$71,0),ROUNDDOWN(#REF!/$J$71,-1)),0))</f>
        <v>0</v>
      </c>
      <c r="R24" s="487">
        <f>IF(ISERROR(SUM(M24:Q24)),0,SUM(M24:Q24))</f>
        <v>0</v>
      </c>
      <c r="S24" s="488"/>
      <c r="U24" s="960"/>
      <c r="V24" s="960"/>
      <c r="W24" s="960"/>
      <c r="X24" s="481"/>
      <c r="Z24" s="481"/>
      <c r="AA24" s="520"/>
      <c r="AB24" s="520"/>
    </row>
    <row r="25" spans="1:28" ht="20.149999999999999" hidden="1" customHeight="1">
      <c r="A25" s="928"/>
      <c r="B25" s="930" t="s">
        <v>94</v>
      </c>
      <c r="C25" s="931"/>
      <c r="D25" s="482" t="e">
        <f>IF(D$19="あり",VLOOKUP($D$9,#REF!,10,TRUE),0)</f>
        <v>#REF!</v>
      </c>
      <c r="E25" s="483"/>
      <c r="F25" s="482"/>
      <c r="G25" s="482">
        <f>G24</f>
        <v>0</v>
      </c>
      <c r="H25" s="482">
        <f t="shared" ref="G25:I27" si="0">H24</f>
        <v>0</v>
      </c>
      <c r="I25" s="482">
        <f>I24</f>
        <v>0</v>
      </c>
      <c r="J25" s="483"/>
      <c r="K25" s="482">
        <f>K24</f>
        <v>0</v>
      </c>
      <c r="L25" s="484">
        <f>IFERROR(-IF(ROUNDDOWN(SUM($D25,$E25,$H25)*VLOOKUP($L$19,#REF!,2,FALSE),-1)&lt;10,ROUNDDOWN(SUM($D25,$E25,$H25)*VLOOKUP($L$19,#REF!,2,FALSE),0),ROUNDDOWN(SUM($D25,$E25,$H25)*VLOOKUP($L$19,#REF!,2,FALSE),-1)),0)</f>
        <v>0</v>
      </c>
      <c r="M25" s="485" t="e">
        <f>IF($AG$2=1,SUM($D25:$L25),(IF(ROUNDDOWN(SUM($D25:$L25)*$AG$2,-1)&lt;10,ROUNDDOWN(SUM($D25:$L25)*$AG$2,0),(ROUNDDOWN(SUM($D25:$L25)*$AG$2,-1)))))</f>
        <v>#REF!</v>
      </c>
      <c r="N25" s="486">
        <f>N24</f>
        <v>0</v>
      </c>
      <c r="O25" s="482">
        <f>O24</f>
        <v>0</v>
      </c>
      <c r="P25" s="482">
        <f>P24</f>
        <v>0</v>
      </c>
      <c r="Q25" s="484">
        <f>Q24</f>
        <v>0</v>
      </c>
      <c r="R25" s="487">
        <f>IF(ISERROR(SUM(M25:Q25)),0,SUM(M25:Q25))</f>
        <v>0</v>
      </c>
      <c r="S25" s="488"/>
      <c r="U25" s="960"/>
      <c r="V25" s="960"/>
      <c r="W25" s="960"/>
      <c r="X25" s="481"/>
      <c r="Z25" s="481"/>
      <c r="AA25" s="520"/>
      <c r="AB25" s="520"/>
    </row>
    <row r="26" spans="1:28" ht="20.149999999999999" hidden="1" customHeight="1">
      <c r="A26" s="928"/>
      <c r="B26" s="930" t="s">
        <v>7</v>
      </c>
      <c r="C26" s="931"/>
      <c r="D26" s="482" t="e">
        <f>IF(D$19="あり",VLOOKUP($D$9,#REF!,10,TRUE),0)</f>
        <v>#REF!</v>
      </c>
      <c r="E26" s="482">
        <f>IF(E$19="あり",VLOOKUP(SUM($D$9,$D$12),#REF!,18,TRUE),0)</f>
        <v>0</v>
      </c>
      <c r="F26" s="482"/>
      <c r="G26" s="482">
        <f t="shared" si="0"/>
        <v>0</v>
      </c>
      <c r="H26" s="482">
        <f t="shared" si="0"/>
        <v>0</v>
      </c>
      <c r="I26" s="482">
        <f t="shared" si="0"/>
        <v>0</v>
      </c>
      <c r="J26" s="483"/>
      <c r="K26" s="482">
        <f>K25</f>
        <v>0</v>
      </c>
      <c r="L26" s="484">
        <f>IFERROR(-IF(ROUNDDOWN(SUM($D26,$E26,$H26)*VLOOKUP($L$19,#REF!,2,FALSE),-1)&lt;10,ROUNDDOWN(SUM($D26,$E26,$H26)*VLOOKUP($L$19,#REF!,2,FALSE),0),ROUNDDOWN(SUM($D26,$E26,$H26)*VLOOKUP($L$19,#REF!,2,FALSE),-1)),0)</f>
        <v>0</v>
      </c>
      <c r="M26" s="485" t="e">
        <f>IF($AG$2=1,SUM($D26:$L26),(IF(ROUNDDOWN(SUM($D26:$L26)*$AG$2,-1)&lt;10,ROUNDDOWN(SUM($D26:$L26)*$AG$2,0),(ROUNDDOWN(SUM($D26:$L26)*$AG$2,-1)))))</f>
        <v>#REF!</v>
      </c>
      <c r="N26" s="486">
        <f t="shared" ref="N26:P27" si="1">N25</f>
        <v>0</v>
      </c>
      <c r="O26" s="482">
        <f t="shared" si="1"/>
        <v>0</v>
      </c>
      <c r="P26" s="482">
        <f t="shared" si="1"/>
        <v>0</v>
      </c>
      <c r="Q26" s="484">
        <f>Q25</f>
        <v>0</v>
      </c>
      <c r="R26" s="487">
        <f>IF(ISERROR(SUM(M26:Q26)),0,SUM(M26:Q26))</f>
        <v>0</v>
      </c>
      <c r="S26" s="488"/>
      <c r="U26" s="960"/>
      <c r="V26" s="960"/>
      <c r="W26" s="960"/>
      <c r="X26" s="481"/>
      <c r="Z26" s="481"/>
      <c r="AA26" s="520"/>
      <c r="AB26" s="520"/>
    </row>
    <row r="27" spans="1:28" ht="20.149999999999999" hidden="1" customHeight="1">
      <c r="A27" s="928"/>
      <c r="B27" s="930" t="s">
        <v>8</v>
      </c>
      <c r="C27" s="931"/>
      <c r="D27" s="489" t="e">
        <f>IF(D$19="あり",VLOOKUP($D$9,#REF!,10,TRUE),0)</f>
        <v>#REF!</v>
      </c>
      <c r="E27" s="490"/>
      <c r="F27" s="489"/>
      <c r="G27" s="489">
        <f t="shared" si="0"/>
        <v>0</v>
      </c>
      <c r="H27" s="489">
        <f t="shared" si="0"/>
        <v>0</v>
      </c>
      <c r="I27" s="482">
        <f t="shared" si="0"/>
        <v>0</v>
      </c>
      <c r="J27" s="490"/>
      <c r="K27" s="489">
        <f>K26</f>
        <v>0</v>
      </c>
      <c r="L27" s="491">
        <f>IFERROR(-IF(ROUNDDOWN(SUM($D27,$E27,$H27)*VLOOKUP($L$19,#REF!,2,FALSE),-1)&lt;10,ROUNDDOWN(SUM($D27,$E27,$H27)*VLOOKUP($L$19,#REF!,2,FALSE),0),ROUNDDOWN(SUM($D27,$E27,$H27)*VLOOKUP($L$19,#REF!,2,FALSE),-1)),0)</f>
        <v>0</v>
      </c>
      <c r="M27" s="485" t="e">
        <f>IF($AG$2=1,SUM($D27:$L27),(IF(ROUNDDOWN(SUM($D27:$L27)*$AG$2,-1)&lt;10,ROUNDDOWN(SUM($D27:$L27)*$AG$2,0),(ROUNDDOWN(SUM($D27:$L27)*$AG$2,-1)))))</f>
        <v>#REF!</v>
      </c>
      <c r="N27" s="486">
        <f t="shared" si="1"/>
        <v>0</v>
      </c>
      <c r="O27" s="482">
        <f t="shared" si="1"/>
        <v>0</v>
      </c>
      <c r="P27" s="482">
        <f t="shared" si="1"/>
        <v>0</v>
      </c>
      <c r="Q27" s="484">
        <f>Q26</f>
        <v>0</v>
      </c>
      <c r="R27" s="487">
        <f>IF(ISERROR(SUM(M27:Q27)),0,SUM(M27:Q27))</f>
        <v>0</v>
      </c>
      <c r="S27" s="488"/>
      <c r="U27" s="960"/>
      <c r="V27" s="960"/>
      <c r="W27" s="960"/>
      <c r="X27" s="481"/>
      <c r="Z27" s="481"/>
      <c r="AA27" s="520"/>
      <c r="AB27" s="520"/>
    </row>
    <row r="28" spans="1:28" ht="21" hidden="1" customHeight="1">
      <c r="A28" s="928"/>
      <c r="B28" s="932" t="s">
        <v>95</v>
      </c>
      <c r="C28" s="933"/>
      <c r="D28" s="947" t="s">
        <v>9</v>
      </c>
      <c r="E28" s="947" t="s">
        <v>25</v>
      </c>
      <c r="F28" s="835"/>
      <c r="G28" s="947" t="s">
        <v>27</v>
      </c>
      <c r="H28" s="947" t="s">
        <v>28</v>
      </c>
      <c r="I28" s="947" t="s">
        <v>49</v>
      </c>
      <c r="J28" s="947" t="s">
        <v>29</v>
      </c>
      <c r="K28" s="947" t="s">
        <v>156</v>
      </c>
      <c r="L28" s="970" t="s">
        <v>131</v>
      </c>
      <c r="M28" s="144" t="s">
        <v>148</v>
      </c>
      <c r="N28" s="975" t="s">
        <v>32</v>
      </c>
      <c r="O28" s="977" t="s">
        <v>17</v>
      </c>
      <c r="P28" s="967" t="s">
        <v>92</v>
      </c>
      <c r="Q28" s="949" t="s">
        <v>139</v>
      </c>
      <c r="R28" s="965" t="s">
        <v>61</v>
      </c>
      <c r="S28" s="488"/>
      <c r="U28" s="960"/>
      <c r="V28" s="960"/>
      <c r="W28" s="960"/>
      <c r="X28" s="663"/>
      <c r="Z28" s="481"/>
      <c r="AA28" s="520"/>
      <c r="AB28" s="520"/>
    </row>
    <row r="29" spans="1:28" hidden="1">
      <c r="A29" s="928"/>
      <c r="B29" s="934"/>
      <c r="C29" s="935"/>
      <c r="D29" s="948"/>
      <c r="E29" s="948"/>
      <c r="F29" s="836"/>
      <c r="G29" s="948"/>
      <c r="H29" s="948"/>
      <c r="I29" s="948"/>
      <c r="J29" s="948"/>
      <c r="K29" s="948"/>
      <c r="L29" s="971"/>
      <c r="M29" s="146" t="str">
        <f>IF($AG$2=1,"",CONCATENATE("（乗除調整",TEXT($AG$2,"##/100"),")"))</f>
        <v/>
      </c>
      <c r="N29" s="976"/>
      <c r="O29" s="978"/>
      <c r="P29" s="953"/>
      <c r="Q29" s="950"/>
      <c r="R29" s="966"/>
      <c r="S29" s="488"/>
      <c r="U29" s="960"/>
      <c r="V29" s="959"/>
      <c r="W29" s="959"/>
      <c r="X29" s="651"/>
      <c r="Z29" s="481"/>
      <c r="AA29" s="520"/>
      <c r="AB29" s="520"/>
    </row>
    <row r="30" spans="1:28" ht="20.149999999999999" hidden="1" customHeight="1">
      <c r="A30" s="928"/>
      <c r="B30" s="930" t="s">
        <v>93</v>
      </c>
      <c r="C30" s="931"/>
      <c r="D30" s="482" t="e">
        <f>IF(D$19="あり",VLOOKUP($D$9,#REF!,13,TRUE),0)</f>
        <v>#REF!</v>
      </c>
      <c r="E30" s="483"/>
      <c r="F30" s="482"/>
      <c r="G30" s="482">
        <f>IF(ISERROR(#REF!),0,#REF!)</f>
        <v>0</v>
      </c>
      <c r="H30" s="482">
        <f>IF(H$19="あり",VLOOKUP(SUM($D$9,$D$12),#REF!,31,TRUE),0)</f>
        <v>0</v>
      </c>
      <c r="I30" s="482">
        <f>IF(AND($I$19&lt;&gt;"",$I$19&lt;&gt;"なし"),VLOOKUP(SUM($D$9,$D$12),#REF!,42,TRUE)*IF(SUM($D$9,$D$12)&lt;121,MIN(1,$I$19),MIN(2,$I$19)),0)</f>
        <v>0</v>
      </c>
      <c r="J30" s="483"/>
      <c r="K30" s="482">
        <f>IF(K19="あり",-VLOOKUP(SUM($D$9,$D$12),#REF!,50,TRUE),0)</f>
        <v>0</v>
      </c>
      <c r="L30" s="484">
        <f>IFERROR(-IF(ROUNDDOWN(SUM($D30,$E30,$H30)*VLOOKUP($L$19,#REF!,2,FALSE),-1)&lt;10,ROUNDDOWN(SUM($D30,$E30,$H30)*VLOOKUP($L$19,#REF!,2,FALSE),0),ROUNDDOWN(SUM($D30,$E30,$H30)*VLOOKUP($L$19,#REF!,2,FALSE),-1)),0)</f>
        <v>0</v>
      </c>
      <c r="M30" s="485" t="e">
        <f>IF($AG$2=1,SUM($D30:$L30),(IF(ROUNDDOWN(SUM($D30:$L30)*$AG$2,-1)&lt;10,ROUNDDOWN(SUM($D30:$L30)*$AG$2,0),(ROUNDDOWN(SUM($D30:$L30)*$AG$2,-1)))))</f>
        <v>#REF!</v>
      </c>
      <c r="N30" s="486">
        <f>IF(N$19="あり",IF(ROUNDDOWN(#REF!/$J$71,-1)&lt;10,ROUNDDOWN(#REF!/$J$71,0),ROUNDDOWN(#REF!/$J$71,-1)),0)</f>
        <v>0</v>
      </c>
      <c r="O30" s="482">
        <f>IF(O$19="特児",IF(ROUNDDOWN(#REF!/$J$71,-1)&lt;10,ROUNDDOWN(#REF!/$J$71,0),ROUNDDOWN(#REF!/$J$71,-1)),IF(O$19="その他",IF(ROUNDDOWN(#REF!/$J$71,-1)&lt;10,ROUNDDOWN(#REF!/$J$71,0),ROUNDDOWN(#REF!/$J$71,-1)),0))</f>
        <v>0</v>
      </c>
      <c r="P30" s="482">
        <f>IF(P$19="あり",IF(ROUNDDOWN(#REF!/$J$71,-1)&lt;10,ROUNDDOWN(#REF!/$J$71,0),ROUNDDOWN(#REF!/$J$71,-1)),0)</f>
        <v>0</v>
      </c>
      <c r="Q30" s="484">
        <f>IF(Q$19="配置",IF(ROUNDDOWN(#REF!/$J$71,-1)&lt;10,ROUNDDOWN(#REF!/$J$71,0),ROUNDDOWN(#REF!/$J$71,-1)),IF(Q$19="兼務",IF(ROUNDDOWN(#REF!/$J$71,-1)&lt;10,ROUNDDOWN(#REF!/$J$71,0),ROUNDDOWN(#REF!/$J$71,-1)),0))</f>
        <v>0</v>
      </c>
      <c r="R30" s="487">
        <f>IF(ISERROR(SUM(M30:Q30)),0,SUM(M30:Q30))</f>
        <v>0</v>
      </c>
      <c r="S30" s="488"/>
      <c r="U30" s="960"/>
      <c r="V30" s="960"/>
      <c r="W30" s="960"/>
      <c r="X30" s="481"/>
      <c r="Z30" s="481"/>
      <c r="AA30" s="520"/>
      <c r="AB30" s="520"/>
    </row>
    <row r="31" spans="1:28" ht="20.149999999999999" hidden="1" customHeight="1">
      <c r="A31" s="928"/>
      <c r="B31" s="930" t="s">
        <v>94</v>
      </c>
      <c r="C31" s="931"/>
      <c r="D31" s="482" t="e">
        <f>IF(D$19="あり",VLOOKUP($D$9,#REF!,13,TRUE),0)</f>
        <v>#REF!</v>
      </c>
      <c r="E31" s="483"/>
      <c r="F31" s="482"/>
      <c r="G31" s="482">
        <f t="shared" ref="G31:I33" si="2">G30</f>
        <v>0</v>
      </c>
      <c r="H31" s="482">
        <f t="shared" si="2"/>
        <v>0</v>
      </c>
      <c r="I31" s="482">
        <f t="shared" si="2"/>
        <v>0</v>
      </c>
      <c r="J31" s="483"/>
      <c r="K31" s="482">
        <f>K30</f>
        <v>0</v>
      </c>
      <c r="L31" s="484">
        <f>IFERROR(-IF(ROUNDDOWN(SUM($D31,$E31,$H31)*VLOOKUP($L$19,#REF!,2,FALSE),-1)&lt;10,ROUNDDOWN(SUM($D31,$E31,$H31)*VLOOKUP($L$19,#REF!,2,FALSE),0),ROUNDDOWN(SUM($D31,$E31,$H31)*VLOOKUP($L$19,#REF!,2,FALSE),-1)),0)</f>
        <v>0</v>
      </c>
      <c r="M31" s="485" t="e">
        <f>IF($AG$2=1,SUM($D31:$L31),(IF(ROUNDDOWN(SUM($D31:$L31)*$AG$2,-1)&lt;10,ROUNDDOWN(SUM($D31:$L31)*$AG$2,0),(ROUNDDOWN(SUM($D31:$L31)*$AG$2,-1)))))</f>
        <v>#REF!</v>
      </c>
      <c r="N31" s="486">
        <f t="shared" ref="N31:P33" si="3">N30</f>
        <v>0</v>
      </c>
      <c r="O31" s="482">
        <f t="shared" si="3"/>
        <v>0</v>
      </c>
      <c r="P31" s="482">
        <f t="shared" si="3"/>
        <v>0</v>
      </c>
      <c r="Q31" s="484">
        <f>Q30</f>
        <v>0</v>
      </c>
      <c r="R31" s="487">
        <f>IF(ISERROR(SUM(M31:Q31)),0,SUM(M31:Q31))</f>
        <v>0</v>
      </c>
      <c r="S31" s="447"/>
      <c r="U31" s="960"/>
      <c r="V31" s="960"/>
      <c r="W31" s="960"/>
      <c r="X31" s="481"/>
      <c r="Z31" s="481"/>
      <c r="AA31" s="520"/>
      <c r="AB31" s="520"/>
    </row>
    <row r="32" spans="1:28" ht="20.149999999999999" hidden="1" customHeight="1">
      <c r="A32" s="928"/>
      <c r="B32" s="930" t="s">
        <v>7</v>
      </c>
      <c r="C32" s="931"/>
      <c r="D32" s="482" t="e">
        <f>IF(D$19="あり",VLOOKUP($D$9,#REF!,13,TRUE),0)</f>
        <v>#REF!</v>
      </c>
      <c r="E32" s="482">
        <f>IF(E$19="あり",VLOOKUP(SUM($D$9,$D$12),#REF!,18,TRUE),0)</f>
        <v>0</v>
      </c>
      <c r="F32" s="482"/>
      <c r="G32" s="482">
        <f t="shared" si="2"/>
        <v>0</v>
      </c>
      <c r="H32" s="482">
        <f t="shared" si="2"/>
        <v>0</v>
      </c>
      <c r="I32" s="482">
        <f t="shared" si="2"/>
        <v>0</v>
      </c>
      <c r="J32" s="483"/>
      <c r="K32" s="482">
        <f>K31</f>
        <v>0</v>
      </c>
      <c r="L32" s="484">
        <f>IFERROR(-IF(ROUNDDOWN(SUM($D32,$E32,$H32)*VLOOKUP($L$19,#REF!,2,FALSE),-1)&lt;10,ROUNDDOWN(SUM($D32,$E32,$H32)*VLOOKUP($L$19,#REF!,2,FALSE),0),ROUNDDOWN(SUM($D32,$E32,$H32)*VLOOKUP($L$19,#REF!,2,FALSE),-1)),0)</f>
        <v>0</v>
      </c>
      <c r="M32" s="485" t="e">
        <f>IF($AG$2=1,SUM($D32:$L32),(IF(ROUNDDOWN(SUM($D32:$L32)*$AG$2,-1)&lt;10,ROUNDDOWN(SUM($D32:$L32)*$AG$2,0),(ROUNDDOWN(SUM($D32:$L32)*$AG$2,-1)))))</f>
        <v>#REF!</v>
      </c>
      <c r="N32" s="486">
        <f t="shared" si="3"/>
        <v>0</v>
      </c>
      <c r="O32" s="482">
        <f t="shared" si="3"/>
        <v>0</v>
      </c>
      <c r="P32" s="482">
        <f t="shared" si="3"/>
        <v>0</v>
      </c>
      <c r="Q32" s="484">
        <f>Q31</f>
        <v>0</v>
      </c>
      <c r="R32" s="487">
        <f>IF(ISERROR(SUM(M32:Q32)),0,SUM(M32:Q32))</f>
        <v>0</v>
      </c>
      <c r="S32" s="460"/>
      <c r="U32" s="960"/>
      <c r="V32" s="960"/>
      <c r="W32" s="960"/>
      <c r="X32" s="481"/>
      <c r="Z32" s="481"/>
      <c r="AA32" s="520"/>
      <c r="AB32" s="520"/>
    </row>
    <row r="33" spans="1:28" ht="20.149999999999999" hidden="1" customHeight="1">
      <c r="A33" s="929"/>
      <c r="B33" s="930" t="s">
        <v>8</v>
      </c>
      <c r="C33" s="931"/>
      <c r="D33" s="482" t="e">
        <f>IF(D$19="あり",VLOOKUP($D$9,#REF!,13,TRUE),0)</f>
        <v>#REF!</v>
      </c>
      <c r="E33" s="483"/>
      <c r="F33" s="482"/>
      <c r="G33" s="482">
        <f t="shared" si="2"/>
        <v>0</v>
      </c>
      <c r="H33" s="482">
        <f t="shared" si="2"/>
        <v>0</v>
      </c>
      <c r="I33" s="482">
        <f t="shared" si="2"/>
        <v>0</v>
      </c>
      <c r="J33" s="483"/>
      <c r="K33" s="482">
        <f>K32</f>
        <v>0</v>
      </c>
      <c r="L33" s="484">
        <f>IFERROR(-IF(ROUNDDOWN(SUM($D33,$E33,$H33)*VLOOKUP($L$19,#REF!,2,FALSE),-1)&lt;10,ROUNDDOWN(SUM($D33,$E33,$H33)*VLOOKUP($L$19,#REF!,2,FALSE),0),ROUNDDOWN(SUM($D33,$E33,$H33)*VLOOKUP($L$19,#REF!,2,FALSE),-1)),0)</f>
        <v>0</v>
      </c>
      <c r="M33" s="485" t="e">
        <f>IF($AG$2=1,SUM($D33:$L33),(IF(ROUNDDOWN(SUM($D33:$L33)*$AG$2,-1)&lt;10,ROUNDDOWN(SUM($D33:$L33)*$AG$2,0),(ROUNDDOWN(SUM($D33:$L33)*$AG$2,-1)))))</f>
        <v>#REF!</v>
      </c>
      <c r="N33" s="486">
        <f t="shared" si="3"/>
        <v>0</v>
      </c>
      <c r="O33" s="482">
        <f t="shared" si="3"/>
        <v>0</v>
      </c>
      <c r="P33" s="482">
        <f t="shared" si="3"/>
        <v>0</v>
      </c>
      <c r="Q33" s="484">
        <f>Q32</f>
        <v>0</v>
      </c>
      <c r="R33" s="487">
        <f>IF(ISERROR(SUM(M33:Q33)),0,SUM(M33:Q33))</f>
        <v>0</v>
      </c>
      <c r="S33" s="460"/>
      <c r="U33" s="960"/>
      <c r="V33" s="960"/>
      <c r="W33" s="960"/>
      <c r="X33" s="481"/>
      <c r="Z33" s="481"/>
      <c r="AA33" s="520"/>
      <c r="AB33" s="520"/>
    </row>
    <row r="34" spans="1:28" ht="20.149999999999999" hidden="1" customHeight="1">
      <c r="A34" s="460"/>
      <c r="B34" s="492"/>
      <c r="C34" s="492"/>
      <c r="D34" s="493"/>
      <c r="E34" s="494"/>
      <c r="F34" s="494"/>
      <c r="G34" s="494"/>
      <c r="H34" s="494"/>
      <c r="I34" s="494"/>
      <c r="J34" s="494"/>
      <c r="K34" s="494"/>
      <c r="L34" s="494"/>
      <c r="M34" s="495"/>
      <c r="N34" s="495"/>
      <c r="O34" s="495"/>
      <c r="P34" s="495"/>
      <c r="Q34" s="495"/>
      <c r="R34" s="496"/>
      <c r="S34" s="460"/>
      <c r="U34" s="960"/>
      <c r="V34" s="960"/>
      <c r="W34" s="960"/>
      <c r="X34" s="663"/>
      <c r="Z34" s="481"/>
      <c r="AA34" s="520"/>
      <c r="AB34" s="520"/>
    </row>
    <row r="35" spans="1:28" ht="21" hidden="1" customHeight="1">
      <c r="A35" s="927" t="s">
        <v>47</v>
      </c>
      <c r="B35" s="932" t="s">
        <v>35</v>
      </c>
      <c r="C35" s="933"/>
      <c r="D35" s="947" t="s">
        <v>9</v>
      </c>
      <c r="E35" s="947" t="s">
        <v>25</v>
      </c>
      <c r="F35" s="835"/>
      <c r="G35" s="947" t="s">
        <v>27</v>
      </c>
      <c r="H35" s="947" t="s">
        <v>28</v>
      </c>
      <c r="I35" s="947" t="s">
        <v>49</v>
      </c>
      <c r="J35" s="947" t="s">
        <v>29</v>
      </c>
      <c r="K35" s="952" t="s">
        <v>132</v>
      </c>
      <c r="L35" s="970" t="s">
        <v>131</v>
      </c>
      <c r="M35" s="144" t="s">
        <v>148</v>
      </c>
      <c r="N35" s="975" t="s">
        <v>32</v>
      </c>
      <c r="O35" s="977" t="s">
        <v>17</v>
      </c>
      <c r="P35" s="967" t="s">
        <v>92</v>
      </c>
      <c r="Q35" s="949" t="s">
        <v>139</v>
      </c>
      <c r="R35" s="965" t="s">
        <v>96</v>
      </c>
      <c r="S35" s="460"/>
      <c r="U35" s="478"/>
      <c r="V35" s="960"/>
      <c r="W35" s="960"/>
      <c r="X35" s="478"/>
      <c r="Z35" s="481"/>
      <c r="AA35" s="520"/>
      <c r="AB35" s="520"/>
    </row>
    <row r="36" spans="1:28" hidden="1">
      <c r="A36" s="928"/>
      <c r="B36" s="934"/>
      <c r="C36" s="935"/>
      <c r="D36" s="948"/>
      <c r="E36" s="948"/>
      <c r="F36" s="836"/>
      <c r="G36" s="948"/>
      <c r="H36" s="948"/>
      <c r="I36" s="948"/>
      <c r="J36" s="948"/>
      <c r="K36" s="953"/>
      <c r="L36" s="971"/>
      <c r="M36" s="146" t="str">
        <f>IF($AG$2=1,"",CONCATENATE("（乗除調整",TEXT($AG$2,"##/100"),")"))</f>
        <v/>
      </c>
      <c r="N36" s="976"/>
      <c r="O36" s="978"/>
      <c r="P36" s="953"/>
      <c r="Q36" s="950"/>
      <c r="R36" s="966"/>
      <c r="S36" s="460"/>
      <c r="U36" s="960"/>
      <c r="V36" s="959"/>
      <c r="W36" s="959"/>
      <c r="X36" s="651"/>
      <c r="Z36" s="481"/>
      <c r="AA36" s="520"/>
      <c r="AB36" s="520"/>
    </row>
    <row r="37" spans="1:28" ht="20.149999999999999" hidden="1" customHeight="1">
      <c r="A37" s="928"/>
      <c r="B37" s="930" t="s">
        <v>93</v>
      </c>
      <c r="C37" s="931"/>
      <c r="D37" s="482">
        <f>IFERROR(IF(D$19="あり",VLOOKUP($D$12,#REF!,10,TRUE),0),0)</f>
        <v>0</v>
      </c>
      <c r="E37" s="483"/>
      <c r="F37" s="482"/>
      <c r="G37" s="482">
        <f>IF($J$19="あり",IF(ISERROR(#REF!),0,#REF!),0)</f>
        <v>0</v>
      </c>
      <c r="H37" s="482">
        <f>IF(H$19="あり",VLOOKUP(SUM($D$9,$D$12),#REF!,31,TRUE),0)</f>
        <v>0</v>
      </c>
      <c r="I37" s="482">
        <f>IF(AND($I$19&lt;&gt;"",$I$19&lt;&gt;"なし"),VLOOKUP(SUM($D$9,$D$12),#REF!,42,TRUE)*IF(SUM($D$9,$D$12)&lt;121,MIN(1,$I$19),MIN(2,$I$19)),0)</f>
        <v>0</v>
      </c>
      <c r="J37" s="482">
        <f>IF(J$19="あり",-IF(ROUNDDOWN($D37*#REF!,-1)&lt;10,ROUNDDOWN($D37*#REF!,0),ROUNDDOWN($D37*#REF!,-1)),0)</f>
        <v>0</v>
      </c>
      <c r="K37" s="482">
        <f>IFERROR(IF(K19="あり",-VLOOKUP(SUM($D$9,$D$12),#REF!,50,TRUE),0),0)</f>
        <v>0</v>
      </c>
      <c r="L37" s="497">
        <f>IFERROR(-IF(ROUNDDOWN(SUM($D37,$E37,$H37)*VLOOKUP($L$19,#REF!,2,FALSE),-1)&lt;10,ROUNDDOWN(SUM($D37,$E37,$H37)*VLOOKUP($L$19,#REF!,2,FALSE),0),ROUNDDOWN(SUM($D37,$E37,$H37)*VLOOKUP($L$19,#REF!,2,FALSE),-1)),0)</f>
        <v>0</v>
      </c>
      <c r="M37" s="485">
        <f>IF($AG$2=1,SUM($D37:$L37),(IF(ROUNDDOWN(SUM($D37:$L37)*$AG$2,-1)&lt;10,ROUNDDOWN(SUM($D37:$L37)*$AG$2,0),(ROUNDDOWN(SUM($D37:$L37)*$AG$2,-1)))))</f>
        <v>0</v>
      </c>
      <c r="N37" s="486">
        <f>IF(J19="あり",IF(N$19="あり",IF(ROUNDDOWN(#REF!/$J$71,-1)&lt;10,ROUNDDOWN(#REF!/$J$71,0),ROUNDDOWN(#REF!/$J$71,-1)),0),0)</f>
        <v>0</v>
      </c>
      <c r="O37" s="482">
        <f>IF(J19="あり",IF(O$19="特児",IF(ROUNDDOWN(#REF!/$J$71,-1)&lt;10,ROUNDDOWN(#REF!/$J$71,0),ROUNDDOWN(#REF!/$J$71,-1)),IF(O$19="その他",IF(ROUNDDOWN(#REF!/$J$71,-1)&lt;10,ROUNDDOWN(#REF!/$J$71,0),ROUNDDOWN(#REF!/$J$71,-1)),0)),0)</f>
        <v>0</v>
      </c>
      <c r="P37" s="482">
        <f>IF(J19="あり",IF(P$19="あり",IF(ROUNDDOWN(#REF!/$J$71,-1)&lt;10,ROUNDDOWN(#REF!/$J$71,0),ROUNDDOWN(#REF!/$J$71,-1)),0),0)</f>
        <v>0</v>
      </c>
      <c r="Q37" s="794">
        <f>IF(J19="あり",IF(Q$19="配置",IF(ROUNDDOWN(#REF!/$J$71,-1)&lt;10,ROUNDDOWN(#REF!/$J$71,0),ROUNDDOWN(#REF!/$J$71,-1)),IF(Q$19="兼務",IF(ROUNDDOWN(#REF!/$J$71,-1)&lt;10,ROUNDDOWN(#REF!/$J$71,0),ROUNDDOWN(#REF!/$J$71,-1)),0)),0)</f>
        <v>0</v>
      </c>
      <c r="R37" s="487">
        <f>IF(ISERROR(SUM(M37:Q37)),0,SUM(M37:Q37))</f>
        <v>0</v>
      </c>
      <c r="S37" s="460"/>
      <c r="U37" s="960"/>
      <c r="V37" s="960"/>
      <c r="W37" s="960"/>
      <c r="X37" s="481"/>
      <c r="Z37" s="481"/>
      <c r="AA37" s="520"/>
      <c r="AB37" s="520"/>
    </row>
    <row r="38" spans="1:28" ht="20.149999999999999" hidden="1" customHeight="1">
      <c r="A38" s="928"/>
      <c r="B38" s="930" t="s">
        <v>94</v>
      </c>
      <c r="C38" s="931"/>
      <c r="D38" s="482">
        <f>IFERROR(IF(D$19="あり",VLOOKUP($D$12,#REF!,10,TRUE),0),0)</f>
        <v>0</v>
      </c>
      <c r="E38" s="483"/>
      <c r="F38" s="482"/>
      <c r="G38" s="498">
        <f t="shared" ref="G38:I40" si="4">G37</f>
        <v>0</v>
      </c>
      <c r="H38" s="482">
        <f t="shared" si="4"/>
        <v>0</v>
      </c>
      <c r="I38" s="482">
        <f t="shared" si="4"/>
        <v>0</v>
      </c>
      <c r="J38" s="482">
        <f>IF(J$19="あり",-IF(ROUNDDOWN($D38*#REF!,-1)&lt;10,ROUNDDOWN($D38*#REF!,0),ROUNDDOWN($D38*#REF!,-1)),0)</f>
        <v>0</v>
      </c>
      <c r="K38" s="482">
        <f>K37</f>
        <v>0</v>
      </c>
      <c r="L38" s="497">
        <f>IFERROR(-IF(ROUNDDOWN(SUM($D38,$E38,$H38)*VLOOKUP($L$19,#REF!,2,FALSE),-1)&lt;10,ROUNDDOWN(SUM($D38,$E38,$H38)*VLOOKUP($L$19,#REF!,2,FALSE),0),ROUNDDOWN(SUM($D38,$E38,$H38)*VLOOKUP($L$19,#REF!,2,FALSE),-1)),0)</f>
        <v>0</v>
      </c>
      <c r="M38" s="485">
        <f>IF($AG$2=1,SUM($D38:$L38),(IF(ROUNDDOWN(SUM($D38:$L38)*$AG$2,-1)&lt;10,ROUNDDOWN(SUM($D38:$L38)*$AG$2,0),(ROUNDDOWN(SUM($D38:$L38)*$AG$2,-1)))))</f>
        <v>0</v>
      </c>
      <c r="N38" s="486">
        <f t="shared" ref="N38:P40" si="5">N37</f>
        <v>0</v>
      </c>
      <c r="O38" s="800">
        <f>O37</f>
        <v>0</v>
      </c>
      <c r="P38" s="482">
        <f t="shared" si="5"/>
        <v>0</v>
      </c>
      <c r="Q38" s="484">
        <f>Q37</f>
        <v>0</v>
      </c>
      <c r="R38" s="487">
        <f>IF(ISERROR(SUM(M38:Q38)),0,SUM(M38:Q38))</f>
        <v>0</v>
      </c>
      <c r="S38" s="460"/>
      <c r="U38" s="960"/>
      <c r="V38" s="960"/>
      <c r="W38" s="960"/>
      <c r="X38" s="481"/>
      <c r="Z38" s="481"/>
      <c r="AA38" s="520"/>
      <c r="AB38" s="520"/>
    </row>
    <row r="39" spans="1:28" ht="20.149999999999999" hidden="1" customHeight="1">
      <c r="A39" s="928"/>
      <c r="B39" s="930" t="s">
        <v>7</v>
      </c>
      <c r="C39" s="931"/>
      <c r="D39" s="482">
        <f>IFERROR(IF(D$19="あり",VLOOKUP($D$12,#REF!,10,TRUE),0),0)</f>
        <v>0</v>
      </c>
      <c r="E39" s="498">
        <f>IFERROR(IF(E$19="あり",VLOOKUP(SUM($D$9,$D$12),#REF!,18,TRUE),0),0)</f>
        <v>0</v>
      </c>
      <c r="F39" s="498"/>
      <c r="G39" s="498">
        <f t="shared" si="4"/>
        <v>0</v>
      </c>
      <c r="H39" s="482">
        <f t="shared" si="4"/>
        <v>0</v>
      </c>
      <c r="I39" s="482">
        <f t="shared" si="4"/>
        <v>0</v>
      </c>
      <c r="J39" s="482">
        <f>IF(J$19="あり",-IF(ROUNDDOWN($D39*#REF!,-1)&lt;10,ROUNDDOWN($D39*#REF!,0),ROUNDDOWN($D39*#REF!,-1)),0)</f>
        <v>0</v>
      </c>
      <c r="K39" s="482">
        <f>K38</f>
        <v>0</v>
      </c>
      <c r="L39" s="497">
        <f>IFERROR(-IF(ROUNDDOWN(SUM($D39,$E39,$H39)*VLOOKUP($L$19,#REF!,2,FALSE),-1)&lt;10,ROUNDDOWN(SUM($D39,$E39,$H39)*VLOOKUP($L$19,#REF!,2,FALSE),0),ROUNDDOWN(SUM($D39,$E39,$H39)*VLOOKUP($L$19,#REF!,2,FALSE),-1)),0)</f>
        <v>0</v>
      </c>
      <c r="M39" s="485">
        <f>IF($AG$2=1,SUM($D39:$L39),(IF(ROUNDDOWN(SUM($D39:$L39)*$AG$2,-1)&lt;10,ROUNDDOWN(SUM($D39:$L39)*$AG$2,0),(ROUNDDOWN(SUM($D39:$L39)*$AG$2,-1)))))</f>
        <v>0</v>
      </c>
      <c r="N39" s="486">
        <f t="shared" si="5"/>
        <v>0</v>
      </c>
      <c r="O39" s="482">
        <f t="shared" si="5"/>
        <v>0</v>
      </c>
      <c r="P39" s="482">
        <f t="shared" si="5"/>
        <v>0</v>
      </c>
      <c r="Q39" s="484">
        <f>Q38</f>
        <v>0</v>
      </c>
      <c r="R39" s="487">
        <f>IF(ISERROR(SUM(M39:Q39)),0,SUM(M39:Q39))</f>
        <v>0</v>
      </c>
      <c r="S39" s="460"/>
      <c r="U39" s="960"/>
      <c r="V39" s="960"/>
      <c r="W39" s="960"/>
      <c r="X39" s="481"/>
      <c r="Z39" s="481"/>
      <c r="AA39" s="520"/>
      <c r="AB39" s="520"/>
    </row>
    <row r="40" spans="1:28" ht="20.149999999999999" hidden="1" customHeight="1">
      <c r="A40" s="928"/>
      <c r="B40" s="930" t="s">
        <v>8</v>
      </c>
      <c r="C40" s="931"/>
      <c r="D40" s="482">
        <f>IFERROR(IF(D$19="あり",VLOOKUP($D$12,#REF!,10,TRUE),0),0)</f>
        <v>0</v>
      </c>
      <c r="E40" s="483"/>
      <c r="F40" s="482"/>
      <c r="G40" s="498">
        <f t="shared" si="4"/>
        <v>0</v>
      </c>
      <c r="H40" s="482">
        <f t="shared" si="4"/>
        <v>0</v>
      </c>
      <c r="I40" s="482">
        <f t="shared" si="4"/>
        <v>0</v>
      </c>
      <c r="J40" s="482">
        <f>IF(J$19="あり",-IF(ROUNDDOWN($D40*#REF!,-1)&lt;10,ROUNDDOWN($D40*#REF!,0),ROUNDDOWN($D40*#REF!,-1)),0)</f>
        <v>0</v>
      </c>
      <c r="K40" s="482">
        <f>K39</f>
        <v>0</v>
      </c>
      <c r="L40" s="497">
        <f>IFERROR(-IF(ROUNDDOWN(SUM($D40,$E40,$H40)*VLOOKUP($L$19,#REF!,2,FALSE),-1)&lt;10,ROUNDDOWN(SUM($D40,$E40,$H40)*VLOOKUP($L$19,#REF!,2,FALSE),0),ROUNDDOWN(SUM($D40,$E40,$H40)*VLOOKUP($L$19,#REF!,2,FALSE),-1)),0)</f>
        <v>0</v>
      </c>
      <c r="M40" s="485">
        <f>IF($AG$2=1,SUM($D40:$L40),(IF(ROUNDDOWN(SUM($D40:$L40)*$AG$2,-1)&lt;10,ROUNDDOWN(SUM($D40:$L40)*$AG$2,0),(ROUNDDOWN(SUM($D40:$L40)*$AG$2,-1)))))</f>
        <v>0</v>
      </c>
      <c r="N40" s="486">
        <f t="shared" si="5"/>
        <v>0</v>
      </c>
      <c r="O40" s="482">
        <f t="shared" si="5"/>
        <v>0</v>
      </c>
      <c r="P40" s="482">
        <f t="shared" si="5"/>
        <v>0</v>
      </c>
      <c r="Q40" s="484">
        <f>Q39</f>
        <v>0</v>
      </c>
      <c r="R40" s="487">
        <f>IF(ISERROR(SUM(M40:Q40)),0,SUM(M40:Q40))</f>
        <v>0</v>
      </c>
      <c r="S40" s="460"/>
      <c r="U40" s="960"/>
      <c r="V40" s="960"/>
      <c r="W40" s="960"/>
      <c r="X40" s="481"/>
      <c r="Z40" s="481"/>
      <c r="AA40" s="520"/>
      <c r="AB40" s="520"/>
    </row>
    <row r="41" spans="1:28" ht="21" hidden="1" customHeight="1">
      <c r="A41" s="928"/>
      <c r="B41" s="932" t="s">
        <v>95</v>
      </c>
      <c r="C41" s="933"/>
      <c r="D41" s="992" t="s">
        <v>9</v>
      </c>
      <c r="E41" s="992" t="s">
        <v>25</v>
      </c>
      <c r="F41" s="840"/>
      <c r="G41" s="992" t="s">
        <v>27</v>
      </c>
      <c r="H41" s="992" t="s">
        <v>28</v>
      </c>
      <c r="I41" s="992" t="s">
        <v>49</v>
      </c>
      <c r="J41" s="992" t="s">
        <v>29</v>
      </c>
      <c r="K41" s="967" t="s">
        <v>132</v>
      </c>
      <c r="L41" s="991" t="s">
        <v>131</v>
      </c>
      <c r="M41" s="144" t="s">
        <v>148</v>
      </c>
      <c r="N41" s="975" t="s">
        <v>32</v>
      </c>
      <c r="O41" s="977" t="s">
        <v>17</v>
      </c>
      <c r="P41" s="967" t="s">
        <v>92</v>
      </c>
      <c r="Q41" s="949" t="s">
        <v>139</v>
      </c>
      <c r="R41" s="965" t="s">
        <v>97</v>
      </c>
      <c r="S41" s="460"/>
      <c r="U41" s="960"/>
      <c r="V41" s="960"/>
      <c r="W41" s="960"/>
      <c r="X41" s="663"/>
      <c r="Z41" s="481"/>
      <c r="AA41" s="520"/>
      <c r="AB41" s="520"/>
    </row>
    <row r="42" spans="1:28" hidden="1">
      <c r="A42" s="928"/>
      <c r="B42" s="934"/>
      <c r="C42" s="935"/>
      <c r="D42" s="948"/>
      <c r="E42" s="948"/>
      <c r="F42" s="836"/>
      <c r="G42" s="948"/>
      <c r="H42" s="948"/>
      <c r="I42" s="948"/>
      <c r="J42" s="948"/>
      <c r="K42" s="953"/>
      <c r="L42" s="971"/>
      <c r="M42" s="146" t="str">
        <f>IF($AG$2=1,"",CONCATENATE("（乗除調整",TEXT($AG$2,"##/100"),")"))</f>
        <v/>
      </c>
      <c r="N42" s="976"/>
      <c r="O42" s="978"/>
      <c r="P42" s="953"/>
      <c r="Q42" s="950"/>
      <c r="R42" s="966"/>
      <c r="S42" s="460"/>
      <c r="U42" s="960"/>
      <c r="V42" s="959"/>
      <c r="W42" s="959"/>
      <c r="X42" s="651"/>
      <c r="Z42" s="481"/>
      <c r="AA42" s="520"/>
      <c r="AB42" s="520"/>
    </row>
    <row r="43" spans="1:28" ht="20.149999999999999" hidden="1" customHeight="1">
      <c r="A43" s="928"/>
      <c r="B43" s="930" t="s">
        <v>93</v>
      </c>
      <c r="C43" s="931"/>
      <c r="D43" s="498">
        <f>IFERROR(IF(D$19="あり",VLOOKUP($D$12,#REF!,13,TRUE),0),0)</f>
        <v>0</v>
      </c>
      <c r="E43" s="483"/>
      <c r="F43" s="482"/>
      <c r="G43" s="482">
        <f>IF($J$19="あり",IF(ISERROR(#REF!),0,#REF!),0)</f>
        <v>0</v>
      </c>
      <c r="H43" s="482">
        <f>IF(H$19="あり",VLOOKUP(SUM($D$9,$D$12),#REF!,31,TRUE),0)</f>
        <v>0</v>
      </c>
      <c r="I43" s="482">
        <f>IF(AND($I$19&lt;&gt;"",$I$19&lt;&gt;"なし"),VLOOKUP(SUM($D$9,$D$12),#REF!,42,TRUE)*IF(SUM($D$9,$D$12)&lt;121,MIN(1,$I$19),MIN(2,$I$19)),0)</f>
        <v>0</v>
      </c>
      <c r="J43" s="482">
        <f>IF(J$19="あり",-IF(ROUNDDOWN($D43*#REF!,-1)&lt;10,ROUNDDOWN($D43*#REF!,0),ROUNDDOWN($D43*#REF!,-1)),0)</f>
        <v>0</v>
      </c>
      <c r="K43" s="482">
        <f>IFERROR(IF(K19="あり",-VLOOKUP(SUM($D$9,$D$12),#REF!,50,TRUE),0),0)</f>
        <v>0</v>
      </c>
      <c r="L43" s="484">
        <f>IFERROR(-IF(ROUNDDOWN(SUM($D43,$E43,$H43)*VLOOKUP($L$19,#REF!,2,FALSE),-1)&lt;10,ROUNDDOWN(SUM($D43,$E43,$H43)*VLOOKUP($L$19,#REF!,2,FALSE),0),ROUNDDOWN(SUM($D43,$E43,$H43)*VLOOKUP($L$19,#REF!,2,FALSE),-1)),0)</f>
        <v>0</v>
      </c>
      <c r="M43" s="485">
        <f>IF($AG$2=1,SUM($D43:$L43),(IF(ROUNDDOWN(SUM($D43:$L43)*$AG$2,-1)&lt;10,ROUNDDOWN(SUM($D43:$L43)*$AG$2,0),(ROUNDDOWN(SUM($D43:$L43)*$AG$2,-1)))))</f>
        <v>0</v>
      </c>
      <c r="N43" s="486">
        <f>IF(J19="あり",IF(N$19="あり",IF(ROUNDDOWN(#REF!/$J$71,-1)&lt;10,ROUNDDOWN(#REF!/$J$71,0),ROUNDDOWN(#REF!/$J$71,-1)),0),0)</f>
        <v>0</v>
      </c>
      <c r="O43" s="482">
        <f>IF(J19="あり",IF(O$19="特児",IF(ROUNDDOWN(#REF!/$J$71,-1)&lt;10,ROUNDDOWN(#REF!/$J$71,0),ROUNDDOWN(#REF!/$J$71,-1)),IF(O$19="その他",IF(ROUNDDOWN(#REF!/$J$71,-1)&lt;10,ROUNDDOWN(#REF!/$J$71,0),ROUNDDOWN(#REF!/$J$71,-1)),0)),0)</f>
        <v>0</v>
      </c>
      <c r="P43" s="482">
        <f>IF(J19="あり",IF(P$19="あり",IF(ROUNDDOWN(#REF!/$J$71,-1)&lt;10,ROUNDDOWN(#REF!/$J$71,0),ROUNDDOWN(#REF!/$J$71,-1)),0),0)</f>
        <v>0</v>
      </c>
      <c r="Q43" s="794">
        <f>IF(J19="あり",IF(Q$19="配置",IF(ROUNDDOWN(#REF!/$J$71,-1)&lt;10,ROUNDDOWN(#REF!/$J$71,0),ROUNDDOWN(#REF!/$J$71,-1)),IF(Q$19="兼務",IF(ROUNDDOWN(#REF!/$J$71,-1)&lt;10,ROUNDDOWN(#REF!/$J$71,0),ROUNDDOWN(#REF!/$J$71,-1)),0)),0)</f>
        <v>0</v>
      </c>
      <c r="R43" s="487">
        <f>IF(ISERROR(SUM(M43:Q43)),0,SUM(M43:Q43))</f>
        <v>0</v>
      </c>
      <c r="S43" s="460"/>
      <c r="U43" s="960"/>
      <c r="V43" s="960"/>
      <c r="W43" s="960"/>
      <c r="X43" s="481"/>
      <c r="Z43" s="481"/>
      <c r="AA43" s="520"/>
      <c r="AB43" s="520"/>
    </row>
    <row r="44" spans="1:28" ht="20.149999999999999" hidden="1" customHeight="1">
      <c r="A44" s="928"/>
      <c r="B44" s="930" t="s">
        <v>94</v>
      </c>
      <c r="C44" s="931"/>
      <c r="D44" s="498">
        <f>IFERROR(IF(D$19="あり",VLOOKUP($D$12,#REF!,13,TRUE),0),0)</f>
        <v>0</v>
      </c>
      <c r="E44" s="483"/>
      <c r="F44" s="482"/>
      <c r="G44" s="498">
        <f t="shared" ref="G44:H46" si="6">G43</f>
        <v>0</v>
      </c>
      <c r="H44" s="482">
        <f t="shared" si="6"/>
        <v>0</v>
      </c>
      <c r="I44" s="482">
        <f>I43</f>
        <v>0</v>
      </c>
      <c r="J44" s="482">
        <f>IF(J$19="あり",-IF(ROUNDDOWN($D44*#REF!,-1)&lt;10,ROUNDDOWN($D44*#REF!,0),ROUNDDOWN($D44*#REF!,-1)),0)</f>
        <v>0</v>
      </c>
      <c r="K44" s="482">
        <f>K43</f>
        <v>0</v>
      </c>
      <c r="L44" s="484">
        <f>IFERROR(-IF(ROUNDDOWN(SUM($D44,$E44,$H44)*VLOOKUP($L$19,#REF!,2,FALSE),-1)&lt;10,ROUNDDOWN(SUM($D44,$E44,$H44)*VLOOKUP($L$19,#REF!,2,FALSE),0),ROUNDDOWN(SUM($D44,$E44,$H44)*VLOOKUP($L$19,#REF!,2,FALSE),-1)),0)</f>
        <v>0</v>
      </c>
      <c r="M44" s="485">
        <f>IF($AG$2=1,SUM($D44:$L44),(IF(ROUNDDOWN(SUM($D44:$L44)*$AG$2,-1)&lt;10,ROUNDDOWN(SUM($D44:$L44)*$AG$2,0),(ROUNDDOWN(SUM($D44:$L44)*$AG$2,-1)))))</f>
        <v>0</v>
      </c>
      <c r="N44" s="486">
        <f t="shared" ref="N44:P46" si="7">N43</f>
        <v>0</v>
      </c>
      <c r="O44" s="482">
        <f t="shared" si="7"/>
        <v>0</v>
      </c>
      <c r="P44" s="482">
        <f t="shared" si="7"/>
        <v>0</v>
      </c>
      <c r="Q44" s="484">
        <f>Q43</f>
        <v>0</v>
      </c>
      <c r="R44" s="487">
        <f>IF(ISERROR(SUM(M44:Q44)),0,SUM(M44:Q44))</f>
        <v>0</v>
      </c>
      <c r="S44" s="460"/>
      <c r="U44" s="960"/>
      <c r="V44" s="960"/>
      <c r="W44" s="960"/>
      <c r="X44" s="481"/>
      <c r="Z44" s="481"/>
      <c r="AA44" s="520"/>
      <c r="AB44" s="520"/>
    </row>
    <row r="45" spans="1:28" ht="20.149999999999999" hidden="1" customHeight="1">
      <c r="A45" s="928"/>
      <c r="B45" s="930" t="s">
        <v>7</v>
      </c>
      <c r="C45" s="931"/>
      <c r="D45" s="498">
        <f>IFERROR(IF(D$19="あり",VLOOKUP($D$12,#REF!,13,TRUE),0),0)</f>
        <v>0</v>
      </c>
      <c r="E45" s="498">
        <f>IFERROR(IF(E$19="あり",VLOOKUP(SUM($D$9,$D$12),#REF!,18,TRUE),0),0)</f>
        <v>0</v>
      </c>
      <c r="F45" s="498"/>
      <c r="G45" s="498">
        <f t="shared" si="6"/>
        <v>0</v>
      </c>
      <c r="H45" s="482">
        <f t="shared" si="6"/>
        <v>0</v>
      </c>
      <c r="I45" s="482">
        <f>I44</f>
        <v>0</v>
      </c>
      <c r="J45" s="482">
        <f>IF(J$19="あり",-IF(ROUNDDOWN($D45*#REF!,-1)&lt;10,ROUNDDOWN($D45*#REF!,0),ROUNDDOWN($D45*#REF!,-1)),0)</f>
        <v>0</v>
      </c>
      <c r="K45" s="482">
        <f>K44</f>
        <v>0</v>
      </c>
      <c r="L45" s="484">
        <f>IFERROR(-IF(ROUNDDOWN(SUM($D45,$E45,$H45)*VLOOKUP($L$19,#REF!,2,FALSE),-1)&lt;10,ROUNDDOWN(SUM($D45,$E45,$H45)*VLOOKUP($L$19,#REF!,2,FALSE),0),ROUNDDOWN(SUM($D45,$E45,$H45)*VLOOKUP($L$19,#REF!,2,FALSE),-1)),0)</f>
        <v>0</v>
      </c>
      <c r="M45" s="485">
        <f>IF($AG$2=1,SUM($D45:$L45),(IF(ROUNDDOWN(SUM($D45:$L45)*$AG$2,-1)&lt;10,ROUNDDOWN(SUM($D45:$L45)*$AG$2,0),(ROUNDDOWN(SUM($D45:$L45)*$AG$2,-1)))))</f>
        <v>0</v>
      </c>
      <c r="N45" s="486">
        <f t="shared" si="7"/>
        <v>0</v>
      </c>
      <c r="O45" s="482">
        <f t="shared" si="7"/>
        <v>0</v>
      </c>
      <c r="P45" s="482">
        <f t="shared" si="7"/>
        <v>0</v>
      </c>
      <c r="Q45" s="484">
        <f>Q44</f>
        <v>0</v>
      </c>
      <c r="R45" s="487">
        <f>IF(ISERROR(SUM(M45:Q45)),0,SUM(M45:Q45))</f>
        <v>0</v>
      </c>
      <c r="S45" s="460"/>
      <c r="U45" s="960"/>
      <c r="V45" s="960"/>
      <c r="W45" s="960"/>
      <c r="X45" s="481"/>
      <c r="Z45" s="481"/>
      <c r="AA45" s="520"/>
      <c r="AB45" s="520"/>
    </row>
    <row r="46" spans="1:28" ht="20.149999999999999" hidden="1" customHeight="1" thickBot="1">
      <c r="A46" s="929"/>
      <c r="B46" s="930" t="s">
        <v>8</v>
      </c>
      <c r="C46" s="931"/>
      <c r="D46" s="498">
        <f>IFERROR(IF(D$19="あり",VLOOKUP($D$12,#REF!,13,TRUE),0),0)</f>
        <v>0</v>
      </c>
      <c r="E46" s="483"/>
      <c r="F46" s="482"/>
      <c r="G46" s="498">
        <f t="shared" si="6"/>
        <v>0</v>
      </c>
      <c r="H46" s="482">
        <f t="shared" si="6"/>
        <v>0</v>
      </c>
      <c r="I46" s="482">
        <f>I45</f>
        <v>0</v>
      </c>
      <c r="J46" s="482">
        <f>IF(J$19="あり",-IF(ROUNDDOWN($D46*#REF!,-1)&lt;10,ROUNDDOWN($D46*#REF!,0),ROUNDDOWN($D46*#REF!,-1)),0)</f>
        <v>0</v>
      </c>
      <c r="K46" s="482">
        <f>K45</f>
        <v>0</v>
      </c>
      <c r="L46" s="484">
        <f>IFERROR(-IF(ROUNDDOWN(SUM($D46,$E46,$H46)*VLOOKUP($L$19,#REF!,2,FALSE),-1)&lt;10,ROUNDDOWN(SUM($D46,$E46,$H46)*VLOOKUP($L$19,#REF!,2,FALSE),0),ROUNDDOWN(SUM($D46,$E46,$H46)*VLOOKUP($L$19,#REF!,2,FALSE),-1)),0)</f>
        <v>0</v>
      </c>
      <c r="M46" s="485">
        <f>IF($AG$2=1,SUM($D46:$L46),(IF(ROUNDDOWN(SUM($D46:$L46)*$AG$2,-1)&lt;10,ROUNDDOWN(SUM($D46:$L46)*$AG$2,0),(ROUNDDOWN(SUM($D46:$L46)*$AG$2,-1)))))</f>
        <v>0</v>
      </c>
      <c r="N46" s="486">
        <f t="shared" si="7"/>
        <v>0</v>
      </c>
      <c r="O46" s="482">
        <f t="shared" si="7"/>
        <v>0</v>
      </c>
      <c r="P46" s="482">
        <f t="shared" si="7"/>
        <v>0</v>
      </c>
      <c r="Q46" s="484">
        <f>Q45</f>
        <v>0</v>
      </c>
      <c r="R46" s="499">
        <f>IF(ISERROR(SUM(M46:Q46)),0,SUM(M46:Q46))</f>
        <v>0</v>
      </c>
      <c r="S46" s="460"/>
      <c r="U46" s="960"/>
      <c r="V46" s="960"/>
      <c r="W46" s="960"/>
      <c r="X46" s="481"/>
      <c r="Z46" s="481"/>
      <c r="AA46" s="520"/>
      <c r="AB46" s="520"/>
    </row>
    <row r="47" spans="1:28" ht="20.149999999999999" hidden="1" customHeight="1">
      <c r="A47" s="460"/>
      <c r="B47" s="447"/>
      <c r="C47" s="447"/>
      <c r="D47" s="488"/>
      <c r="E47" s="500"/>
      <c r="F47" s="500"/>
      <c r="G47" s="500"/>
      <c r="H47" s="500"/>
      <c r="I47" s="500"/>
      <c r="J47" s="488"/>
      <c r="K47" s="488"/>
      <c r="L47" s="488"/>
      <c r="M47" s="488"/>
      <c r="N47" s="488"/>
      <c r="O47" s="488"/>
      <c r="P47" s="488"/>
      <c r="Q47" s="460"/>
      <c r="R47" s="460"/>
      <c r="S47" s="460"/>
      <c r="U47" s="960"/>
      <c r="V47" s="960"/>
      <c r="W47" s="960"/>
      <c r="X47" s="663"/>
      <c r="Z47" s="481"/>
      <c r="AA47" s="481"/>
      <c r="AB47" s="519"/>
    </row>
    <row r="48" spans="1:28" ht="20.149999999999999" hidden="1" customHeight="1" thickBot="1">
      <c r="A48" s="460"/>
      <c r="B48" s="460"/>
      <c r="C48" s="460"/>
      <c r="D48" s="460"/>
      <c r="E48" s="488"/>
      <c r="F48" s="488"/>
      <c r="G48" s="460"/>
      <c r="H48" s="460"/>
      <c r="I48" s="460"/>
      <c r="J48" s="488"/>
      <c r="K48" s="488"/>
      <c r="L48" s="488"/>
      <c r="M48" s="488"/>
      <c r="N48" s="488"/>
      <c r="O48" s="488"/>
      <c r="P48" s="488"/>
      <c r="Q48" s="460"/>
      <c r="R48" s="460"/>
      <c r="S48" s="460"/>
      <c r="T48" s="460"/>
      <c r="U48" s="479"/>
      <c r="V48" s="478"/>
      <c r="W48" s="501"/>
      <c r="X48" s="481"/>
      <c r="Z48" s="481"/>
      <c r="AA48" s="481"/>
      <c r="AB48" s="481"/>
    </row>
    <row r="49" spans="1:27" ht="33" hidden="1" customHeight="1" thickBot="1">
      <c r="A49" s="502" t="s">
        <v>62</v>
      </c>
      <c r="C49" s="460"/>
      <c r="D49" s="488"/>
      <c r="E49" s="488"/>
      <c r="F49" s="488"/>
      <c r="G49" s="488"/>
      <c r="H49" s="502" t="s">
        <v>386</v>
      </c>
      <c r="I49" s="460"/>
      <c r="J49" s="460"/>
      <c r="K49" s="936" t="s">
        <v>384</v>
      </c>
      <c r="L49" s="937"/>
      <c r="M49" s="938" t="s">
        <v>385</v>
      </c>
      <c r="N49" s="939"/>
      <c r="O49" s="940" t="s">
        <v>435</v>
      </c>
      <c r="P49" s="941"/>
      <c r="Q49" s="940" t="s">
        <v>436</v>
      </c>
      <c r="R49" s="941"/>
      <c r="S49" s="460"/>
    </row>
    <row r="50" spans="1:27" ht="40.5" hidden="1" customHeight="1">
      <c r="A50" s="460"/>
      <c r="B50" s="460"/>
      <c r="C50" s="460"/>
      <c r="D50" s="460"/>
      <c r="E50" s="460"/>
      <c r="F50" s="460"/>
      <c r="G50" s="460"/>
      <c r="H50" s="983" t="s">
        <v>46</v>
      </c>
      <c r="I50" s="659" t="s">
        <v>35</v>
      </c>
      <c r="J50" s="668" t="s">
        <v>458</v>
      </c>
      <c r="K50" s="655" t="str">
        <f>"A×賃金改善率（"&amp;$J$5&amp;"％）"</f>
        <v>A×賃金改善率（％）</v>
      </c>
      <c r="L50" s="656" t="str">
        <f>CONCATENATE("×利用児童数×",$V$2,"月")</f>
        <v>×利用児童数×0月</v>
      </c>
      <c r="M50" s="654" t="str">
        <f>"A×加算Ⅰ新規事由に係る率（"&amp;$J$6&amp;"％）"</f>
        <v>A×加算Ⅰ新規事由に係る率（％）</v>
      </c>
      <c r="N50" s="147" t="str">
        <f>CONCATENATE("×利用児童数×",$V$2,"月")</f>
        <v>×利用児童数×0月</v>
      </c>
      <c r="O50" s="148" t="str">
        <f>"A×人勧影響率（"&amp;$J$8&amp;"％）"</f>
        <v>A×人勧影響率（％）</v>
      </c>
      <c r="P50" s="147" t="str">
        <f>CONCATENATE("×利用児童数×",$V$2,"月")</f>
        <v>×利用児童数×0月</v>
      </c>
      <c r="Q50" s="148" t="str">
        <f>"A×人勧影響率（"&amp;$J$10&amp;"％）"</f>
        <v>A×人勧影響率（％）</v>
      </c>
      <c r="R50" s="147" t="str">
        <f>CONCATENATE("×利用児童数×",$V$2,"月")</f>
        <v>×利用児童数×0月</v>
      </c>
      <c r="S50" s="460"/>
      <c r="Z50" s="448">
        <v>2015</v>
      </c>
      <c r="AA50" s="136">
        <v>6.1</v>
      </c>
    </row>
    <row r="51" spans="1:27" ht="20.149999999999999" hidden="1" customHeight="1">
      <c r="A51" s="986" t="s">
        <v>474</v>
      </c>
      <c r="B51" s="986"/>
      <c r="C51" s="986"/>
      <c r="D51" s="995">
        <f>$L$71</f>
        <v>0</v>
      </c>
      <c r="E51" s="996"/>
      <c r="F51" s="848"/>
      <c r="H51" s="984"/>
      <c r="I51" s="660" t="s">
        <v>93</v>
      </c>
      <c r="J51" s="684">
        <f>'入力（児童数-本園)'!Y3</f>
        <v>0</v>
      </c>
      <c r="K51" s="503">
        <f>$R24*$J$5</f>
        <v>0</v>
      </c>
      <c r="L51" s="504">
        <f>K51*$J51*$V$2</f>
        <v>0</v>
      </c>
      <c r="M51" s="486">
        <f>ROUNDDOWN($R24*$J$6,0)</f>
        <v>0</v>
      </c>
      <c r="N51" s="504">
        <f>M51*$J51*$V$2</f>
        <v>0</v>
      </c>
      <c r="O51" s="498">
        <f>ROUNDDOWN($R24*$J$8,0)</f>
        <v>0</v>
      </c>
      <c r="P51" s="504">
        <f>O51*$J51*$V$2</f>
        <v>0</v>
      </c>
      <c r="Q51" s="482">
        <f>ROUNDDOWN($R24*$J$10,0)</f>
        <v>0</v>
      </c>
      <c r="R51" s="504">
        <f>Q51*$J51*$V$2</f>
        <v>0</v>
      </c>
      <c r="S51" s="460"/>
      <c r="Z51" s="448">
        <v>2016</v>
      </c>
      <c r="AA51" s="134">
        <v>4.2</v>
      </c>
    </row>
    <row r="52" spans="1:27" ht="20.149999999999999" hidden="1" customHeight="1">
      <c r="A52" s="990" t="str">
        <f>CONCATENATE("（賃金改善要件（",J5,"％）分）")</f>
        <v>（賃金改善要件（％）分）</v>
      </c>
      <c r="B52" s="990"/>
      <c r="C52" s="990"/>
      <c r="D52" s="505"/>
      <c r="E52" s="505"/>
      <c r="F52" s="505"/>
      <c r="G52" s="460"/>
      <c r="H52" s="984"/>
      <c r="I52" s="660" t="s">
        <v>70</v>
      </c>
      <c r="J52" s="684">
        <f>'入力（児童数-本園)'!Y4</f>
        <v>0</v>
      </c>
      <c r="K52" s="503">
        <f>$R25*$J$5</f>
        <v>0</v>
      </c>
      <c r="L52" s="504">
        <f>K52*$J52*$V$2</f>
        <v>0</v>
      </c>
      <c r="M52" s="486">
        <f>ROUNDDOWN($R25*$J$6,0)</f>
        <v>0</v>
      </c>
      <c r="N52" s="504">
        <f>M52*$J52*$V$2</f>
        <v>0</v>
      </c>
      <c r="O52" s="498">
        <f>ROUNDDOWN($R25*$J$8,0)</f>
        <v>0</v>
      </c>
      <c r="P52" s="504">
        <f>O52*$J52*$V$2</f>
        <v>0</v>
      </c>
      <c r="Q52" s="482">
        <f>ROUNDDOWN($R25*$J$10,0)</f>
        <v>0</v>
      </c>
      <c r="R52" s="504">
        <f>Q52*$J52*$V$2</f>
        <v>0</v>
      </c>
      <c r="S52" s="460"/>
      <c r="Z52" s="448">
        <v>2017</v>
      </c>
      <c r="AA52" s="134">
        <v>2.9</v>
      </c>
    </row>
    <row r="53" spans="1:27" ht="20.149999999999999" hidden="1" customHeight="1">
      <c r="A53" s="505"/>
      <c r="B53" s="505"/>
      <c r="C53" s="505"/>
      <c r="D53" s="505"/>
      <c r="E53" s="505"/>
      <c r="F53" s="505"/>
      <c r="G53" s="488"/>
      <c r="H53" s="984"/>
      <c r="I53" s="660" t="s">
        <v>7</v>
      </c>
      <c r="J53" s="684">
        <f>'入力（児童数-本園)'!Y5</f>
        <v>0</v>
      </c>
      <c r="K53" s="503">
        <f>$R26*$J$5</f>
        <v>0</v>
      </c>
      <c r="L53" s="504">
        <f>K53*$J53*$V$2</f>
        <v>0</v>
      </c>
      <c r="M53" s="486">
        <f>ROUNDDOWN($R26*$J$6,0)</f>
        <v>0</v>
      </c>
      <c r="N53" s="504">
        <f>M53*$J53*$V$2</f>
        <v>0</v>
      </c>
      <c r="O53" s="498">
        <f>ROUNDDOWN($R26*$J$8,0)</f>
        <v>0</v>
      </c>
      <c r="P53" s="504">
        <f>O53*$J53*$V$2</f>
        <v>0</v>
      </c>
      <c r="Q53" s="482">
        <f>ROUNDDOWN($R26*$J$10,0)</f>
        <v>0</v>
      </c>
      <c r="R53" s="504">
        <f>Q53*$J53*$V$2</f>
        <v>0</v>
      </c>
      <c r="S53" s="460"/>
      <c r="Z53" s="448">
        <v>2018</v>
      </c>
      <c r="AA53" s="134">
        <v>1.8</v>
      </c>
    </row>
    <row r="54" spans="1:27" hidden="1">
      <c r="A54" s="989" t="s">
        <v>489</v>
      </c>
      <c r="B54" s="989"/>
      <c r="C54" s="989"/>
      <c r="D54" s="989"/>
      <c r="E54" s="989"/>
      <c r="F54" s="989"/>
      <c r="G54" s="989"/>
      <c r="H54" s="984"/>
      <c r="I54" s="660" t="s">
        <v>8</v>
      </c>
      <c r="J54" s="685">
        <f>'入力（児童数-本園)'!Y6</f>
        <v>0</v>
      </c>
      <c r="K54" s="503">
        <f>$R27*$J$5</f>
        <v>0</v>
      </c>
      <c r="L54" s="504">
        <f>K54*$J54*$V$2</f>
        <v>0</v>
      </c>
      <c r="M54" s="486">
        <f>ROUNDDOWN($R27*$J$6,0)</f>
        <v>0</v>
      </c>
      <c r="N54" s="504">
        <f>M54*$J54*$V$2</f>
        <v>0</v>
      </c>
      <c r="O54" s="498">
        <f>ROUNDDOWN($R27*$J$8,0)</f>
        <v>0</v>
      </c>
      <c r="P54" s="504">
        <f>O54*$J54*$V$2</f>
        <v>0</v>
      </c>
      <c r="Q54" s="482">
        <f>ROUNDDOWN($R27*$J$10,0)</f>
        <v>0</v>
      </c>
      <c r="R54" s="504">
        <f>Q54*$J54*$V$2</f>
        <v>0</v>
      </c>
      <c r="S54" s="460"/>
      <c r="Z54" s="448">
        <v>2019</v>
      </c>
      <c r="AA54" s="134">
        <v>1</v>
      </c>
    </row>
    <row r="55" spans="1:27" ht="40.5" hidden="1" customHeight="1">
      <c r="A55" s="460"/>
      <c r="B55" s="460"/>
      <c r="D55" s="506"/>
      <c r="E55" s="506"/>
      <c r="F55" s="839"/>
      <c r="G55" s="488"/>
      <c r="H55" s="984"/>
      <c r="I55" s="661" t="s">
        <v>95</v>
      </c>
      <c r="J55" s="669" t="s">
        <v>458</v>
      </c>
      <c r="K55" s="149" t="str">
        <f>"B×賃金改善率（"&amp;$J$5&amp;"％）"</f>
        <v>B×賃金改善率（％）</v>
      </c>
      <c r="L55" s="147" t="str">
        <f>CONCATENATE("×利用児童数×",$V$2,"月")</f>
        <v>×利用児童数×0月</v>
      </c>
      <c r="M55" s="654" t="str">
        <f>"B×加算Ⅰ新規事由に係る率（"&amp;$J$6&amp;"％）"</f>
        <v>B×加算Ⅰ新規事由に係る率（％）</v>
      </c>
      <c r="N55" s="147" t="str">
        <f>CONCATENATE("×利用児童数×",$V$2,"月")</f>
        <v>×利用児童数×0月</v>
      </c>
      <c r="O55" s="148" t="str">
        <f>"B×人勧影響率（"&amp;$J$8&amp;"％）"</f>
        <v>B×人勧影響率（％）</v>
      </c>
      <c r="P55" s="147" t="str">
        <f>CONCATENATE("×利用児童数×",$V$2,"月")</f>
        <v>×利用児童数×0月</v>
      </c>
      <c r="Q55" s="148" t="str">
        <f>"B×人勧影響率（"&amp;$J$10&amp;"％）"</f>
        <v>B×人勧影響率（％）</v>
      </c>
      <c r="R55" s="147" t="str">
        <f>CONCATENATE("×利用児童数×",$V$2,"月")</f>
        <v>×利用児童数×0月</v>
      </c>
      <c r="S55" s="460"/>
    </row>
    <row r="56" spans="1:27" ht="20.149999999999999" hidden="1" customHeight="1">
      <c r="A56" s="986" t="s">
        <v>382</v>
      </c>
      <c r="B56" s="986"/>
      <c r="C56" s="986"/>
      <c r="D56" s="993">
        <f>$N$71</f>
        <v>0</v>
      </c>
      <c r="E56" s="994"/>
      <c r="F56" s="849"/>
      <c r="H56" s="984"/>
      <c r="I56" s="660" t="s">
        <v>93</v>
      </c>
      <c r="J56" s="684">
        <f>'入力（児童数-本園)'!Z3</f>
        <v>0</v>
      </c>
      <c r="K56" s="503">
        <f>$R30*$J$5</f>
        <v>0</v>
      </c>
      <c r="L56" s="504">
        <f>K56*$J56*$V$2</f>
        <v>0</v>
      </c>
      <c r="M56" s="486">
        <f>ROUNDDOWN($R30*$J$6,0)</f>
        <v>0</v>
      </c>
      <c r="N56" s="504">
        <f>M56*$J56*$V$2</f>
        <v>0</v>
      </c>
      <c r="O56" s="498">
        <f>ROUNDDOWN($R30*$J$8,0)</f>
        <v>0</v>
      </c>
      <c r="P56" s="504">
        <f>O56*$J56*$V$2</f>
        <v>0</v>
      </c>
      <c r="Q56" s="482">
        <f>ROUNDDOWN($R30*$J$10,0)</f>
        <v>0</v>
      </c>
      <c r="R56" s="504">
        <f>Q56*$J56*$V$2</f>
        <v>0</v>
      </c>
      <c r="S56" s="460"/>
      <c r="AA56" s="521"/>
    </row>
    <row r="57" spans="1:27" ht="20.149999999999999" hidden="1" customHeight="1">
      <c r="A57" s="987" t="str">
        <f>CONCATENATE("（加算Ⅰ新規事由に係る加算率（",J6,"％）分）")</f>
        <v>（加算Ⅰ新規事由に係る加算率（％）分）</v>
      </c>
      <c r="B57" s="987"/>
      <c r="C57" s="987"/>
      <c r="D57" s="505"/>
      <c r="E57" s="505"/>
      <c r="F57" s="505"/>
      <c r="G57" s="460"/>
      <c r="H57" s="984"/>
      <c r="I57" s="660" t="s">
        <v>70</v>
      </c>
      <c r="J57" s="684">
        <f>'入力（児童数-本園)'!Z4</f>
        <v>0</v>
      </c>
      <c r="K57" s="503">
        <f>$R31*$J$5</f>
        <v>0</v>
      </c>
      <c r="L57" s="504">
        <f>K57*$J57*$V$2</f>
        <v>0</v>
      </c>
      <c r="M57" s="486">
        <f>ROUNDDOWN($R31*$J$6,0)</f>
        <v>0</v>
      </c>
      <c r="N57" s="504">
        <f>M57*$J57*$V$2</f>
        <v>0</v>
      </c>
      <c r="O57" s="498">
        <f>ROUNDDOWN($R31*$J$8,0)</f>
        <v>0</v>
      </c>
      <c r="P57" s="504">
        <f>O57*$J57*$V$2</f>
        <v>0</v>
      </c>
      <c r="Q57" s="482">
        <f>ROUNDDOWN($R31*$J$10,0)</f>
        <v>0</v>
      </c>
      <c r="R57" s="504">
        <f>Q57*$J57*$V$2</f>
        <v>0</v>
      </c>
      <c r="S57" s="460"/>
    </row>
    <row r="58" spans="1:27" ht="20.149999999999999" hidden="1" customHeight="1">
      <c r="A58" s="987"/>
      <c r="B58" s="987"/>
      <c r="C58" s="987"/>
      <c r="D58" s="505"/>
      <c r="E58" s="505"/>
      <c r="F58" s="505"/>
      <c r="G58" s="488"/>
      <c r="H58" s="984"/>
      <c r="I58" s="660" t="s">
        <v>7</v>
      </c>
      <c r="J58" s="684">
        <f>'入力（児童数-本園)'!Z5</f>
        <v>0</v>
      </c>
      <c r="K58" s="503">
        <f>$R32*$J$5</f>
        <v>0</v>
      </c>
      <c r="L58" s="504">
        <f>K58*$J58*$V$2</f>
        <v>0</v>
      </c>
      <c r="M58" s="486">
        <f>ROUNDDOWN($R32*$J$6,0)</f>
        <v>0</v>
      </c>
      <c r="N58" s="504">
        <f>M58*$J58*$V$2</f>
        <v>0</v>
      </c>
      <c r="O58" s="498">
        <f>ROUNDDOWN($R32*$J$8,0)</f>
        <v>0</v>
      </c>
      <c r="P58" s="504">
        <f>O58*$J58*$V$2</f>
        <v>0</v>
      </c>
      <c r="Q58" s="482">
        <f>ROUNDDOWN($R32*$J$10,0)</f>
        <v>0</v>
      </c>
      <c r="R58" s="504">
        <f>Q58*$J58*$V$2</f>
        <v>0</v>
      </c>
      <c r="S58" s="460"/>
    </row>
    <row r="59" spans="1:27" ht="20.149999999999999" hidden="1" customHeight="1">
      <c r="A59" s="460"/>
      <c r="B59" s="460"/>
      <c r="C59" s="478"/>
      <c r="D59" s="145"/>
      <c r="E59" s="460"/>
      <c r="F59" s="460"/>
      <c r="G59" s="460"/>
      <c r="H59" s="985"/>
      <c r="I59" s="660" t="s">
        <v>8</v>
      </c>
      <c r="J59" s="684">
        <f>'入力（児童数-本園)'!Z6</f>
        <v>0</v>
      </c>
      <c r="K59" s="503">
        <f>$R33*$J$5</f>
        <v>0</v>
      </c>
      <c r="L59" s="504">
        <f>K59*$J59*$V$2</f>
        <v>0</v>
      </c>
      <c r="M59" s="486">
        <f>ROUNDDOWN($R33*$J$6,0)</f>
        <v>0</v>
      </c>
      <c r="N59" s="504">
        <f>M59*$J59*$V$2</f>
        <v>0</v>
      </c>
      <c r="O59" s="498">
        <f>ROUNDDOWN($R33*$J$8,0)</f>
        <v>0</v>
      </c>
      <c r="P59" s="504">
        <f>O59*$J59*$V$2</f>
        <v>0</v>
      </c>
      <c r="Q59" s="482">
        <f>ROUNDDOWN($R33*$J$10,0)</f>
        <v>0</v>
      </c>
      <c r="R59" s="504">
        <f>Q59*$J59*$V$2</f>
        <v>0</v>
      </c>
      <c r="S59" s="460"/>
    </row>
    <row r="60" spans="1:27" ht="29.25" hidden="1" customHeight="1">
      <c r="A60" s="460"/>
      <c r="B60" s="460"/>
      <c r="C60" s="460"/>
      <c r="D60" s="460"/>
      <c r="E60" s="460"/>
      <c r="F60" s="460"/>
      <c r="H60" s="460"/>
      <c r="I60" s="662"/>
      <c r="J60" s="653"/>
      <c r="K60" s="507"/>
      <c r="L60" s="509"/>
      <c r="M60" s="508"/>
      <c r="N60" s="509"/>
      <c r="O60" s="508"/>
      <c r="P60" s="509"/>
      <c r="Q60" s="508"/>
      <c r="R60" s="509"/>
      <c r="S60" s="460"/>
    </row>
    <row r="61" spans="1:27" ht="40.5" hidden="1" customHeight="1">
      <c r="A61" s="986" t="s">
        <v>434</v>
      </c>
      <c r="B61" s="986"/>
      <c r="C61" s="986"/>
      <c r="D61" s="460"/>
      <c r="E61" s="460"/>
      <c r="F61" s="460"/>
      <c r="G61" s="460"/>
      <c r="H61" s="983" t="s">
        <v>47</v>
      </c>
      <c r="I61" s="661" t="s">
        <v>35</v>
      </c>
      <c r="J61" s="669" t="s">
        <v>458</v>
      </c>
      <c r="K61" s="149" t="str">
        <f>"C×賃金改善率（"&amp;$J$5&amp;"％）"</f>
        <v>C×賃金改善率（％）</v>
      </c>
      <c r="L61" s="147" t="str">
        <f>CONCATENATE("×利用児童数×",$V$2,"月")</f>
        <v>×利用児童数×0月</v>
      </c>
      <c r="M61" s="654" t="str">
        <f>"C×加算Ⅰ新規事由に係る率（"&amp;$J$6&amp;"％）"</f>
        <v>C×加算Ⅰ新規事由に係る率（％）</v>
      </c>
      <c r="N61" s="147" t="str">
        <f>CONCATENATE("×利用児童数×",$V$2,"月")</f>
        <v>×利用児童数×0月</v>
      </c>
      <c r="O61" s="148" t="str">
        <f>"C×人勧影響率（"&amp;$J$8&amp;"％）"</f>
        <v>C×人勧影響率（％）</v>
      </c>
      <c r="P61" s="147" t="str">
        <f>CONCATENATE("×利用児童数×",$V$2,"月")</f>
        <v>×利用児童数×0月</v>
      </c>
      <c r="Q61" s="148" t="str">
        <f>"C×人勧影響率（"&amp;$J$10&amp;"％）"</f>
        <v>C×人勧影響率（％）</v>
      </c>
      <c r="R61" s="147" t="str">
        <f>CONCATENATE("×利用児童数×",$V$2,"月")</f>
        <v>×利用児童数×0月</v>
      </c>
      <c r="S61" s="460"/>
    </row>
    <row r="62" spans="1:27" ht="20.149999999999999" hidden="1" customHeight="1">
      <c r="A62" s="986"/>
      <c r="B62" s="986"/>
      <c r="C62" s="986"/>
      <c r="D62" s="988">
        <f>$P$71</f>
        <v>0</v>
      </c>
      <c r="E62" s="988"/>
      <c r="F62" s="850"/>
      <c r="G62" s="460"/>
      <c r="H62" s="984"/>
      <c r="I62" s="660" t="s">
        <v>93</v>
      </c>
      <c r="J62" s="684">
        <f>'入力（児童数-分園)'!W3</f>
        <v>0</v>
      </c>
      <c r="K62" s="503">
        <f>$R37*$J$5</f>
        <v>0</v>
      </c>
      <c r="L62" s="504">
        <f>K62*$J62*$V$2</f>
        <v>0</v>
      </c>
      <c r="M62" s="486">
        <f>ROUNDDOWN($R37*$J$6,0)</f>
        <v>0</v>
      </c>
      <c r="N62" s="504">
        <f>M62*$J62*$V$2</f>
        <v>0</v>
      </c>
      <c r="O62" s="498">
        <f>ROUNDDOWN($R37*$J$8,0)</f>
        <v>0</v>
      </c>
      <c r="P62" s="504">
        <f>O62*$J62*$V$2</f>
        <v>0</v>
      </c>
      <c r="Q62" s="482">
        <f>ROUNDDOWN($R37*$J$10,0)</f>
        <v>0</v>
      </c>
      <c r="R62" s="504">
        <f>Q62*$J62*$V$2</f>
        <v>0</v>
      </c>
      <c r="S62" s="460"/>
    </row>
    <row r="63" spans="1:27" ht="20.149999999999999" hidden="1" customHeight="1">
      <c r="A63" s="987" t="str">
        <f>CONCATENATE("（処遇Ⅰの基準年度の翌年～当年度まで（",J8,"％）分）")</f>
        <v>（処遇Ⅰの基準年度の翌年～当年度まで（％）分）</v>
      </c>
      <c r="B63" s="987"/>
      <c r="C63" s="987"/>
      <c r="D63" s="505"/>
      <c r="E63" s="505"/>
      <c r="F63" s="505"/>
      <c r="G63" s="460"/>
      <c r="H63" s="984"/>
      <c r="I63" s="660" t="s">
        <v>70</v>
      </c>
      <c r="J63" s="684">
        <f>'入力（児童数-分園)'!W4</f>
        <v>0</v>
      </c>
      <c r="K63" s="503">
        <f>$R38*$J$5</f>
        <v>0</v>
      </c>
      <c r="L63" s="504">
        <f>K63*$J63*$V$2</f>
        <v>0</v>
      </c>
      <c r="M63" s="486">
        <f>ROUNDDOWN($R38*$J$6,0)</f>
        <v>0</v>
      </c>
      <c r="N63" s="504">
        <f>M63*$J63*$V$2</f>
        <v>0</v>
      </c>
      <c r="O63" s="498">
        <f>ROUNDDOWN($R38*$J$8,0)</f>
        <v>0</v>
      </c>
      <c r="P63" s="504">
        <f>O63*$J63*$V$2</f>
        <v>0</v>
      </c>
      <c r="Q63" s="482">
        <f>ROUNDDOWN($R38*$J$10,0)</f>
        <v>0</v>
      </c>
      <c r="R63" s="504">
        <f>Q63*$J63*$V$2</f>
        <v>0</v>
      </c>
      <c r="S63" s="460"/>
    </row>
    <row r="64" spans="1:27" ht="20.149999999999999" hidden="1" customHeight="1">
      <c r="A64" s="987"/>
      <c r="B64" s="987"/>
      <c r="C64" s="987"/>
      <c r="D64" s="460"/>
      <c r="E64" s="460"/>
      <c r="F64" s="460"/>
      <c r="G64" s="460"/>
      <c r="H64" s="984"/>
      <c r="I64" s="660" t="s">
        <v>7</v>
      </c>
      <c r="J64" s="684">
        <f>'入力（児童数-分園)'!W5</f>
        <v>0</v>
      </c>
      <c r="K64" s="503">
        <f>$R39*$J$5</f>
        <v>0</v>
      </c>
      <c r="L64" s="504">
        <f>K64*$J64*$V$2</f>
        <v>0</v>
      </c>
      <c r="M64" s="486">
        <f>ROUNDDOWN($R39*$J$6,0)</f>
        <v>0</v>
      </c>
      <c r="N64" s="504">
        <f>M64*$J64*$V$2</f>
        <v>0</v>
      </c>
      <c r="O64" s="498">
        <f>ROUNDDOWN($R39*$J$8,0)</f>
        <v>0</v>
      </c>
      <c r="P64" s="504">
        <f>O64*$J64*$V$2</f>
        <v>0</v>
      </c>
      <c r="Q64" s="482">
        <f>ROUNDDOWN($R39*$J$10,0)</f>
        <v>0</v>
      </c>
      <c r="R64" s="504">
        <f>Q64*$J64*$V$2</f>
        <v>0</v>
      </c>
      <c r="S64" s="460"/>
    </row>
    <row r="65" spans="1:20" hidden="1">
      <c r="A65" s="460"/>
      <c r="B65" s="460"/>
      <c r="C65" s="460"/>
      <c r="D65" s="460"/>
      <c r="E65" s="460"/>
      <c r="F65" s="460"/>
      <c r="G65" s="460"/>
      <c r="H65" s="984"/>
      <c r="I65" s="660" t="s">
        <v>8</v>
      </c>
      <c r="J65" s="685">
        <f>'入力（児童数-分園)'!W6</f>
        <v>0</v>
      </c>
      <c r="K65" s="503">
        <f>$R40*$J$5</f>
        <v>0</v>
      </c>
      <c r="L65" s="504">
        <f>K65*$J65*$V$2</f>
        <v>0</v>
      </c>
      <c r="M65" s="486">
        <f>ROUNDDOWN($R40*$J$6,0)</f>
        <v>0</v>
      </c>
      <c r="N65" s="504">
        <f>M65*$J65*$V$2</f>
        <v>0</v>
      </c>
      <c r="O65" s="498">
        <f>ROUNDDOWN($R40*$J$8,0)</f>
        <v>0</v>
      </c>
      <c r="P65" s="504">
        <f>O65*$J65*$V$2</f>
        <v>0</v>
      </c>
      <c r="Q65" s="482">
        <f>ROUNDDOWN($R40*$J$10,0)</f>
        <v>0</v>
      </c>
      <c r="R65" s="504">
        <f>Q65*$J65*$V$2</f>
        <v>0</v>
      </c>
      <c r="S65" s="460"/>
    </row>
    <row r="66" spans="1:20" ht="40.5" hidden="1" customHeight="1">
      <c r="A66" s="986" t="s">
        <v>434</v>
      </c>
      <c r="B66" s="986"/>
      <c r="C66" s="986"/>
      <c r="D66" s="460"/>
      <c r="E66" s="460"/>
      <c r="F66" s="460"/>
      <c r="G66" s="460"/>
      <c r="H66" s="984"/>
      <c r="I66" s="661" t="s">
        <v>95</v>
      </c>
      <c r="J66" s="669" t="s">
        <v>458</v>
      </c>
      <c r="K66" s="149" t="str">
        <f>"D×賃金改善率（"&amp;$J$5&amp;"％）"</f>
        <v>D×賃金改善率（％）</v>
      </c>
      <c r="L66" s="147" t="str">
        <f>CONCATENATE("×利用児童数×",$V$2,"月")</f>
        <v>×利用児童数×0月</v>
      </c>
      <c r="M66" s="654" t="str">
        <f>"D×加算Ⅰ新規事由に係る率（"&amp;$J$6&amp;"％）"</f>
        <v>D×加算Ⅰ新規事由に係る率（％）</v>
      </c>
      <c r="N66" s="147" t="str">
        <f>CONCATENATE("×利用児童数×",$V$2,"月")</f>
        <v>×利用児童数×0月</v>
      </c>
      <c r="O66" s="148" t="str">
        <f>"D×人勧影響率（"&amp;$J$8&amp;"％）"</f>
        <v>D×人勧影響率（％）</v>
      </c>
      <c r="P66" s="147" t="str">
        <f>CONCATENATE("×利用児童数×",$V$2,"月")</f>
        <v>×利用児童数×0月</v>
      </c>
      <c r="Q66" s="148" t="str">
        <f>"D×人勧影響率（"&amp;$J$10&amp;"％）"</f>
        <v>D×人勧影響率（％）</v>
      </c>
      <c r="R66" s="147" t="str">
        <f>CONCATENATE("×利用児童数×",$V$2,"月")</f>
        <v>×利用児童数×0月</v>
      </c>
      <c r="S66" s="460"/>
    </row>
    <row r="67" spans="1:20" ht="20.149999999999999" hidden="1" customHeight="1">
      <c r="A67" s="986"/>
      <c r="B67" s="986"/>
      <c r="C67" s="986"/>
      <c r="D67" s="988">
        <f>$R$71</f>
        <v>0</v>
      </c>
      <c r="E67" s="988"/>
      <c r="F67" s="850"/>
      <c r="G67" s="460"/>
      <c r="H67" s="984"/>
      <c r="I67" s="660" t="s">
        <v>93</v>
      </c>
      <c r="J67" s="684">
        <f>'入力（児童数-分園)'!X3</f>
        <v>0</v>
      </c>
      <c r="K67" s="503">
        <f>$R43*$J$5</f>
        <v>0</v>
      </c>
      <c r="L67" s="657">
        <f>K67*$J67*$V$2</f>
        <v>0</v>
      </c>
      <c r="M67" s="486">
        <f>ROUNDDOWN($R43*$J$6,0)</f>
        <v>0</v>
      </c>
      <c r="N67" s="510">
        <f>M67*$J67*$V$2</f>
        <v>0</v>
      </c>
      <c r="O67" s="498">
        <f>ROUNDDOWN($R43*$J$8,0)</f>
        <v>0</v>
      </c>
      <c r="P67" s="504">
        <f>O67*$J67*$V$2</f>
        <v>0</v>
      </c>
      <c r="Q67" s="482">
        <f>ROUNDDOWN($R43*$J$10,0)</f>
        <v>0</v>
      </c>
      <c r="R67" s="510">
        <f>Q67*$J67*$V$2</f>
        <v>0</v>
      </c>
      <c r="S67" s="460"/>
    </row>
    <row r="68" spans="1:20" ht="20.149999999999999" hidden="1" customHeight="1">
      <c r="A68" s="987" t="str">
        <f>CONCATENATE("（処遇Ⅱの基準年度の翌年～当年度まで（",J10,"％）分）")</f>
        <v>（処遇Ⅱの基準年度の翌年～当年度まで（％）分）</v>
      </c>
      <c r="B68" s="987"/>
      <c r="C68" s="987"/>
      <c r="D68" s="505"/>
      <c r="E68" s="505"/>
      <c r="F68" s="505"/>
      <c r="G68" s="460"/>
      <c r="H68" s="984"/>
      <c r="I68" s="660" t="s">
        <v>70</v>
      </c>
      <c r="J68" s="684">
        <f>'入力（児童数-分園)'!X4</f>
        <v>0</v>
      </c>
      <c r="K68" s="503">
        <f>$R44*$J$5</f>
        <v>0</v>
      </c>
      <c r="L68" s="510">
        <f>K68*$J68*$V$2</f>
        <v>0</v>
      </c>
      <c r="M68" s="486">
        <f>ROUNDDOWN($R44*$J$6,0)</f>
        <v>0</v>
      </c>
      <c r="N68" s="510">
        <f>M68*$J68*$V$2</f>
        <v>0</v>
      </c>
      <c r="O68" s="498">
        <f>ROUNDDOWN($R44*$J$8,0)</f>
        <v>0</v>
      </c>
      <c r="P68" s="504">
        <f>O68*$J68*$V$2</f>
        <v>0</v>
      </c>
      <c r="Q68" s="482">
        <f>ROUNDDOWN($R44*$J$10,0)</f>
        <v>0</v>
      </c>
      <c r="R68" s="510">
        <f>Q68*$J68*$V$2</f>
        <v>0</v>
      </c>
      <c r="S68" s="460"/>
    </row>
    <row r="69" spans="1:20" ht="20.149999999999999" hidden="1" customHeight="1">
      <c r="A69" s="987"/>
      <c r="B69" s="987"/>
      <c r="C69" s="987"/>
      <c r="D69" s="460"/>
      <c r="E69" s="460"/>
      <c r="F69" s="460"/>
      <c r="G69" s="460"/>
      <c r="H69" s="984"/>
      <c r="I69" s="660" t="s">
        <v>7</v>
      </c>
      <c r="J69" s="684">
        <f>'入力（児童数-分園)'!X5</f>
        <v>0</v>
      </c>
      <c r="K69" s="503">
        <f>$R45*$J$5</f>
        <v>0</v>
      </c>
      <c r="L69" s="510">
        <f>K69*$J69*$V$2</f>
        <v>0</v>
      </c>
      <c r="M69" s="486">
        <f>ROUNDDOWN($R45*$J$6,0)</f>
        <v>0</v>
      </c>
      <c r="N69" s="510">
        <f>M69*$J69*$V$2</f>
        <v>0</v>
      </c>
      <c r="O69" s="498">
        <f>ROUNDDOWN($R45*$J$8,0)</f>
        <v>0</v>
      </c>
      <c r="P69" s="504">
        <f>O69*$J69*$V$2</f>
        <v>0</v>
      </c>
      <c r="Q69" s="482">
        <f>ROUNDDOWN($R45*$J$10,0)</f>
        <v>0</v>
      </c>
      <c r="R69" s="510">
        <f>Q69*$J69*$V$2</f>
        <v>0</v>
      </c>
      <c r="S69" s="460"/>
    </row>
    <row r="70" spans="1:20" ht="20.149999999999999" hidden="1" customHeight="1" thickBot="1">
      <c r="A70" s="460"/>
      <c r="B70" s="460"/>
      <c r="C70" s="460"/>
      <c r="D70" s="460"/>
      <c r="E70" s="460"/>
      <c r="F70" s="460"/>
      <c r="G70" s="460"/>
      <c r="H70" s="985"/>
      <c r="I70" s="660" t="s">
        <v>8</v>
      </c>
      <c r="J70" s="685">
        <f>'入力（児童数-分園)'!X6</f>
        <v>0</v>
      </c>
      <c r="K70" s="503">
        <f>$R46*$J$5</f>
        <v>0</v>
      </c>
      <c r="L70" s="510">
        <f>K70*$J70*$V$2</f>
        <v>0</v>
      </c>
      <c r="M70" s="486">
        <f>ROUNDDOWN($R46*$J$6,0)</f>
        <v>0</v>
      </c>
      <c r="N70" s="511">
        <f>M70*$J70*$V$2</f>
        <v>0</v>
      </c>
      <c r="O70" s="498">
        <f>ROUNDDOWN($R46*$J$8,0)</f>
        <v>0</v>
      </c>
      <c r="P70" s="512">
        <f>O70*$J70*$V$2</f>
        <v>0</v>
      </c>
      <c r="Q70" s="482">
        <f>ROUNDDOWN($R46*$J$10,0)</f>
        <v>0</v>
      </c>
      <c r="R70" s="511">
        <f>Q70*$J70*$V$2</f>
        <v>0</v>
      </c>
      <c r="S70" s="460"/>
    </row>
    <row r="71" spans="1:20" ht="17.5" hidden="1" thickTop="1" thickBot="1">
      <c r="A71" s="460"/>
      <c r="B71" s="460"/>
      <c r="C71" s="460"/>
      <c r="D71" s="460"/>
      <c r="E71" s="460"/>
      <c r="F71" s="460"/>
      <c r="G71" s="460"/>
      <c r="H71" s="460"/>
      <c r="I71" s="513" t="s">
        <v>0</v>
      </c>
      <c r="J71" s="658">
        <f>SUM(J51:J54,J56:J59,J62:J65,J67:J70)</f>
        <v>0</v>
      </c>
      <c r="K71" s="515" t="s">
        <v>0</v>
      </c>
      <c r="L71" s="514">
        <f>ROUNDDOWN(SUM(L51:L54,L56:L59,L62:L65,L67:L70),-3)</f>
        <v>0</v>
      </c>
      <c r="M71" s="515" t="s">
        <v>0</v>
      </c>
      <c r="N71" s="514">
        <f>ROUNDDOWN(SUM(N51:N54,N56:N59,N62:N65,N67:N70),-3)</f>
        <v>0</v>
      </c>
      <c r="O71" s="515" t="s">
        <v>0</v>
      </c>
      <c r="P71" s="579">
        <f>ROUNDDOWN(SUM(P51:P54,P56:P59,P62:P65,P67:P70),-3)</f>
        <v>0</v>
      </c>
      <c r="Q71" s="515" t="s">
        <v>0</v>
      </c>
      <c r="R71" s="514">
        <f>ROUNDDOWN(SUM(R51:R54,R56:R59,R62:R65,R67:R70),-3)</f>
        <v>0</v>
      </c>
      <c r="S71" s="460"/>
      <c r="T71" s="465"/>
    </row>
    <row r="72" spans="1:20" hidden="1">
      <c r="A72" s="460"/>
      <c r="B72" s="460"/>
      <c r="C72" s="478"/>
      <c r="E72" s="488"/>
      <c r="F72" s="488"/>
      <c r="G72" s="516"/>
      <c r="H72" s="460"/>
      <c r="I72" s="460"/>
      <c r="J72" s="517"/>
      <c r="K72" s="460"/>
      <c r="L72" s="460"/>
      <c r="M72" s="460"/>
      <c r="N72" s="460"/>
      <c r="O72" s="460"/>
      <c r="P72" s="460"/>
      <c r="Q72" s="460"/>
      <c r="R72" s="460"/>
      <c r="S72" s="460"/>
      <c r="T72" s="465"/>
    </row>
    <row r="73" spans="1:20">
      <c r="C73" s="481"/>
      <c r="E73" s="518"/>
      <c r="F73" s="518"/>
      <c r="G73" s="519"/>
      <c r="L73" s="460"/>
      <c r="M73" s="460"/>
      <c r="N73" s="460"/>
      <c r="O73" s="460"/>
      <c r="T73" s="465"/>
    </row>
    <row r="74" spans="1:20">
      <c r="C74" s="481"/>
    </row>
  </sheetData>
  <sheetProtection algorithmName="SHA-512" hashValue="15VYhpNKyl9Xw2zWRq+qYA7Wlx/LUhH1RxgspOypxa3LixoTI4aDEMgVvZFl8tSi73JHdrkYClZq8XIibzp0ug==" saltValue="NfDE+AAa5JHEwHV9s/qJ4g==" spinCount="100000" sheet="1" objects="1" scenarios="1"/>
  <customSheetViews>
    <customSheetView guid="{2E52E5FF-9846-4DC5-A671-268FE925398C}" scale="70" showPageBreaks="1" printArea="1" hiddenColumns="1" view="pageBreakPreview">
      <selection activeCell="K50" sqref="K50:L50"/>
      <pageMargins left="0.70866141732283472" right="0.70866141732283472" top="0.74803149606299213" bottom="0.74803149606299213" header="0.31496062992125984" footer="0.31496062992125984"/>
      <pageSetup paperSize="9" scale="36" fitToHeight="2" orientation="landscape" r:id="rId1"/>
    </customSheetView>
    <customSheetView guid="{BADA99B3-B36A-4925-87A7-F72FC97D3DBA}" scale="70" showPageBreaks="1" printArea="1" view="pageBreakPreview">
      <selection activeCell="AA48" sqref="AA48"/>
      <pageMargins left="0.70866141732283472" right="0.70866141732283472" top="0.74803149606299213" bottom="0.74803149606299213" header="0.31496062992125984" footer="0.31496062992125984"/>
      <pageSetup paperSize="9" scale="36" fitToHeight="2" orientation="landscape" r:id="rId2"/>
    </customSheetView>
  </customSheetViews>
  <mergeCells count="155">
    <mergeCell ref="V42:W42"/>
    <mergeCell ref="A61:C62"/>
    <mergeCell ref="A63:C64"/>
    <mergeCell ref="A66:C67"/>
    <mergeCell ref="D67:E67"/>
    <mergeCell ref="A68:C69"/>
    <mergeCell ref="A54:G54"/>
    <mergeCell ref="A51:C51"/>
    <mergeCell ref="A52:C52"/>
    <mergeCell ref="A56:C56"/>
    <mergeCell ref="A57:C58"/>
    <mergeCell ref="Q49:R49"/>
    <mergeCell ref="K41:K42"/>
    <mergeCell ref="L41:L42"/>
    <mergeCell ref="I41:I42"/>
    <mergeCell ref="J41:J42"/>
    <mergeCell ref="D56:E56"/>
    <mergeCell ref="D62:E62"/>
    <mergeCell ref="D41:D42"/>
    <mergeCell ref="E41:E42"/>
    <mergeCell ref="G41:G42"/>
    <mergeCell ref="H41:H42"/>
    <mergeCell ref="H61:H70"/>
    <mergeCell ref="D51:E51"/>
    <mergeCell ref="V39:W39"/>
    <mergeCell ref="V40:W40"/>
    <mergeCell ref="V44:W44"/>
    <mergeCell ref="H50:H59"/>
    <mergeCell ref="B45:C45"/>
    <mergeCell ref="B43:C43"/>
    <mergeCell ref="V45:W45"/>
    <mergeCell ref="V43:W43"/>
    <mergeCell ref="V47:W47"/>
    <mergeCell ref="N41:N42"/>
    <mergeCell ref="O41:O42"/>
    <mergeCell ref="P41:P42"/>
    <mergeCell ref="Q41:Q42"/>
    <mergeCell ref="R41:R42"/>
    <mergeCell ref="V46:W46"/>
    <mergeCell ref="U36:U47"/>
    <mergeCell ref="V36:W36"/>
    <mergeCell ref="V37:W37"/>
    <mergeCell ref="N35:N36"/>
    <mergeCell ref="O35:O36"/>
    <mergeCell ref="P35:P36"/>
    <mergeCell ref="Q35:Q36"/>
    <mergeCell ref="V41:W41"/>
    <mergeCell ref="H35:H36"/>
    <mergeCell ref="V31:W31"/>
    <mergeCell ref="V26:W26"/>
    <mergeCell ref="V27:W27"/>
    <mergeCell ref="V25:W25"/>
    <mergeCell ref="D28:D29"/>
    <mergeCell ref="E28:E29"/>
    <mergeCell ref="B21:C21"/>
    <mergeCell ref="B25:C25"/>
    <mergeCell ref="V38:W38"/>
    <mergeCell ref="J35:J36"/>
    <mergeCell ref="K35:K36"/>
    <mergeCell ref="L35:L36"/>
    <mergeCell ref="V28:W28"/>
    <mergeCell ref="V32:W32"/>
    <mergeCell ref="V33:W33"/>
    <mergeCell ref="V24:W24"/>
    <mergeCell ref="V35:W35"/>
    <mergeCell ref="V34:W34"/>
    <mergeCell ref="V23:W23"/>
    <mergeCell ref="B22:C23"/>
    <mergeCell ref="D22:D23"/>
    <mergeCell ref="E22:E23"/>
    <mergeCell ref="U23:U34"/>
    <mergeCell ref="R22:R23"/>
    <mergeCell ref="L22:L23"/>
    <mergeCell ref="N22:N23"/>
    <mergeCell ref="O22:O23"/>
    <mergeCell ref="R35:R36"/>
    <mergeCell ref="M17:M18"/>
    <mergeCell ref="B26:C26"/>
    <mergeCell ref="B30:C30"/>
    <mergeCell ref="B31:C31"/>
    <mergeCell ref="B32:C32"/>
    <mergeCell ref="P22:P23"/>
    <mergeCell ref="Q22:Q23"/>
    <mergeCell ref="B27:C27"/>
    <mergeCell ref="B24:C24"/>
    <mergeCell ref="N28:N29"/>
    <mergeCell ref="O28:O29"/>
    <mergeCell ref="B28:C29"/>
    <mergeCell ref="G22:G23"/>
    <mergeCell ref="H22:H23"/>
    <mergeCell ref="D35:D36"/>
    <mergeCell ref="E35:E36"/>
    <mergeCell ref="G35:G36"/>
    <mergeCell ref="V29:W29"/>
    <mergeCell ref="V30:W30"/>
    <mergeCell ref="AE1:AF1"/>
    <mergeCell ref="B5:C5"/>
    <mergeCell ref="B7:B9"/>
    <mergeCell ref="Z23:AB23"/>
    <mergeCell ref="N17:N18"/>
    <mergeCell ref="R28:R29"/>
    <mergeCell ref="P28:P29"/>
    <mergeCell ref="B6:C6"/>
    <mergeCell ref="B10:B12"/>
    <mergeCell ref="G17:G18"/>
    <mergeCell ref="H17:H18"/>
    <mergeCell ref="G28:G29"/>
    <mergeCell ref="H28:H29"/>
    <mergeCell ref="I28:I29"/>
    <mergeCell ref="J28:J29"/>
    <mergeCell ref="K28:K29"/>
    <mergeCell ref="L28:L29"/>
    <mergeCell ref="O17:O18"/>
    <mergeCell ref="P17:P18"/>
    <mergeCell ref="I22:I23"/>
    <mergeCell ref="J22:J23"/>
    <mergeCell ref="K22:K23"/>
    <mergeCell ref="D5:E5"/>
    <mergeCell ref="K17:K18"/>
    <mergeCell ref="L17:L18"/>
    <mergeCell ref="P1:S1"/>
    <mergeCell ref="B2:R3"/>
    <mergeCell ref="D6:E6"/>
    <mergeCell ref="D7:E7"/>
    <mergeCell ref="D8:E8"/>
    <mergeCell ref="D9:E9"/>
    <mergeCell ref="D10:E10"/>
    <mergeCell ref="D11:E11"/>
    <mergeCell ref="D12:E12"/>
    <mergeCell ref="B4:D4"/>
    <mergeCell ref="F17:F18"/>
    <mergeCell ref="A22:A33"/>
    <mergeCell ref="B37:C37"/>
    <mergeCell ref="B35:C36"/>
    <mergeCell ref="K49:L49"/>
    <mergeCell ref="M49:N49"/>
    <mergeCell ref="O49:P49"/>
    <mergeCell ref="B15:C16"/>
    <mergeCell ref="D21:R21"/>
    <mergeCell ref="Q17:Q18"/>
    <mergeCell ref="B33:C33"/>
    <mergeCell ref="Q28:Q29"/>
    <mergeCell ref="A35:A46"/>
    <mergeCell ref="B39:C39"/>
    <mergeCell ref="B40:C40"/>
    <mergeCell ref="B46:C46"/>
    <mergeCell ref="B44:C44"/>
    <mergeCell ref="B41:C42"/>
    <mergeCell ref="B17:C19"/>
    <mergeCell ref="B38:C38"/>
    <mergeCell ref="I35:I36"/>
    <mergeCell ref="D17:D18"/>
    <mergeCell ref="E17:E18"/>
    <mergeCell ref="I17:I18"/>
    <mergeCell ref="J17:J18"/>
  </mergeCells>
  <phoneticPr fontId="4"/>
  <dataValidations count="6">
    <dataValidation type="whole" operator="greaterThanOrEqual" allowBlank="1" showInputMessage="1" showErrorMessage="1" sqref="G19" xr:uid="{00000000-0002-0000-0A00-000000000000}">
      <formula1>0</formula1>
    </dataValidation>
    <dataValidation type="list" allowBlank="1" showInputMessage="1" showErrorMessage="1" sqref="P19 J19:K19 H19 M19:N19 D19:F19" xr:uid="{00000000-0002-0000-0A00-000001000000}">
      <formula1>$W$2:$W$4</formula1>
    </dataValidation>
    <dataValidation type="list" errorStyle="warning" showInputMessage="1" showErrorMessage="1" sqref="O19" xr:uid="{00000000-0002-0000-0A00-000002000000}">
      <formula1>$AA$2:$AA$5</formula1>
    </dataValidation>
    <dataValidation type="list" allowBlank="1" showInputMessage="1" showErrorMessage="1" sqref="L19" xr:uid="{00000000-0002-0000-0A00-000003000000}">
      <formula1>$Z$2:$Z$7</formula1>
    </dataValidation>
    <dataValidation type="list" allowBlank="1" showInputMessage="1" showErrorMessage="1" sqref="Q19" xr:uid="{00000000-0002-0000-0A00-000004000000}">
      <formula1>$AB$2:$AB$5</formula1>
    </dataValidation>
    <dataValidation type="list" allowBlank="1" showInputMessage="1" showErrorMessage="1" sqref="I19" xr:uid="{F2948D07-A5CC-4ED2-8007-815FC8CC1CE9}">
      <formula1>$AC$3:$AC$5</formula1>
    </dataValidation>
  </dataValidations>
  <printOptions horizontalCentered="1"/>
  <pageMargins left="0.70866141732283472" right="0.70866141732283472" top="0.74803149606299213" bottom="0.74803149606299213" header="0.31496062992125984" footer="0.31496062992125984"/>
  <pageSetup paperSize="9" scale="33" fitToHeight="2"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19</vt:i4>
      </vt:variant>
    </vt:vector>
  </HeadingPairs>
  <TitlesOfParts>
    <vt:vector size="45" baseType="lpstr">
      <vt:lpstr>やること</vt:lpstr>
      <vt:lpstr>入力方法</vt:lpstr>
      <vt:lpstr>チェック表</vt:lpstr>
      <vt:lpstr>人数試算の手順</vt:lpstr>
      <vt:lpstr>全員入力</vt:lpstr>
      <vt:lpstr>入力（児童数-本園)</vt:lpstr>
      <vt:lpstr>入力（児童数-分園)</vt:lpstr>
      <vt:lpstr>保育所</vt:lpstr>
      <vt:lpstr>入力（加算）保</vt:lpstr>
      <vt:lpstr>【試算用】様式3(保)</vt:lpstr>
      <vt:lpstr>幼稚園</vt:lpstr>
      <vt:lpstr>入力（加算）幼</vt:lpstr>
      <vt:lpstr>【試算用】様式3(幼)</vt:lpstr>
      <vt:lpstr>認定こども園</vt:lpstr>
      <vt:lpstr>入力（加算）認</vt:lpstr>
      <vt:lpstr>【試算用】様式3(認)</vt:lpstr>
      <vt:lpstr>小規模A、事業所内１９</vt:lpstr>
      <vt:lpstr>入力（加算）A</vt:lpstr>
      <vt:lpstr>入力（加算）事19</vt:lpstr>
      <vt:lpstr>【試算用】様式3(A・事19)</vt:lpstr>
      <vt:lpstr>事業所内２０</vt:lpstr>
      <vt:lpstr>入力（加算）事20</vt:lpstr>
      <vt:lpstr>【試算用】様式3(事20)</vt:lpstr>
      <vt:lpstr>家庭的</vt:lpstr>
      <vt:lpstr>入力（加算）家</vt:lpstr>
      <vt:lpstr>【試算用】様式3(家)</vt:lpstr>
      <vt:lpstr>'【試算用】様式3(A・事19)'!Print_Area</vt:lpstr>
      <vt:lpstr>'【試算用】様式3(家)'!Print_Area</vt:lpstr>
      <vt:lpstr>'【試算用】様式3(事20)'!Print_Area</vt:lpstr>
      <vt:lpstr>'【試算用】様式3(認)'!Print_Area</vt:lpstr>
      <vt:lpstr>'【試算用】様式3(保)'!Print_Area</vt:lpstr>
      <vt:lpstr>'【試算用】様式3(幼)'!Print_Area</vt:lpstr>
      <vt:lpstr>チェック表!Print_Area</vt:lpstr>
      <vt:lpstr>'入力（加算）A'!Print_Area</vt:lpstr>
      <vt:lpstr>'入力（加算）家'!Print_Area</vt:lpstr>
      <vt:lpstr>'入力（加算）事19'!Print_Area</vt:lpstr>
      <vt:lpstr>'入力（加算）事20'!Print_Area</vt:lpstr>
      <vt:lpstr>'入力（加算）認'!Print_Area</vt:lpstr>
      <vt:lpstr>'入力（加算）保'!Print_Area</vt:lpstr>
      <vt:lpstr>'入力（加算）幼'!Print_Area</vt:lpstr>
      <vt:lpstr>'入力（児童数-分園)'!Print_Area</vt:lpstr>
      <vt:lpstr>'入力（児童数-本園)'!Print_Area</vt:lpstr>
      <vt:lpstr>入力方法!Print_Area</vt:lpstr>
      <vt:lpstr>'入力（児童数-分園)'!Print_Titles</vt:lpstr>
      <vt:lpstr>'入力（児童数-本園)'!Print_Titles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給付係</dc:creator>
  <cp:lastModifiedBy>鈴木 和悠</cp:lastModifiedBy>
  <cp:lastPrinted>2021-08-06T00:42:19Z</cp:lastPrinted>
  <dcterms:created xsi:type="dcterms:W3CDTF">2006-09-16T00:00:00Z</dcterms:created>
  <dcterms:modified xsi:type="dcterms:W3CDTF">2024-08-07T02:43:55Z</dcterms:modified>
</cp:coreProperties>
</file>